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_giant.csv" sheetId="1" r:id="rId4"/>
  </sheets>
  <definedNames/>
  <calcPr/>
</workbook>
</file>

<file path=xl/sharedStrings.xml><?xml version="1.0" encoding="utf-8"?>
<sst xmlns="http://schemas.openxmlformats.org/spreadsheetml/2006/main" count="18968" uniqueCount="9485">
  <si>
    <t>word</t>
  </si>
  <si>
    <t>giant</t>
  </si>
  <si>
    <t>frequency</t>
  </si>
  <si>
    <t>IPA_LIST</t>
  </si>
  <si>
    <t>rings</t>
  </si>
  <si>
    <t>in</t>
  </si>
  <si>
    <t>pastor</t>
  </si>
  <si>
    <t>page</t>
  </si>
  <si>
    <t>span</t>
  </si>
  <si>
    <t>rugs</t>
  </si>
  <si>
    <t>wrecking</t>
  </si>
  <si>
    <t>able</t>
  </si>
  <si>
    <t>weigh</t>
  </si>
  <si>
    <t>daemon</t>
  </si>
  <si>
    <t>running</t>
  </si>
  <si>
    <t>quin</t>
  </si>
  <si>
    <t>to</t>
  </si>
  <si>
    <t>spurs</t>
  </si>
  <si>
    <t>slippery</t>
  </si>
  <si>
    <t>peers</t>
  </si>
  <si>
    <t>freaky</t>
  </si>
  <si>
    <t>cloudy</t>
  </si>
  <si>
    <t>plans</t>
  </si>
  <si>
    <t>cheeks</t>
  </si>
  <si>
    <t>sakes</t>
  </si>
  <si>
    <t>turkeys</t>
  </si>
  <si>
    <t>used</t>
  </si>
  <si>
    <t>stinko</t>
  </si>
  <si>
    <t>taming</t>
  </si>
  <si>
    <t>tensed</t>
  </si>
  <si>
    <t>tease</t>
  </si>
  <si>
    <t>lori</t>
  </si>
  <si>
    <t>mugs</t>
  </si>
  <si>
    <t>work</t>
  </si>
  <si>
    <t>spell</t>
  </si>
  <si>
    <t>jacks</t>
  </si>
  <si>
    <t>fast</t>
  </si>
  <si>
    <t>this</t>
  </si>
  <si>
    <t>turnip</t>
  </si>
  <si>
    <t>gloom</t>
  </si>
  <si>
    <t>fend</t>
  </si>
  <si>
    <t>viva</t>
  </si>
  <si>
    <t>scope</t>
  </si>
  <si>
    <t>oils</t>
  </si>
  <si>
    <t>sin</t>
  </si>
  <si>
    <t>tang</t>
  </si>
  <si>
    <t>cocks</t>
  </si>
  <si>
    <t>brat</t>
  </si>
  <si>
    <t>measure</t>
  </si>
  <si>
    <t>geezer</t>
  </si>
  <si>
    <t>rudder</t>
  </si>
  <si>
    <t>drummer</t>
  </si>
  <si>
    <t>spikes</t>
  </si>
  <si>
    <t>emotion</t>
  </si>
  <si>
    <t>weeks</t>
  </si>
  <si>
    <t>crawl</t>
  </si>
  <si>
    <t>kicking</t>
  </si>
  <si>
    <t>feeble</t>
  </si>
  <si>
    <t>brits</t>
  </si>
  <si>
    <t>sweats</t>
  </si>
  <si>
    <t>verse</t>
  </si>
  <si>
    <t>dud</t>
  </si>
  <si>
    <t>really</t>
  </si>
  <si>
    <t>bummed</t>
  </si>
  <si>
    <t>pin</t>
  </si>
  <si>
    <t>bock</t>
  </si>
  <si>
    <t>graft</t>
  </si>
  <si>
    <t>gurney</t>
  </si>
  <si>
    <t>loins</t>
  </si>
  <si>
    <t>pilar</t>
  </si>
  <si>
    <t>layout</t>
  </si>
  <si>
    <t>lynching</t>
  </si>
  <si>
    <t>winners</t>
  </si>
  <si>
    <t>hose</t>
  </si>
  <si>
    <t>nursing</t>
  </si>
  <si>
    <t>beaten</t>
  </si>
  <si>
    <t>foam</t>
  </si>
  <si>
    <t>erika</t>
  </si>
  <si>
    <t>cunning</t>
  </si>
  <si>
    <t>cuss</t>
  </si>
  <si>
    <t>byron</t>
  </si>
  <si>
    <t>wasting</t>
  </si>
  <si>
    <t>lease</t>
  </si>
  <si>
    <t>those</t>
  </si>
  <si>
    <t>tov</t>
  </si>
  <si>
    <t>ross</t>
  </si>
  <si>
    <t>tooth</t>
  </si>
  <si>
    <t>cage</t>
  </si>
  <si>
    <t>feel</t>
  </si>
  <si>
    <t>beaner</t>
  </si>
  <si>
    <t>groan</t>
  </si>
  <si>
    <t>chorus</t>
  </si>
  <si>
    <t>mere</t>
  </si>
  <si>
    <t>label</t>
  </si>
  <si>
    <t>org</t>
  </si>
  <si>
    <t>ribbon</t>
  </si>
  <si>
    <t>lad</t>
  </si>
  <si>
    <t>ache</t>
  </si>
  <si>
    <t>sign</t>
  </si>
  <si>
    <t>prowl</t>
  </si>
  <si>
    <t>vine</t>
  </si>
  <si>
    <t>change</t>
  </si>
  <si>
    <t>howdy</t>
  </si>
  <si>
    <t>slipped</t>
  </si>
  <si>
    <t>pie</t>
  </si>
  <si>
    <t>fork</t>
  </si>
  <si>
    <t>bikes</t>
  </si>
  <si>
    <t>tricked</t>
  </si>
  <si>
    <t>galley</t>
  </si>
  <si>
    <t>players</t>
  </si>
  <si>
    <t>ml</t>
  </si>
  <si>
    <t>mousse</t>
  </si>
  <si>
    <t>sensory</t>
  </si>
  <si>
    <t>kip</t>
  </si>
  <si>
    <t>tightly</t>
  </si>
  <si>
    <t>minnie</t>
  </si>
  <si>
    <t>lowly</t>
  </si>
  <si>
    <t>support</t>
  </si>
  <si>
    <t>dirty</t>
  </si>
  <si>
    <t>tribal</t>
  </si>
  <si>
    <t>depths</t>
  </si>
  <si>
    <t>safer</t>
  </si>
  <si>
    <t>soothing</t>
  </si>
  <si>
    <t>cuties</t>
  </si>
  <si>
    <t>locks</t>
  </si>
  <si>
    <t>choke</t>
  </si>
  <si>
    <t>froggy</t>
  </si>
  <si>
    <t>joy</t>
  </si>
  <si>
    <t>abort</t>
  </si>
  <si>
    <t>glades</t>
  </si>
  <si>
    <t>yield</t>
  </si>
  <si>
    <t>heifer</t>
  </si>
  <si>
    <t>ares</t>
  </si>
  <si>
    <t>drill</t>
  </si>
  <si>
    <t>tong</t>
  </si>
  <si>
    <t>tramp</t>
  </si>
  <si>
    <t>memory</t>
  </si>
  <si>
    <t>footing</t>
  </si>
  <si>
    <t>bill</t>
  </si>
  <si>
    <t>jake</t>
  </si>
  <si>
    <t>clamp</t>
  </si>
  <si>
    <t>year</t>
  </si>
  <si>
    <t>hub</t>
  </si>
  <si>
    <t>blondes</t>
  </si>
  <si>
    <t>caution</t>
  </si>
  <si>
    <t>lettuce</t>
  </si>
  <si>
    <t>rook</t>
  </si>
  <si>
    <t>frightened</t>
  </si>
  <si>
    <t>tux</t>
  </si>
  <si>
    <t>reins</t>
  </si>
  <si>
    <t>pans</t>
  </si>
  <si>
    <t>ole</t>
  </si>
  <si>
    <t>green</t>
  </si>
  <si>
    <t>reds</t>
  </si>
  <si>
    <t>coins</t>
  </si>
  <si>
    <t>esteem</t>
  </si>
  <si>
    <t>riled</t>
  </si>
  <si>
    <t>packing</t>
  </si>
  <si>
    <t>hauled</t>
  </si>
  <si>
    <t>twitching</t>
  </si>
  <si>
    <t>award</t>
  </si>
  <si>
    <t>rowdy</t>
  </si>
  <si>
    <t>woody</t>
  </si>
  <si>
    <t>loads</t>
  </si>
  <si>
    <t>reed</t>
  </si>
  <si>
    <t>muffler</t>
  </si>
  <si>
    <t>letter</t>
  </si>
  <si>
    <t>rubs</t>
  </si>
  <si>
    <t>milk</t>
  </si>
  <si>
    <t>eyeballs</t>
  </si>
  <si>
    <t>burial</t>
  </si>
  <si>
    <t>fighter</t>
  </si>
  <si>
    <t>errand</t>
  </si>
  <si>
    <t>slaves</t>
  </si>
  <si>
    <t>judas</t>
  </si>
  <si>
    <t>smiley</t>
  </si>
  <si>
    <t>class</t>
  </si>
  <si>
    <t>notice</t>
  </si>
  <si>
    <t>frog</t>
  </si>
  <si>
    <t>saw</t>
  </si>
  <si>
    <t>book</t>
  </si>
  <si>
    <t>nauseous</t>
  </si>
  <si>
    <t>hatter</t>
  </si>
  <si>
    <t>feature</t>
  </si>
  <si>
    <t>stew</t>
  </si>
  <si>
    <t>picket</t>
  </si>
  <si>
    <t>proved</t>
  </si>
  <si>
    <t>obtain</t>
  </si>
  <si>
    <t>sweep</t>
  </si>
  <si>
    <t>shocker</t>
  </si>
  <si>
    <t>maru</t>
  </si>
  <si>
    <t>ridden</t>
  </si>
  <si>
    <t>uh</t>
  </si>
  <si>
    <t>fleece</t>
  </si>
  <si>
    <t>cooled</t>
  </si>
  <si>
    <t>nurse</t>
  </si>
  <si>
    <t>twist</t>
  </si>
  <si>
    <t>seth</t>
  </si>
  <si>
    <t>locking</t>
  </si>
  <si>
    <t>hoax</t>
  </si>
  <si>
    <t>trashy</t>
  </si>
  <si>
    <t>plight</t>
  </si>
  <si>
    <t>crow</t>
  </si>
  <si>
    <t>close</t>
  </si>
  <si>
    <t>mayo</t>
  </si>
  <si>
    <t>baby</t>
  </si>
  <si>
    <t>lottery</t>
  </si>
  <si>
    <t>would</t>
  </si>
  <si>
    <t>ness</t>
  </si>
  <si>
    <t>holly</t>
  </si>
  <si>
    <t>draw</t>
  </si>
  <si>
    <t>adder</t>
  </si>
  <si>
    <t>geared</t>
  </si>
  <si>
    <t>slam</t>
  </si>
  <si>
    <t>mercy</t>
  </si>
  <si>
    <t>flatter</t>
  </si>
  <si>
    <t>humming</t>
  </si>
  <si>
    <t>gs</t>
  </si>
  <si>
    <t>tipsy</t>
  </si>
  <si>
    <t>scarred</t>
  </si>
  <si>
    <t>afford</t>
  </si>
  <si>
    <t>ball</t>
  </si>
  <si>
    <t>croc</t>
  </si>
  <si>
    <t>grill</t>
  </si>
  <si>
    <t>wolf</t>
  </si>
  <si>
    <t>votes</t>
  </si>
  <si>
    <t>hitch</t>
  </si>
  <si>
    <t>pta</t>
  </si>
  <si>
    <t>gel</t>
  </si>
  <si>
    <t>founder</t>
  </si>
  <si>
    <t>traded</t>
  </si>
  <si>
    <t>carefully</t>
  </si>
  <si>
    <t>trooper</t>
  </si>
  <si>
    <t>rube</t>
  </si>
  <si>
    <t>studs</t>
  </si>
  <si>
    <t>tnt</t>
  </si>
  <si>
    <t>arrest</t>
  </si>
  <si>
    <t>murphy</t>
  </si>
  <si>
    <t>spa</t>
  </si>
  <si>
    <t>joking</t>
  </si>
  <si>
    <t>dover</t>
  </si>
  <si>
    <t>dong</t>
  </si>
  <si>
    <t>bitch</t>
  </si>
  <si>
    <t>thick</t>
  </si>
  <si>
    <t>moms</t>
  </si>
  <si>
    <t>part</t>
  </si>
  <si>
    <t>plumb</t>
  </si>
  <si>
    <t>banning</t>
  </si>
  <si>
    <t>tailing</t>
  </si>
  <si>
    <t>mile</t>
  </si>
  <si>
    <t>lila</t>
  </si>
  <si>
    <t>rip</t>
  </si>
  <si>
    <t>dee</t>
  </si>
  <si>
    <t>burton</t>
  </si>
  <si>
    <t>burro</t>
  </si>
  <si>
    <t>slayer</t>
  </si>
  <si>
    <t>chatty</t>
  </si>
  <si>
    <t>dix</t>
  </si>
  <si>
    <t>coho</t>
  </si>
  <si>
    <t>sailing</t>
  </si>
  <si>
    <t>pigeon</t>
  </si>
  <si>
    <t>starr</t>
  </si>
  <si>
    <t>rears</t>
  </si>
  <si>
    <t>tacky</t>
  </si>
  <si>
    <t>brainy</t>
  </si>
  <si>
    <t>berries</t>
  </si>
  <si>
    <t>prod</t>
  </si>
  <si>
    <t>gap</t>
  </si>
  <si>
    <t>speed</t>
  </si>
  <si>
    <t>halo</t>
  </si>
  <si>
    <t>vocal</t>
  </si>
  <si>
    <t>upped</t>
  </si>
  <si>
    <t>cheered</t>
  </si>
  <si>
    <t>kane</t>
  </si>
  <si>
    <t>woke</t>
  </si>
  <si>
    <t>bristol</t>
  </si>
  <si>
    <t>widow</t>
  </si>
  <si>
    <t>atop</t>
  </si>
  <si>
    <t>status</t>
  </si>
  <si>
    <t>deep</t>
  </si>
  <si>
    <t>tube</t>
  </si>
  <si>
    <t>bet</t>
  </si>
  <si>
    <t>easing</t>
  </si>
  <si>
    <t>cos</t>
  </si>
  <si>
    <t>rocks</t>
  </si>
  <si>
    <t>drain</t>
  </si>
  <si>
    <t>hex</t>
  </si>
  <si>
    <t>pique</t>
  </si>
  <si>
    <t>stool</t>
  </si>
  <si>
    <t>pinned</t>
  </si>
  <si>
    <t>smog</t>
  </si>
  <si>
    <t>lark</t>
  </si>
  <si>
    <t>hips</t>
  </si>
  <si>
    <t>otter</t>
  </si>
  <si>
    <t>calves</t>
  </si>
  <si>
    <t>pose</t>
  </si>
  <si>
    <t>robbery</t>
  </si>
  <si>
    <t>lupe</t>
  </si>
  <si>
    <t>organ</t>
  </si>
  <si>
    <t>lived</t>
  </si>
  <si>
    <t>seem</t>
  </si>
  <si>
    <t>react</t>
  </si>
  <si>
    <t>peeping</t>
  </si>
  <si>
    <t>sprung</t>
  </si>
  <si>
    <t>yo</t>
  </si>
  <si>
    <t>mia</t>
  </si>
  <si>
    <t>unlocked</t>
  </si>
  <si>
    <t>nook</t>
  </si>
  <si>
    <t>skipper</t>
  </si>
  <si>
    <t>sunday</t>
  </si>
  <si>
    <t>committee</t>
  </si>
  <si>
    <t>week</t>
  </si>
  <si>
    <t>straw</t>
  </si>
  <si>
    <t>cults</t>
  </si>
  <si>
    <t>blessed</t>
  </si>
  <si>
    <t>acquire</t>
  </si>
  <si>
    <t>sheila</t>
  </si>
  <si>
    <t>fourteenth</t>
  </si>
  <si>
    <t>draft</t>
  </si>
  <si>
    <t>ct</t>
  </si>
  <si>
    <t>foster</t>
  </si>
  <si>
    <t>awhile</t>
  </si>
  <si>
    <t>brownie</t>
  </si>
  <si>
    <t>icy</t>
  </si>
  <si>
    <t>ben</t>
  </si>
  <si>
    <t>sever</t>
  </si>
  <si>
    <t>bucky</t>
  </si>
  <si>
    <t>tilly</t>
  </si>
  <si>
    <t>shifting</t>
  </si>
  <si>
    <t>crappy</t>
  </si>
  <si>
    <t>silk</t>
  </si>
  <si>
    <t>aw</t>
  </si>
  <si>
    <t>cocoon</t>
  </si>
  <si>
    <t>choice</t>
  </si>
  <si>
    <t>heading</t>
  </si>
  <si>
    <t>how</t>
  </si>
  <si>
    <t>rough</t>
  </si>
  <si>
    <t>das</t>
  </si>
  <si>
    <t>climbs</t>
  </si>
  <si>
    <t>bin</t>
  </si>
  <si>
    <t>crave</t>
  </si>
  <si>
    <t>licks</t>
  </si>
  <si>
    <t>shady</t>
  </si>
  <si>
    <t>plaster</t>
  </si>
  <si>
    <t>bon</t>
  </si>
  <si>
    <t>fairly</t>
  </si>
  <si>
    <t>biff</t>
  </si>
  <si>
    <t>chipped</t>
  </si>
  <si>
    <t>joke</t>
  </si>
  <si>
    <t>bright</t>
  </si>
  <si>
    <t>nd</t>
  </si>
  <si>
    <t>fruits</t>
  </si>
  <si>
    <t>abide</t>
  </si>
  <si>
    <t>lugs</t>
  </si>
  <si>
    <t>card</t>
  </si>
  <si>
    <t>fussing</t>
  </si>
  <si>
    <t>save</t>
  </si>
  <si>
    <t>coney</t>
  </si>
  <si>
    <t>pursue</t>
  </si>
  <si>
    <t>resting</t>
  </si>
  <si>
    <t>spread</t>
  </si>
  <si>
    <t>piled</t>
  </si>
  <si>
    <t>nt</t>
  </si>
  <si>
    <t>comics</t>
  </si>
  <si>
    <t>prayed</t>
  </si>
  <si>
    <t>roasted</t>
  </si>
  <si>
    <t>curse</t>
  </si>
  <si>
    <t>west</t>
  </si>
  <si>
    <t>flinch</t>
  </si>
  <si>
    <t>salmon</t>
  </si>
  <si>
    <t>tasty</t>
  </si>
  <si>
    <t>wharf</t>
  </si>
  <si>
    <t>urban</t>
  </si>
  <si>
    <t>purged</t>
  </si>
  <si>
    <t>awesome</t>
  </si>
  <si>
    <t>tasting</t>
  </si>
  <si>
    <t>loyally</t>
  </si>
  <si>
    <t>jury</t>
  </si>
  <si>
    <t>hippy</t>
  </si>
  <si>
    <t>large</t>
  </si>
  <si>
    <t>boiler</t>
  </si>
  <si>
    <t>sheath</t>
  </si>
  <si>
    <t>stain</t>
  </si>
  <si>
    <t>haunt</t>
  </si>
  <si>
    <t>maps</t>
  </si>
  <si>
    <t>sloan</t>
  </si>
  <si>
    <t>si</t>
  </si>
  <si>
    <t>genie</t>
  </si>
  <si>
    <t>walked</t>
  </si>
  <si>
    <t>blazers</t>
  </si>
  <si>
    <t>bully</t>
  </si>
  <si>
    <t>fay</t>
  </si>
  <si>
    <t>kelly</t>
  </si>
  <si>
    <t>ese</t>
  </si>
  <si>
    <t>wealthy</t>
  </si>
  <si>
    <t>roared</t>
  </si>
  <si>
    <t>tar</t>
  </si>
  <si>
    <t>bred</t>
  </si>
  <si>
    <t>motor</t>
  </si>
  <si>
    <t>dickie</t>
  </si>
  <si>
    <t>capped</t>
  </si>
  <si>
    <t>goon</t>
  </si>
  <si>
    <t>movers</t>
  </si>
  <si>
    <t>crotch</t>
  </si>
  <si>
    <t>bang</t>
  </si>
  <si>
    <t>giddy</t>
  </si>
  <si>
    <t>roars</t>
  </si>
  <si>
    <t>stag</t>
  </si>
  <si>
    <t>nines</t>
  </si>
  <si>
    <t>paulie</t>
  </si>
  <si>
    <t>treats</t>
  </si>
  <si>
    <t>thoughts</t>
  </si>
  <si>
    <t>tin</t>
  </si>
  <si>
    <t>gray</t>
  </si>
  <si>
    <t>m</t>
  </si>
  <si>
    <t>wallets</t>
  </si>
  <si>
    <t>mixed</t>
  </si>
  <si>
    <t>twin</t>
  </si>
  <si>
    <t>jeans</t>
  </si>
  <si>
    <t>dos</t>
  </si>
  <si>
    <t>wh</t>
  </si>
  <si>
    <t>crate</t>
  </si>
  <si>
    <t>simmer</t>
  </si>
  <si>
    <t>baja</t>
  </si>
  <si>
    <t>heard</t>
  </si>
  <si>
    <t>screens</t>
  </si>
  <si>
    <t>works</t>
  </si>
  <si>
    <t>riots</t>
  </si>
  <si>
    <t>smoked</t>
  </si>
  <si>
    <t>bam</t>
  </si>
  <si>
    <t>kill</t>
  </si>
  <si>
    <t>hippie</t>
  </si>
  <si>
    <t>centre</t>
  </si>
  <si>
    <t>planet</t>
  </si>
  <si>
    <t>whiff</t>
  </si>
  <si>
    <t>heil</t>
  </si>
  <si>
    <t>hock</t>
  </si>
  <si>
    <t>willing</t>
  </si>
  <si>
    <t>had</t>
  </si>
  <si>
    <t>abel</t>
  </si>
  <si>
    <t>bitched</t>
  </si>
  <si>
    <t>rouge</t>
  </si>
  <si>
    <t>sp</t>
  </si>
  <si>
    <t>tammy</t>
  </si>
  <si>
    <t>bender</t>
  </si>
  <si>
    <t>ledge</t>
  </si>
  <si>
    <t>snail</t>
  </si>
  <si>
    <t>leap</t>
  </si>
  <si>
    <t>plains</t>
  </si>
  <si>
    <t>lined</t>
  </si>
  <si>
    <t>sweetie</t>
  </si>
  <si>
    <t>urn</t>
  </si>
  <si>
    <t>heng</t>
  </si>
  <si>
    <t>dance</t>
  </si>
  <si>
    <t>pen</t>
  </si>
  <si>
    <t>rush</t>
  </si>
  <si>
    <t>occult</t>
  </si>
  <si>
    <t>se</t>
  </si>
  <si>
    <t>feat</t>
  </si>
  <si>
    <t>filmed</t>
  </si>
  <si>
    <t>pluck</t>
  </si>
  <si>
    <t>didnt</t>
  </si>
  <si>
    <t>forms</t>
  </si>
  <si>
    <t>tram</t>
  </si>
  <si>
    <t>flap</t>
  </si>
  <si>
    <t>loan</t>
  </si>
  <si>
    <t>toot</t>
  </si>
  <si>
    <t>brighten</t>
  </si>
  <si>
    <t>gold</t>
  </si>
  <si>
    <t>suds</t>
  </si>
  <si>
    <t>wilder</t>
  </si>
  <si>
    <t>relief</t>
  </si>
  <si>
    <t>jefe</t>
  </si>
  <si>
    <t>savvy</t>
  </si>
  <si>
    <t>judo</t>
  </si>
  <si>
    <t>cast</t>
  </si>
  <si>
    <t>shores</t>
  </si>
  <si>
    <t>jerry</t>
  </si>
  <si>
    <t>along</t>
  </si>
  <si>
    <t>gates</t>
  </si>
  <si>
    <t>ledger</t>
  </si>
  <si>
    <t>battery</t>
  </si>
  <si>
    <t>stocks</t>
  </si>
  <si>
    <t>stole</t>
  </si>
  <si>
    <t>rink</t>
  </si>
  <si>
    <t>laying</t>
  </si>
  <si>
    <t>stitch</t>
  </si>
  <si>
    <t>across</t>
  </si>
  <si>
    <t>puss</t>
  </si>
  <si>
    <t>tides</t>
  </si>
  <si>
    <t>flown</t>
  </si>
  <si>
    <t>buffer</t>
  </si>
  <si>
    <t>whoop</t>
  </si>
  <si>
    <t>pulled</t>
  </si>
  <si>
    <t>flick</t>
  </si>
  <si>
    <t>ike</t>
  </si>
  <si>
    <t>lighting</t>
  </si>
  <si>
    <t>deemed</t>
  </si>
  <si>
    <t>bruise</t>
  </si>
  <si>
    <t>wrapper</t>
  </si>
  <si>
    <t>rousting</t>
  </si>
  <si>
    <t>fatty</t>
  </si>
  <si>
    <t>cups</t>
  </si>
  <si>
    <t>wood</t>
  </si>
  <si>
    <t>pawing</t>
  </si>
  <si>
    <t>vera</t>
  </si>
  <si>
    <t>ahold</t>
  </si>
  <si>
    <t>alone</t>
  </si>
  <si>
    <t>grazie</t>
  </si>
  <si>
    <t>heroes</t>
  </si>
  <si>
    <t>poem</t>
  </si>
  <si>
    <t>dots</t>
  </si>
  <si>
    <t>tea</t>
  </si>
  <si>
    <t>parry</t>
  </si>
  <si>
    <t>creasy</t>
  </si>
  <si>
    <t>colt</t>
  </si>
  <si>
    <t>oil</t>
  </si>
  <si>
    <t>nip</t>
  </si>
  <si>
    <t>sew</t>
  </si>
  <si>
    <t>grimes</t>
  </si>
  <si>
    <t>prayer</t>
  </si>
  <si>
    <t>bathe</t>
  </si>
  <si>
    <t>lap</t>
  </si>
  <si>
    <t>gr</t>
  </si>
  <si>
    <t>machine</t>
  </si>
  <si>
    <t>snails</t>
  </si>
  <si>
    <t>ducks</t>
  </si>
  <si>
    <t>plugged</t>
  </si>
  <si>
    <t>bros</t>
  </si>
  <si>
    <t>rec</t>
  </si>
  <si>
    <t>blokes</t>
  </si>
  <si>
    <t>stiffed</t>
  </si>
  <si>
    <t>speck</t>
  </si>
  <si>
    <t>villain</t>
  </si>
  <si>
    <t>sorta</t>
  </si>
  <si>
    <t>seams</t>
  </si>
  <si>
    <t>titties</t>
  </si>
  <si>
    <t>sofa</t>
  </si>
  <si>
    <t>flirt</t>
  </si>
  <si>
    <t>stub</t>
  </si>
  <si>
    <t>shoots</t>
  </si>
  <si>
    <t>fro</t>
  </si>
  <si>
    <t>flute</t>
  </si>
  <si>
    <t>hides</t>
  </si>
  <si>
    <t>using</t>
  </si>
  <si>
    <t>guard</t>
  </si>
  <si>
    <t>serve</t>
  </si>
  <si>
    <t>tattoos</t>
  </si>
  <si>
    <t>guilt</t>
  </si>
  <si>
    <t>neal</t>
  </si>
  <si>
    <t>moth</t>
  </si>
  <si>
    <t>fe</t>
  </si>
  <si>
    <t>pard</t>
  </si>
  <si>
    <t>rhyme</t>
  </si>
  <si>
    <t>tum</t>
  </si>
  <si>
    <t>bland</t>
  </si>
  <si>
    <t>tossing</t>
  </si>
  <si>
    <t>mugging</t>
  </si>
  <si>
    <t>relied</t>
  </si>
  <si>
    <t>sneaky</t>
  </si>
  <si>
    <t>apiece</t>
  </si>
  <si>
    <t>bald</t>
  </si>
  <si>
    <t>blow</t>
  </si>
  <si>
    <t>peewee</t>
  </si>
  <si>
    <t>ski</t>
  </si>
  <si>
    <t>sighing</t>
  </si>
  <si>
    <t>gems</t>
  </si>
  <si>
    <t>factor</t>
  </si>
  <si>
    <t>nuts</t>
  </si>
  <si>
    <t>face</t>
  </si>
  <si>
    <t>creepy</t>
  </si>
  <si>
    <t>cop</t>
  </si>
  <si>
    <t>grover</t>
  </si>
  <si>
    <t>im</t>
  </si>
  <si>
    <t>earth</t>
  </si>
  <si>
    <t>virgil</t>
  </si>
  <si>
    <t>mammy</t>
  </si>
  <si>
    <t>wills</t>
  </si>
  <si>
    <t>terrors</t>
  </si>
  <si>
    <t>eiffel</t>
  </si>
  <si>
    <t>wretch</t>
  </si>
  <si>
    <t>labour</t>
  </si>
  <si>
    <t>der</t>
  </si>
  <si>
    <t>dinner</t>
  </si>
  <si>
    <t>laugh</t>
  </si>
  <si>
    <t>agree</t>
  </si>
  <si>
    <t>alert</t>
  </si>
  <si>
    <t>site</t>
  </si>
  <si>
    <t>shawn</t>
  </si>
  <si>
    <t>shaved</t>
  </si>
  <si>
    <t>believe</t>
  </si>
  <si>
    <t>hurrah</t>
  </si>
  <si>
    <t>shocks</t>
  </si>
  <si>
    <t>early</t>
  </si>
  <si>
    <t>rain</t>
  </si>
  <si>
    <t>chip</t>
  </si>
  <si>
    <t>kang</t>
  </si>
  <si>
    <t>midge</t>
  </si>
  <si>
    <t>lock</t>
  </si>
  <si>
    <t>annie</t>
  </si>
  <si>
    <t>della</t>
  </si>
  <si>
    <t>quitter</t>
  </si>
  <si>
    <t>shilling</t>
  </si>
  <si>
    <t>snide</t>
  </si>
  <si>
    <t>factory</t>
  </si>
  <si>
    <t>chez</t>
  </si>
  <si>
    <t>siren</t>
  </si>
  <si>
    <t>file</t>
  </si>
  <si>
    <t>polka</t>
  </si>
  <si>
    <t>schemes</t>
  </si>
  <si>
    <t>peas</t>
  </si>
  <si>
    <t>sparky</t>
  </si>
  <si>
    <t>burns</t>
  </si>
  <si>
    <t>burnt</t>
  </si>
  <si>
    <t>lawns</t>
  </si>
  <si>
    <t>beeping</t>
  </si>
  <si>
    <t>isle</t>
  </si>
  <si>
    <t>takes</t>
  </si>
  <si>
    <t>labs</t>
  </si>
  <si>
    <t>hili</t>
  </si>
  <si>
    <t>hid</t>
  </si>
  <si>
    <t>cocky</t>
  </si>
  <si>
    <t>zit</t>
  </si>
  <si>
    <t>gallery</t>
  </si>
  <si>
    <t>highest</t>
  </si>
  <si>
    <t>strife</t>
  </si>
  <si>
    <t>booby</t>
  </si>
  <si>
    <t>beam</t>
  </si>
  <si>
    <t>birds</t>
  </si>
  <si>
    <t>cells</t>
  </si>
  <si>
    <t>cheer</t>
  </si>
  <si>
    <t>stage</t>
  </si>
  <si>
    <t>aching</t>
  </si>
  <si>
    <t>pleased</t>
  </si>
  <si>
    <t>trailing</t>
  </si>
  <si>
    <t>though</t>
  </si>
  <si>
    <t>elf</t>
  </si>
  <si>
    <t>stars</t>
  </si>
  <si>
    <t>sacks</t>
  </si>
  <si>
    <t>mugger</t>
  </si>
  <si>
    <t>shabby</t>
  </si>
  <si>
    <t>ref</t>
  </si>
  <si>
    <t>maze</t>
  </si>
  <si>
    <t>dick</t>
  </si>
  <si>
    <t>asleep</t>
  </si>
  <si>
    <t>sliced</t>
  </si>
  <si>
    <t>morrow</t>
  </si>
  <si>
    <t>slow</t>
  </si>
  <si>
    <t>creeping</t>
  </si>
  <si>
    <t>prick</t>
  </si>
  <si>
    <t>daddy</t>
  </si>
  <si>
    <t>boa</t>
  </si>
  <si>
    <t>damn</t>
  </si>
  <si>
    <t>gump</t>
  </si>
  <si>
    <t>appears</t>
  </si>
  <si>
    <t>grabs</t>
  </si>
  <si>
    <t>brokers</t>
  </si>
  <si>
    <t>gimme</t>
  </si>
  <si>
    <t>kwan</t>
  </si>
  <si>
    <t>glazed</t>
  </si>
  <si>
    <t>state</t>
  </si>
  <si>
    <t>hoe</t>
  </si>
  <si>
    <t>whips</t>
  </si>
  <si>
    <t>stance</t>
  </si>
  <si>
    <t>dealt</t>
  </si>
  <si>
    <t>marc</t>
  </si>
  <si>
    <t>sha</t>
  </si>
  <si>
    <t>chun</t>
  </si>
  <si>
    <t>mic</t>
  </si>
  <si>
    <t>filthy</t>
  </si>
  <si>
    <t>sits</t>
  </si>
  <si>
    <t>crawled</t>
  </si>
  <si>
    <t>smashing</t>
  </si>
  <si>
    <t>rove</t>
  </si>
  <si>
    <t>came</t>
  </si>
  <si>
    <t>try</t>
  </si>
  <si>
    <t>stabbed</t>
  </si>
  <si>
    <t>knit</t>
  </si>
  <si>
    <t>itching</t>
  </si>
  <si>
    <t>ot</t>
  </si>
  <si>
    <t>mau</t>
  </si>
  <si>
    <t>lord</t>
  </si>
  <si>
    <t>fought</t>
  </si>
  <si>
    <t>dying</t>
  </si>
  <si>
    <t>dom</t>
  </si>
  <si>
    <t>vc</t>
  </si>
  <si>
    <t>cake</t>
  </si>
  <si>
    <t>losers</t>
  </si>
  <si>
    <t>sneeze</t>
  </si>
  <si>
    <t>pm</t>
  </si>
  <si>
    <t>easy</t>
  </si>
  <si>
    <t>bums</t>
  </si>
  <si>
    <t>suns</t>
  </si>
  <si>
    <t>olive</t>
  </si>
  <si>
    <t>pins</t>
  </si>
  <si>
    <t>chucky</t>
  </si>
  <si>
    <t>writ</t>
  </si>
  <si>
    <t>floors</t>
  </si>
  <si>
    <t>coal</t>
  </si>
  <si>
    <t>hearst</t>
  </si>
  <si>
    <t>slash</t>
  </si>
  <si>
    <t>trapper</t>
  </si>
  <si>
    <t>costa</t>
  </si>
  <si>
    <t>lf</t>
  </si>
  <si>
    <t>bt</t>
  </si>
  <si>
    <t>chang</t>
  </si>
  <si>
    <t>wing</t>
  </si>
  <si>
    <t>ice</t>
  </si>
  <si>
    <t>finn</t>
  </si>
  <si>
    <t>suede</t>
  </si>
  <si>
    <t>great</t>
  </si>
  <si>
    <t>hippies</t>
  </si>
  <si>
    <t>ba</t>
  </si>
  <si>
    <t>wafer</t>
  </si>
  <si>
    <t>blaster</t>
  </si>
  <si>
    <t>air</t>
  </si>
  <si>
    <t>survey</t>
  </si>
  <si>
    <t>palm</t>
  </si>
  <si>
    <t>perky</t>
  </si>
  <si>
    <t>gunther</t>
  </si>
  <si>
    <t>emit</t>
  </si>
  <si>
    <t>faith</t>
  </si>
  <si>
    <t>crunch</t>
  </si>
  <si>
    <t>sicko</t>
  </si>
  <si>
    <t>mist</t>
  </si>
  <si>
    <t>aide</t>
  </si>
  <si>
    <t>dar</t>
  </si>
  <si>
    <t>queers</t>
  </si>
  <si>
    <t>stuffy</t>
  </si>
  <si>
    <t>kissed</t>
  </si>
  <si>
    <t>poodle</t>
  </si>
  <si>
    <t>bores</t>
  </si>
  <si>
    <t>aid</t>
  </si>
  <si>
    <t>nap</t>
  </si>
  <si>
    <t>leaves</t>
  </si>
  <si>
    <t>case</t>
  </si>
  <si>
    <t>bow</t>
  </si>
  <si>
    <t>fatso</t>
  </si>
  <si>
    <t>dodge</t>
  </si>
  <si>
    <t>slave</t>
  </si>
  <si>
    <t>geez</t>
  </si>
  <si>
    <t>trash</t>
  </si>
  <si>
    <t>legs</t>
  </si>
  <si>
    <t>aura</t>
  </si>
  <si>
    <t>holy</t>
  </si>
  <si>
    <t>mats</t>
  </si>
  <si>
    <t>enough</t>
  </si>
  <si>
    <t>pier</t>
  </si>
  <si>
    <t>crushed</t>
  </si>
  <si>
    <t>lacked</t>
  </si>
  <si>
    <t>slaughter</t>
  </si>
  <si>
    <t>ours</t>
  </si>
  <si>
    <t>scout</t>
  </si>
  <si>
    <t>satan</t>
  </si>
  <si>
    <t>rounds</t>
  </si>
  <si>
    <t>clown</t>
  </si>
  <si>
    <t>un</t>
  </si>
  <si>
    <t>backed</t>
  </si>
  <si>
    <t>worker</t>
  </si>
  <si>
    <t>dump</t>
  </si>
  <si>
    <t>mailed</t>
  </si>
  <si>
    <t>cubs</t>
  </si>
  <si>
    <t>stir</t>
  </si>
  <si>
    <t>bliss</t>
  </si>
  <si>
    <t>shows</t>
  </si>
  <si>
    <t>bog</t>
  </si>
  <si>
    <t>master</t>
  </si>
  <si>
    <t>shade</t>
  </si>
  <si>
    <t>beau</t>
  </si>
  <si>
    <t>lives</t>
  </si>
  <si>
    <t>paw</t>
  </si>
  <si>
    <t>senator</t>
  </si>
  <si>
    <t>homo</t>
  </si>
  <si>
    <t>lone</t>
  </si>
  <si>
    <t>hoop</t>
  </si>
  <si>
    <t>dads</t>
  </si>
  <si>
    <t>priest</t>
  </si>
  <si>
    <t>outer</t>
  </si>
  <si>
    <t>healed</t>
  </si>
  <si>
    <t>lair</t>
  </si>
  <si>
    <t>che</t>
  </si>
  <si>
    <t>hello</t>
  </si>
  <si>
    <t>was</t>
  </si>
  <si>
    <t>shells</t>
  </si>
  <si>
    <t>waiver</t>
  </si>
  <si>
    <t>attacks</t>
  </si>
  <si>
    <t>miner</t>
  </si>
  <si>
    <t>pink</t>
  </si>
  <si>
    <t>leak</t>
  </si>
  <si>
    <t>push</t>
  </si>
  <si>
    <t>totaled</t>
  </si>
  <si>
    <t>camper</t>
  </si>
  <si>
    <t>moe</t>
  </si>
  <si>
    <t>place</t>
  </si>
  <si>
    <t>robe</t>
  </si>
  <si>
    <t>pasture</t>
  </si>
  <si>
    <t>goons</t>
  </si>
  <si>
    <t>peyton</t>
  </si>
  <si>
    <t>lazar</t>
  </si>
  <si>
    <t>r</t>
  </si>
  <si>
    <t>main</t>
  </si>
  <si>
    <t>banter</t>
  </si>
  <si>
    <t>knocking</t>
  </si>
  <si>
    <t>pally</t>
  </si>
  <si>
    <t>swab</t>
  </si>
  <si>
    <t>caper</t>
  </si>
  <si>
    <t>ds</t>
  </si>
  <si>
    <t>rum</t>
  </si>
  <si>
    <t>moping</t>
  </si>
  <si>
    <t>weren</t>
  </si>
  <si>
    <t>reefer</t>
  </si>
  <si>
    <t>dreamy</t>
  </si>
  <si>
    <t>reggae</t>
  </si>
  <si>
    <t>drape</t>
  </si>
  <si>
    <t>jowls</t>
  </si>
  <si>
    <t>ass</t>
  </si>
  <si>
    <t>smooth</t>
  </si>
  <si>
    <t>whine</t>
  </si>
  <si>
    <t>wants</t>
  </si>
  <si>
    <t>bear</t>
  </si>
  <si>
    <t>tie</t>
  </si>
  <si>
    <t>fathers</t>
  </si>
  <si>
    <t>clicked</t>
  </si>
  <si>
    <t>amen</t>
  </si>
  <si>
    <t>hairy</t>
  </si>
  <si>
    <t>sirs</t>
  </si>
  <si>
    <t>appalling</t>
  </si>
  <si>
    <t>cracked</t>
  </si>
  <si>
    <t>malt</t>
  </si>
  <si>
    <t>toby</t>
  </si>
  <si>
    <t>see</t>
  </si>
  <si>
    <t>flushed</t>
  </si>
  <si>
    <t>news</t>
  </si>
  <si>
    <t>steer</t>
  </si>
  <si>
    <t>cool</t>
  </si>
  <si>
    <t>bertha</t>
  </si>
  <si>
    <t>va</t>
  </si>
  <si>
    <t>undress</t>
  </si>
  <si>
    <t>call</t>
  </si>
  <si>
    <t>nudge</t>
  </si>
  <si>
    <t>lowe</t>
  </si>
  <si>
    <t>bias</t>
  </si>
  <si>
    <t>skills</t>
  </si>
  <si>
    <t>vowed</t>
  </si>
  <si>
    <t>mona</t>
  </si>
  <si>
    <t>sneaks</t>
  </si>
  <si>
    <t>history</t>
  </si>
  <si>
    <t>merrier</t>
  </si>
  <si>
    <t>cobb</t>
  </si>
  <si>
    <t>stone</t>
  </si>
  <si>
    <t>talon</t>
  </si>
  <si>
    <t>jeff</t>
  </si>
  <si>
    <t>giving</t>
  </si>
  <si>
    <t>rollers</t>
  </si>
  <si>
    <t>wiser</t>
  </si>
  <si>
    <t>tools</t>
  </si>
  <si>
    <t>bike</t>
  </si>
  <si>
    <t>scenes</t>
  </si>
  <si>
    <t>gasp</t>
  </si>
  <si>
    <t>ears</t>
  </si>
  <si>
    <t>collar</t>
  </si>
  <si>
    <t>coombs</t>
  </si>
  <si>
    <t>skies</t>
  </si>
  <si>
    <t>hatchet</t>
  </si>
  <si>
    <t>muffin</t>
  </si>
  <si>
    <t>tom</t>
  </si>
  <si>
    <t>sole</t>
  </si>
  <si>
    <t>selves</t>
  </si>
  <si>
    <t>alas</t>
  </si>
  <si>
    <t>narrows</t>
  </si>
  <si>
    <t>er</t>
  </si>
  <si>
    <t>thirty</t>
  </si>
  <si>
    <t>chad</t>
  </si>
  <si>
    <t>blade</t>
  </si>
  <si>
    <t>monsieur</t>
  </si>
  <si>
    <t>steamy</t>
  </si>
  <si>
    <t>soldier</t>
  </si>
  <si>
    <t>willie</t>
  </si>
  <si>
    <t>put</t>
  </si>
  <si>
    <t>bora</t>
  </si>
  <si>
    <t>grieve</t>
  </si>
  <si>
    <t>prize</t>
  </si>
  <si>
    <t>barley</t>
  </si>
  <si>
    <t>laced</t>
  </si>
  <si>
    <t>builds</t>
  </si>
  <si>
    <t>carpet</t>
  </si>
  <si>
    <t>shame</t>
  </si>
  <si>
    <t>launch</t>
  </si>
  <si>
    <t>bribed</t>
  </si>
  <si>
    <t>turk</t>
  </si>
  <si>
    <t>birth</t>
  </si>
  <si>
    <t>steers</t>
  </si>
  <si>
    <t>pools</t>
  </si>
  <si>
    <t>hateful</t>
  </si>
  <si>
    <t>gm</t>
  </si>
  <si>
    <t>racing</t>
  </si>
  <si>
    <t>lowered</t>
  </si>
  <si>
    <t>wisp</t>
  </si>
  <si>
    <t>riddance</t>
  </si>
  <si>
    <t>posse</t>
  </si>
  <si>
    <t>decks</t>
  </si>
  <si>
    <t>hill</t>
  </si>
  <si>
    <t>terek</t>
  </si>
  <si>
    <t>sudden</t>
  </si>
  <si>
    <t>rang</t>
  </si>
  <si>
    <t>punch</t>
  </si>
  <si>
    <t>defy</t>
  </si>
  <si>
    <t>chummy</t>
  </si>
  <si>
    <t>psyched</t>
  </si>
  <si>
    <t>veta</t>
  </si>
  <si>
    <t>garner</t>
  </si>
  <si>
    <t>kitty</t>
  </si>
  <si>
    <t>irons</t>
  </si>
  <si>
    <t>thighs</t>
  </si>
  <si>
    <t>toe</t>
  </si>
  <si>
    <t>stop</t>
  </si>
  <si>
    <t>ware</t>
  </si>
  <si>
    <t>harsh</t>
  </si>
  <si>
    <t>hacking</t>
  </si>
  <si>
    <t>pike</t>
  </si>
  <si>
    <t>merry</t>
  </si>
  <si>
    <t>ego</t>
  </si>
  <si>
    <t>cities</t>
  </si>
  <si>
    <t>drooling</t>
  </si>
  <si>
    <t>tox</t>
  </si>
  <si>
    <t>lag</t>
  </si>
  <si>
    <t>cough</t>
  </si>
  <si>
    <t>fill</t>
  </si>
  <si>
    <t>fence</t>
  </si>
  <si>
    <t>peggy</t>
  </si>
  <si>
    <t>wealth</t>
  </si>
  <si>
    <t>quo</t>
  </si>
  <si>
    <t>there</t>
  </si>
  <si>
    <t>hi</t>
  </si>
  <si>
    <t>yell</t>
  </si>
  <si>
    <t>hiya</t>
  </si>
  <si>
    <t>zephyr</t>
  </si>
  <si>
    <t>learn</t>
  </si>
  <si>
    <t>city</t>
  </si>
  <si>
    <t>crazy</t>
  </si>
  <si>
    <t>hottie</t>
  </si>
  <si>
    <t>mow</t>
  </si>
  <si>
    <t>rushed</t>
  </si>
  <si>
    <t>mem</t>
  </si>
  <si>
    <t>tommy</t>
  </si>
  <si>
    <t>favor</t>
  </si>
  <si>
    <t>fruitful</t>
  </si>
  <si>
    <t>saturn</t>
  </si>
  <si>
    <t>hugs</t>
  </si>
  <si>
    <t>vows</t>
  </si>
  <si>
    <t>burger</t>
  </si>
  <si>
    <t>gross</t>
  </si>
  <si>
    <t>darcy</t>
  </si>
  <si>
    <t>shrieks</t>
  </si>
  <si>
    <t>lowest</t>
  </si>
  <si>
    <t>quark</t>
  </si>
  <si>
    <t>trapped</t>
  </si>
  <si>
    <t>peek</t>
  </si>
  <si>
    <t>jets</t>
  </si>
  <si>
    <t>beer</t>
  </si>
  <si>
    <t>bret</t>
  </si>
  <si>
    <t>hash</t>
  </si>
  <si>
    <t>likes</t>
  </si>
  <si>
    <t>spotter</t>
  </si>
  <si>
    <t>utter</t>
  </si>
  <si>
    <t>tails</t>
  </si>
  <si>
    <t>echo</t>
  </si>
  <si>
    <t>suite</t>
  </si>
  <si>
    <t>leans</t>
  </si>
  <si>
    <t>clutch</t>
  </si>
  <si>
    <t>shouting</t>
  </si>
  <si>
    <t>cass</t>
  </si>
  <si>
    <t>um</t>
  </si>
  <si>
    <t>dod</t>
  </si>
  <si>
    <t>belong</t>
  </si>
  <si>
    <t>choking</t>
  </si>
  <si>
    <t>whoa</t>
  </si>
  <si>
    <t>cable</t>
  </si>
  <si>
    <t>shoved</t>
  </si>
  <si>
    <t>hard</t>
  </si>
  <si>
    <t>sung</t>
  </si>
  <si>
    <t>hawkeye</t>
  </si>
  <si>
    <t>digs</t>
  </si>
  <si>
    <t>priors</t>
  </si>
  <si>
    <t>go</t>
  </si>
  <si>
    <t>scepter</t>
  </si>
  <si>
    <t>lookout</t>
  </si>
  <si>
    <t>sedan</t>
  </si>
  <si>
    <t>pain</t>
  </si>
  <si>
    <t>plug</t>
  </si>
  <si>
    <t>gilly</t>
  </si>
  <si>
    <t>tutor</t>
  </si>
  <si>
    <t>court</t>
  </si>
  <si>
    <t>mocked</t>
  </si>
  <si>
    <t>deus</t>
  </si>
  <si>
    <t>versa</t>
  </si>
  <si>
    <t>jelly</t>
  </si>
  <si>
    <t>port</t>
  </si>
  <si>
    <t>falling</t>
  </si>
  <si>
    <t>making</t>
  </si>
  <si>
    <t>grammy</t>
  </si>
  <si>
    <t>mike</t>
  </si>
  <si>
    <t>snake</t>
  </si>
  <si>
    <t>woods</t>
  </si>
  <si>
    <t>mina</t>
  </si>
  <si>
    <t>righty</t>
  </si>
  <si>
    <t>breeds</t>
  </si>
  <si>
    <t>miami</t>
  </si>
  <si>
    <t>fours</t>
  </si>
  <si>
    <t>grip</t>
  </si>
  <si>
    <t>owed</t>
  </si>
  <si>
    <t>shred</t>
  </si>
  <si>
    <t>marge</t>
  </si>
  <si>
    <t>laps</t>
  </si>
  <si>
    <t>castor</t>
  </si>
  <si>
    <t>mob</t>
  </si>
  <si>
    <t>spain</t>
  </si>
  <si>
    <t>amounts</t>
  </si>
  <si>
    <t>taco</t>
  </si>
  <si>
    <t>busy</t>
  </si>
  <si>
    <t>lab</t>
  </si>
  <si>
    <t>gods</t>
  </si>
  <si>
    <t>drilling</t>
  </si>
  <si>
    <t>frightfully</t>
  </si>
  <si>
    <t>taxis</t>
  </si>
  <si>
    <t>seeds</t>
  </si>
  <si>
    <t>winner</t>
  </si>
  <si>
    <t>milord</t>
  </si>
  <si>
    <t>cheyenne</t>
  </si>
  <si>
    <t>mi</t>
  </si>
  <si>
    <t>pa</t>
  </si>
  <si>
    <t>seer</t>
  </si>
  <si>
    <t>lupus</t>
  </si>
  <si>
    <t>trashed</t>
  </si>
  <si>
    <t>yeah</t>
  </si>
  <si>
    <t>vibe</t>
  </si>
  <si>
    <t>offense</t>
  </si>
  <si>
    <t>taped</t>
  </si>
  <si>
    <t>fright</t>
  </si>
  <si>
    <t>switching</t>
  </si>
  <si>
    <t>if</t>
  </si>
  <si>
    <t>every</t>
  </si>
  <si>
    <t>ly</t>
  </si>
  <si>
    <t>stops</t>
  </si>
  <si>
    <t>thrilling</t>
  </si>
  <si>
    <t>diary</t>
  </si>
  <si>
    <t>calmly</t>
  </si>
  <si>
    <t>blake</t>
  </si>
  <si>
    <t>phoney</t>
  </si>
  <si>
    <t>narrow</t>
  </si>
  <si>
    <t>ruse</t>
  </si>
  <si>
    <t>trial</t>
  </si>
  <si>
    <t>cooter</t>
  </si>
  <si>
    <t>nigger</t>
  </si>
  <si>
    <t>fees</t>
  </si>
  <si>
    <t>gland</t>
  </si>
  <si>
    <t>copy</t>
  </si>
  <si>
    <t>nasa</t>
  </si>
  <si>
    <t>base</t>
  </si>
  <si>
    <t>viola</t>
  </si>
  <si>
    <t>stove</t>
  </si>
  <si>
    <t>kings</t>
  </si>
  <si>
    <t>crash</t>
  </si>
  <si>
    <t>rand</t>
  </si>
  <si>
    <t>fo</t>
  </si>
  <si>
    <t>shift</t>
  </si>
  <si>
    <t>corps</t>
  </si>
  <si>
    <t>clue</t>
  </si>
  <si>
    <t>skis</t>
  </si>
  <si>
    <t>server</t>
  </si>
  <si>
    <t>nuke</t>
  </si>
  <si>
    <t>serge</t>
  </si>
  <si>
    <t>budget</t>
  </si>
  <si>
    <t>mulder</t>
  </si>
  <si>
    <t>wrong</t>
  </si>
  <si>
    <t>cheeky</t>
  </si>
  <si>
    <t>terms</t>
  </si>
  <si>
    <t>loiter</t>
  </si>
  <si>
    <t>toes</t>
  </si>
  <si>
    <t>yan</t>
  </si>
  <si>
    <t>aye</t>
  </si>
  <si>
    <t>source</t>
  </si>
  <si>
    <t>sundae</t>
  </si>
  <si>
    <t>bonny</t>
  </si>
  <si>
    <t>slug</t>
  </si>
  <si>
    <t>gay</t>
  </si>
  <si>
    <t>gaining</t>
  </si>
  <si>
    <t>iced</t>
  </si>
  <si>
    <t>plead</t>
  </si>
  <si>
    <t>shields</t>
  </si>
  <si>
    <t>bugs</t>
  </si>
  <si>
    <t>wept</t>
  </si>
  <si>
    <t>flood</t>
  </si>
  <si>
    <t>davy</t>
  </si>
  <si>
    <t>ting</t>
  </si>
  <si>
    <t>garnet</t>
  </si>
  <si>
    <t>dumber</t>
  </si>
  <si>
    <t>wit</t>
  </si>
  <si>
    <t>delta</t>
  </si>
  <si>
    <t>bearings</t>
  </si>
  <si>
    <t>pours</t>
  </si>
  <si>
    <t>gee</t>
  </si>
  <si>
    <t>stalked</t>
  </si>
  <si>
    <t>highly</t>
  </si>
  <si>
    <t>suing</t>
  </si>
  <si>
    <t>packs</t>
  </si>
  <si>
    <t>saint</t>
  </si>
  <si>
    <t>prim</t>
  </si>
  <si>
    <t>booties</t>
  </si>
  <si>
    <t>gig</t>
  </si>
  <si>
    <t>ugly</t>
  </si>
  <si>
    <t>greasy</t>
  </si>
  <si>
    <t>muddy</t>
  </si>
  <si>
    <t>counter</t>
  </si>
  <si>
    <t>saved</t>
  </si>
  <si>
    <t>revere</t>
  </si>
  <si>
    <t>mat</t>
  </si>
  <si>
    <t>perry</t>
  </si>
  <si>
    <t>hay</t>
  </si>
  <si>
    <t>cat</t>
  </si>
  <si>
    <t>soggy</t>
  </si>
  <si>
    <t>tries</t>
  </si>
  <si>
    <t>slur</t>
  </si>
  <si>
    <t>alive</t>
  </si>
  <si>
    <t>loyal</t>
  </si>
  <si>
    <t>roller</t>
  </si>
  <si>
    <t>suits</t>
  </si>
  <si>
    <t>heaved</t>
  </si>
  <si>
    <t>swap</t>
  </si>
  <si>
    <t>near</t>
  </si>
  <si>
    <t>mesa</t>
  </si>
  <si>
    <t>frighten</t>
  </si>
  <si>
    <t>bless</t>
  </si>
  <si>
    <t>clay</t>
  </si>
  <si>
    <t>broad</t>
  </si>
  <si>
    <t>duh</t>
  </si>
  <si>
    <t>aches</t>
  </si>
  <si>
    <t>loner</t>
  </si>
  <si>
    <t>stormed</t>
  </si>
  <si>
    <t>miss</t>
  </si>
  <si>
    <t>polo</t>
  </si>
  <si>
    <t>cock</t>
  </si>
  <si>
    <t>cabs</t>
  </si>
  <si>
    <t>walls</t>
  </si>
  <si>
    <t>lowers</t>
  </si>
  <si>
    <t>rowing</t>
  </si>
  <si>
    <t>coy</t>
  </si>
  <si>
    <t>perv</t>
  </si>
  <si>
    <t>sketch</t>
  </si>
  <si>
    <t>crosses</t>
  </si>
  <si>
    <t>shines</t>
  </si>
  <si>
    <t>quit</t>
  </si>
  <si>
    <t>eight</t>
  </si>
  <si>
    <t>vegas</t>
  </si>
  <si>
    <t>fuhrer</t>
  </si>
  <si>
    <t>slip</t>
  </si>
  <si>
    <t>rolling</t>
  </si>
  <si>
    <t>praise</t>
  </si>
  <si>
    <t>poems</t>
  </si>
  <si>
    <t>wilt</t>
  </si>
  <si>
    <t>based</t>
  </si>
  <si>
    <t>ante</t>
  </si>
  <si>
    <t>thirsty</t>
  </si>
  <si>
    <t>lousy</t>
  </si>
  <si>
    <t>ocean</t>
  </si>
  <si>
    <t>wager</t>
  </si>
  <si>
    <t>neighs</t>
  </si>
  <si>
    <t>trace</t>
  </si>
  <si>
    <t>sides</t>
  </si>
  <si>
    <t>seagulls</t>
  </si>
  <si>
    <t>art</t>
  </si>
  <si>
    <t>runs</t>
  </si>
  <si>
    <t>snore</t>
  </si>
  <si>
    <t>hyde</t>
  </si>
  <si>
    <t>bid</t>
  </si>
  <si>
    <t>pl</t>
  </si>
  <si>
    <t>slop</t>
  </si>
  <si>
    <t>wanker</t>
  </si>
  <si>
    <t>howl</t>
  </si>
  <si>
    <t>bridge</t>
  </si>
  <si>
    <t>salts</t>
  </si>
  <si>
    <t>lead</t>
  </si>
  <si>
    <t>pissed</t>
  </si>
  <si>
    <t>qui</t>
  </si>
  <si>
    <t>six</t>
  </si>
  <si>
    <t>stocking</t>
  </si>
  <si>
    <t>birdie</t>
  </si>
  <si>
    <t>trump</t>
  </si>
  <si>
    <t>smiles</t>
  </si>
  <si>
    <t>stair</t>
  </si>
  <si>
    <t>beach</t>
  </si>
  <si>
    <t>cooley</t>
  </si>
  <si>
    <t>faster</t>
  </si>
  <si>
    <t>femmes</t>
  </si>
  <si>
    <t>starch</t>
  </si>
  <si>
    <t>heroine</t>
  </si>
  <si>
    <t>shock</t>
  </si>
  <si>
    <t>sins</t>
  </si>
  <si>
    <t>rightfully</t>
  </si>
  <si>
    <t>spence</t>
  </si>
  <si>
    <t>bustier</t>
  </si>
  <si>
    <t>chair</t>
  </si>
  <si>
    <t>ld</t>
  </si>
  <si>
    <t>gaby</t>
  </si>
  <si>
    <t>silly</t>
  </si>
  <si>
    <t>scented</t>
  </si>
  <si>
    <t>poked</t>
  </si>
  <si>
    <t>meds</t>
  </si>
  <si>
    <t>niece</t>
  </si>
  <si>
    <t>crawley</t>
  </si>
  <si>
    <t>seek</t>
  </si>
  <si>
    <t>bummer</t>
  </si>
  <si>
    <t>spines</t>
  </si>
  <si>
    <t>can</t>
  </si>
  <si>
    <t>pressed</t>
  </si>
  <si>
    <t>stayed</t>
  </si>
  <si>
    <t>lip</t>
  </si>
  <si>
    <t>bolt</t>
  </si>
  <si>
    <t>innit</t>
  </si>
  <si>
    <t>shelf</t>
  </si>
  <si>
    <t>weeds</t>
  </si>
  <si>
    <t>hence</t>
  </si>
  <si>
    <t>sponsor</t>
  </si>
  <si>
    <t>trek</t>
  </si>
  <si>
    <t>census</t>
  </si>
  <si>
    <t>filly</t>
  </si>
  <si>
    <t>meant</t>
  </si>
  <si>
    <t>prime</t>
  </si>
  <si>
    <t>cops</t>
  </si>
  <si>
    <t>lanes</t>
  </si>
  <si>
    <t>traps</t>
  </si>
  <si>
    <t>pal</t>
  </si>
  <si>
    <t>quake</t>
  </si>
  <si>
    <t>hide</t>
  </si>
  <si>
    <t>raise</t>
  </si>
  <si>
    <t>paint</t>
  </si>
  <si>
    <t>center</t>
  </si>
  <si>
    <t>gage</t>
  </si>
  <si>
    <t>pointy</t>
  </si>
  <si>
    <t>comb</t>
  </si>
  <si>
    <t>lazy</t>
  </si>
  <si>
    <t>clocks</t>
  </si>
  <si>
    <t>look</t>
  </si>
  <si>
    <t>cope</t>
  </si>
  <si>
    <t>chicks</t>
  </si>
  <si>
    <t>robin</t>
  </si>
  <si>
    <t>stink</t>
  </si>
  <si>
    <t>mm</t>
  </si>
  <si>
    <t>dias</t>
  </si>
  <si>
    <t>sets</t>
  </si>
  <si>
    <t>roster</t>
  </si>
  <si>
    <t>bats</t>
  </si>
  <si>
    <t>glance</t>
  </si>
  <si>
    <t>guide</t>
  </si>
  <si>
    <t>hear</t>
  </si>
  <si>
    <t>codes</t>
  </si>
  <si>
    <t>glare</t>
  </si>
  <si>
    <t>whether</t>
  </si>
  <si>
    <t>mounted</t>
  </si>
  <si>
    <t>ad</t>
  </si>
  <si>
    <t>toots</t>
  </si>
  <si>
    <t>snip</t>
  </si>
  <si>
    <t>heinie</t>
  </si>
  <si>
    <t>am</t>
  </si>
  <si>
    <t>owing</t>
  </si>
  <si>
    <t>pauline</t>
  </si>
  <si>
    <t>tubs</t>
  </si>
  <si>
    <t>vic</t>
  </si>
  <si>
    <t>school</t>
  </si>
  <si>
    <t>nutty</t>
  </si>
  <si>
    <t>rooms</t>
  </si>
  <si>
    <t>liang</t>
  </si>
  <si>
    <t>slept</t>
  </si>
  <si>
    <t>adm</t>
  </si>
  <si>
    <t>sow</t>
  </si>
  <si>
    <t>dives</t>
  </si>
  <si>
    <t>broth</t>
  </si>
  <si>
    <t>russian</t>
  </si>
  <si>
    <t>rips</t>
  </si>
  <si>
    <t>whisky</t>
  </si>
  <si>
    <t>swore</t>
  </si>
  <si>
    <t>whiskey</t>
  </si>
  <si>
    <t>bleak</t>
  </si>
  <si>
    <t>grande</t>
  </si>
  <si>
    <t>hens</t>
  </si>
  <si>
    <t>peter</t>
  </si>
  <si>
    <t>puff</t>
  </si>
  <si>
    <t>flag</t>
  </si>
  <si>
    <t>car</t>
  </si>
  <si>
    <t>arrives</t>
  </si>
  <si>
    <t>wreck</t>
  </si>
  <si>
    <t>stark</t>
  </si>
  <si>
    <t>brief</t>
  </si>
  <si>
    <t>peeing</t>
  </si>
  <si>
    <t>emits</t>
  </si>
  <si>
    <t>tying</t>
  </si>
  <si>
    <t>pursuit</t>
  </si>
  <si>
    <t>hopped</t>
  </si>
  <si>
    <t>blind</t>
  </si>
  <si>
    <t>peace</t>
  </si>
  <si>
    <t>nag</t>
  </si>
  <si>
    <t>shared</t>
  </si>
  <si>
    <t>sled</t>
  </si>
  <si>
    <t>streak</t>
  </si>
  <si>
    <t>got</t>
  </si>
  <si>
    <t>nein</t>
  </si>
  <si>
    <t>wring</t>
  </si>
  <si>
    <t>lax</t>
  </si>
  <si>
    <t>bloom</t>
  </si>
  <si>
    <t>mission</t>
  </si>
  <si>
    <t>dolly</t>
  </si>
  <si>
    <t>sings</t>
  </si>
  <si>
    <t>shamed</t>
  </si>
  <si>
    <t>hays</t>
  </si>
  <si>
    <t>clasp</t>
  </si>
  <si>
    <t>tyre</t>
  </si>
  <si>
    <t>lush</t>
  </si>
  <si>
    <t>gon</t>
  </si>
  <si>
    <t>plant</t>
  </si>
  <si>
    <t>pride</t>
  </si>
  <si>
    <t>tootsie</t>
  </si>
  <si>
    <t>stems</t>
  </si>
  <si>
    <t>trend</t>
  </si>
  <si>
    <t>barrel</t>
  </si>
  <si>
    <t>pick</t>
  </si>
  <si>
    <t>all</t>
  </si>
  <si>
    <t>badger</t>
  </si>
  <si>
    <t>drought</t>
  </si>
  <si>
    <t>mets</t>
  </si>
  <si>
    <t>chasing</t>
  </si>
  <si>
    <t>kills</t>
  </si>
  <si>
    <t>wrapped</t>
  </si>
  <si>
    <t>said</t>
  </si>
  <si>
    <t>wavy</t>
  </si>
  <si>
    <t>hives</t>
  </si>
  <si>
    <t>hallowed</t>
  </si>
  <si>
    <t>wally</t>
  </si>
  <si>
    <t>peg</t>
  </si>
  <si>
    <t>jockey</t>
  </si>
  <si>
    <t>loud</t>
  </si>
  <si>
    <t>ryder</t>
  </si>
  <si>
    <t>han</t>
  </si>
  <si>
    <t>borne</t>
  </si>
  <si>
    <t>cherry</t>
  </si>
  <si>
    <t>sheep</t>
  </si>
  <si>
    <t>marsh</t>
  </si>
  <si>
    <t>bart</t>
  </si>
  <si>
    <t>claims</t>
  </si>
  <si>
    <t>gussie</t>
  </si>
  <si>
    <t>spooks</t>
  </si>
  <si>
    <t>polk</t>
  </si>
  <si>
    <t>flashed</t>
  </si>
  <si>
    <t>healer</t>
  </si>
  <si>
    <t>ahem</t>
  </si>
  <si>
    <t>derrick</t>
  </si>
  <si>
    <t>kneed</t>
  </si>
  <si>
    <t>vague</t>
  </si>
  <si>
    <t>wife</t>
  </si>
  <si>
    <t>hacked</t>
  </si>
  <si>
    <t>cinch</t>
  </si>
  <si>
    <t>sheen</t>
  </si>
  <si>
    <t>ups</t>
  </si>
  <si>
    <t>left</t>
  </si>
  <si>
    <t>setting</t>
  </si>
  <si>
    <t>raising</t>
  </si>
  <si>
    <t>gallons</t>
  </si>
  <si>
    <t>richer</t>
  </si>
  <si>
    <t>ai</t>
  </si>
  <si>
    <t>trio</t>
  </si>
  <si>
    <t>brill</t>
  </si>
  <si>
    <t>wall</t>
  </si>
  <si>
    <t>zeros</t>
  </si>
  <si>
    <t>neighbour</t>
  </si>
  <si>
    <t>vanish</t>
  </si>
  <si>
    <t>phil</t>
  </si>
  <si>
    <t>bom</t>
  </si>
  <si>
    <t>rainy</t>
  </si>
  <si>
    <t>strained</t>
  </si>
  <si>
    <t>stalking</t>
  </si>
  <si>
    <t>laughs</t>
  </si>
  <si>
    <t>gen</t>
  </si>
  <si>
    <t>cellar</t>
  </si>
  <si>
    <t>jocks</t>
  </si>
  <si>
    <t>lodged</t>
  </si>
  <si>
    <t>riff</t>
  </si>
  <si>
    <t>stopped</t>
  </si>
  <si>
    <t>douche</t>
  </si>
  <si>
    <t>climb</t>
  </si>
  <si>
    <t>folks</t>
  </si>
  <si>
    <t>posture</t>
  </si>
  <si>
    <t>shelley</t>
  </si>
  <si>
    <t>plate</t>
  </si>
  <si>
    <t>smee</t>
  </si>
  <si>
    <t>polls</t>
  </si>
  <si>
    <t>pig</t>
  </si>
  <si>
    <t>sake</t>
  </si>
  <si>
    <t>holt</t>
  </si>
  <si>
    <t>rev</t>
  </si>
  <si>
    <t>past</t>
  </si>
  <si>
    <t>need</t>
  </si>
  <si>
    <t>bombed</t>
  </si>
  <si>
    <t>wet</t>
  </si>
  <si>
    <t>cusp</t>
  </si>
  <si>
    <t>madame</t>
  </si>
  <si>
    <t>appealed</t>
  </si>
  <si>
    <t>chain</t>
  </si>
  <si>
    <t>heap</t>
  </si>
  <si>
    <t>child</t>
  </si>
  <si>
    <t>ducked</t>
  </si>
  <si>
    <t>free</t>
  </si>
  <si>
    <t>pantry</t>
  </si>
  <si>
    <t>lasers</t>
  </si>
  <si>
    <t>slew</t>
  </si>
  <si>
    <t>don</t>
  </si>
  <si>
    <t>raped</t>
  </si>
  <si>
    <t>swells</t>
  </si>
  <si>
    <t>nut</t>
  </si>
  <si>
    <t>piercing</t>
  </si>
  <si>
    <t>settle</t>
  </si>
  <si>
    <t>bomb</t>
  </si>
  <si>
    <t>hotch</t>
  </si>
  <si>
    <t>mice</t>
  </si>
  <si>
    <t>bowie</t>
  </si>
  <si>
    <t>rake</t>
  </si>
  <si>
    <t>o</t>
  </si>
  <si>
    <t>terror</t>
  </si>
  <si>
    <t>ammer</t>
  </si>
  <si>
    <t>grub</t>
  </si>
  <si>
    <t>cashed</t>
  </si>
  <si>
    <t>lights</t>
  </si>
  <si>
    <t>syed</t>
  </si>
  <si>
    <t>mating</t>
  </si>
  <si>
    <t>lambs</t>
  </si>
  <si>
    <t>oath</t>
  </si>
  <si>
    <t>zed</t>
  </si>
  <si>
    <t>biz</t>
  </si>
  <si>
    <t>creek</t>
  </si>
  <si>
    <t>motion</t>
  </si>
  <si>
    <t>gimp</t>
  </si>
  <si>
    <t>vulture</t>
  </si>
  <si>
    <t>beggars</t>
  </si>
  <si>
    <t>brides</t>
  </si>
  <si>
    <t>pill</t>
  </si>
  <si>
    <t>deke</t>
  </si>
  <si>
    <t>wiles</t>
  </si>
  <si>
    <t>nanny</t>
  </si>
  <si>
    <t>tori</t>
  </si>
  <si>
    <t>boys</t>
  </si>
  <si>
    <t>wrap</t>
  </si>
  <si>
    <t>jeez</t>
  </si>
  <si>
    <t>drug</t>
  </si>
  <si>
    <t>tough</t>
  </si>
  <si>
    <t>differs</t>
  </si>
  <si>
    <t>wade</t>
  </si>
  <si>
    <t>casa</t>
  </si>
  <si>
    <t>sticks</t>
  </si>
  <si>
    <t>eased</t>
  </si>
  <si>
    <t>funny</t>
  </si>
  <si>
    <t>cc</t>
  </si>
  <si>
    <t>century</t>
  </si>
  <si>
    <t>tee</t>
  </si>
  <si>
    <t>simon</t>
  </si>
  <si>
    <t>seeing</t>
  </si>
  <si>
    <t>lordy</t>
  </si>
  <si>
    <t>fever</t>
  </si>
  <si>
    <t>throw</t>
  </si>
  <si>
    <t>fussy</t>
  </si>
  <si>
    <t>rye</t>
  </si>
  <si>
    <t>kneel</t>
  </si>
  <si>
    <t>foolish</t>
  </si>
  <si>
    <t>pop</t>
  </si>
  <si>
    <t>lust</t>
  </si>
  <si>
    <t>user</t>
  </si>
  <si>
    <t>seize</t>
  </si>
  <si>
    <t>males</t>
  </si>
  <si>
    <t>will</t>
  </si>
  <si>
    <t>checks</t>
  </si>
  <si>
    <t>bye</t>
  </si>
  <si>
    <t>shake</t>
  </si>
  <si>
    <t>talks</t>
  </si>
  <si>
    <t>pear</t>
  </si>
  <si>
    <t>pun</t>
  </si>
  <si>
    <t>shi</t>
  </si>
  <si>
    <t>couch</t>
  </si>
  <si>
    <t>scholar</t>
  </si>
  <si>
    <t>rifle</t>
  </si>
  <si>
    <t>tots</t>
  </si>
  <si>
    <t>rapper</t>
  </si>
  <si>
    <t>cyrus</t>
  </si>
  <si>
    <t>glee</t>
  </si>
  <si>
    <t>clone</t>
  </si>
  <si>
    <t>adores</t>
  </si>
  <si>
    <t>blouse</t>
  </si>
  <si>
    <t>winning</t>
  </si>
  <si>
    <t>per</t>
  </si>
  <si>
    <t>needn</t>
  </si>
  <si>
    <t>blender</t>
  </si>
  <si>
    <t>bb</t>
  </si>
  <si>
    <t>train</t>
  </si>
  <si>
    <t>commie</t>
  </si>
  <si>
    <t>slope</t>
  </si>
  <si>
    <t>scourge</t>
  </si>
  <si>
    <t>scarves</t>
  </si>
  <si>
    <t>carved</t>
  </si>
  <si>
    <t>swear</t>
  </si>
  <si>
    <t>noise</t>
  </si>
  <si>
    <t>coached</t>
  </si>
  <si>
    <t>logan</t>
  </si>
  <si>
    <t>shorts</t>
  </si>
  <si>
    <t>spared</t>
  </si>
  <si>
    <t>denture</t>
  </si>
  <si>
    <t>duff</t>
  </si>
  <si>
    <t>ford</t>
  </si>
  <si>
    <t>les</t>
  </si>
  <si>
    <t>cycle</t>
  </si>
  <si>
    <t>villa</t>
  </si>
  <si>
    <t>sighs</t>
  </si>
  <si>
    <t>eels</t>
  </si>
  <si>
    <t>samson</t>
  </si>
  <si>
    <t>guessing</t>
  </si>
  <si>
    <t>arm</t>
  </si>
  <si>
    <t>biting</t>
  </si>
  <si>
    <t>arse</t>
  </si>
  <si>
    <t>training</t>
  </si>
  <si>
    <t>flooded</t>
  </si>
  <si>
    <t>feels</t>
  </si>
  <si>
    <t>arab</t>
  </si>
  <si>
    <t>attacked</t>
  </si>
  <si>
    <t>feared</t>
  </si>
  <si>
    <t>notre</t>
  </si>
  <si>
    <t>naam</t>
  </si>
  <si>
    <t>one</t>
  </si>
  <si>
    <t>steal</t>
  </si>
  <si>
    <t>auld</t>
  </si>
  <si>
    <t>ticks</t>
  </si>
  <si>
    <t>hugging</t>
  </si>
  <si>
    <t>hitler</t>
  </si>
  <si>
    <t>faint</t>
  </si>
  <si>
    <t>bossy</t>
  </si>
  <si>
    <t>reich</t>
  </si>
  <si>
    <t>trout</t>
  </si>
  <si>
    <t>roe</t>
  </si>
  <si>
    <t>hound</t>
  </si>
  <si>
    <t>lasting</t>
  </si>
  <si>
    <t>mickey</t>
  </si>
  <si>
    <t>at</t>
  </si>
  <si>
    <t>floss</t>
  </si>
  <si>
    <t>sire</t>
  </si>
  <si>
    <t>donut</t>
  </si>
  <si>
    <t>lee</t>
  </si>
  <si>
    <t>lighter</t>
  </si>
  <si>
    <t>walt</t>
  </si>
  <si>
    <t>wheel</t>
  </si>
  <si>
    <t>kong</t>
  </si>
  <si>
    <t>dreamers</t>
  </si>
  <si>
    <t>rover</t>
  </si>
  <si>
    <t>cheng</t>
  </si>
  <si>
    <t>filming</t>
  </si>
  <si>
    <t>turtle</t>
  </si>
  <si>
    <t>rude</t>
  </si>
  <si>
    <t>ark</t>
  </si>
  <si>
    <t>laughing</t>
  </si>
  <si>
    <t>shooting</t>
  </si>
  <si>
    <t>heck</t>
  </si>
  <si>
    <t>pro</t>
  </si>
  <si>
    <t>biggie</t>
  </si>
  <si>
    <t>bess</t>
  </si>
  <si>
    <t>mighty</t>
  </si>
  <si>
    <t>jive</t>
  </si>
  <si>
    <t>throat</t>
  </si>
  <si>
    <t>deadly</t>
  </si>
  <si>
    <t>phones</t>
  </si>
  <si>
    <t>ce</t>
  </si>
  <si>
    <t>watch</t>
  </si>
  <si>
    <t>loves</t>
  </si>
  <si>
    <t>fiend</t>
  </si>
  <si>
    <t>burglar</t>
  </si>
  <si>
    <t>micky</t>
  </si>
  <si>
    <t>melt</t>
  </si>
  <si>
    <t>fitch</t>
  </si>
  <si>
    <t>weaver</t>
  </si>
  <si>
    <t>mashed</t>
  </si>
  <si>
    <t>shouts</t>
  </si>
  <si>
    <t>navy</t>
  </si>
  <si>
    <t>cars</t>
  </si>
  <si>
    <t>lines</t>
  </si>
  <si>
    <t>hag</t>
  </si>
  <si>
    <t>woe</t>
  </si>
  <si>
    <t>pulls</t>
  </si>
  <si>
    <t>epi</t>
  </si>
  <si>
    <t>hip</t>
  </si>
  <si>
    <t>goofy</t>
  </si>
  <si>
    <t>rich</t>
  </si>
  <si>
    <t>duress</t>
  </si>
  <si>
    <t>rooting</t>
  </si>
  <si>
    <t>madge</t>
  </si>
  <si>
    <t>filth</t>
  </si>
  <si>
    <t>kim</t>
  </si>
  <si>
    <t>col</t>
  </si>
  <si>
    <t>whiting</t>
  </si>
  <si>
    <t>tarp</t>
  </si>
  <si>
    <t>keeper</t>
  </si>
  <si>
    <t>doc</t>
  </si>
  <si>
    <t>shield</t>
  </si>
  <si>
    <t>crab</t>
  </si>
  <si>
    <t>mead</t>
  </si>
  <si>
    <t>orion</t>
  </si>
  <si>
    <t>pair</t>
  </si>
  <si>
    <t>sat</t>
  </si>
  <si>
    <t>brake</t>
  </si>
  <si>
    <t>mend</t>
  </si>
  <si>
    <t>bruised</t>
  </si>
  <si>
    <t>water</t>
  </si>
  <si>
    <t>em</t>
  </si>
  <si>
    <t>threat</t>
  </si>
  <si>
    <t>piece</t>
  </si>
  <si>
    <t>cheery</t>
  </si>
  <si>
    <t>ger</t>
  </si>
  <si>
    <t>vomit</t>
  </si>
  <si>
    <t>erased</t>
  </si>
  <si>
    <t>fresh</t>
  </si>
  <si>
    <t>nudie</t>
  </si>
  <si>
    <t>dam</t>
  </si>
  <si>
    <t>leech</t>
  </si>
  <si>
    <t>ora</t>
  </si>
  <si>
    <t>jams</t>
  </si>
  <si>
    <t>dame</t>
  </si>
  <si>
    <t>swift</t>
  </si>
  <si>
    <t>hippo</t>
  </si>
  <si>
    <t>fries</t>
  </si>
  <si>
    <t>tend</t>
  </si>
  <si>
    <t>troll</t>
  </si>
  <si>
    <t>placed</t>
  </si>
  <si>
    <t>dear</t>
  </si>
  <si>
    <t>phooey</t>
  </si>
  <si>
    <t>crafts</t>
  </si>
  <si>
    <t>belle</t>
  </si>
  <si>
    <t>strive</t>
  </si>
  <si>
    <t>lava</t>
  </si>
  <si>
    <t>ace</t>
  </si>
  <si>
    <t>bugged</t>
  </si>
  <si>
    <t>bbs</t>
  </si>
  <si>
    <t>hurry</t>
  </si>
  <si>
    <t>quick</t>
  </si>
  <si>
    <t>caller</t>
  </si>
  <si>
    <t>could</t>
  </si>
  <si>
    <t>rented</t>
  </si>
  <si>
    <t>foot</t>
  </si>
  <si>
    <t>checkout</t>
  </si>
  <si>
    <t>blimp</t>
  </si>
  <si>
    <t>sag</t>
  </si>
  <si>
    <t>ducts</t>
  </si>
  <si>
    <t>yum</t>
  </si>
  <si>
    <t>purse</t>
  </si>
  <si>
    <t>knees</t>
  </si>
  <si>
    <t>cap</t>
  </si>
  <si>
    <t>ere</t>
  </si>
  <si>
    <t>blimey</t>
  </si>
  <si>
    <t>moans</t>
  </si>
  <si>
    <t>dogs</t>
  </si>
  <si>
    <t>obey</t>
  </si>
  <si>
    <t>del</t>
  </si>
  <si>
    <t>sensors</t>
  </si>
  <si>
    <t>tung</t>
  </si>
  <si>
    <t>os</t>
  </si>
  <si>
    <t>clogged</t>
  </si>
  <si>
    <t>fez</t>
  </si>
  <si>
    <t>zany</t>
  </si>
  <si>
    <t>dues</t>
  </si>
  <si>
    <t>kiss</t>
  </si>
  <si>
    <t>meals</t>
  </si>
  <si>
    <t>tattooed</t>
  </si>
  <si>
    <t>tossed</t>
  </si>
  <si>
    <t>greta</t>
  </si>
  <si>
    <t>prey</t>
  </si>
  <si>
    <t>took</t>
  </si>
  <si>
    <t>heights</t>
  </si>
  <si>
    <t>beef</t>
  </si>
  <si>
    <t>porn</t>
  </si>
  <si>
    <t>head</t>
  </si>
  <si>
    <t>murray</t>
  </si>
  <si>
    <t>cornered</t>
  </si>
  <si>
    <t>butts</t>
  </si>
  <si>
    <t>sl</t>
  </si>
  <si>
    <t>spic</t>
  </si>
  <si>
    <t>quill</t>
  </si>
  <si>
    <t>mara</t>
  </si>
  <si>
    <t>forth</t>
  </si>
  <si>
    <t>luggage</t>
  </si>
  <si>
    <t>boule</t>
  </si>
  <si>
    <t>issues</t>
  </si>
  <si>
    <t>coughing</t>
  </si>
  <si>
    <t>voice</t>
  </si>
  <si>
    <t>dyke</t>
  </si>
  <si>
    <t>gender</t>
  </si>
  <si>
    <t>breathe</t>
  </si>
  <si>
    <t>ach</t>
  </si>
  <si>
    <t>afro</t>
  </si>
  <si>
    <t>panties</t>
  </si>
  <si>
    <t>june</t>
  </si>
  <si>
    <t>posing</t>
  </si>
  <si>
    <t>buddha</t>
  </si>
  <si>
    <t>were</t>
  </si>
  <si>
    <t>shapes</t>
  </si>
  <si>
    <t>tarn</t>
  </si>
  <si>
    <t>amount</t>
  </si>
  <si>
    <t>marries</t>
  </si>
  <si>
    <t>boil</t>
  </si>
  <si>
    <t>maya</t>
  </si>
  <si>
    <t>rah</t>
  </si>
  <si>
    <t>rom</t>
  </si>
  <si>
    <t>groom</t>
  </si>
  <si>
    <t>melts</t>
  </si>
  <si>
    <t>bowling</t>
  </si>
  <si>
    <t>beep</t>
  </si>
  <si>
    <t>poe</t>
  </si>
  <si>
    <t>jiminy</t>
  </si>
  <si>
    <t>lacking</t>
  </si>
  <si>
    <t>dredge</t>
  </si>
  <si>
    <t>tricky</t>
  </si>
  <si>
    <t>brush</t>
  </si>
  <si>
    <t>curling</t>
  </si>
  <si>
    <t>dim</t>
  </si>
  <si>
    <t>worn</t>
  </si>
  <si>
    <t>grinch</t>
  </si>
  <si>
    <t>chug</t>
  </si>
  <si>
    <t>walk</t>
  </si>
  <si>
    <t>band</t>
  </si>
  <si>
    <t>sic</t>
  </si>
  <si>
    <t>luna</t>
  </si>
  <si>
    <t>blah</t>
  </si>
  <si>
    <t>favours</t>
  </si>
  <si>
    <t>faked</t>
  </si>
  <si>
    <t>thorough</t>
  </si>
  <si>
    <t>fling</t>
  </si>
  <si>
    <t>getting</t>
  </si>
  <si>
    <t>cheap</t>
  </si>
  <si>
    <t>skiing</t>
  </si>
  <si>
    <t>jer</t>
  </si>
  <si>
    <t>mole</t>
  </si>
  <si>
    <t>suzanne</t>
  </si>
  <si>
    <t>grace</t>
  </si>
  <si>
    <t>moist</t>
  </si>
  <si>
    <t>prawn</t>
  </si>
  <si>
    <t>lit</t>
  </si>
  <si>
    <t>lacks</t>
  </si>
  <si>
    <t>fits</t>
  </si>
  <si>
    <t>homely</t>
  </si>
  <si>
    <t>masked</t>
  </si>
  <si>
    <t>fridge</t>
  </si>
  <si>
    <t>nobel</t>
  </si>
  <si>
    <t>crap</t>
  </si>
  <si>
    <t>celery</t>
  </si>
  <si>
    <t>tidy</t>
  </si>
  <si>
    <t>pipes</t>
  </si>
  <si>
    <t>bitter</t>
  </si>
  <si>
    <t>never</t>
  </si>
  <si>
    <t>awol</t>
  </si>
  <si>
    <t>morgue</t>
  </si>
  <si>
    <t>weather</t>
  </si>
  <si>
    <t>tailed</t>
  </si>
  <si>
    <t>razor</t>
  </si>
  <si>
    <t>truck</t>
  </si>
  <si>
    <t>event</t>
  </si>
  <si>
    <t>filet</t>
  </si>
  <si>
    <t>norse</t>
  </si>
  <si>
    <t>depot</t>
  </si>
  <si>
    <t>wynn</t>
  </si>
  <si>
    <t>cash</t>
  </si>
  <si>
    <t>should</t>
  </si>
  <si>
    <t>cook</t>
  </si>
  <si>
    <t>flavors</t>
  </si>
  <si>
    <t>mint</t>
  </si>
  <si>
    <t>davies</t>
  </si>
  <si>
    <t>worry</t>
  </si>
  <si>
    <t>lice</t>
  </si>
  <si>
    <t>an</t>
  </si>
  <si>
    <t>boating</t>
  </si>
  <si>
    <t>wig</t>
  </si>
  <si>
    <t>owns</t>
  </si>
  <si>
    <t>coarse</t>
  </si>
  <si>
    <t>mind</t>
  </si>
  <si>
    <t>whacked</t>
  </si>
  <si>
    <t>fairies</t>
  </si>
  <si>
    <t>cautious</t>
  </si>
  <si>
    <t>majors</t>
  </si>
  <si>
    <t>teli</t>
  </si>
  <si>
    <t>jesse</t>
  </si>
  <si>
    <t>shaggy</t>
  </si>
  <si>
    <t>scrapes</t>
  </si>
  <si>
    <t>fancy</t>
  </si>
  <si>
    <t>sailor</t>
  </si>
  <si>
    <t>gloat</t>
  </si>
  <si>
    <t>idols</t>
  </si>
  <si>
    <t>heath</t>
  </si>
  <si>
    <t>offers</t>
  </si>
  <si>
    <t>gears</t>
  </si>
  <si>
    <t>seoul</t>
  </si>
  <si>
    <t>crates</t>
  </si>
  <si>
    <t>ease</t>
  </si>
  <si>
    <t>grudge</t>
  </si>
  <si>
    <t>begging</t>
  </si>
  <si>
    <t>putty</t>
  </si>
  <si>
    <t>locked</t>
  </si>
  <si>
    <t>waller</t>
  </si>
  <si>
    <t>soiled</t>
  </si>
  <si>
    <t>souls</t>
  </si>
  <si>
    <t>logic</t>
  </si>
  <si>
    <t>guess</t>
  </si>
  <si>
    <t>south</t>
  </si>
  <si>
    <t>degree</t>
  </si>
  <si>
    <t>lao</t>
  </si>
  <si>
    <t>relieve</t>
  </si>
  <si>
    <t>splendor</t>
  </si>
  <si>
    <t>ching</t>
  </si>
  <si>
    <t>clutter</t>
  </si>
  <si>
    <t>yard</t>
  </si>
  <si>
    <t>approve</t>
  </si>
  <si>
    <t>stay</t>
  </si>
  <si>
    <t>geese</t>
  </si>
  <si>
    <t>late</t>
  </si>
  <si>
    <t>tarot</t>
  </si>
  <si>
    <t>scamp</t>
  </si>
  <si>
    <t>bump</t>
  </si>
  <si>
    <t>assets</t>
  </si>
  <si>
    <t>russia</t>
  </si>
  <si>
    <t>whisper</t>
  </si>
  <si>
    <t>tiles</t>
  </si>
  <si>
    <t>verbal</t>
  </si>
  <si>
    <t>rightful</t>
  </si>
  <si>
    <t>swing</t>
  </si>
  <si>
    <t>pappy</t>
  </si>
  <si>
    <t>gag</t>
  </si>
  <si>
    <t>duet</t>
  </si>
  <si>
    <t>scores</t>
  </si>
  <si>
    <t>stalk</t>
  </si>
  <si>
    <t>lugging</t>
  </si>
  <si>
    <t>worst</t>
  </si>
  <si>
    <t>filled</t>
  </si>
  <si>
    <t>apes</t>
  </si>
  <si>
    <t>ne</t>
  </si>
  <si>
    <t>tells</t>
  </si>
  <si>
    <t>lie</t>
  </si>
  <si>
    <t>fucked</t>
  </si>
  <si>
    <t>dagger</t>
  </si>
  <si>
    <t>rest</t>
  </si>
  <si>
    <t>allude</t>
  </si>
  <si>
    <t>doors</t>
  </si>
  <si>
    <t>coughs</t>
  </si>
  <si>
    <t>altar</t>
  </si>
  <si>
    <t>await</t>
  </si>
  <si>
    <t>missing</t>
  </si>
  <si>
    <t>mort</t>
  </si>
  <si>
    <t>lick</t>
  </si>
  <si>
    <t>botched</t>
  </si>
  <si>
    <t>brings</t>
  </si>
  <si>
    <t>tane</t>
  </si>
  <si>
    <t>rap</t>
  </si>
  <si>
    <t>flatten</t>
  </si>
  <si>
    <t>mini</t>
  </si>
  <si>
    <t>pea</t>
  </si>
  <si>
    <t>hand</t>
  </si>
  <si>
    <t>ralph</t>
  </si>
  <si>
    <t>joint</t>
  </si>
  <si>
    <t>gill</t>
  </si>
  <si>
    <t>lake</t>
  </si>
  <si>
    <t>tam</t>
  </si>
  <si>
    <t>body</t>
  </si>
  <si>
    <t>dudley</t>
  </si>
  <si>
    <t>locals</t>
  </si>
  <si>
    <t>aware</t>
  </si>
  <si>
    <t>tink</t>
  </si>
  <si>
    <t>brandy</t>
  </si>
  <si>
    <t>spark</t>
  </si>
  <si>
    <t>fives</t>
  </si>
  <si>
    <t>g</t>
  </si>
  <si>
    <t>hun</t>
  </si>
  <si>
    <t>calms</t>
  </si>
  <si>
    <t>brittle</t>
  </si>
  <si>
    <t>towns</t>
  </si>
  <si>
    <t>choose</t>
  </si>
  <si>
    <t>spilt</t>
  </si>
  <si>
    <t>lefty</t>
  </si>
  <si>
    <t>tiki</t>
  </si>
  <si>
    <t>st</t>
  </si>
  <si>
    <t>twig</t>
  </si>
  <si>
    <t>jolt</t>
  </si>
  <si>
    <t>taking</t>
  </si>
  <si>
    <t>sory</t>
  </si>
  <si>
    <t>horror</t>
  </si>
  <si>
    <t>owes</t>
  </si>
  <si>
    <t>guest</t>
  </si>
  <si>
    <t>carroll</t>
  </si>
  <si>
    <t>goody</t>
  </si>
  <si>
    <t>palms</t>
  </si>
  <si>
    <t>robs</t>
  </si>
  <si>
    <t>feather</t>
  </si>
  <si>
    <t>pops</t>
  </si>
  <si>
    <t>sweat</t>
  </si>
  <si>
    <t>types</t>
  </si>
  <si>
    <t>bust</t>
  </si>
  <si>
    <t>bout</t>
  </si>
  <si>
    <t>price</t>
  </si>
  <si>
    <t>rathe</t>
  </si>
  <si>
    <t>hummer</t>
  </si>
  <si>
    <t>hugged</t>
  </si>
  <si>
    <t>nova</t>
  </si>
  <si>
    <t>mars</t>
  </si>
  <si>
    <t>oaths</t>
  </si>
  <si>
    <t>gays</t>
  </si>
  <si>
    <t>ones</t>
  </si>
  <si>
    <t>pellet</t>
  </si>
  <si>
    <t>flawed</t>
  </si>
  <si>
    <t>hera</t>
  </si>
  <si>
    <t>fetus</t>
  </si>
  <si>
    <t>beings</t>
  </si>
  <si>
    <t>hoss</t>
  </si>
  <si>
    <t>rubbing</t>
  </si>
  <si>
    <t>slashed</t>
  </si>
  <si>
    <t>gran</t>
  </si>
  <si>
    <t>metro</t>
  </si>
  <si>
    <t>kaiser</t>
  </si>
  <si>
    <t>rance</t>
  </si>
  <si>
    <t>fall</t>
  </si>
  <si>
    <t>berkeley</t>
  </si>
  <si>
    <t>offender</t>
  </si>
  <si>
    <t>gravy</t>
  </si>
  <si>
    <t>myth</t>
  </si>
  <si>
    <t>bidder</t>
  </si>
  <si>
    <t>kris</t>
  </si>
  <si>
    <t>dollar</t>
  </si>
  <si>
    <t>daisy</t>
  </si>
  <si>
    <t>does</t>
  </si>
  <si>
    <t>hymns</t>
  </si>
  <si>
    <t>supports</t>
  </si>
  <si>
    <t>virus</t>
  </si>
  <si>
    <t>sown</t>
  </si>
  <si>
    <t>canoe</t>
  </si>
  <si>
    <t>shy</t>
  </si>
  <si>
    <t>bird</t>
  </si>
  <si>
    <t>laughter</t>
  </si>
  <si>
    <t>slight</t>
  </si>
  <si>
    <t>dashed</t>
  </si>
  <si>
    <t>fluke</t>
  </si>
  <si>
    <t>countess</t>
  </si>
  <si>
    <t>sane</t>
  </si>
  <si>
    <t>sobs</t>
  </si>
  <si>
    <t>forge</t>
  </si>
  <si>
    <t>crispy</t>
  </si>
  <si>
    <t>pout</t>
  </si>
  <si>
    <t>pt</t>
  </si>
  <si>
    <t>schools</t>
  </si>
  <si>
    <t>reigning</t>
  </si>
  <si>
    <t>coke</t>
  </si>
  <si>
    <t>toss</t>
  </si>
  <si>
    <t>gun</t>
  </si>
  <si>
    <t>chills</t>
  </si>
  <si>
    <t>raid</t>
  </si>
  <si>
    <t>straight</t>
  </si>
  <si>
    <t>valet</t>
  </si>
  <si>
    <t>slack</t>
  </si>
  <si>
    <t>chick</t>
  </si>
  <si>
    <t>ab</t>
  </si>
  <si>
    <t>rivet</t>
  </si>
  <si>
    <t>merit</t>
  </si>
  <si>
    <t>clem</t>
  </si>
  <si>
    <t>scarce</t>
  </si>
  <si>
    <t>bribes</t>
  </si>
  <si>
    <t>beret</t>
  </si>
  <si>
    <t>picked</t>
  </si>
  <si>
    <t>lift</t>
  </si>
  <si>
    <t>stand</t>
  </si>
  <si>
    <t>crashed</t>
  </si>
  <si>
    <t>io</t>
  </si>
  <si>
    <t>messy</t>
  </si>
  <si>
    <t>breather</t>
  </si>
  <si>
    <t>heman</t>
  </si>
  <si>
    <t>jackie</t>
  </si>
  <si>
    <t>fine</t>
  </si>
  <si>
    <t>wales</t>
  </si>
  <si>
    <t>theft</t>
  </si>
  <si>
    <t>emory</t>
  </si>
  <si>
    <t>gull</t>
  </si>
  <si>
    <t>sexy</t>
  </si>
  <si>
    <t>clean</t>
  </si>
  <si>
    <t>beta</t>
  </si>
  <si>
    <t>deeds</t>
  </si>
  <si>
    <t>lighten</t>
  </si>
  <si>
    <t>docs</t>
  </si>
  <si>
    <t>weasel</t>
  </si>
  <si>
    <t>slid</t>
  </si>
  <si>
    <t>grahams</t>
  </si>
  <si>
    <t>thrown</t>
  </si>
  <si>
    <t>rhodes</t>
  </si>
  <si>
    <t>falls</t>
  </si>
  <si>
    <t>bettors</t>
  </si>
  <si>
    <t>scalp</t>
  </si>
  <si>
    <t>reeves</t>
  </si>
  <si>
    <t>payday</t>
  </si>
  <si>
    <t>waste</t>
  </si>
  <si>
    <t>idle</t>
  </si>
  <si>
    <t>cave</t>
  </si>
  <si>
    <t>mamie</t>
  </si>
  <si>
    <t>borg</t>
  </si>
  <si>
    <t>open</t>
  </si>
  <si>
    <t>riley</t>
  </si>
  <si>
    <t>blinds</t>
  </si>
  <si>
    <t>decoy</t>
  </si>
  <si>
    <t>di</t>
  </si>
  <si>
    <t>donor</t>
  </si>
  <si>
    <t>limp</t>
  </si>
  <si>
    <t>strung</t>
  </si>
  <si>
    <t>p</t>
  </si>
  <si>
    <t>fucking</t>
  </si>
  <si>
    <t>sirree</t>
  </si>
  <si>
    <t>reset</t>
  </si>
  <si>
    <t>beaucoup</t>
  </si>
  <si>
    <t>thinning</t>
  </si>
  <si>
    <t>guys</t>
  </si>
  <si>
    <t>drove</t>
  </si>
  <si>
    <t>hits</t>
  </si>
  <si>
    <t>britt</t>
  </si>
  <si>
    <t>rites</t>
  </si>
  <si>
    <t>throwing</t>
  </si>
  <si>
    <t>bitching</t>
  </si>
  <si>
    <t>brought</t>
  </si>
  <si>
    <t>shell</t>
  </si>
  <si>
    <t>gains</t>
  </si>
  <si>
    <t>plump</t>
  </si>
  <si>
    <t>wacko</t>
  </si>
  <si>
    <t>noon</t>
  </si>
  <si>
    <t>bailey</t>
  </si>
  <si>
    <t>kaput</t>
  </si>
  <si>
    <t>tracing</t>
  </si>
  <si>
    <t>piles</t>
  </si>
  <si>
    <t>lied</t>
  </si>
  <si>
    <t>spite</t>
  </si>
  <si>
    <t>alps</t>
  </si>
  <si>
    <t>shay</t>
  </si>
  <si>
    <t>ammo</t>
  </si>
  <si>
    <t>awe</t>
  </si>
  <si>
    <t>lars</t>
  </si>
  <si>
    <t>fails</t>
  </si>
  <si>
    <t>hedge</t>
  </si>
  <si>
    <t>grapes</t>
  </si>
  <si>
    <t>deceive</t>
  </si>
  <si>
    <t>make</t>
  </si>
  <si>
    <t>watched</t>
  </si>
  <si>
    <t>groggy</t>
  </si>
  <si>
    <t>aged</t>
  </si>
  <si>
    <t>tunnel</t>
  </si>
  <si>
    <t>carole</t>
  </si>
  <si>
    <t>gable</t>
  </si>
  <si>
    <t>derby</t>
  </si>
  <si>
    <t>on</t>
  </si>
  <si>
    <t>swiftly</t>
  </si>
  <si>
    <t>min</t>
  </si>
  <si>
    <t>write</t>
  </si>
  <si>
    <t>terrace</t>
  </si>
  <si>
    <t>cent</t>
  </si>
  <si>
    <t>sights</t>
  </si>
  <si>
    <t>pottery</t>
  </si>
  <si>
    <t>amyl</t>
  </si>
  <si>
    <t>herd</t>
  </si>
  <si>
    <t>dodging</t>
  </si>
  <si>
    <t>where</t>
  </si>
  <si>
    <t>pitching</t>
  </si>
  <si>
    <t>ogre</t>
  </si>
  <si>
    <t>earthly</t>
  </si>
  <si>
    <t>waving</t>
  </si>
  <si>
    <t>wrecked</t>
  </si>
  <si>
    <t>slacks</t>
  </si>
  <si>
    <t>via</t>
  </si>
  <si>
    <t>topped</t>
  </si>
  <si>
    <t>mug</t>
  </si>
  <si>
    <t>mold</t>
  </si>
  <si>
    <t>newark</t>
  </si>
  <si>
    <t>foil</t>
  </si>
  <si>
    <t>farley</t>
  </si>
  <si>
    <t>tally</t>
  </si>
  <si>
    <t>chap</t>
  </si>
  <si>
    <t>zealot</t>
  </si>
  <si>
    <t>leaks</t>
  </si>
  <si>
    <t>hold</t>
  </si>
  <si>
    <t>suave</t>
  </si>
  <si>
    <t>fled</t>
  </si>
  <si>
    <t>joey</t>
  </si>
  <si>
    <t>railing</t>
  </si>
  <si>
    <t>leo</t>
  </si>
  <si>
    <t>chopped</t>
  </si>
  <si>
    <t>mash</t>
  </si>
  <si>
    <t>load</t>
  </si>
  <si>
    <t>hast</t>
  </si>
  <si>
    <t>combed</t>
  </si>
  <si>
    <t>use</t>
  </si>
  <si>
    <t>gleam</t>
  </si>
  <si>
    <t>bugging</t>
  </si>
  <si>
    <t>leather</t>
  </si>
  <si>
    <t>hee</t>
  </si>
  <si>
    <t>hat</t>
  </si>
  <si>
    <t>learner</t>
  </si>
  <si>
    <t>awake</t>
  </si>
  <si>
    <t>vain</t>
  </si>
  <si>
    <t>brisk</t>
  </si>
  <si>
    <t>pass</t>
  </si>
  <si>
    <t>soccer</t>
  </si>
  <si>
    <t>hon</t>
  </si>
  <si>
    <t>okey</t>
  </si>
  <si>
    <t>ol</t>
  </si>
  <si>
    <t>kilos</t>
  </si>
  <si>
    <t>walker</t>
  </si>
  <si>
    <t>tat</t>
  </si>
  <si>
    <t>maids</t>
  </si>
  <si>
    <t>aggie</t>
  </si>
  <si>
    <t>sued</t>
  </si>
  <si>
    <t>drawn</t>
  </si>
  <si>
    <t>hy</t>
  </si>
  <si>
    <t>joe</t>
  </si>
  <si>
    <t>auras</t>
  </si>
  <si>
    <t>poop</t>
  </si>
  <si>
    <t>jasper</t>
  </si>
  <si>
    <t>hooray</t>
  </si>
  <si>
    <t>juicy</t>
  </si>
  <si>
    <t>creep</t>
  </si>
  <si>
    <t>bucking</t>
  </si>
  <si>
    <t>cady</t>
  </si>
  <si>
    <t>bailing</t>
  </si>
  <si>
    <t>zone</t>
  </si>
  <si>
    <t>roomie</t>
  </si>
  <si>
    <t>cetera</t>
  </si>
  <si>
    <t>takeout</t>
  </si>
  <si>
    <t>tony</t>
  </si>
  <si>
    <t>pushy</t>
  </si>
  <si>
    <t>gary</t>
  </si>
  <si>
    <t>chops</t>
  </si>
  <si>
    <t>bidding</t>
  </si>
  <si>
    <t>creaks</t>
  </si>
  <si>
    <t>jolly</t>
  </si>
  <si>
    <t>reign</t>
  </si>
  <si>
    <t>tact</t>
  </si>
  <si>
    <t>tighter</t>
  </si>
  <si>
    <t>choosing</t>
  </si>
  <si>
    <t>tilt</t>
  </si>
  <si>
    <t>scan</t>
  </si>
  <si>
    <t>auto</t>
  </si>
  <si>
    <t>mother</t>
  </si>
  <si>
    <t>hot</t>
  </si>
  <si>
    <t>attack</t>
  </si>
  <si>
    <t>poise</t>
  </si>
  <si>
    <t>ust</t>
  </si>
  <si>
    <t>peru</t>
  </si>
  <si>
    <t>clicks</t>
  </si>
  <si>
    <t>porch</t>
  </si>
  <si>
    <t>flip</t>
  </si>
  <si>
    <t>bubba</t>
  </si>
  <si>
    <t>taft</t>
  </si>
  <si>
    <t>armies</t>
  </si>
  <si>
    <t>ft</t>
  </si>
  <si>
    <t>sage</t>
  </si>
  <si>
    <t>not</t>
  </si>
  <si>
    <t>come</t>
  </si>
  <si>
    <t>postage</t>
  </si>
  <si>
    <t>walks</t>
  </si>
  <si>
    <t>ye</t>
  </si>
  <si>
    <t>erica</t>
  </si>
  <si>
    <t>create</t>
  </si>
  <si>
    <t>jet</t>
  </si>
  <si>
    <t>carried</t>
  </si>
  <si>
    <t>reps</t>
  </si>
  <si>
    <t>poking</t>
  </si>
  <si>
    <t>berry</t>
  </si>
  <si>
    <t>ed</t>
  </si>
  <si>
    <t>ya</t>
  </si>
  <si>
    <t>wells</t>
  </si>
  <si>
    <t>caesar</t>
  </si>
  <si>
    <t>fade</t>
  </si>
  <si>
    <t>major</t>
  </si>
  <si>
    <t>crutch</t>
  </si>
  <si>
    <t>demons</t>
  </si>
  <si>
    <t>tubes</t>
  </si>
  <si>
    <t>lucky</t>
  </si>
  <si>
    <t>polly</t>
  </si>
  <si>
    <t>chatter</t>
  </si>
  <si>
    <t>touch</t>
  </si>
  <si>
    <t>cougar</t>
  </si>
  <si>
    <t>knobs</t>
  </si>
  <si>
    <t>corn</t>
  </si>
  <si>
    <t>arrange</t>
  </si>
  <si>
    <t>zee</t>
  </si>
  <si>
    <t>sloppy</t>
  </si>
  <si>
    <t>approved</t>
  </si>
  <si>
    <t>gaming</t>
  </si>
  <si>
    <t>leaking</t>
  </si>
  <si>
    <t>jose</t>
  </si>
  <si>
    <t>glories</t>
  </si>
  <si>
    <t>willow</t>
  </si>
  <si>
    <t>bets</t>
  </si>
  <si>
    <t>flea</t>
  </si>
  <si>
    <t>sensed</t>
  </si>
  <si>
    <t>name</t>
  </si>
  <si>
    <t>sort</t>
  </si>
  <si>
    <t>bogey</t>
  </si>
  <si>
    <t>hawk</t>
  </si>
  <si>
    <t>es</t>
  </si>
  <si>
    <t>stripe</t>
  </si>
  <si>
    <t>untie</t>
  </si>
  <si>
    <t>smash</t>
  </si>
  <si>
    <t>pip</t>
  </si>
  <si>
    <t>hubby</t>
  </si>
  <si>
    <t>higher</t>
  </si>
  <si>
    <t>beige</t>
  </si>
  <si>
    <t>larry</t>
  </si>
  <si>
    <t>barrels</t>
  </si>
  <si>
    <t>stalled</t>
  </si>
  <si>
    <t>angel</t>
  </si>
  <si>
    <t>yacht</t>
  </si>
  <si>
    <t>kennel</t>
  </si>
  <si>
    <t>world</t>
  </si>
  <si>
    <t>shitting</t>
  </si>
  <si>
    <t>mount</t>
  </si>
  <si>
    <t>copped</t>
  </si>
  <si>
    <t>elaine</t>
  </si>
  <si>
    <t>dared</t>
  </si>
  <si>
    <t>wake</t>
  </si>
  <si>
    <t>shirley</t>
  </si>
  <si>
    <t>shirts</t>
  </si>
  <si>
    <t>re</t>
  </si>
  <si>
    <t>dirt</t>
  </si>
  <si>
    <t>sum</t>
  </si>
  <si>
    <t>hopes</t>
  </si>
  <si>
    <t>ginny</t>
  </si>
  <si>
    <t>cutting</t>
  </si>
  <si>
    <t>manny</t>
  </si>
  <si>
    <t>turns</t>
  </si>
  <si>
    <t>loot</t>
  </si>
  <si>
    <t>sleigh</t>
  </si>
  <si>
    <t>cheques</t>
  </si>
  <si>
    <t>cheaper</t>
  </si>
  <si>
    <t>throbbing</t>
  </si>
  <si>
    <t>flesh</t>
  </si>
  <si>
    <t>tame</t>
  </si>
  <si>
    <t>threes</t>
  </si>
  <si>
    <t>stained</t>
  </si>
  <si>
    <t>stabbing</t>
  </si>
  <si>
    <t>sea</t>
  </si>
  <si>
    <t>bus</t>
  </si>
  <si>
    <t>traits</t>
  </si>
  <si>
    <t>lotus</t>
  </si>
  <si>
    <t>pouting</t>
  </si>
  <si>
    <t>matzo</t>
  </si>
  <si>
    <t>alma</t>
  </si>
  <si>
    <t>settings</t>
  </si>
  <si>
    <t>tips</t>
  </si>
  <si>
    <t>cholera</t>
  </si>
  <si>
    <t>liar</t>
  </si>
  <si>
    <t>smile</t>
  </si>
  <si>
    <t>ideal</t>
  </si>
  <si>
    <t>craze</t>
  </si>
  <si>
    <t>herpes</t>
  </si>
  <si>
    <t>darby</t>
  </si>
  <si>
    <t>mentally</t>
  </si>
  <si>
    <t>speak</t>
  </si>
  <si>
    <t>myrtle</t>
  </si>
  <si>
    <t>flayed</t>
  </si>
  <si>
    <t>crib</t>
  </si>
  <si>
    <t>last</t>
  </si>
  <si>
    <t>diaper</t>
  </si>
  <si>
    <t>frisbee</t>
  </si>
  <si>
    <t>downs</t>
  </si>
  <si>
    <t>wl</t>
  </si>
  <si>
    <t>naughty</t>
  </si>
  <si>
    <t>shitty</t>
  </si>
  <si>
    <t>sade</t>
  </si>
  <si>
    <t>spatter</t>
  </si>
  <si>
    <t>oomph</t>
  </si>
  <si>
    <t>birdy</t>
  </si>
  <si>
    <t>arrows</t>
  </si>
  <si>
    <t>crazed</t>
  </si>
  <si>
    <t>been</t>
  </si>
  <si>
    <t>moze</t>
  </si>
  <si>
    <t>weenie</t>
  </si>
  <si>
    <t>modem</t>
  </si>
  <si>
    <t>sketchy</t>
  </si>
  <si>
    <t>bundy</t>
  </si>
  <si>
    <t>whirl</t>
  </si>
  <si>
    <t>snuff</t>
  </si>
  <si>
    <t>working</t>
  </si>
  <si>
    <t>smacked</t>
  </si>
  <si>
    <t>teach</t>
  </si>
  <si>
    <t>roam</t>
  </si>
  <si>
    <t>diarrhea</t>
  </si>
  <si>
    <t>beck</t>
  </si>
  <si>
    <t>neon</t>
  </si>
  <si>
    <t>wallow</t>
  </si>
  <si>
    <t>ape</t>
  </si>
  <si>
    <t>rotor</t>
  </si>
  <si>
    <t>day</t>
  </si>
  <si>
    <t>beaver</t>
  </si>
  <si>
    <t>playing</t>
  </si>
  <si>
    <t>sup</t>
  </si>
  <si>
    <t>mick</t>
  </si>
  <si>
    <t>elk</t>
  </si>
  <si>
    <t>claim</t>
  </si>
  <si>
    <t>conjure</t>
  </si>
  <si>
    <t>mainly</t>
  </si>
  <si>
    <t>takers</t>
  </si>
  <si>
    <t>bogus</t>
  </si>
  <si>
    <t>she</t>
  </si>
  <si>
    <t>hasty</t>
  </si>
  <si>
    <t>icon</t>
  </si>
  <si>
    <t>hen</t>
  </si>
  <si>
    <t>coast</t>
  </si>
  <si>
    <t>leaky</t>
  </si>
  <si>
    <t>hit</t>
  </si>
  <si>
    <t>wiki</t>
  </si>
  <si>
    <t>char</t>
  </si>
  <si>
    <t>bing</t>
  </si>
  <si>
    <t>du</t>
  </si>
  <si>
    <t>knight</t>
  </si>
  <si>
    <t>stable</t>
  </si>
  <si>
    <t>relive</t>
  </si>
  <si>
    <t>lamp</t>
  </si>
  <si>
    <t>share</t>
  </si>
  <si>
    <t>reek</t>
  </si>
  <si>
    <t>bundt</t>
  </si>
  <si>
    <t>dice</t>
  </si>
  <si>
    <t>slutty</t>
  </si>
  <si>
    <t>draws</t>
  </si>
  <si>
    <t>ample</t>
  </si>
  <si>
    <t>earl</t>
  </si>
  <si>
    <t>irony</t>
  </si>
  <si>
    <t>talk</t>
  </si>
  <si>
    <t>genes</t>
  </si>
  <si>
    <t>yearn</t>
  </si>
  <si>
    <t>duck</t>
  </si>
  <si>
    <t>fire</t>
  </si>
  <si>
    <t>cleave</t>
  </si>
  <si>
    <t>dole</t>
  </si>
  <si>
    <t>sang</t>
  </si>
  <si>
    <t>point</t>
  </si>
  <si>
    <t>belief</t>
  </si>
  <si>
    <t>wire</t>
  </si>
  <si>
    <t>gosh</t>
  </si>
  <si>
    <t>glib</t>
  </si>
  <si>
    <t>lats</t>
  </si>
  <si>
    <t>wholly</t>
  </si>
  <si>
    <t>next</t>
  </si>
  <si>
    <t>of</t>
  </si>
  <si>
    <t>serves</t>
  </si>
  <si>
    <t>knitting</t>
  </si>
  <si>
    <t>givin</t>
  </si>
  <si>
    <t>grazing</t>
  </si>
  <si>
    <t>butt</t>
  </si>
  <si>
    <t>subtle</t>
  </si>
  <si>
    <t>stroud</t>
  </si>
  <si>
    <t>tod</t>
  </si>
  <si>
    <t>jug</t>
  </si>
  <si>
    <t>steel</t>
  </si>
  <si>
    <t>flee</t>
  </si>
  <si>
    <t>dumb</t>
  </si>
  <si>
    <t>prude</t>
  </si>
  <si>
    <t>chill</t>
  </si>
  <si>
    <t>mystery</t>
  </si>
  <si>
    <t>fa</t>
  </si>
  <si>
    <t>pork</t>
  </si>
  <si>
    <t>nerve</t>
  </si>
  <si>
    <t>sutures</t>
  </si>
  <si>
    <t>messed</t>
  </si>
  <si>
    <t>raised</t>
  </si>
  <si>
    <t>fray</t>
  </si>
  <si>
    <t>else</t>
  </si>
  <si>
    <t>sly</t>
  </si>
  <si>
    <t>sewed</t>
  </si>
  <si>
    <t>bills</t>
  </si>
  <si>
    <t>gram</t>
  </si>
  <si>
    <t>folk</t>
  </si>
  <si>
    <t>slain</t>
  </si>
  <si>
    <t>collier</t>
  </si>
  <si>
    <t>bean</t>
  </si>
  <si>
    <t>barney</t>
  </si>
  <si>
    <t>drapes</t>
  </si>
  <si>
    <t>yuan</t>
  </si>
  <si>
    <t>start</t>
  </si>
  <si>
    <t>snort</t>
  </si>
  <si>
    <t>swipe</t>
  </si>
  <si>
    <t>debt</t>
  </si>
  <si>
    <t>thugs</t>
  </si>
  <si>
    <t>form</t>
  </si>
  <si>
    <t>codger</t>
  </si>
  <si>
    <t>ra</t>
  </si>
  <si>
    <t>get</t>
  </si>
  <si>
    <t>hos</t>
  </si>
  <si>
    <t>haste</t>
  </si>
  <si>
    <t>turner</t>
  </si>
  <si>
    <t>fax</t>
  </si>
  <si>
    <t>a</t>
  </si>
  <si>
    <t>hats</t>
  </si>
  <si>
    <t>napa</t>
  </si>
  <si>
    <t>tummy</t>
  </si>
  <si>
    <t>sermon</t>
  </si>
  <si>
    <t>steering</t>
  </si>
  <si>
    <t>tenth</t>
  </si>
  <si>
    <t>bitten</t>
  </si>
  <si>
    <t>bourne</t>
  </si>
  <si>
    <t>burp</t>
  </si>
  <si>
    <t>string</t>
  </si>
  <si>
    <t>stitched</t>
  </si>
  <si>
    <t>sophia</t>
  </si>
  <si>
    <t>waiting</t>
  </si>
  <si>
    <t>saul</t>
  </si>
  <si>
    <t>beds</t>
  </si>
  <si>
    <t>prince</t>
  </si>
  <si>
    <t>gigs</t>
  </si>
  <si>
    <t>sight</t>
  </si>
  <si>
    <t>sway</t>
  </si>
  <si>
    <t>s</t>
  </si>
  <si>
    <t>barry</t>
  </si>
  <si>
    <t>puts</t>
  </si>
  <si>
    <t>rides</t>
  </si>
  <si>
    <t>na</t>
  </si>
  <si>
    <t>homes</t>
  </si>
  <si>
    <t>sacs</t>
  </si>
  <si>
    <t>straits</t>
  </si>
  <si>
    <t>cuddly</t>
  </si>
  <si>
    <t>batter</t>
  </si>
  <si>
    <t>gummy</t>
  </si>
  <si>
    <t>hazing</t>
  </si>
  <si>
    <t>shorty</t>
  </si>
  <si>
    <t>honour</t>
  </si>
  <si>
    <t>labor</t>
  </si>
  <si>
    <t>whoosh</t>
  </si>
  <si>
    <t>drudge</t>
  </si>
  <si>
    <t>cooper</t>
  </si>
  <si>
    <t>dana</t>
  </si>
  <si>
    <t>licked</t>
  </si>
  <si>
    <t>nerds</t>
  </si>
  <si>
    <t>dough</t>
  </si>
  <si>
    <t>gauge</t>
  </si>
  <si>
    <t>hoped</t>
  </si>
  <si>
    <t>kung</t>
  </si>
  <si>
    <t>paired</t>
  </si>
  <si>
    <t>lose</t>
  </si>
  <si>
    <t>slab</t>
  </si>
  <si>
    <t>allen</t>
  </si>
  <si>
    <t>over</t>
  </si>
  <si>
    <t>timer</t>
  </si>
  <si>
    <t>timely</t>
  </si>
  <si>
    <t>jig</t>
  </si>
  <si>
    <t>hep</t>
  </si>
  <si>
    <t>cargo</t>
  </si>
  <si>
    <t>traipsing</t>
  </si>
  <si>
    <t>taxi</t>
  </si>
  <si>
    <t>dearie</t>
  </si>
  <si>
    <t>sheer</t>
  </si>
  <si>
    <t>bullied</t>
  </si>
  <si>
    <t>quickie</t>
  </si>
  <si>
    <t>floater</t>
  </si>
  <si>
    <t>chute</t>
  </si>
  <si>
    <t>judy</t>
  </si>
  <si>
    <t>appoint</t>
  </si>
  <si>
    <t>beads</t>
  </si>
  <si>
    <t>arranged</t>
  </si>
  <si>
    <t>grazed</t>
  </si>
  <si>
    <t>strays</t>
  </si>
  <si>
    <t>clout</t>
  </si>
  <si>
    <t>daft</t>
  </si>
  <si>
    <t>reg</t>
  </si>
  <si>
    <t>wand</t>
  </si>
  <si>
    <t>itch</t>
  </si>
  <si>
    <t>tidal</t>
  </si>
  <si>
    <t>dimes</t>
  </si>
  <si>
    <t>planned</t>
  </si>
  <si>
    <t>rays</t>
  </si>
  <si>
    <t>kab</t>
  </si>
  <si>
    <t>hood</t>
  </si>
  <si>
    <t>drawers</t>
  </si>
  <si>
    <t>bah</t>
  </si>
  <si>
    <t>swifty</t>
  </si>
  <si>
    <t>kneeling</t>
  </si>
  <si>
    <t>fluff</t>
  </si>
  <si>
    <t>fleet</t>
  </si>
  <si>
    <t>peeking</t>
  </si>
  <si>
    <t>aline</t>
  </si>
  <si>
    <t>hoist</t>
  </si>
  <si>
    <t>barbie</t>
  </si>
  <si>
    <t>paintings</t>
  </si>
  <si>
    <t>tent</t>
  </si>
  <si>
    <t>accord</t>
  </si>
  <si>
    <t>cut</t>
  </si>
  <si>
    <t>glass</t>
  </si>
  <si>
    <t>fag</t>
  </si>
  <si>
    <t>ow</t>
  </si>
  <si>
    <t>cyprus</t>
  </si>
  <si>
    <t>sarge</t>
  </si>
  <si>
    <t>thread</t>
  </si>
  <si>
    <t>guy</t>
  </si>
  <si>
    <t>anal</t>
  </si>
  <si>
    <t>seat</t>
  </si>
  <si>
    <t>beth</t>
  </si>
  <si>
    <t>receive</t>
  </si>
  <si>
    <t>steve</t>
  </si>
  <si>
    <t>mil</t>
  </si>
  <si>
    <t>rex</t>
  </si>
  <si>
    <t>checking</t>
  </si>
  <si>
    <t>petrie</t>
  </si>
  <si>
    <t>kinds</t>
  </si>
  <si>
    <t>king</t>
  </si>
  <si>
    <t>ville</t>
  </si>
  <si>
    <t>gaudy</t>
  </si>
  <si>
    <t>themes</t>
  </si>
  <si>
    <t>bay</t>
  </si>
  <si>
    <t>lover</t>
  </si>
  <si>
    <t>owned</t>
  </si>
  <si>
    <t>ally</t>
  </si>
  <si>
    <t>theta</t>
  </si>
  <si>
    <t>wheat</t>
  </si>
  <si>
    <t>mop</t>
  </si>
  <si>
    <t>chained</t>
  </si>
  <si>
    <t>vive</t>
  </si>
  <si>
    <t>spoil</t>
  </si>
  <si>
    <t>burglary</t>
  </si>
  <si>
    <t>thumb</t>
  </si>
  <si>
    <t>brown</t>
  </si>
  <si>
    <t>wedding</t>
  </si>
  <si>
    <t>bite</t>
  </si>
  <si>
    <t>huts</t>
  </si>
  <si>
    <t>ten</t>
  </si>
  <si>
    <t>losing</t>
  </si>
  <si>
    <t>song</t>
  </si>
  <si>
    <t>stoop</t>
  </si>
  <si>
    <t>blonde</t>
  </si>
  <si>
    <t>teddy</t>
  </si>
  <si>
    <t>sax</t>
  </si>
  <si>
    <t>lovers</t>
  </si>
  <si>
    <t>doggy</t>
  </si>
  <si>
    <t>tax</t>
  </si>
  <si>
    <t>gooks</t>
  </si>
  <si>
    <t>scum</t>
  </si>
  <si>
    <t>centers</t>
  </si>
  <si>
    <t>patty</t>
  </si>
  <si>
    <t>mush</t>
  </si>
  <si>
    <t>lunar</t>
  </si>
  <si>
    <t>lot</t>
  </si>
  <si>
    <t>kirby</t>
  </si>
  <si>
    <t>bathed</t>
  </si>
  <si>
    <t>pint</t>
  </si>
  <si>
    <t>spoons</t>
  </si>
  <si>
    <t>forum</t>
  </si>
  <si>
    <t>shits</t>
  </si>
  <si>
    <t>sobbing</t>
  </si>
  <si>
    <t>johnnie</t>
  </si>
  <si>
    <t>classy</t>
  </si>
  <si>
    <t>caved</t>
  </si>
  <si>
    <t>savor</t>
  </si>
  <si>
    <t>cuter</t>
  </si>
  <si>
    <t>short</t>
  </si>
  <si>
    <t>vest</t>
  </si>
  <si>
    <t>reach</t>
  </si>
  <si>
    <t>ritz</t>
  </si>
  <si>
    <t>witty</t>
  </si>
  <si>
    <t>cologne</t>
  </si>
  <si>
    <t>arch</t>
  </si>
  <si>
    <t>taping</t>
  </si>
  <si>
    <t>ahead</t>
  </si>
  <si>
    <t>yap</t>
  </si>
  <si>
    <t>desks</t>
  </si>
  <si>
    <t>mime</t>
  </si>
  <si>
    <t>fur</t>
  </si>
  <si>
    <t>played</t>
  </si>
  <si>
    <t>walnuts</t>
  </si>
  <si>
    <t>hell</t>
  </si>
  <si>
    <t>coats</t>
  </si>
  <si>
    <t>chef</t>
  </si>
  <si>
    <t>birch</t>
  </si>
  <si>
    <t>nat</t>
  </si>
  <si>
    <t>spade</t>
  </si>
  <si>
    <t>seized</t>
  </si>
  <si>
    <t>cox</t>
  </si>
  <si>
    <t>lean</t>
  </si>
  <si>
    <t>alloy</t>
  </si>
  <si>
    <t>claws</t>
  </si>
  <si>
    <t>score</t>
  </si>
  <si>
    <t>ava</t>
  </si>
  <si>
    <t>flew</t>
  </si>
  <si>
    <t>heh</t>
  </si>
  <si>
    <t>mate</t>
  </si>
  <si>
    <t>hills</t>
  </si>
  <si>
    <t>babies</t>
  </si>
  <si>
    <t>sons</t>
  </si>
  <si>
    <t>merci</t>
  </si>
  <si>
    <t>task</t>
  </si>
  <si>
    <t>stoke</t>
  </si>
  <si>
    <t>kidding</t>
  </si>
  <si>
    <t>chump</t>
  </si>
  <si>
    <t>much</t>
  </si>
  <si>
    <t>shoving</t>
  </si>
  <si>
    <t>moons</t>
  </si>
  <si>
    <t>fly</t>
  </si>
  <si>
    <t>spider</t>
  </si>
  <si>
    <t>orphan</t>
  </si>
  <si>
    <t>quite</t>
  </si>
  <si>
    <t>beast</t>
  </si>
  <si>
    <t>mos</t>
  </si>
  <si>
    <t>crystal</t>
  </si>
  <si>
    <t>frightens</t>
  </si>
  <si>
    <t>dunno</t>
  </si>
  <si>
    <t>abroad</t>
  </si>
  <si>
    <t>bites</t>
  </si>
  <si>
    <t>kerry</t>
  </si>
  <si>
    <t>locker</t>
  </si>
  <si>
    <t>ken</t>
  </si>
  <si>
    <t>chic</t>
  </si>
  <si>
    <t>icky</t>
  </si>
  <si>
    <t>furry</t>
  </si>
  <si>
    <t>goatee</t>
  </si>
  <si>
    <t>meaner</t>
  </si>
  <si>
    <t>groove</t>
  </si>
  <si>
    <t>slot</t>
  </si>
  <si>
    <t>appalled</t>
  </si>
  <si>
    <t>verge</t>
  </si>
  <si>
    <t>panty</t>
  </si>
  <si>
    <t>knockout</t>
  </si>
  <si>
    <t>hurried</t>
  </si>
  <si>
    <t>fates</t>
  </si>
  <si>
    <t>globe</t>
  </si>
  <si>
    <t>told</t>
  </si>
  <si>
    <t>crook</t>
  </si>
  <si>
    <t>yin</t>
  </si>
  <si>
    <t>rach</t>
  </si>
  <si>
    <t>toddy</t>
  </si>
  <si>
    <t>booze</t>
  </si>
  <si>
    <t>knocks</t>
  </si>
  <si>
    <t>bazaar</t>
  </si>
  <si>
    <t>liking</t>
  </si>
  <si>
    <t>swoop</t>
  </si>
  <si>
    <t>greatly</t>
  </si>
  <si>
    <t>black</t>
  </si>
  <si>
    <t>march</t>
  </si>
  <si>
    <t>mary</t>
  </si>
  <si>
    <t>icing</t>
  </si>
  <si>
    <t>kicks</t>
  </si>
  <si>
    <t>slum</t>
  </si>
  <si>
    <t>trees</t>
  </si>
  <si>
    <t>hulk</t>
  </si>
  <si>
    <t>drums</t>
  </si>
  <si>
    <t>slavers</t>
  </si>
  <si>
    <t>felt</t>
  </si>
  <si>
    <t>sweet</t>
  </si>
  <si>
    <t>trap</t>
  </si>
  <si>
    <t>wrist</t>
  </si>
  <si>
    <t>staged</t>
  </si>
  <si>
    <t>arise</t>
  </si>
  <si>
    <t>blares</t>
  </si>
  <si>
    <t>speaks</t>
  </si>
  <si>
    <t>hermit</t>
  </si>
  <si>
    <t>rib</t>
  </si>
  <si>
    <t>sperm</t>
  </si>
  <si>
    <t>trot</t>
  </si>
  <si>
    <t>squid</t>
  </si>
  <si>
    <t>amber</t>
  </si>
  <si>
    <t>moved</t>
  </si>
  <si>
    <t>float</t>
  </si>
  <si>
    <t>hug</t>
  </si>
  <si>
    <t>surrey</t>
  </si>
  <si>
    <t>skip</t>
  </si>
  <si>
    <t>hole</t>
  </si>
  <si>
    <t>crane</t>
  </si>
  <si>
    <t>bind</t>
  </si>
  <si>
    <t>mum</t>
  </si>
  <si>
    <t>snowed</t>
  </si>
  <si>
    <t>redo</t>
  </si>
  <si>
    <t>freely</t>
  </si>
  <si>
    <t>bones</t>
  </si>
  <si>
    <t>commit</t>
  </si>
  <si>
    <t>glover</t>
  </si>
  <si>
    <t>bony</t>
  </si>
  <si>
    <t>plaid</t>
  </si>
  <si>
    <t>muggers</t>
  </si>
  <si>
    <t>flo</t>
  </si>
  <si>
    <t>surf</t>
  </si>
  <si>
    <t>waves</t>
  </si>
  <si>
    <t>dib</t>
  </si>
  <si>
    <t>hooked</t>
  </si>
  <si>
    <t>binge</t>
  </si>
  <si>
    <t>booth</t>
  </si>
  <si>
    <t>groin</t>
  </si>
  <si>
    <t>slater</t>
  </si>
  <si>
    <t>mar</t>
  </si>
  <si>
    <t>pray</t>
  </si>
  <si>
    <t>ridley</t>
  </si>
  <si>
    <t>manned</t>
  </si>
  <si>
    <t>north</t>
  </si>
  <si>
    <t>fondue</t>
  </si>
  <si>
    <t>clash</t>
  </si>
  <si>
    <t>planning</t>
  </si>
  <si>
    <t>tc</t>
  </si>
  <si>
    <t>oyez</t>
  </si>
  <si>
    <t>levi</t>
  </si>
  <si>
    <t>momma</t>
  </si>
  <si>
    <t>whee</t>
  </si>
  <si>
    <t>grow</t>
  </si>
  <si>
    <t>arrested</t>
  </si>
  <si>
    <t>pierce</t>
  </si>
  <si>
    <t>stake</t>
  </si>
  <si>
    <t>waxing</t>
  </si>
  <si>
    <t>lucked</t>
  </si>
  <si>
    <t>turd</t>
  </si>
  <si>
    <t>paths</t>
  </si>
  <si>
    <t>lacey</t>
  </si>
  <si>
    <t>groups</t>
  </si>
  <si>
    <t>added</t>
  </si>
  <si>
    <t>troy</t>
  </si>
  <si>
    <t>looks</t>
  </si>
  <si>
    <t>chuckie</t>
  </si>
  <si>
    <t>sulking</t>
  </si>
  <si>
    <t>dream</t>
  </si>
  <si>
    <t>flora</t>
  </si>
  <si>
    <t>clarke</t>
  </si>
  <si>
    <t>mass</t>
  </si>
  <si>
    <t>nightly</t>
  </si>
  <si>
    <t>senseless</t>
  </si>
  <si>
    <t>iron</t>
  </si>
  <si>
    <t>dummy</t>
  </si>
  <si>
    <t>shutter</t>
  </si>
  <si>
    <t>wad</t>
  </si>
  <si>
    <t>clint</t>
  </si>
  <si>
    <t>makings</t>
  </si>
  <si>
    <t>saws</t>
  </si>
  <si>
    <t>thorpe</t>
  </si>
  <si>
    <t>swimmer</t>
  </si>
  <si>
    <t>teaching</t>
  </si>
  <si>
    <t>ajax</t>
  </si>
  <si>
    <t>goyle</t>
  </si>
  <si>
    <t>scare</t>
  </si>
  <si>
    <t>ma</t>
  </si>
  <si>
    <t>nite</t>
  </si>
  <si>
    <t>suture</t>
  </si>
  <si>
    <t>hollow</t>
  </si>
  <si>
    <t>kai</t>
  </si>
  <si>
    <t>bali</t>
  </si>
  <si>
    <t>tender</t>
  </si>
  <si>
    <t>counts</t>
  </si>
  <si>
    <t>ny</t>
  </si>
  <si>
    <t>hayes</t>
  </si>
  <si>
    <t>costing</t>
  </si>
  <si>
    <t>punched</t>
  </si>
  <si>
    <t>render</t>
  </si>
  <si>
    <t>trade</t>
  </si>
  <si>
    <t>ivory</t>
  </si>
  <si>
    <t>webber</t>
  </si>
  <si>
    <t>adam</t>
  </si>
  <si>
    <t>grove</t>
  </si>
  <si>
    <t>slap</t>
  </si>
  <si>
    <t>dis</t>
  </si>
  <si>
    <t>wave</t>
  </si>
  <si>
    <t>bro</t>
  </si>
  <si>
    <t>mamma</t>
  </si>
  <si>
    <t>nets</t>
  </si>
  <si>
    <t>thats</t>
  </si>
  <si>
    <t>clan</t>
  </si>
  <si>
    <t>chutes</t>
  </si>
  <si>
    <t>baggy</t>
  </si>
  <si>
    <t>lin</t>
  </si>
  <si>
    <t>summit</t>
  </si>
  <si>
    <t>stat</t>
  </si>
  <si>
    <t>closed</t>
  </si>
  <si>
    <t>brushed</t>
  </si>
  <si>
    <t>gave</t>
  </si>
  <si>
    <t>turn</t>
  </si>
  <si>
    <t>sucked</t>
  </si>
  <si>
    <t>shipped</t>
  </si>
  <si>
    <t>clink</t>
  </si>
  <si>
    <t>thong</t>
  </si>
  <si>
    <t>bitsy</t>
  </si>
  <si>
    <t>wish</t>
  </si>
  <si>
    <t>bel</t>
  </si>
  <si>
    <t>d</t>
  </si>
  <si>
    <t>jove</t>
  </si>
  <si>
    <t>jugs</t>
  </si>
  <si>
    <t>fame</t>
  </si>
  <si>
    <t>add</t>
  </si>
  <si>
    <t>onto</t>
  </si>
  <si>
    <t>corpus</t>
  </si>
  <si>
    <t>sweets</t>
  </si>
  <si>
    <t>shiv</t>
  </si>
  <si>
    <t>take</t>
  </si>
  <si>
    <t>chop</t>
  </si>
  <si>
    <t>scam</t>
  </si>
  <si>
    <t>roaming</t>
  </si>
  <si>
    <t>notch</t>
  </si>
  <si>
    <t>crawling</t>
  </si>
  <si>
    <t>brim</t>
  </si>
  <si>
    <t>crimes</t>
  </si>
  <si>
    <t>pry</t>
  </si>
  <si>
    <t>outta</t>
  </si>
  <si>
    <t>burley</t>
  </si>
  <si>
    <t>eighteen</t>
  </si>
  <si>
    <t>hair</t>
  </si>
  <si>
    <t>li</t>
  </si>
  <si>
    <t>taught</t>
  </si>
  <si>
    <t>waved</t>
  </si>
  <si>
    <t>jars</t>
  </si>
  <si>
    <t>c</t>
  </si>
  <si>
    <t>mire</t>
  </si>
  <si>
    <t>caves</t>
  </si>
  <si>
    <t>voting</t>
  </si>
  <si>
    <t>cider</t>
  </si>
  <si>
    <t>brass</t>
  </si>
  <si>
    <t>bone</t>
  </si>
  <si>
    <t>ditched</t>
  </si>
  <si>
    <t>love</t>
  </si>
  <si>
    <t>ethnic</t>
  </si>
  <si>
    <t>mound</t>
  </si>
  <si>
    <t>scoot</t>
  </si>
  <si>
    <t>hitting</t>
  </si>
  <si>
    <t>versed</t>
  </si>
  <si>
    <t>deaths</t>
  </si>
  <si>
    <t>skins</t>
  </si>
  <si>
    <t>none</t>
  </si>
  <si>
    <t>sighting</t>
  </si>
  <si>
    <t>seats</t>
  </si>
  <si>
    <t>prays</t>
  </si>
  <si>
    <t>ruth</t>
  </si>
  <si>
    <t>pact</t>
  </si>
  <si>
    <t>frown</t>
  </si>
  <si>
    <t>plunger</t>
  </si>
  <si>
    <t>swims</t>
  </si>
  <si>
    <t>skate</t>
  </si>
  <si>
    <t>breach</t>
  </si>
  <si>
    <t>greece</t>
  </si>
  <si>
    <t>hero</t>
  </si>
  <si>
    <t>loony</t>
  </si>
  <si>
    <t>pulse</t>
  </si>
  <si>
    <t>nancy</t>
  </si>
  <si>
    <t>sleeper</t>
  </si>
  <si>
    <t>smack</t>
  </si>
  <si>
    <t>painter</t>
  </si>
  <si>
    <t>caged</t>
  </si>
  <si>
    <t>slogan</t>
  </si>
  <si>
    <t>blinked</t>
  </si>
  <si>
    <t>dum</t>
  </si>
  <si>
    <t>bilge</t>
  </si>
  <si>
    <t>riot</t>
  </si>
  <si>
    <t>rafts</t>
  </si>
  <si>
    <t>earned</t>
  </si>
  <si>
    <t>swimming</t>
  </si>
  <si>
    <t>grown</t>
  </si>
  <si>
    <t>sash</t>
  </si>
  <si>
    <t>pays</t>
  </si>
  <si>
    <t>far</t>
  </si>
  <si>
    <t>tipped</t>
  </si>
  <si>
    <t>anne</t>
  </si>
  <si>
    <t>vines</t>
  </si>
  <si>
    <t>kappa</t>
  </si>
  <si>
    <t>strong</t>
  </si>
  <si>
    <t>jaw</t>
  </si>
  <si>
    <t>farm</t>
  </si>
  <si>
    <t>smoking</t>
  </si>
  <si>
    <t>spy</t>
  </si>
  <si>
    <t>blacked</t>
  </si>
  <si>
    <t>staple</t>
  </si>
  <si>
    <t>faced</t>
  </si>
  <si>
    <t>knots</t>
  </si>
  <si>
    <t>seeker</t>
  </si>
  <si>
    <t>pit</t>
  </si>
  <si>
    <t>liner</t>
  </si>
  <si>
    <t>anna</t>
  </si>
  <si>
    <t>blame</t>
  </si>
  <si>
    <t>buy</t>
  </si>
  <si>
    <t>lightly</t>
  </si>
  <si>
    <t>boy</t>
  </si>
  <si>
    <t>unlike</t>
  </si>
  <si>
    <t>sewer</t>
  </si>
  <si>
    <t>hates</t>
  </si>
  <si>
    <t>austin</t>
  </si>
  <si>
    <t>ana</t>
  </si>
  <si>
    <t>rio</t>
  </si>
  <si>
    <t>hart</t>
  </si>
  <si>
    <t>finder</t>
  </si>
  <si>
    <t>wax</t>
  </si>
  <si>
    <t>joyce</t>
  </si>
  <si>
    <t>susan</t>
  </si>
  <si>
    <t>paging</t>
  </si>
  <si>
    <t>lina</t>
  </si>
  <si>
    <t>weighing</t>
  </si>
  <si>
    <t>fried</t>
  </si>
  <si>
    <t>rocker</t>
  </si>
  <si>
    <t>leg</t>
  </si>
  <si>
    <t>leisure</t>
  </si>
  <si>
    <t>killing</t>
  </si>
  <si>
    <t>cesar</t>
  </si>
  <si>
    <t>russ</t>
  </si>
  <si>
    <t>ward</t>
  </si>
  <si>
    <t>femur</t>
  </si>
  <si>
    <t>sorts</t>
  </si>
  <si>
    <t>laser</t>
  </si>
  <si>
    <t>raisin</t>
  </si>
  <si>
    <t>golf</t>
  </si>
  <si>
    <t>cher</t>
  </si>
  <si>
    <t>locally</t>
  </si>
  <si>
    <t>blaze</t>
  </si>
  <si>
    <t>beefing</t>
  </si>
  <si>
    <t>thaw</t>
  </si>
  <si>
    <t>seen</t>
  </si>
  <si>
    <t>attached</t>
  </si>
  <si>
    <t>graham</t>
  </si>
  <si>
    <t>story</t>
  </si>
  <si>
    <t>calls</t>
  </si>
  <si>
    <t>frightful</t>
  </si>
  <si>
    <t>wait</t>
  </si>
  <si>
    <t>inn</t>
  </si>
  <si>
    <t>mp</t>
  </si>
  <si>
    <t>funnel</t>
  </si>
  <si>
    <t>sigh</t>
  </si>
  <si>
    <t>kemp</t>
  </si>
  <si>
    <t>burt</t>
  </si>
  <si>
    <t>meat</t>
  </si>
  <si>
    <t>pump</t>
  </si>
  <si>
    <t>pelt</t>
  </si>
  <si>
    <t>germans</t>
  </si>
  <si>
    <t>neela</t>
  </si>
  <si>
    <t>ratings</t>
  </si>
  <si>
    <t>helm</t>
  </si>
  <si>
    <t>spare</t>
  </si>
  <si>
    <t>enter</t>
  </si>
  <si>
    <t>smudge</t>
  </si>
  <si>
    <t>cutler</t>
  </si>
  <si>
    <t>pap</t>
  </si>
  <si>
    <t>leon</t>
  </si>
  <si>
    <t>louis</t>
  </si>
  <si>
    <t>oy</t>
  </si>
  <si>
    <t>tan</t>
  </si>
  <si>
    <t>tougher</t>
  </si>
  <si>
    <t>ought</t>
  </si>
  <si>
    <t>cole</t>
  </si>
  <si>
    <t>fight</t>
  </si>
  <si>
    <t>beamed</t>
  </si>
  <si>
    <t>hl</t>
  </si>
  <si>
    <t>spiller</t>
  </si>
  <si>
    <t>ham</t>
  </si>
  <si>
    <t>raft</t>
  </si>
  <si>
    <t>petty</t>
  </si>
  <si>
    <t>dub</t>
  </si>
  <si>
    <t>bits</t>
  </si>
  <si>
    <t>bathing</t>
  </si>
  <si>
    <t>spellers</t>
  </si>
  <si>
    <t>daphne</t>
  </si>
  <si>
    <t>riv</t>
  </si>
  <si>
    <t>farce</t>
  </si>
  <si>
    <t>salary</t>
  </si>
  <si>
    <t>wide</t>
  </si>
  <si>
    <t>abby</t>
  </si>
  <si>
    <t>culture</t>
  </si>
  <si>
    <t>heiress</t>
  </si>
  <si>
    <t>spear</t>
  </si>
  <si>
    <t>stoned</t>
  </si>
  <si>
    <t>pole</t>
  </si>
  <si>
    <t>faxed</t>
  </si>
  <si>
    <t>scott</t>
  </si>
  <si>
    <t>wage</t>
  </si>
  <si>
    <t>moves</t>
  </si>
  <si>
    <t>loft</t>
  </si>
  <si>
    <t>goodies</t>
  </si>
  <si>
    <t>table</t>
  </si>
  <si>
    <t>x</t>
  </si>
  <si>
    <t>race</t>
  </si>
  <si>
    <t>sammy</t>
  </si>
  <si>
    <t>evil</t>
  </si>
  <si>
    <t>worlds</t>
  </si>
  <si>
    <t>ticket</t>
  </si>
  <si>
    <t>hurts</t>
  </si>
  <si>
    <t>spencer</t>
  </si>
  <si>
    <t>daffy</t>
  </si>
  <si>
    <t>vamp</t>
  </si>
  <si>
    <t>shroud</t>
  </si>
  <si>
    <t>player</t>
  </si>
  <si>
    <t>coming</t>
  </si>
  <si>
    <t>flush</t>
  </si>
  <si>
    <t>tow</t>
  </si>
  <si>
    <t>nile</t>
  </si>
  <si>
    <t>coz</t>
  </si>
  <si>
    <t>holed</t>
  </si>
  <si>
    <t>eli</t>
  </si>
  <si>
    <t>only</t>
  </si>
  <si>
    <t>kissing</t>
  </si>
  <si>
    <t>boast</t>
  </si>
  <si>
    <t>weapon</t>
  </si>
  <si>
    <t>die</t>
  </si>
  <si>
    <t>reb</t>
  </si>
  <si>
    <t>bolts</t>
  </si>
  <si>
    <t>bulger</t>
  </si>
  <si>
    <t>nick</t>
  </si>
  <si>
    <t>blower</t>
  </si>
  <si>
    <t>flailing</t>
  </si>
  <si>
    <t>estate</t>
  </si>
  <si>
    <t>joan</t>
  </si>
  <si>
    <t>latch</t>
  </si>
  <si>
    <t>joined</t>
  </si>
  <si>
    <t>dead</t>
  </si>
  <si>
    <t>rubies</t>
  </si>
  <si>
    <t>ruled</t>
  </si>
  <si>
    <t>matter</t>
  </si>
  <si>
    <t>beauty</t>
  </si>
  <si>
    <t>hint</t>
  </si>
  <si>
    <t>fowler</t>
  </si>
  <si>
    <t>rogue</t>
  </si>
  <si>
    <t>haunts</t>
  </si>
  <si>
    <t>fink</t>
  </si>
  <si>
    <t>noose</t>
  </si>
  <si>
    <t>swung</t>
  </si>
  <si>
    <t>manly</t>
  </si>
  <si>
    <t>racked</t>
  </si>
  <si>
    <t>curb</t>
  </si>
  <si>
    <t>ago</t>
  </si>
  <si>
    <t>spot</t>
  </si>
  <si>
    <t>grail</t>
  </si>
  <si>
    <t>vet</t>
  </si>
  <si>
    <t>noah</t>
  </si>
  <si>
    <t>booing</t>
  </si>
  <si>
    <t>ash</t>
  </si>
  <si>
    <t>lex</t>
  </si>
  <si>
    <t>side</t>
  </si>
  <si>
    <t>fishing</t>
  </si>
  <si>
    <t>deeper</t>
  </si>
  <si>
    <t>keel</t>
  </si>
  <si>
    <t>whitney</t>
  </si>
  <si>
    <t>hoard</t>
  </si>
  <si>
    <t>drag</t>
  </si>
  <si>
    <t>dayton</t>
  </si>
  <si>
    <t>poot</t>
  </si>
  <si>
    <t>val</t>
  </si>
  <si>
    <t>sleeves</t>
  </si>
  <si>
    <t>bo</t>
  </si>
  <si>
    <t>rear</t>
  </si>
  <si>
    <t>knives</t>
  </si>
  <si>
    <t>java</t>
  </si>
  <si>
    <t>buster</t>
  </si>
  <si>
    <t>he</t>
  </si>
  <si>
    <t>vl</t>
  </si>
  <si>
    <t>array</t>
  </si>
  <si>
    <t>we</t>
  </si>
  <si>
    <t>toll</t>
  </si>
  <si>
    <t>scoffs</t>
  </si>
  <si>
    <t>barriers</t>
  </si>
  <si>
    <t>batting</t>
  </si>
  <si>
    <t>grass</t>
  </si>
  <si>
    <t>popeye</t>
  </si>
  <si>
    <t>oz</t>
  </si>
  <si>
    <t>east</t>
  </si>
  <si>
    <t>force</t>
  </si>
  <si>
    <t>maid</t>
  </si>
  <si>
    <t>eerie</t>
  </si>
  <si>
    <t>mogul</t>
  </si>
  <si>
    <t>roofs</t>
  </si>
  <si>
    <t>wind</t>
  </si>
  <si>
    <t>afoot</t>
  </si>
  <si>
    <t>bach</t>
  </si>
  <si>
    <t>wither</t>
  </si>
  <si>
    <t>barf</t>
  </si>
  <si>
    <t>putz</t>
  </si>
  <si>
    <t>dig</t>
  </si>
  <si>
    <t>ain</t>
  </si>
  <si>
    <t>numb</t>
  </si>
  <si>
    <t>mood</t>
  </si>
  <si>
    <t>her</t>
  </si>
  <si>
    <t>favors</t>
  </si>
  <si>
    <t>whistling</t>
  </si>
  <si>
    <t>peddle</t>
  </si>
  <si>
    <t>snows</t>
  </si>
  <si>
    <t>nerves</t>
  </si>
  <si>
    <t>hans</t>
  </si>
  <si>
    <t>wash</t>
  </si>
  <si>
    <t>clams</t>
  </si>
  <si>
    <t>san</t>
  </si>
  <si>
    <t>lv</t>
  </si>
  <si>
    <t>greed</t>
  </si>
  <si>
    <t>jokes</t>
  </si>
  <si>
    <t>seller</t>
  </si>
  <si>
    <t>hall</t>
  </si>
  <si>
    <t>five</t>
  </si>
  <si>
    <t>bloc</t>
  </si>
  <si>
    <t>earns</t>
  </si>
  <si>
    <t>searcher</t>
  </si>
  <si>
    <t>rash</t>
  </si>
  <si>
    <t>pause</t>
  </si>
  <si>
    <t>hover</t>
  </si>
  <si>
    <t>bravely</t>
  </si>
  <si>
    <t>cometh</t>
  </si>
  <si>
    <t>lb</t>
  </si>
  <si>
    <t>purge</t>
  </si>
  <si>
    <t>hoods</t>
  </si>
  <si>
    <t>snores</t>
  </si>
  <si>
    <t>fraud</t>
  </si>
  <si>
    <t>kicked</t>
  </si>
  <si>
    <t>movie</t>
  </si>
  <si>
    <t>psst</t>
  </si>
  <si>
    <t>mobile</t>
  </si>
  <si>
    <t>fund</t>
  </si>
  <si>
    <t>toast</t>
  </si>
  <si>
    <t>hears</t>
  </si>
  <si>
    <t>yarn</t>
  </si>
  <si>
    <t>jo</t>
  </si>
  <si>
    <t>touched</t>
  </si>
  <si>
    <t>chapped</t>
  </si>
  <si>
    <t>shatter</t>
  </si>
  <si>
    <t>dah</t>
  </si>
  <si>
    <t>wiener</t>
  </si>
  <si>
    <t>gar</t>
  </si>
  <si>
    <t>keys</t>
  </si>
  <si>
    <t>journey</t>
  </si>
  <si>
    <t>dell</t>
  </si>
  <si>
    <t>stroll</t>
  </si>
  <si>
    <t>glum</t>
  </si>
  <si>
    <t>fading</t>
  </si>
  <si>
    <t>bowls</t>
  </si>
  <si>
    <t>nonny</t>
  </si>
  <si>
    <t>beat</t>
  </si>
  <si>
    <t>hogs</t>
  </si>
  <si>
    <t>stout</t>
  </si>
  <si>
    <t>aired</t>
  </si>
  <si>
    <t>safe</t>
  </si>
  <si>
    <t>paid</t>
  </si>
  <si>
    <t>edgy</t>
  </si>
  <si>
    <t>tai</t>
  </si>
  <si>
    <t>id</t>
  </si>
  <si>
    <t>hind</t>
  </si>
  <si>
    <t>cyanide</t>
  </si>
  <si>
    <t>blast</t>
  </si>
  <si>
    <t>hoot</t>
  </si>
  <si>
    <t>duty</t>
  </si>
  <si>
    <t>lang</t>
  </si>
  <si>
    <t>boost</t>
  </si>
  <si>
    <t>fletch</t>
  </si>
  <si>
    <t>terrain</t>
  </si>
  <si>
    <t>polar</t>
  </si>
  <si>
    <t>loafing</t>
  </si>
  <si>
    <t>blooming</t>
  </si>
  <si>
    <t>crud</t>
  </si>
  <si>
    <t>roots</t>
  </si>
  <si>
    <t>runner</t>
  </si>
  <si>
    <t>lesser</t>
  </si>
  <si>
    <t>hoover</t>
  </si>
  <si>
    <t>chi</t>
  </si>
  <si>
    <t>duffer</t>
  </si>
  <si>
    <t>carries</t>
  </si>
  <si>
    <t>emma</t>
  </si>
  <si>
    <t>spat</t>
  </si>
  <si>
    <t>mix</t>
  </si>
  <si>
    <t>aim</t>
  </si>
  <si>
    <t>brand</t>
  </si>
  <si>
    <t>floor</t>
  </si>
  <si>
    <t>skin</t>
  </si>
  <si>
    <t>marrow</t>
  </si>
  <si>
    <t>punching</t>
  </si>
  <si>
    <t>bought</t>
  </si>
  <si>
    <t>keep</t>
  </si>
  <si>
    <t>pee</t>
  </si>
  <si>
    <t>willows</t>
  </si>
  <si>
    <t>abbey</t>
  </si>
  <si>
    <t>longs</t>
  </si>
  <si>
    <t>hooting</t>
  </si>
  <si>
    <t>barrow</t>
  </si>
  <si>
    <t>seed</t>
  </si>
  <si>
    <t>swan</t>
  </si>
  <si>
    <t>sarah</t>
  </si>
  <si>
    <t>caused</t>
  </si>
  <si>
    <t>but</t>
  </si>
  <si>
    <t>hodge</t>
  </si>
  <si>
    <t>seder</t>
  </si>
  <si>
    <t>xi</t>
  </si>
  <si>
    <t>eats</t>
  </si>
  <si>
    <t>framed</t>
  </si>
  <si>
    <t>good</t>
  </si>
  <si>
    <t>om</t>
  </si>
  <si>
    <t>sutter</t>
  </si>
  <si>
    <t>amaze</t>
  </si>
  <si>
    <t>fairy</t>
  </si>
  <si>
    <t>bread</t>
  </si>
  <si>
    <t>gene</t>
  </si>
  <si>
    <t>sticking</t>
  </si>
  <si>
    <t>bare</t>
  </si>
  <si>
    <t>care</t>
  </si>
  <si>
    <t>urging</t>
  </si>
  <si>
    <t>flight</t>
  </si>
  <si>
    <t>rd</t>
  </si>
  <si>
    <t>prado</t>
  </si>
  <si>
    <t>showing</t>
  </si>
  <si>
    <t>fate</t>
  </si>
  <si>
    <t>fourteen</t>
  </si>
  <si>
    <t>singer</t>
  </si>
  <si>
    <t>signed</t>
  </si>
  <si>
    <t>newt</t>
  </si>
  <si>
    <t>shite</t>
  </si>
  <si>
    <t>by</t>
  </si>
  <si>
    <t>roper</t>
  </si>
  <si>
    <t>craps</t>
  </si>
  <si>
    <t>knob</t>
  </si>
  <si>
    <t>eagles</t>
  </si>
  <si>
    <t>solve</t>
  </si>
  <si>
    <t>jersey</t>
  </si>
  <si>
    <t>kali</t>
  </si>
  <si>
    <t>sphinx</t>
  </si>
  <si>
    <t>match</t>
  </si>
  <si>
    <t>notion</t>
  </si>
  <si>
    <t>ciao</t>
  </si>
  <si>
    <t>myths</t>
  </si>
  <si>
    <t>loco</t>
  </si>
  <si>
    <t>dc</t>
  </si>
  <si>
    <t>trifle</t>
  </si>
  <si>
    <t>jin</t>
  </si>
  <si>
    <t>thigh</t>
  </si>
  <si>
    <t>boots</t>
  </si>
  <si>
    <t>brawny</t>
  </si>
  <si>
    <t>hershey</t>
  </si>
  <si>
    <t>torch</t>
  </si>
  <si>
    <t>moss</t>
  </si>
  <si>
    <t>planner</t>
  </si>
  <si>
    <t>clerk</t>
  </si>
  <si>
    <t>burke</t>
  </si>
  <si>
    <t>h</t>
  </si>
  <si>
    <t>deuce</t>
  </si>
  <si>
    <t>spit</t>
  </si>
  <si>
    <t>jiff</t>
  </si>
  <si>
    <t>trey</t>
  </si>
  <si>
    <t>barons</t>
  </si>
  <si>
    <t>round</t>
  </si>
  <si>
    <t>mouthing</t>
  </si>
  <si>
    <t>braid</t>
  </si>
  <si>
    <t>thud</t>
  </si>
  <si>
    <t>river</t>
  </si>
  <si>
    <t>jerking</t>
  </si>
  <si>
    <t>lakes</t>
  </si>
  <si>
    <t>swirl</t>
  </si>
  <si>
    <t>slob</t>
  </si>
  <si>
    <t>sound</t>
  </si>
  <si>
    <t>lynch</t>
  </si>
  <si>
    <t>leery</t>
  </si>
  <si>
    <t>odds</t>
  </si>
  <si>
    <t>glorious</t>
  </si>
  <si>
    <t>charley</t>
  </si>
  <si>
    <t>plaque</t>
  </si>
  <si>
    <t>shall</t>
  </si>
  <si>
    <t>boutique</t>
  </si>
  <si>
    <t>paddle</t>
  </si>
  <si>
    <t>limb</t>
  </si>
  <si>
    <t>grain</t>
  </si>
  <si>
    <t>dealers</t>
  </si>
  <si>
    <t>korea</t>
  </si>
  <si>
    <t>colleague</t>
  </si>
  <si>
    <t>here</t>
  </si>
  <si>
    <t>scissors</t>
  </si>
  <si>
    <t>slugged</t>
  </si>
  <si>
    <t>grave</t>
  </si>
  <si>
    <t>famous</t>
  </si>
  <si>
    <t>tops</t>
  </si>
  <si>
    <t>talking</t>
  </si>
  <si>
    <t>tribes</t>
  </si>
  <si>
    <t>spray</t>
  </si>
  <si>
    <t>blazes</t>
  </si>
  <si>
    <t>now</t>
  </si>
  <si>
    <t>snakes</t>
  </si>
  <si>
    <t>print</t>
  </si>
  <si>
    <t>cater</t>
  </si>
  <si>
    <t>ugh</t>
  </si>
  <si>
    <t>acts</t>
  </si>
  <si>
    <t>duties</t>
  </si>
  <si>
    <t>cola</t>
  </si>
  <si>
    <t>stuff</t>
  </si>
  <si>
    <t>favour</t>
  </si>
  <si>
    <t>fare</t>
  </si>
  <si>
    <t>yup</t>
  </si>
  <si>
    <t>carriage</t>
  </si>
  <si>
    <t>vein</t>
  </si>
  <si>
    <t>trail</t>
  </si>
  <si>
    <t>fleshy</t>
  </si>
  <si>
    <t>waive</t>
  </si>
  <si>
    <t>shelly</t>
  </si>
  <si>
    <t>bids</t>
  </si>
  <si>
    <t>sears</t>
  </si>
  <si>
    <t>opposing</t>
  </si>
  <si>
    <t>crept</t>
  </si>
  <si>
    <t>fanny</t>
  </si>
  <si>
    <t>wailing</t>
  </si>
  <si>
    <t>curt</t>
  </si>
  <si>
    <t>grade</t>
  </si>
  <si>
    <t>freaks</t>
  </si>
  <si>
    <t>idol</t>
  </si>
  <si>
    <t>props</t>
  </si>
  <si>
    <t>jonah</t>
  </si>
  <si>
    <t>kiln</t>
  </si>
  <si>
    <t>mud</t>
  </si>
  <si>
    <t>meek</t>
  </si>
  <si>
    <t>away</t>
  </si>
  <si>
    <t>pr</t>
  </si>
  <si>
    <t>bombing</t>
  </si>
  <si>
    <t>beeps</t>
  </si>
  <si>
    <t>hands</t>
  </si>
  <si>
    <t>cling</t>
  </si>
  <si>
    <t>tits</t>
  </si>
  <si>
    <t>faults</t>
  </si>
  <si>
    <t>wo</t>
  </si>
  <si>
    <t>blanche</t>
  </si>
  <si>
    <t>pens</t>
  </si>
  <si>
    <t>timing</t>
  </si>
  <si>
    <t>piss</t>
  </si>
  <si>
    <t>yang</t>
  </si>
  <si>
    <t>chased</t>
  </si>
  <si>
    <t>veda</t>
  </si>
  <si>
    <t>and</t>
  </si>
  <si>
    <t>hubba</t>
  </si>
  <si>
    <t>routes</t>
  </si>
  <si>
    <t>flavor</t>
  </si>
  <si>
    <t>whup</t>
  </si>
  <si>
    <t>starve</t>
  </si>
  <si>
    <t>covet</t>
  </si>
  <si>
    <t>crete</t>
  </si>
  <si>
    <t>buffet</t>
  </si>
  <si>
    <t>earrings</t>
  </si>
  <si>
    <t>rats</t>
  </si>
  <si>
    <t>girlie</t>
  </si>
  <si>
    <t>brooms</t>
  </si>
  <si>
    <t>road</t>
  </si>
  <si>
    <t>plain</t>
  </si>
  <si>
    <t>beans</t>
  </si>
  <si>
    <t>renew</t>
  </si>
  <si>
    <t>link</t>
  </si>
  <si>
    <t>scorn</t>
  </si>
  <si>
    <t>ports</t>
  </si>
  <si>
    <t>tongue</t>
  </si>
  <si>
    <t>cross</t>
  </si>
  <si>
    <t>twirl</t>
  </si>
  <si>
    <t>send</t>
  </si>
  <si>
    <t>stokes</t>
  </si>
  <si>
    <t>skull</t>
  </si>
  <si>
    <t>naming</t>
  </si>
  <si>
    <t>lime</t>
  </si>
  <si>
    <t>window</t>
  </si>
  <si>
    <t>jay</t>
  </si>
  <si>
    <t>weaker</t>
  </si>
  <si>
    <t>text</t>
  </si>
  <si>
    <t>pains</t>
  </si>
  <si>
    <t>vaults</t>
  </si>
  <si>
    <t>coaching</t>
  </si>
  <si>
    <t>dreams</t>
  </si>
  <si>
    <t>pod</t>
  </si>
  <si>
    <t>gutter</t>
  </si>
  <si>
    <t>foresee</t>
  </si>
  <si>
    <t>leaked</t>
  </si>
  <si>
    <t>fished</t>
  </si>
  <si>
    <t>stinky</t>
  </si>
  <si>
    <t>para</t>
  </si>
  <si>
    <t>whole</t>
  </si>
  <si>
    <t>cooling</t>
  </si>
  <si>
    <t>fist</t>
  </si>
  <si>
    <t>mapped</t>
  </si>
  <si>
    <t>vendor</t>
  </si>
  <si>
    <t>once</t>
  </si>
  <si>
    <t>ob</t>
  </si>
  <si>
    <t>ready</t>
  </si>
  <si>
    <t>jane</t>
  </si>
  <si>
    <t>star</t>
  </si>
  <si>
    <t>waiter</t>
  </si>
  <si>
    <t>banged</t>
  </si>
  <si>
    <t>lakers</t>
  </si>
  <si>
    <t>rival</t>
  </si>
  <si>
    <t>worth</t>
  </si>
  <si>
    <t>rory</t>
  </si>
  <si>
    <t>drop</t>
  </si>
  <si>
    <t>drawer</t>
  </si>
  <si>
    <t>old</t>
  </si>
  <si>
    <t>plane</t>
  </si>
  <si>
    <t>robbing</t>
  </si>
  <si>
    <t>act</t>
  </si>
  <si>
    <t>spoiled</t>
  </si>
  <si>
    <t>wrecks</t>
  </si>
  <si>
    <t>greased</t>
  </si>
  <si>
    <t>rocked</t>
  </si>
  <si>
    <t>hare</t>
  </si>
  <si>
    <t>eyeball</t>
  </si>
  <si>
    <t>slapped</t>
  </si>
  <si>
    <t>spout</t>
  </si>
  <si>
    <t>ni</t>
  </si>
  <si>
    <t>acne</t>
  </si>
  <si>
    <t>connie</t>
  </si>
  <si>
    <t>system</t>
  </si>
  <si>
    <t>pest</t>
  </si>
  <si>
    <t>doubting</t>
  </si>
  <si>
    <t>learnt</t>
  </si>
  <si>
    <t>sinned</t>
  </si>
  <si>
    <t>flushing</t>
  </si>
  <si>
    <t>scary</t>
  </si>
  <si>
    <t>naps</t>
  </si>
  <si>
    <t>singers</t>
  </si>
  <si>
    <t>clubber</t>
  </si>
  <si>
    <t>fest</t>
  </si>
  <si>
    <t>plays</t>
  </si>
  <si>
    <t>stains</t>
  </si>
  <si>
    <t>git</t>
  </si>
  <si>
    <t>rider</t>
  </si>
  <si>
    <t>fruity</t>
  </si>
  <si>
    <t>undressed</t>
  </si>
  <si>
    <t>unto</t>
  </si>
  <si>
    <t>sherry</t>
  </si>
  <si>
    <t>grind</t>
  </si>
  <si>
    <t>fart</t>
  </si>
  <si>
    <t>jazzed</t>
  </si>
  <si>
    <t>sheet</t>
  </si>
  <si>
    <t>burrows</t>
  </si>
  <si>
    <t>ant</t>
  </si>
  <si>
    <t>dirk</t>
  </si>
  <si>
    <t>streams</t>
  </si>
  <si>
    <t>think</t>
  </si>
  <si>
    <t>songs</t>
  </si>
  <si>
    <t>inch</t>
  </si>
  <si>
    <t>ap</t>
  </si>
  <si>
    <t>leeds</t>
  </si>
  <si>
    <t>clipped</t>
  </si>
  <si>
    <t>herman</t>
  </si>
  <si>
    <t>pc</t>
  </si>
  <si>
    <t>ashamed</t>
  </si>
  <si>
    <t>germs</t>
  </si>
  <si>
    <t>hula</t>
  </si>
  <si>
    <t>warp</t>
  </si>
  <si>
    <t>linked</t>
  </si>
  <si>
    <t>mayday</t>
  </si>
  <si>
    <t>loops</t>
  </si>
  <si>
    <t>bunch</t>
  </si>
  <si>
    <t>loafers</t>
  </si>
  <si>
    <t>layne</t>
  </si>
  <si>
    <t>fella</t>
  </si>
  <si>
    <t>socks</t>
  </si>
  <si>
    <t>meal</t>
  </si>
  <si>
    <t>straws</t>
  </si>
  <si>
    <t>tuba</t>
  </si>
  <si>
    <t>mare</t>
  </si>
  <si>
    <t>terry</t>
  </si>
  <si>
    <t>bigger</t>
  </si>
  <si>
    <t>tad</t>
  </si>
  <si>
    <t>porno</t>
  </si>
  <si>
    <t>smokes</t>
  </si>
  <si>
    <t>waltzer</t>
  </si>
  <si>
    <t>pool</t>
  </si>
  <si>
    <t>layers</t>
  </si>
  <si>
    <t>wins</t>
  </si>
  <si>
    <t>slim</t>
  </si>
  <si>
    <t>sho</t>
  </si>
  <si>
    <t>shuts</t>
  </si>
  <si>
    <t>trolls</t>
  </si>
  <si>
    <t>john</t>
  </si>
  <si>
    <t>brig</t>
  </si>
  <si>
    <t>little</t>
  </si>
  <si>
    <t>crayon</t>
  </si>
  <si>
    <t>blamed</t>
  </si>
  <si>
    <t>married</t>
  </si>
  <si>
    <t>looting</t>
  </si>
  <si>
    <t>strayed</t>
  </si>
  <si>
    <t>gypsy</t>
  </si>
  <si>
    <t>seems</t>
  </si>
  <si>
    <t>bursting</t>
  </si>
  <si>
    <t>vase</t>
  </si>
  <si>
    <t>haiti</t>
  </si>
  <si>
    <t>things</t>
  </si>
  <si>
    <t>flinched</t>
  </si>
  <si>
    <t>crumbs</t>
  </si>
  <si>
    <t>galt</t>
  </si>
  <si>
    <t>fleur</t>
  </si>
  <si>
    <t>gall</t>
  </si>
  <si>
    <t>mellow</t>
  </si>
  <si>
    <t>granted</t>
  </si>
  <si>
    <t>setter</t>
  </si>
  <si>
    <t>judge</t>
  </si>
  <si>
    <t>gym</t>
  </si>
  <si>
    <t>oats</t>
  </si>
  <si>
    <t>bitty</t>
  </si>
  <si>
    <t>stare</t>
  </si>
  <si>
    <t>series</t>
  </si>
  <si>
    <t>amazed</t>
  </si>
  <si>
    <t>rods</t>
  </si>
  <si>
    <t>deb</t>
  </si>
  <si>
    <t>cosmic</t>
  </si>
  <si>
    <t>scent</t>
  </si>
  <si>
    <t>puffy</t>
  </si>
  <si>
    <t>swimmers</t>
  </si>
  <si>
    <t>mommies</t>
  </si>
  <si>
    <t>homos</t>
  </si>
  <si>
    <t>capone</t>
  </si>
  <si>
    <t>opal</t>
  </si>
  <si>
    <t>nacho</t>
  </si>
  <si>
    <t>ferret</t>
  </si>
  <si>
    <t>seizure</t>
  </si>
  <si>
    <t>raving</t>
  </si>
  <si>
    <t>sauce</t>
  </si>
  <si>
    <t>gained</t>
  </si>
  <si>
    <t>outing</t>
  </si>
  <si>
    <t>split</t>
  </si>
  <si>
    <t>argh</t>
  </si>
  <si>
    <t>sister</t>
  </si>
  <si>
    <t>didn</t>
  </si>
  <si>
    <t>lib</t>
  </si>
  <si>
    <t>robbins</t>
  </si>
  <si>
    <t>swears</t>
  </si>
  <si>
    <t>stinking</t>
  </si>
  <si>
    <t>flares</t>
  </si>
  <si>
    <t>crest</t>
  </si>
  <si>
    <t>van</t>
  </si>
  <si>
    <t>homie</t>
  </si>
  <si>
    <t>ringer</t>
  </si>
  <si>
    <t>going</t>
  </si>
  <si>
    <t>heist</t>
  </si>
  <si>
    <t>crack</t>
  </si>
  <si>
    <t>steps</t>
  </si>
  <si>
    <t>stepping</t>
  </si>
  <si>
    <t>chapter</t>
  </si>
  <si>
    <t>chime</t>
  </si>
  <si>
    <t>headed</t>
  </si>
  <si>
    <t>being</t>
  </si>
  <si>
    <t>spender</t>
  </si>
  <si>
    <t>cease</t>
  </si>
  <si>
    <t>arras</t>
  </si>
  <si>
    <t>me</t>
  </si>
  <si>
    <t>curve</t>
  </si>
  <si>
    <t>rails</t>
  </si>
  <si>
    <t>buzzy</t>
  </si>
  <si>
    <t>their</t>
  </si>
  <si>
    <t>lewis</t>
  </si>
  <si>
    <t>learns</t>
  </si>
  <si>
    <t>thrill</t>
  </si>
  <si>
    <t>ho</t>
  </si>
  <si>
    <t>ok</t>
  </si>
  <si>
    <t>curry</t>
  </si>
  <si>
    <t>fr</t>
  </si>
  <si>
    <t>loch</t>
  </si>
  <si>
    <t>weep</t>
  </si>
  <si>
    <t>wiring</t>
  </si>
  <si>
    <t>bleep</t>
  </si>
  <si>
    <t>heir</t>
  </si>
  <si>
    <t>meow</t>
  </si>
  <si>
    <t>tastes</t>
  </si>
  <si>
    <t>slime</t>
  </si>
  <si>
    <t>sonny</t>
  </si>
  <si>
    <t>leary</t>
  </si>
  <si>
    <t>hanged</t>
  </si>
  <si>
    <t>curly</t>
  </si>
  <si>
    <t>pant</t>
  </si>
  <si>
    <t>dates</t>
  </si>
  <si>
    <t>paolo</t>
  </si>
  <si>
    <t>thus</t>
  </si>
  <si>
    <t>sal</t>
  </si>
  <si>
    <t>years</t>
  </si>
  <si>
    <t>betting</t>
  </si>
  <si>
    <t>ads</t>
  </si>
  <si>
    <t>roles</t>
  </si>
  <si>
    <t>petting</t>
  </si>
  <si>
    <t>herbs</t>
  </si>
  <si>
    <t>shutting</t>
  </si>
  <si>
    <t>shaped</t>
  </si>
  <si>
    <t>thirst</t>
  </si>
  <si>
    <t>bailed</t>
  </si>
  <si>
    <t>rouse</t>
  </si>
  <si>
    <t>into</t>
  </si>
  <si>
    <t>cheats</t>
  </si>
  <si>
    <t>norm</t>
  </si>
  <si>
    <t>cup</t>
  </si>
  <si>
    <t>chum</t>
  </si>
  <si>
    <t>duo</t>
  </si>
  <si>
    <t>map</t>
  </si>
  <si>
    <t>placing</t>
  </si>
  <si>
    <t>sorry</t>
  </si>
  <si>
    <t>notes</t>
  </si>
  <si>
    <t>satchel</t>
  </si>
  <si>
    <t>tear</t>
  </si>
  <si>
    <t>oops</t>
  </si>
  <si>
    <t>ha</t>
  </si>
  <si>
    <t>blume</t>
  </si>
  <si>
    <t>addressed</t>
  </si>
  <si>
    <t>snaps</t>
  </si>
  <si>
    <t>kettle</t>
  </si>
  <si>
    <t>massa</t>
  </si>
  <si>
    <t>pearly</t>
  </si>
  <si>
    <t>wiry</t>
  </si>
  <si>
    <t>days</t>
  </si>
  <si>
    <t>sixth</t>
  </si>
  <si>
    <t>ideals</t>
  </si>
  <si>
    <t>spooner</t>
  </si>
  <si>
    <t>yummy</t>
  </si>
  <si>
    <t>flattery</t>
  </si>
  <si>
    <t>weak</t>
  </si>
  <si>
    <t>shop</t>
  </si>
  <si>
    <t>meril</t>
  </si>
  <si>
    <t>bath</t>
  </si>
  <si>
    <t>ban</t>
  </si>
  <si>
    <t>barely</t>
  </si>
  <si>
    <t>fluffy</t>
  </si>
  <si>
    <t>sharon</t>
  </si>
  <si>
    <t>sucks</t>
  </si>
  <si>
    <t>wont</t>
  </si>
  <si>
    <t>sewers</t>
  </si>
  <si>
    <t>sworn</t>
  </si>
  <si>
    <t>oozing</t>
  </si>
  <si>
    <t>built</t>
  </si>
  <si>
    <t>forty</t>
  </si>
  <si>
    <t>cobbler</t>
  </si>
  <si>
    <t>jerk</t>
  </si>
  <si>
    <t>they</t>
  </si>
  <si>
    <t>delay</t>
  </si>
  <si>
    <t>luck</t>
  </si>
  <si>
    <t>horse</t>
  </si>
  <si>
    <t>spears</t>
  </si>
  <si>
    <t>cedar</t>
  </si>
  <si>
    <t>hang</t>
  </si>
  <si>
    <t>grab</t>
  </si>
  <si>
    <t>forks</t>
  </si>
  <si>
    <t>subs</t>
  </si>
  <si>
    <t>posted</t>
  </si>
  <si>
    <t>filed</t>
  </si>
  <si>
    <t>psycho</t>
  </si>
  <si>
    <t>pet</t>
  </si>
  <si>
    <t>luke</t>
  </si>
  <si>
    <t>purdy</t>
  </si>
  <si>
    <t>cocoa</t>
  </si>
  <si>
    <t>valley</t>
  </si>
  <si>
    <t>afloat</t>
  </si>
  <si>
    <t>fishy</t>
  </si>
  <si>
    <t>homey</t>
  </si>
  <si>
    <t>specs</t>
  </si>
  <si>
    <t>sense</t>
  </si>
  <si>
    <t>guessed</t>
  </si>
  <si>
    <t>noble</t>
  </si>
  <si>
    <t>picking</t>
  </si>
  <si>
    <t>stray</t>
  </si>
  <si>
    <t>annoy</t>
  </si>
  <si>
    <t>bluffing</t>
  </si>
  <si>
    <t>steaks</t>
  </si>
  <si>
    <t>madam</t>
  </si>
  <si>
    <t>ironed</t>
  </si>
  <si>
    <t>meg</t>
  </si>
  <si>
    <t>sim</t>
  </si>
  <si>
    <t>noll</t>
  </si>
  <si>
    <t>aisle</t>
  </si>
  <si>
    <t>gnarly</t>
  </si>
  <si>
    <t>squire</t>
  </si>
  <si>
    <t>jaws</t>
  </si>
  <si>
    <t>awoke</t>
  </si>
  <si>
    <t>soaked</t>
  </si>
  <si>
    <t>spun</t>
  </si>
  <si>
    <t>esquire</t>
  </si>
  <si>
    <t>burglars</t>
  </si>
  <si>
    <t>called</t>
  </si>
  <si>
    <t>brett</t>
  </si>
  <si>
    <t>prefer</t>
  </si>
  <si>
    <t>sierra</t>
  </si>
  <si>
    <t>attacking</t>
  </si>
  <si>
    <t>gamma</t>
  </si>
  <si>
    <t>ticking</t>
  </si>
  <si>
    <t>duke</t>
  </si>
  <si>
    <t>police</t>
  </si>
  <si>
    <t>rights</t>
  </si>
  <si>
    <t>et</t>
  </si>
  <si>
    <t>vulgar</t>
  </si>
  <si>
    <t>yet</t>
  </si>
  <si>
    <t>dun</t>
  </si>
  <si>
    <t>lured</t>
  </si>
  <si>
    <t>known</t>
  </si>
  <si>
    <t>collie</t>
  </si>
  <si>
    <t>nerd</t>
  </si>
  <si>
    <t>oily</t>
  </si>
  <si>
    <t>yippee</t>
  </si>
  <si>
    <t>granite</t>
  </si>
  <si>
    <t>hauling</t>
  </si>
  <si>
    <t>singing</t>
  </si>
  <si>
    <t>gruel</t>
  </si>
  <si>
    <t>some</t>
  </si>
  <si>
    <t>bernard</t>
  </si>
  <si>
    <t>gift</t>
  </si>
  <si>
    <t>perch</t>
  </si>
  <si>
    <t>pillar</t>
  </si>
  <si>
    <t>bloke</t>
  </si>
  <si>
    <t>ii</t>
  </si>
  <si>
    <t>room</t>
  </si>
  <si>
    <t>tag</t>
  </si>
  <si>
    <t>creme</t>
  </si>
  <si>
    <t>reside</t>
  </si>
  <si>
    <t>rates</t>
  </si>
  <si>
    <t>beirut</t>
  </si>
  <si>
    <t>twat</t>
  </si>
  <si>
    <t>building</t>
  </si>
  <si>
    <t>chow</t>
  </si>
  <si>
    <t>bleeds</t>
  </si>
  <si>
    <t>bucks</t>
  </si>
  <si>
    <t>shocked</t>
  </si>
  <si>
    <t>crews</t>
  </si>
  <si>
    <t>dears</t>
  </si>
  <si>
    <t>ripe</t>
  </si>
  <si>
    <t>flour</t>
  </si>
  <si>
    <t>aorta</t>
  </si>
  <si>
    <t>stockings</t>
  </si>
  <si>
    <t>lobby</t>
  </si>
  <si>
    <t>might</t>
  </si>
  <si>
    <t>hissing</t>
  </si>
  <si>
    <t>rc</t>
  </si>
  <si>
    <t>fm</t>
  </si>
  <si>
    <t>builder</t>
  </si>
  <si>
    <t>flaws</t>
  </si>
  <si>
    <t>quits</t>
  </si>
  <si>
    <t>carrot</t>
  </si>
  <si>
    <t>chat</t>
  </si>
  <si>
    <t>cutter</t>
  </si>
  <si>
    <t>unc</t>
  </si>
  <si>
    <t>down</t>
  </si>
  <si>
    <t>nun</t>
  </si>
  <si>
    <t>doomed</t>
  </si>
  <si>
    <t>hammy</t>
  </si>
  <si>
    <t>dock</t>
  </si>
  <si>
    <t>sells</t>
  </si>
  <si>
    <t>glad</t>
  </si>
  <si>
    <t>girl</t>
  </si>
  <si>
    <t>ich</t>
  </si>
  <si>
    <t>stern</t>
  </si>
  <si>
    <t>gully</t>
  </si>
  <si>
    <t>than</t>
  </si>
  <si>
    <t>mummy</t>
  </si>
  <si>
    <t>claus</t>
  </si>
  <si>
    <t>size</t>
  </si>
  <si>
    <t>hmm</t>
  </si>
  <si>
    <t>error</t>
  </si>
  <si>
    <t>coals</t>
  </si>
  <si>
    <t>witch</t>
  </si>
  <si>
    <t>bagged</t>
  </si>
  <si>
    <t>prides</t>
  </si>
  <si>
    <t>era</t>
  </si>
  <si>
    <t>quincy</t>
  </si>
  <si>
    <t>hither</t>
  </si>
  <si>
    <t>hut</t>
  </si>
  <si>
    <t>jude</t>
  </si>
  <si>
    <t>gulls</t>
  </si>
  <si>
    <t>shin</t>
  </si>
  <si>
    <t>these</t>
  </si>
  <si>
    <t>calmed</t>
  </si>
  <si>
    <t>prom</t>
  </si>
  <si>
    <t>growing</t>
  </si>
  <si>
    <t>runt</t>
  </si>
  <si>
    <t>up</t>
  </si>
  <si>
    <t>martha</t>
  </si>
  <si>
    <t>dill</t>
  </si>
  <si>
    <t>fuller</t>
  </si>
  <si>
    <t>gator</t>
  </si>
  <si>
    <t>apt</t>
  </si>
  <si>
    <t>aunty</t>
  </si>
  <si>
    <t>pussy</t>
  </si>
  <si>
    <t>shown</t>
  </si>
  <si>
    <t>already</t>
  </si>
  <si>
    <t>singh</t>
  </si>
  <si>
    <t>york</t>
  </si>
  <si>
    <t>web</t>
  </si>
  <si>
    <t>slick</t>
  </si>
  <si>
    <t>af</t>
  </si>
  <si>
    <t>its</t>
  </si>
  <si>
    <t>warmed</t>
  </si>
  <si>
    <t>appealing</t>
  </si>
  <si>
    <t>hidden</t>
  </si>
  <si>
    <t>juror</t>
  </si>
  <si>
    <t>fetch</t>
  </si>
  <si>
    <t>cost</t>
  </si>
  <si>
    <t>daisies</t>
  </si>
  <si>
    <t>plum</t>
  </si>
  <si>
    <t>feast</t>
  </si>
  <si>
    <t>stuffed</t>
  </si>
  <si>
    <t>billy</t>
  </si>
  <si>
    <t>blunder</t>
  </si>
  <si>
    <t>doubt</t>
  </si>
  <si>
    <t>mae</t>
  </si>
  <si>
    <t>bree</t>
  </si>
  <si>
    <t>super</t>
  </si>
  <si>
    <t>jazz</t>
  </si>
  <si>
    <t>shelves</t>
  </si>
  <si>
    <t>gabby</t>
  </si>
  <si>
    <t>waist</t>
  </si>
  <si>
    <t>yah</t>
  </si>
  <si>
    <t>butting</t>
  </si>
  <si>
    <t>gallon</t>
  </si>
  <si>
    <t>treaty</t>
  </si>
  <si>
    <t>supposing</t>
  </si>
  <si>
    <t>nope</t>
  </si>
  <si>
    <t>cries</t>
  </si>
  <si>
    <t>gloss</t>
  </si>
  <si>
    <t>went</t>
  </si>
  <si>
    <t>brawl</t>
  </si>
  <si>
    <t>allies</t>
  </si>
  <si>
    <t>paying</t>
  </si>
  <si>
    <t>draining</t>
  </si>
  <si>
    <t>roger</t>
  </si>
  <si>
    <t>drum</t>
  </si>
  <si>
    <t>jekyll</t>
  </si>
  <si>
    <t>glue</t>
  </si>
  <si>
    <t>carr</t>
  </si>
  <si>
    <t>chrome</t>
  </si>
  <si>
    <t>tenure</t>
  </si>
  <si>
    <t>veins</t>
  </si>
  <si>
    <t>third</t>
  </si>
  <si>
    <t>toad</t>
  </si>
  <si>
    <t>chalk</t>
  </si>
  <si>
    <t>sewn</t>
  </si>
  <si>
    <t>burned</t>
  </si>
  <si>
    <t>prop</t>
  </si>
  <si>
    <t>garde</t>
  </si>
  <si>
    <t>vouch</t>
  </si>
  <si>
    <t>texting</t>
  </si>
  <si>
    <t>florist</t>
  </si>
  <si>
    <t>mart</t>
  </si>
  <si>
    <t>ranch</t>
  </si>
  <si>
    <t>mills</t>
  </si>
  <si>
    <t>sucking</t>
  </si>
  <si>
    <t>pigs</t>
  </si>
  <si>
    <t>lump</t>
  </si>
  <si>
    <t>ell</t>
  </si>
  <si>
    <t>asset</t>
  </si>
  <si>
    <t>snapped</t>
  </si>
  <si>
    <t>valve</t>
  </si>
  <si>
    <t>sir</t>
  </si>
  <si>
    <t>papa</t>
  </si>
  <si>
    <t>lovely</t>
  </si>
  <si>
    <t>salt</t>
  </si>
  <si>
    <t>joust</t>
  </si>
  <si>
    <t>triad</t>
  </si>
  <si>
    <t>rabies</t>
  </si>
  <si>
    <t>spies</t>
  </si>
  <si>
    <t>sniffs</t>
  </si>
  <si>
    <t>backs</t>
  </si>
  <si>
    <t>il</t>
  </si>
  <si>
    <t>wiping</t>
  </si>
  <si>
    <t>stinging</t>
  </si>
  <si>
    <t>chief</t>
  </si>
  <si>
    <t>yee</t>
  </si>
  <si>
    <t>diane</t>
  </si>
  <si>
    <t>vinci</t>
  </si>
  <si>
    <t>crop</t>
  </si>
  <si>
    <t>scans</t>
  </si>
  <si>
    <t>dime</t>
  </si>
  <si>
    <t>loathe</t>
  </si>
  <si>
    <t>invent</t>
  </si>
  <si>
    <t>pokey</t>
  </si>
  <si>
    <t>smelly</t>
  </si>
  <si>
    <t>waits</t>
  </si>
  <si>
    <t>snoop</t>
  </si>
  <si>
    <t>while</t>
  </si>
  <si>
    <t>skipped</t>
  </si>
  <si>
    <t>pup</t>
  </si>
  <si>
    <t>aspen</t>
  </si>
  <si>
    <t>stuart</t>
  </si>
  <si>
    <t>tug</t>
  </si>
  <si>
    <t>mach</t>
  </si>
  <si>
    <t>non</t>
  </si>
  <si>
    <t>that</t>
  </si>
  <si>
    <t>wha</t>
  </si>
  <si>
    <t>dart</t>
  </si>
  <si>
    <t>aka</t>
  </si>
  <si>
    <t>demise</t>
  </si>
  <si>
    <t>grams</t>
  </si>
  <si>
    <t>sark</t>
  </si>
  <si>
    <t>bela</t>
  </si>
  <si>
    <t>with</t>
  </si>
  <si>
    <t>comet</t>
  </si>
  <si>
    <t>alley</t>
  </si>
  <si>
    <t>even</t>
  </si>
  <si>
    <t>slams</t>
  </si>
  <si>
    <t>km</t>
  </si>
  <si>
    <t>maggie</t>
  </si>
  <si>
    <t>phone</t>
  </si>
  <si>
    <t>slant</t>
  </si>
  <si>
    <t>cheesy</t>
  </si>
  <si>
    <t>ferry</t>
  </si>
  <si>
    <t>buds</t>
  </si>
  <si>
    <t>rice</t>
  </si>
  <si>
    <t>carriers</t>
  </si>
  <si>
    <t>decree</t>
  </si>
  <si>
    <t>putt</t>
  </si>
  <si>
    <t>lobe</t>
  </si>
  <si>
    <t>liter</t>
  </si>
  <si>
    <t>brood</t>
  </si>
  <si>
    <t>drainage</t>
  </si>
  <si>
    <t>paddy</t>
  </si>
  <si>
    <t>stays</t>
  </si>
  <si>
    <t>flies</t>
  </si>
  <si>
    <t>rust</t>
  </si>
  <si>
    <t>slate</t>
  </si>
  <si>
    <t>nursed</t>
  </si>
  <si>
    <t>buffy</t>
  </si>
  <si>
    <t>aa</t>
  </si>
  <si>
    <t>irish</t>
  </si>
  <si>
    <t>phoned</t>
  </si>
  <si>
    <t>chimp</t>
  </si>
  <si>
    <t>pinched</t>
  </si>
  <si>
    <t>allan</t>
  </si>
  <si>
    <t>ro</t>
  </si>
  <si>
    <t>bourbon</t>
  </si>
  <si>
    <t>ss</t>
  </si>
  <si>
    <t>crown</t>
  </si>
  <si>
    <t>zoom</t>
  </si>
  <si>
    <t>greedy</t>
  </si>
  <si>
    <t>cushion</t>
  </si>
  <si>
    <t>amos</t>
  </si>
  <si>
    <t>is</t>
  </si>
  <si>
    <t>guilty</t>
  </si>
  <si>
    <t>outings</t>
  </si>
  <si>
    <t>aqua</t>
  </si>
  <si>
    <t>boner</t>
  </si>
  <si>
    <t>newer</t>
  </si>
  <si>
    <t>gloria</t>
  </si>
  <si>
    <t>chase</t>
  </si>
  <si>
    <t>paso</t>
  </si>
  <si>
    <t>inning</t>
  </si>
  <si>
    <t>stoney</t>
  </si>
  <si>
    <t>search</t>
  </si>
  <si>
    <t>famed</t>
  </si>
  <si>
    <t>minor</t>
  </si>
  <si>
    <t>heed</t>
  </si>
  <si>
    <t>pond</t>
  </si>
  <si>
    <t>arms</t>
  </si>
  <si>
    <t>vetted</t>
  </si>
  <si>
    <t>hump</t>
  </si>
  <si>
    <t>mouth</t>
  </si>
  <si>
    <t>mid</t>
  </si>
  <si>
    <t>fixes</t>
  </si>
  <si>
    <t>raping</t>
  </si>
  <si>
    <t>mudd</t>
  </si>
  <si>
    <t>letting</t>
  </si>
  <si>
    <t>disease</t>
  </si>
  <si>
    <t>gin</t>
  </si>
  <si>
    <t>cove</t>
  </si>
  <si>
    <t>touring</t>
  </si>
  <si>
    <t>vow</t>
  </si>
  <si>
    <t>penny</t>
  </si>
  <si>
    <t>borrow</t>
  </si>
  <si>
    <t>hive</t>
  </si>
  <si>
    <t>tim</t>
  </si>
  <si>
    <t>god</t>
  </si>
  <si>
    <t>smelt</t>
  </si>
  <si>
    <t>skinny</t>
  </si>
  <si>
    <t>camp</t>
  </si>
  <si>
    <t>monday</t>
  </si>
  <si>
    <t>mugged</t>
  </si>
  <si>
    <t>hearse</t>
  </si>
  <si>
    <t>acres</t>
  </si>
  <si>
    <t>boobies</t>
  </si>
  <si>
    <t>deed</t>
  </si>
  <si>
    <t>blend</t>
  </si>
  <si>
    <t>scale</t>
  </si>
  <si>
    <t>schmooze</t>
  </si>
  <si>
    <t>senses</t>
  </si>
  <si>
    <t>wed</t>
  </si>
  <si>
    <t>amp</t>
  </si>
  <si>
    <t>queer</t>
  </si>
  <si>
    <t>comes</t>
  </si>
  <si>
    <t>lower</t>
  </si>
  <si>
    <t>passed</t>
  </si>
  <si>
    <t>loca</t>
  </si>
  <si>
    <t>lamb</t>
  </si>
  <si>
    <t>causing</t>
  </si>
  <si>
    <t>cliffs</t>
  </si>
  <si>
    <t>hobby</t>
  </si>
  <si>
    <t>hooded</t>
  </si>
  <si>
    <t>aimed</t>
  </si>
  <si>
    <t>cheater</t>
  </si>
  <si>
    <t>did</t>
  </si>
  <si>
    <t>pores</t>
  </si>
  <si>
    <t>fatter</t>
  </si>
  <si>
    <t>chapel</t>
  </si>
  <si>
    <t>lent</t>
  </si>
  <si>
    <t>buildup</t>
  </si>
  <si>
    <t>narc</t>
  </si>
  <si>
    <t>shush</t>
  </si>
  <si>
    <t>screamed</t>
  </si>
  <si>
    <t>bull</t>
  </si>
  <si>
    <t>pitch</t>
  </si>
  <si>
    <t>creamed</t>
  </si>
  <si>
    <t>freed</t>
  </si>
  <si>
    <t>hoi</t>
  </si>
  <si>
    <t>spelled</t>
  </si>
  <si>
    <t>talkie</t>
  </si>
  <si>
    <t>fallow</t>
  </si>
  <si>
    <t>stared</t>
  </si>
  <si>
    <t>smother</t>
  </si>
  <si>
    <t>alter</t>
  </si>
  <si>
    <t>budge</t>
  </si>
  <si>
    <t>teens</t>
  </si>
  <si>
    <t>mink</t>
  </si>
  <si>
    <t>wee</t>
  </si>
  <si>
    <t>live</t>
  </si>
  <si>
    <t>ko</t>
  </si>
  <si>
    <t>pitched</t>
  </si>
  <si>
    <t>racial</t>
  </si>
  <si>
    <t>greeks</t>
  </si>
  <si>
    <t>ac</t>
  </si>
  <si>
    <t>led</t>
  </si>
  <si>
    <t>cub</t>
  </si>
  <si>
    <t>volts</t>
  </si>
  <si>
    <t>traced</t>
  </si>
  <si>
    <t>thief</t>
  </si>
  <si>
    <t>donna</t>
  </si>
  <si>
    <t>wen</t>
  </si>
  <si>
    <t>fret</t>
  </si>
  <si>
    <t>leper</t>
  </si>
  <si>
    <t>mates</t>
  </si>
  <si>
    <t>crypt</t>
  </si>
  <si>
    <t>hefty</t>
  </si>
  <si>
    <t>ar</t>
  </si>
  <si>
    <t>chord</t>
  </si>
  <si>
    <t>risked</t>
  </si>
  <si>
    <t>bold</t>
  </si>
  <si>
    <t>plunder</t>
  </si>
  <si>
    <t>honor</t>
  </si>
  <si>
    <t>curl</t>
  </si>
  <si>
    <t>cream</t>
  </si>
  <si>
    <t>spots</t>
  </si>
  <si>
    <t>plow</t>
  </si>
  <si>
    <t>prove</t>
  </si>
  <si>
    <t>b</t>
  </si>
  <si>
    <t>repeat</t>
  </si>
  <si>
    <t>des</t>
  </si>
  <si>
    <t>michael</t>
  </si>
  <si>
    <t>tigger</t>
  </si>
  <si>
    <t>ms</t>
  </si>
  <si>
    <t>mourn</t>
  </si>
  <si>
    <t>boobs</t>
  </si>
  <si>
    <t>demon</t>
  </si>
  <si>
    <t>bar</t>
  </si>
  <si>
    <t>midget</t>
  </si>
  <si>
    <t>rumors</t>
  </si>
  <si>
    <t>gout</t>
  </si>
  <si>
    <t>stem</t>
  </si>
  <si>
    <t>vested</t>
  </si>
  <si>
    <t>baking</t>
  </si>
  <si>
    <t>johnny</t>
  </si>
  <si>
    <t>crops</t>
  </si>
  <si>
    <t>list</t>
  </si>
  <si>
    <t>spicy</t>
  </si>
  <si>
    <t>mine</t>
  </si>
  <si>
    <t>taller</t>
  </si>
  <si>
    <t>coles</t>
  </si>
  <si>
    <t>santa</t>
  </si>
  <si>
    <t>wits</t>
  </si>
  <si>
    <t>snitch</t>
  </si>
  <si>
    <t>tenor</t>
  </si>
  <si>
    <t>frisk</t>
  </si>
  <si>
    <t>crawls</t>
  </si>
  <si>
    <t>mecca</t>
  </si>
  <si>
    <t>reese</t>
  </si>
  <si>
    <t>printer</t>
  </si>
  <si>
    <t>farmers</t>
  </si>
  <si>
    <t>gloves</t>
  </si>
  <si>
    <t>sky</t>
  </si>
  <si>
    <t>blacks</t>
  </si>
  <si>
    <t>snacks</t>
  </si>
  <si>
    <t>brook</t>
  </si>
  <si>
    <t>spoon</t>
  </si>
  <si>
    <t>coco</t>
  </si>
  <si>
    <t>vin</t>
  </si>
  <si>
    <t>astray</t>
  </si>
  <si>
    <t>foes</t>
  </si>
  <si>
    <t>tested</t>
  </si>
  <si>
    <t>fritz</t>
  </si>
  <si>
    <t>benny</t>
  </si>
  <si>
    <t>flames</t>
  </si>
  <si>
    <t>pow</t>
  </si>
  <si>
    <t>smear</t>
  </si>
  <si>
    <t>shear</t>
  </si>
  <si>
    <t>pointing</t>
  </si>
  <si>
    <t>ps</t>
  </si>
  <si>
    <t>lips</t>
  </si>
  <si>
    <t>skulls</t>
  </si>
  <si>
    <t>morg</t>
  </si>
  <si>
    <t>stung</t>
  </si>
  <si>
    <t>homage</t>
  </si>
  <si>
    <t>sleeve</t>
  </si>
  <si>
    <t>aft</t>
  </si>
  <si>
    <t>planted</t>
  </si>
  <si>
    <t>stinks</t>
  </si>
  <si>
    <t>photo</t>
  </si>
  <si>
    <t>plan</t>
  </si>
  <si>
    <t>clive</t>
  </si>
  <si>
    <t>dizzy</t>
  </si>
  <si>
    <t>painting</t>
  </si>
  <si>
    <t>workout</t>
  </si>
  <si>
    <t>flavour</t>
  </si>
  <si>
    <t>ops</t>
  </si>
  <si>
    <t>cheat</t>
  </si>
  <si>
    <t>mosque</t>
  </si>
  <si>
    <t>jess</t>
  </si>
  <si>
    <t>crumb</t>
  </si>
  <si>
    <t>him</t>
  </si>
  <si>
    <t>limo</t>
  </si>
  <si>
    <t>chips</t>
  </si>
  <si>
    <t>downed</t>
  </si>
  <si>
    <t>nam</t>
  </si>
  <si>
    <t>dur</t>
  </si>
  <si>
    <t>shook</t>
  </si>
  <si>
    <t>writes</t>
  </si>
  <si>
    <t>whoopee</t>
  </si>
  <si>
    <t>aunts</t>
  </si>
  <si>
    <t>lads</t>
  </si>
  <si>
    <t>youth</t>
  </si>
  <si>
    <t>mangy</t>
  </si>
  <si>
    <t>echoes</t>
  </si>
  <si>
    <t>jam</t>
  </si>
  <si>
    <t>gist</t>
  </si>
  <si>
    <t>gnome</t>
  </si>
  <si>
    <t>have</t>
  </si>
  <si>
    <t>sun</t>
  </si>
  <si>
    <t>faulty</t>
  </si>
  <si>
    <t>watts</t>
  </si>
  <si>
    <t>sales</t>
  </si>
  <si>
    <t>seal</t>
  </si>
  <si>
    <t>egg</t>
  </si>
  <si>
    <t>hey</t>
  </si>
  <si>
    <t>thai</t>
  </si>
  <si>
    <t>fleas</t>
  </si>
  <si>
    <t>it</t>
  </si>
  <si>
    <t>leads</t>
  </si>
  <si>
    <t>ever</t>
  </si>
  <si>
    <t>peachy</t>
  </si>
  <si>
    <t>k</t>
  </si>
  <si>
    <t>fiancee</t>
  </si>
  <si>
    <t>hark</t>
  </si>
  <si>
    <t>breeze</t>
  </si>
  <si>
    <t>begs</t>
  </si>
  <si>
    <t>scared</t>
  </si>
  <si>
    <t>gets</t>
  </si>
  <si>
    <t>clair</t>
  </si>
  <si>
    <t>hush</t>
  </si>
  <si>
    <t>roll</t>
  </si>
  <si>
    <t>bowl</t>
  </si>
  <si>
    <t>pad</t>
  </si>
  <si>
    <t>virge</t>
  </si>
  <si>
    <t>bizarre</t>
  </si>
  <si>
    <t>adds</t>
  </si>
  <si>
    <t>fond</t>
  </si>
  <si>
    <t>kept</t>
  </si>
  <si>
    <t>cruise</t>
  </si>
  <si>
    <t>hop</t>
  </si>
  <si>
    <t>beak</t>
  </si>
  <si>
    <t>tract</t>
  </si>
  <si>
    <t>leash</t>
  </si>
  <si>
    <t>billie</t>
  </si>
  <si>
    <t>zeus</t>
  </si>
  <si>
    <t>sailed</t>
  </si>
  <si>
    <t>tight</t>
  </si>
  <si>
    <t>dreamed</t>
  </si>
  <si>
    <t>pol</t>
  </si>
  <si>
    <t>lawn</t>
  </si>
  <si>
    <t>bribe</t>
  </si>
  <si>
    <t>suck</t>
  </si>
  <si>
    <t>pooch</t>
  </si>
  <si>
    <t>billing</t>
  </si>
  <si>
    <t>address</t>
  </si>
  <si>
    <t>hes</t>
  </si>
  <si>
    <t>olives</t>
  </si>
  <si>
    <t>us</t>
  </si>
  <si>
    <t>haul</t>
  </si>
  <si>
    <t>bonnie</t>
  </si>
  <si>
    <t>type</t>
  </si>
  <si>
    <t>buggy</t>
  </si>
  <si>
    <t>wraps</t>
  </si>
  <si>
    <t>forest</t>
  </si>
  <si>
    <t>lodging</t>
  </si>
  <si>
    <t>roach</t>
  </si>
  <si>
    <t>nice</t>
  </si>
  <si>
    <t>most</t>
  </si>
  <si>
    <t>warned</t>
  </si>
  <si>
    <t>oppressed</t>
  </si>
  <si>
    <t>hog</t>
  </si>
  <si>
    <t>allied</t>
  </si>
  <si>
    <t>yen</t>
  </si>
  <si>
    <t>ox</t>
  </si>
  <si>
    <t>inc</t>
  </si>
  <si>
    <t>tried</t>
  </si>
  <si>
    <t>seas</t>
  </si>
  <si>
    <t>soul</t>
  </si>
  <si>
    <t>whooping</t>
  </si>
  <si>
    <t>sling</t>
  </si>
  <si>
    <t>laid</t>
  </si>
  <si>
    <t>greet</t>
  </si>
  <si>
    <t>hallo</t>
  </si>
  <si>
    <t>shrine</t>
  </si>
  <si>
    <t>raging</t>
  </si>
  <si>
    <t>role</t>
  </si>
  <si>
    <t>tens</t>
  </si>
  <si>
    <t>psyche</t>
  </si>
  <si>
    <t>brit</t>
  </si>
  <si>
    <t>snag</t>
  </si>
  <si>
    <t>smoother</t>
  </si>
  <si>
    <t>deli</t>
  </si>
  <si>
    <t>blades</t>
  </si>
  <si>
    <t>piggy</t>
  </si>
  <si>
    <t>hunt</t>
  </si>
  <si>
    <t>sent</t>
  </si>
  <si>
    <t>spent</t>
  </si>
  <si>
    <t>cokes</t>
  </si>
  <si>
    <t>odin</t>
  </si>
  <si>
    <t>cart</t>
  </si>
  <si>
    <t>ramp</t>
  </si>
  <si>
    <t>blames</t>
  </si>
  <si>
    <t>total</t>
  </si>
  <si>
    <t>welch</t>
  </si>
  <si>
    <t>lamas</t>
  </si>
  <si>
    <t>crowd</t>
  </si>
  <si>
    <t>unlock</t>
  </si>
  <si>
    <t>tide</t>
  </si>
  <si>
    <t>dealer</t>
  </si>
  <si>
    <t>pile</t>
  </si>
  <si>
    <t>swarm</t>
  </si>
  <si>
    <t>aboard</t>
  </si>
  <si>
    <t>awaiting</t>
  </si>
  <si>
    <t>feed</t>
  </si>
  <si>
    <t>quarts</t>
  </si>
  <si>
    <t>pound</t>
  </si>
  <si>
    <t>rome</t>
  </si>
  <si>
    <t>dike</t>
  </si>
  <si>
    <t>fierce</t>
  </si>
  <si>
    <t>dive</t>
  </si>
  <si>
    <t>denies</t>
  </si>
  <si>
    <t>fact</t>
  </si>
  <si>
    <t>spends</t>
  </si>
  <si>
    <t>hissed</t>
  </si>
  <si>
    <t>nana</t>
  </si>
  <si>
    <t>sparrow</t>
  </si>
  <si>
    <t>sails</t>
  </si>
  <si>
    <t>bled</t>
  </si>
  <si>
    <t>stuck</t>
  </si>
  <si>
    <t>stunned</t>
  </si>
  <si>
    <t>nose</t>
  </si>
  <si>
    <t>sprayed</t>
  </si>
  <si>
    <t>ren</t>
  </si>
  <si>
    <t>rag</t>
  </si>
  <si>
    <t>matey</t>
  </si>
  <si>
    <t>oof</t>
  </si>
  <si>
    <t>bond</t>
  </si>
  <si>
    <t>heller</t>
  </si>
  <si>
    <t>farms</t>
  </si>
  <si>
    <t>ex</t>
  </si>
  <si>
    <t>klan</t>
  </si>
  <si>
    <t>cuff</t>
  </si>
  <si>
    <t>jim</t>
  </si>
  <si>
    <t>spend</t>
  </si>
  <si>
    <t>lovey</t>
  </si>
  <si>
    <t>sweeping</t>
  </si>
  <si>
    <t>hum</t>
  </si>
  <si>
    <t>grips</t>
  </si>
  <si>
    <t>dane</t>
  </si>
  <si>
    <t>chuck</t>
  </si>
  <si>
    <t>spells</t>
  </si>
  <si>
    <t>newly</t>
  </si>
  <si>
    <t>burgers</t>
  </si>
  <si>
    <t>hilly</t>
  </si>
  <si>
    <t>boob</t>
  </si>
  <si>
    <t>peak</t>
  </si>
  <si>
    <t>husky</t>
  </si>
  <si>
    <t>banish</t>
  </si>
  <si>
    <t>cuckoo</t>
  </si>
  <si>
    <t>paul</t>
  </si>
  <si>
    <t>dose</t>
  </si>
  <si>
    <t>leased</t>
  </si>
  <si>
    <t>dial</t>
  </si>
  <si>
    <t>ducky</t>
  </si>
  <si>
    <t>ring</t>
  </si>
  <si>
    <t>poll</t>
  </si>
  <si>
    <t>mali</t>
  </si>
  <si>
    <t>brian</t>
  </si>
  <si>
    <t>zen</t>
  </si>
  <si>
    <t>smells</t>
  </si>
  <si>
    <t>jerks</t>
  </si>
  <si>
    <t>apple</t>
  </si>
  <si>
    <t>patch</t>
  </si>
  <si>
    <t>lying</t>
  </si>
  <si>
    <t>doe</t>
  </si>
  <si>
    <t>glory</t>
  </si>
  <si>
    <t>void</t>
  </si>
  <si>
    <t>casper</t>
  </si>
  <si>
    <t>flied</t>
  </si>
  <si>
    <t>sooner</t>
  </si>
  <si>
    <t>earn</t>
  </si>
  <si>
    <t>pooped</t>
  </si>
  <si>
    <t>curled</t>
  </si>
  <si>
    <t>nix</t>
  </si>
  <si>
    <t>clock</t>
  </si>
  <si>
    <t>mitt</t>
  </si>
  <si>
    <t>batch</t>
  </si>
  <si>
    <t>nene</t>
  </si>
  <si>
    <t>starring</t>
  </si>
  <si>
    <t>shaping</t>
  </si>
  <si>
    <t>lire</t>
  </si>
  <si>
    <t>scold</t>
  </si>
  <si>
    <t>wished</t>
  </si>
  <si>
    <t>spud</t>
  </si>
  <si>
    <t>palp</t>
  </si>
  <si>
    <t>sykes</t>
  </si>
  <si>
    <t>pollock</t>
  </si>
  <si>
    <t>files</t>
  </si>
  <si>
    <t>drift</t>
  </si>
  <si>
    <t>right</t>
  </si>
  <si>
    <t>noel</t>
  </si>
  <si>
    <t>better</t>
  </si>
  <si>
    <t>tuck</t>
  </si>
  <si>
    <t>bp</t>
  </si>
  <si>
    <t>luau</t>
  </si>
  <si>
    <t>pang</t>
  </si>
  <si>
    <t>whoops</t>
  </si>
  <si>
    <t>fat</t>
  </si>
  <si>
    <t>films</t>
  </si>
  <si>
    <t>cramped</t>
  </si>
  <si>
    <t>fold</t>
  </si>
  <si>
    <t>rubbers</t>
  </si>
  <si>
    <t>painters</t>
  </si>
  <si>
    <t>corpse</t>
  </si>
  <si>
    <t>bush</t>
  </si>
  <si>
    <t>slang</t>
  </si>
  <si>
    <t>walkout</t>
  </si>
  <si>
    <t>dopey</t>
  </si>
  <si>
    <t>wedded</t>
  </si>
  <si>
    <t>squirty</t>
  </si>
  <si>
    <t>limits</t>
  </si>
  <si>
    <t>burma</t>
  </si>
  <si>
    <t>gate</t>
  </si>
  <si>
    <t>dense</t>
  </si>
  <si>
    <t>dress</t>
  </si>
  <si>
    <t>fooling</t>
  </si>
  <si>
    <t>bub</t>
  </si>
  <si>
    <t>stopping</t>
  </si>
  <si>
    <t>fights</t>
  </si>
  <si>
    <t>whim</t>
  </si>
  <si>
    <t>raines</t>
  </si>
  <si>
    <t>apart</t>
  </si>
  <si>
    <t>rating</t>
  </si>
  <si>
    <t>lan</t>
  </si>
  <si>
    <t>sing</t>
  </si>
  <si>
    <t>glitch</t>
  </si>
  <si>
    <t>stepped</t>
  </si>
  <si>
    <t>mushy</t>
  </si>
  <si>
    <t>tyler</t>
  </si>
  <si>
    <t>flare</t>
  </si>
  <si>
    <t>buzzer</t>
  </si>
  <si>
    <t>paged</t>
  </si>
  <si>
    <t>wild</t>
  </si>
  <si>
    <t>chile</t>
  </si>
  <si>
    <t>bling</t>
  </si>
  <si>
    <t>chant</t>
  </si>
  <si>
    <t>liven</t>
  </si>
  <si>
    <t>paco</t>
  </si>
  <si>
    <t>gallant</t>
  </si>
  <si>
    <t>rousted</t>
  </si>
  <si>
    <t>buddies</t>
  </si>
  <si>
    <t>lapp</t>
  </si>
  <si>
    <t>hobo</t>
  </si>
  <si>
    <t>social</t>
  </si>
  <si>
    <t>poaching</t>
  </si>
  <si>
    <t>data</t>
  </si>
  <si>
    <t>dodged</t>
  </si>
  <si>
    <t>shan</t>
  </si>
  <si>
    <t>mixing</t>
  </si>
  <si>
    <t>debts</t>
  </si>
  <si>
    <t>heron</t>
  </si>
  <si>
    <t>killer</t>
  </si>
  <si>
    <t>guineas</t>
  </si>
  <si>
    <t>strict</t>
  </si>
  <si>
    <t>aunt</t>
  </si>
  <si>
    <t>swell</t>
  </si>
  <si>
    <t>picky</t>
  </si>
  <si>
    <t>czech</t>
  </si>
  <si>
    <t>liza</t>
  </si>
  <si>
    <t>fin</t>
  </si>
  <si>
    <t>cried</t>
  </si>
  <si>
    <t>lance</t>
  </si>
  <si>
    <t>axe</t>
  </si>
  <si>
    <t>swedes</t>
  </si>
  <si>
    <t>pan</t>
  </si>
  <si>
    <t>swine</t>
  </si>
  <si>
    <t>keeps</t>
  </si>
  <si>
    <t>glow</t>
  </si>
  <si>
    <t>rut</t>
  </si>
  <si>
    <t>goldie</t>
  </si>
  <si>
    <t>klutz</t>
  </si>
  <si>
    <t>pong</t>
  </si>
  <si>
    <t>litch</t>
  </si>
  <si>
    <t>lens</t>
  </si>
  <si>
    <t>mal</t>
  </si>
  <si>
    <t>throws</t>
  </si>
  <si>
    <t>shears</t>
  </si>
  <si>
    <t>jenny</t>
  </si>
  <si>
    <t>peking</t>
  </si>
  <si>
    <t>eights</t>
  </si>
  <si>
    <t>grey</t>
  </si>
  <si>
    <t>z</t>
  </si>
  <si>
    <t>ord</t>
  </si>
  <si>
    <t>metal</t>
  </si>
  <si>
    <t>noisy</t>
  </si>
  <si>
    <t>f</t>
  </si>
  <si>
    <t>pebble</t>
  </si>
  <si>
    <t>wimp</t>
  </si>
  <si>
    <t>lama</t>
  </si>
  <si>
    <t>tanner</t>
  </si>
  <si>
    <t>scanner</t>
  </si>
  <si>
    <t>lions</t>
  </si>
  <si>
    <t>babe</t>
  </si>
  <si>
    <t>te</t>
  </si>
  <si>
    <t>stares</t>
  </si>
  <si>
    <t>cho</t>
  </si>
  <si>
    <t>crisp</t>
  </si>
  <si>
    <t>plagued</t>
  </si>
  <si>
    <t>glued</t>
  </si>
  <si>
    <t>hanna</t>
  </si>
  <si>
    <t>blond</t>
  </si>
  <si>
    <t>oval</t>
  </si>
  <si>
    <t>preset</t>
  </si>
  <si>
    <t>bee</t>
  </si>
  <si>
    <t>breast</t>
  </si>
  <si>
    <t>slipper</t>
  </si>
  <si>
    <t>tread</t>
  </si>
  <si>
    <t>puppy</t>
  </si>
  <si>
    <t>diet</t>
  </si>
  <si>
    <t>seals</t>
  </si>
  <si>
    <t>reply</t>
  </si>
  <si>
    <t>like</t>
  </si>
  <si>
    <t>ploy</t>
  </si>
  <si>
    <t>foul</t>
  </si>
  <si>
    <t>shrewd</t>
  </si>
  <si>
    <t>box</t>
  </si>
  <si>
    <t>whomever</t>
  </si>
  <si>
    <t>full</t>
  </si>
  <si>
    <t>trays</t>
  </si>
  <si>
    <t>roxy</t>
  </si>
  <si>
    <t>sought</t>
  </si>
  <si>
    <t>claw</t>
  </si>
  <si>
    <t>lucille</t>
  </si>
  <si>
    <t>sadder</t>
  </si>
  <si>
    <t>hums</t>
  </si>
  <si>
    <t>femme</t>
  </si>
  <si>
    <t>goals</t>
  </si>
  <si>
    <t>pager</t>
  </si>
  <si>
    <t>listing</t>
  </si>
  <si>
    <t>spraying</t>
  </si>
  <si>
    <t>jen</t>
  </si>
  <si>
    <t>wrung</t>
  </si>
  <si>
    <t>comma</t>
  </si>
  <si>
    <t>recess</t>
  </si>
  <si>
    <t>mo</t>
  </si>
  <si>
    <t>pimp</t>
  </si>
  <si>
    <t>til</t>
  </si>
  <si>
    <t>picks</t>
  </si>
  <si>
    <t>dark</t>
  </si>
  <si>
    <t>esteemed</t>
  </si>
  <si>
    <t>moan</t>
  </si>
  <si>
    <t>lid</t>
  </si>
  <si>
    <t>ph</t>
  </si>
  <si>
    <t>dinners</t>
  </si>
  <si>
    <t>rotten</t>
  </si>
  <si>
    <t>shed</t>
  </si>
  <si>
    <t>messing</t>
  </si>
  <si>
    <t>bono</t>
  </si>
  <si>
    <t>ants</t>
  </si>
  <si>
    <t>med</t>
  </si>
  <si>
    <t>doggie</t>
  </si>
  <si>
    <t>od</t>
  </si>
  <si>
    <t>ouch</t>
  </si>
  <si>
    <t>shaky</t>
  </si>
  <si>
    <t>winged</t>
  </si>
  <si>
    <t>spilled</t>
  </si>
  <si>
    <t>chaps</t>
  </si>
  <si>
    <t>hick</t>
  </si>
  <si>
    <t>perks</t>
  </si>
  <si>
    <t>jean</t>
  </si>
  <si>
    <t>moose</t>
  </si>
  <si>
    <t>quid</t>
  </si>
  <si>
    <t>sissy</t>
  </si>
  <si>
    <t>tool</t>
  </si>
  <si>
    <t>shops</t>
  </si>
  <si>
    <t>please</t>
  </si>
  <si>
    <t>boon</t>
  </si>
  <si>
    <t>twitch</t>
  </si>
  <si>
    <t>yaw</t>
  </si>
  <si>
    <t>stormy</t>
  </si>
  <si>
    <t>eaten</t>
  </si>
  <si>
    <t>voc</t>
  </si>
  <si>
    <t>surface</t>
  </si>
  <si>
    <t>petit</t>
  </si>
  <si>
    <t>bit</t>
  </si>
  <si>
    <t>taffy</t>
  </si>
  <si>
    <t>din</t>
  </si>
  <si>
    <t>patron</t>
  </si>
  <si>
    <t>jed</t>
  </si>
  <si>
    <t>crush</t>
  </si>
  <si>
    <t>brag</t>
  </si>
  <si>
    <t>gums</t>
  </si>
  <si>
    <t>weighed</t>
  </si>
  <si>
    <t>teen</t>
  </si>
  <si>
    <t>milky</t>
  </si>
  <si>
    <t>stroke</t>
  </si>
  <si>
    <t>pearl</t>
  </si>
  <si>
    <t>coping</t>
  </si>
  <si>
    <t>gentle</t>
  </si>
  <si>
    <t>snack</t>
  </si>
  <si>
    <t>feeling</t>
  </si>
  <si>
    <t>cult</t>
  </si>
  <si>
    <t>fades</t>
  </si>
  <si>
    <t>wasn</t>
  </si>
  <si>
    <t>stood</t>
  </si>
  <si>
    <t>breath</t>
  </si>
  <si>
    <t>louie</t>
  </si>
  <si>
    <t>hike</t>
  </si>
  <si>
    <t>dolls</t>
  </si>
  <si>
    <t>cold</t>
  </si>
  <si>
    <t>submit</t>
  </si>
  <si>
    <t>ast</t>
  </si>
  <si>
    <t>tart</t>
  </si>
  <si>
    <t>mr</t>
  </si>
  <si>
    <t>coca</t>
  </si>
  <si>
    <t>toil</t>
  </si>
  <si>
    <t>pies</t>
  </si>
  <si>
    <t>nukes</t>
  </si>
  <si>
    <t>creates</t>
  </si>
  <si>
    <t>cones</t>
  </si>
  <si>
    <t>kirk</t>
  </si>
  <si>
    <t>tex</t>
  </si>
  <si>
    <t>testing</t>
  </si>
  <si>
    <t>nature</t>
  </si>
  <si>
    <t>dove</t>
  </si>
  <si>
    <t>toupee</t>
  </si>
  <si>
    <t>poor</t>
  </si>
  <si>
    <t>geeks</t>
  </si>
  <si>
    <t>towing</t>
  </si>
  <si>
    <t>innings</t>
  </si>
  <si>
    <t>cared</t>
  </si>
  <si>
    <t>snatched</t>
  </si>
  <si>
    <t>season</t>
  </si>
  <si>
    <t>dwarf</t>
  </si>
  <si>
    <t>fantasy</t>
  </si>
  <si>
    <t>taipei</t>
  </si>
  <si>
    <t>hype</t>
  </si>
  <si>
    <t>combing</t>
  </si>
  <si>
    <t>top</t>
  </si>
  <si>
    <t>failed</t>
  </si>
  <si>
    <t>bowed</t>
  </si>
  <si>
    <t>rf</t>
  </si>
  <si>
    <t>heathen</t>
  </si>
  <si>
    <t>wart</t>
  </si>
  <si>
    <t>allez</t>
  </si>
  <si>
    <t>swept</t>
  </si>
  <si>
    <t>tapes</t>
  </si>
  <si>
    <t>robber</t>
  </si>
  <si>
    <t>hah</t>
  </si>
  <si>
    <t>micah</t>
  </si>
  <si>
    <t>jamming</t>
  </si>
  <si>
    <t>grasp</t>
  </si>
  <si>
    <t>heat</t>
  </si>
  <si>
    <t>cry</t>
  </si>
  <si>
    <t>flaw</t>
  </si>
  <si>
    <t>flirty</t>
  </si>
  <si>
    <t>haze</t>
  </si>
  <si>
    <t>washed</t>
  </si>
  <si>
    <t>warts</t>
  </si>
  <si>
    <t>foods</t>
  </si>
  <si>
    <t>pinch</t>
  </si>
  <si>
    <t>snotty</t>
  </si>
  <si>
    <t>tara</t>
  </si>
  <si>
    <t>pull</t>
  </si>
  <si>
    <t>ann</t>
  </si>
  <si>
    <t>kent</t>
  </si>
  <si>
    <t>ruling</t>
  </si>
  <si>
    <t>written</t>
  </si>
  <si>
    <t>satin</t>
  </si>
  <si>
    <t>mode</t>
  </si>
  <si>
    <t>diva</t>
  </si>
  <si>
    <t>rolls</t>
  </si>
  <si>
    <t>roads</t>
  </si>
  <si>
    <t>witchy</t>
  </si>
  <si>
    <t>curls</t>
  </si>
  <si>
    <t>smoke</t>
  </si>
  <si>
    <t>zing</t>
  </si>
  <si>
    <t>drip</t>
  </si>
  <si>
    <t>telly</t>
  </si>
  <si>
    <t>krauts</t>
  </si>
  <si>
    <t>nicked</t>
  </si>
  <si>
    <t>turned</t>
  </si>
  <si>
    <t>writings</t>
  </si>
  <si>
    <t>planting</t>
  </si>
  <si>
    <t>soles</t>
  </si>
  <si>
    <t>gain</t>
  </si>
  <si>
    <t>engine</t>
  </si>
  <si>
    <t>weeping</t>
  </si>
  <si>
    <t>post</t>
  </si>
  <si>
    <t>frail</t>
  </si>
  <si>
    <t>pirate</t>
  </si>
  <si>
    <t>scales</t>
  </si>
  <si>
    <t>twigs</t>
  </si>
  <si>
    <t>chloe</t>
  </si>
  <si>
    <t>sailors</t>
  </si>
  <si>
    <t>bride</t>
  </si>
  <si>
    <t>quack</t>
  </si>
  <si>
    <t>buying</t>
  </si>
  <si>
    <t>shea</t>
  </si>
  <si>
    <t>injury</t>
  </si>
  <si>
    <t>mommy</t>
  </si>
  <si>
    <t>replied</t>
  </si>
  <si>
    <t>sap</t>
  </si>
  <si>
    <t>real</t>
  </si>
  <si>
    <t>scar</t>
  </si>
  <si>
    <t>sitter</t>
  </si>
  <si>
    <t>ay</t>
  </si>
  <si>
    <t>bag</t>
  </si>
  <si>
    <t>ruin</t>
  </si>
  <si>
    <t>bates</t>
  </si>
  <si>
    <t>toro</t>
  </si>
  <si>
    <t>tales</t>
  </si>
  <si>
    <t>retro</t>
  </si>
  <si>
    <t>hatch</t>
  </si>
  <si>
    <t>ripper</t>
  </si>
  <si>
    <t>studies</t>
  </si>
  <si>
    <t>path</t>
  </si>
  <si>
    <t>hicks</t>
  </si>
  <si>
    <t>prose</t>
  </si>
  <si>
    <t>geiger</t>
  </si>
  <si>
    <t>heckler</t>
  </si>
  <si>
    <t>chewed</t>
  </si>
  <si>
    <t>feeds</t>
  </si>
  <si>
    <t>denver</t>
  </si>
  <si>
    <t>dan</t>
  </si>
  <si>
    <t>choya</t>
  </si>
  <si>
    <t>tae</t>
  </si>
  <si>
    <t>coils</t>
  </si>
  <si>
    <t>mama</t>
  </si>
  <si>
    <t>wright</t>
  </si>
  <si>
    <t>cane</t>
  </si>
  <si>
    <t>iv</t>
  </si>
  <si>
    <t>shucks</t>
  </si>
  <si>
    <t>cag</t>
  </si>
  <si>
    <t>rave</t>
  </si>
  <si>
    <t>tile</t>
  </si>
  <si>
    <t>journal</t>
  </si>
  <si>
    <t>flower</t>
  </si>
  <si>
    <t>muffy</t>
  </si>
  <si>
    <t>patio</t>
  </si>
  <si>
    <t>father</t>
  </si>
  <si>
    <t>zones</t>
  </si>
  <si>
    <t>nine</t>
  </si>
  <si>
    <t>boston</t>
  </si>
  <si>
    <t>ileum</t>
  </si>
  <si>
    <t>milly</t>
  </si>
  <si>
    <t>street</t>
  </si>
  <si>
    <t>mullen</t>
  </si>
  <si>
    <t>dunne</t>
  </si>
  <si>
    <t>neat</t>
  </si>
  <si>
    <t>tic</t>
  </si>
  <si>
    <t>perp</t>
  </si>
  <si>
    <t>weird</t>
  </si>
  <si>
    <t>helper</t>
  </si>
  <si>
    <t>life</t>
  </si>
  <si>
    <t>eighth</t>
  </si>
  <si>
    <t>driver</t>
  </si>
  <si>
    <t>sold</t>
  </si>
  <si>
    <t>follow</t>
  </si>
  <si>
    <t>moron</t>
  </si>
  <si>
    <t>land</t>
  </si>
  <si>
    <t>conned</t>
  </si>
  <si>
    <t>tones</t>
  </si>
  <si>
    <t>wa</t>
  </si>
  <si>
    <t>lily</t>
  </si>
  <si>
    <t>tres</t>
  </si>
  <si>
    <t>fields</t>
  </si>
  <si>
    <t>gob</t>
  </si>
  <si>
    <t>warmth</t>
  </si>
  <si>
    <t>branch</t>
  </si>
  <si>
    <t>slump</t>
  </si>
  <si>
    <t>dating</t>
  </si>
  <si>
    <t>pox</t>
  </si>
  <si>
    <t>copies</t>
  </si>
  <si>
    <t>hutch</t>
  </si>
  <si>
    <t>chung</t>
  </si>
  <si>
    <t>tyr</t>
  </si>
  <si>
    <t>or</t>
  </si>
  <si>
    <t>tumors</t>
  </si>
  <si>
    <t>flame</t>
  </si>
  <si>
    <t>jag</t>
  </si>
  <si>
    <t>claire</t>
  </si>
  <si>
    <t>suit</t>
  </si>
  <si>
    <t>slower</t>
  </si>
  <si>
    <t>banner</t>
  </si>
  <si>
    <t>ideas</t>
  </si>
  <si>
    <t>adored</t>
  </si>
  <si>
    <t>mean</t>
  </si>
  <si>
    <t>marys</t>
  </si>
  <si>
    <t>bane</t>
  </si>
  <si>
    <t>cooped</t>
  </si>
  <si>
    <t>huns</t>
  </si>
  <si>
    <t>taps</t>
  </si>
  <si>
    <t>hymn</t>
  </si>
  <si>
    <t>hunch</t>
  </si>
  <si>
    <t>hints</t>
  </si>
  <si>
    <t>leone</t>
  </si>
  <si>
    <t>crummy</t>
  </si>
  <si>
    <t>proof</t>
  </si>
  <si>
    <t>makers</t>
  </si>
  <si>
    <t>fayed</t>
  </si>
  <si>
    <t>herr</t>
  </si>
  <si>
    <t>booths</t>
  </si>
  <si>
    <t>any</t>
  </si>
  <si>
    <t>bake</t>
  </si>
  <si>
    <t>pot</t>
  </si>
  <si>
    <t>pits</t>
  </si>
  <si>
    <t>lame</t>
  </si>
  <si>
    <t>dixie</t>
  </si>
  <si>
    <t>facts</t>
  </si>
  <si>
    <t>throng</t>
  </si>
  <si>
    <t>home</t>
  </si>
  <si>
    <t>cam</t>
  </si>
  <si>
    <t>plus</t>
  </si>
  <si>
    <t>stewart</t>
  </si>
  <si>
    <t>coons</t>
  </si>
  <si>
    <t>dude</t>
  </si>
  <si>
    <t>beams</t>
  </si>
  <si>
    <t>wreckage</t>
  </si>
  <si>
    <t>snob</t>
  </si>
  <si>
    <t>loaf</t>
  </si>
  <si>
    <t>dory</t>
  </si>
  <si>
    <t>lockers</t>
  </si>
  <si>
    <t>pilot</t>
  </si>
  <si>
    <t>gonna</t>
  </si>
  <si>
    <t>buoy</t>
  </si>
  <si>
    <t>tripped</t>
  </si>
  <si>
    <t>vole</t>
  </si>
  <si>
    <t>reef</t>
  </si>
  <si>
    <t>weighs</t>
  </si>
  <si>
    <t>stomping</t>
  </si>
  <si>
    <t>sad</t>
  </si>
  <si>
    <t>dreamer</t>
  </si>
  <si>
    <t>firms</t>
  </si>
  <si>
    <t>burner</t>
  </si>
  <si>
    <t>tot</t>
  </si>
  <si>
    <t>tongues</t>
  </si>
  <si>
    <t>the</t>
  </si>
  <si>
    <t>deny</t>
  </si>
  <si>
    <t>sealed</t>
  </si>
  <si>
    <t>shut</t>
  </si>
  <si>
    <t>vat</t>
  </si>
  <si>
    <t>so</t>
  </si>
  <si>
    <t>dash</t>
  </si>
  <si>
    <t>give</t>
  </si>
  <si>
    <t>stow</t>
  </si>
  <si>
    <t>wank</t>
  </si>
  <si>
    <t>rightly</t>
  </si>
  <si>
    <t>tab</t>
  </si>
  <si>
    <t>swooped</t>
  </si>
  <si>
    <t>staring</t>
  </si>
  <si>
    <t>smashed</t>
  </si>
  <si>
    <t>grits</t>
  </si>
  <si>
    <t>rise</t>
  </si>
  <si>
    <t>goat</t>
  </si>
  <si>
    <t>harm</t>
  </si>
  <si>
    <t>spectre</t>
  </si>
  <si>
    <t>know</t>
  </si>
  <si>
    <t>shakes</t>
  </si>
  <si>
    <t>soup</t>
  </si>
  <si>
    <t>vile</t>
  </si>
  <si>
    <t>tiring</t>
  </si>
  <si>
    <t>team</t>
  </si>
  <si>
    <t>odd</t>
  </si>
  <si>
    <t>digger</t>
  </si>
  <si>
    <t>poke</t>
  </si>
  <si>
    <t>leave</t>
  </si>
  <si>
    <t>lodge</t>
  </si>
  <si>
    <t>gas</t>
  </si>
  <si>
    <t>louise</t>
  </si>
  <si>
    <t>bees</t>
  </si>
  <si>
    <t>pace</t>
  </si>
  <si>
    <t>butch</t>
  </si>
  <si>
    <t>break</t>
  </si>
  <si>
    <t>moot</t>
  </si>
  <si>
    <t>omen</t>
  </si>
  <si>
    <t>butler</t>
  </si>
  <si>
    <t>vibes</t>
  </si>
  <si>
    <t>press</t>
  </si>
  <si>
    <t>oak</t>
  </si>
  <si>
    <t>grad</t>
  </si>
  <si>
    <t>lm</t>
  </si>
  <si>
    <t>town</t>
  </si>
  <si>
    <t>rub</t>
  </si>
  <si>
    <t>thing</t>
  </si>
  <si>
    <t>squirt</t>
  </si>
  <si>
    <t>title</t>
  </si>
  <si>
    <t>fog</t>
  </si>
  <si>
    <t>teeth</t>
  </si>
  <si>
    <t>hurting</t>
  </si>
  <si>
    <t>swiped</t>
  </si>
  <si>
    <t>prairie</t>
  </si>
  <si>
    <t>terrier</t>
  </si>
  <si>
    <t>wench</t>
  </si>
  <si>
    <t>plough</t>
  </si>
  <si>
    <t>stud</t>
  </si>
  <si>
    <t>swings</t>
  </si>
  <si>
    <t>cates</t>
  </si>
  <si>
    <t>bong</t>
  </si>
  <si>
    <t>flak</t>
  </si>
  <si>
    <t>killed</t>
  </si>
  <si>
    <t>ozone</t>
  </si>
  <si>
    <t>speedy</t>
  </si>
  <si>
    <t>noted</t>
  </si>
  <si>
    <t>gum</t>
  </si>
  <si>
    <t>nan</t>
  </si>
  <si>
    <t>næn</t>
  </si>
  <si>
    <t xml:space="preserve">n æ n </t>
  </si>
  <si>
    <t>croak</t>
  </si>
  <si>
    <t>rowan</t>
  </si>
  <si>
    <t>drives</t>
  </si>
  <si>
    <t>peed</t>
  </si>
  <si>
    <t>spooked</t>
  </si>
  <si>
    <t>soothe</t>
  </si>
  <si>
    <t>sassy</t>
  </si>
  <si>
    <t>verb</t>
  </si>
  <si>
    <t>breathed</t>
  </si>
  <si>
    <t>burst</t>
  </si>
  <si>
    <t>kyle</t>
  </si>
  <si>
    <t>carve</t>
  </si>
  <si>
    <t>pony</t>
  </si>
  <si>
    <t>trips</t>
  </si>
  <si>
    <t>eater</t>
  </si>
  <si>
    <t>friend</t>
  </si>
  <si>
    <t>must</t>
  </si>
  <si>
    <t>booming</t>
  </si>
  <si>
    <t>calf</t>
  </si>
  <si>
    <t>crossing</t>
  </si>
  <si>
    <t>lear</t>
  </si>
  <si>
    <t>less</t>
  </si>
  <si>
    <t>tights</t>
  </si>
  <si>
    <t>hatched</t>
  </si>
  <si>
    <t>filling</t>
  </si>
  <si>
    <t>baa</t>
  </si>
  <si>
    <t>weir</t>
  </si>
  <si>
    <t>holmes</t>
  </si>
  <si>
    <t>oars</t>
  </si>
  <si>
    <t>attach</t>
  </si>
  <si>
    <t>heel</t>
  </si>
  <si>
    <t>nicky</t>
  </si>
  <si>
    <t>lynn</t>
  </si>
  <si>
    <t>math</t>
  </si>
  <si>
    <t>fig</t>
  </si>
  <si>
    <t>doves</t>
  </si>
  <si>
    <t>grit</t>
  </si>
  <si>
    <t>man</t>
  </si>
  <si>
    <t>solo</t>
  </si>
  <si>
    <t>sees</t>
  </si>
  <si>
    <t>tissues</t>
  </si>
  <si>
    <t>turks</t>
  </si>
  <si>
    <t>bilbo</t>
  </si>
  <si>
    <t>slay</t>
  </si>
  <si>
    <t>clip</t>
  </si>
  <si>
    <t>test</t>
  </si>
  <si>
    <t>ing</t>
  </si>
  <si>
    <t>terra</t>
  </si>
  <si>
    <t>deaf</t>
  </si>
  <si>
    <t>hosting</t>
  </si>
  <si>
    <t>whipper</t>
  </si>
  <si>
    <t>goose</t>
  </si>
  <si>
    <t>fooled</t>
  </si>
  <si>
    <t>cliff</t>
  </si>
  <si>
    <t>pat</t>
  </si>
  <si>
    <t>states</t>
  </si>
  <si>
    <t>mast</t>
  </si>
  <si>
    <t>amid</t>
  </si>
  <si>
    <t>ee</t>
  </si>
  <si>
    <t>strand</t>
  </si>
  <si>
    <t>flow</t>
  </si>
  <si>
    <t>pine</t>
  </si>
  <si>
    <t>brutally</t>
  </si>
  <si>
    <t>skill</t>
  </si>
  <si>
    <t>flop</t>
  </si>
  <si>
    <t>hurl</t>
  </si>
  <si>
    <t>danny</t>
  </si>
  <si>
    <t>yikes</t>
  </si>
  <si>
    <t>zion</t>
  </si>
  <si>
    <t>loon</t>
  </si>
  <si>
    <t>made</t>
  </si>
  <si>
    <t>fair</t>
  </si>
  <si>
    <t>knock</t>
  </si>
  <si>
    <t>stack</t>
  </si>
  <si>
    <t>catch</t>
  </si>
  <si>
    <t>pierre</t>
  </si>
  <si>
    <t>clubs</t>
  </si>
  <si>
    <t>pups</t>
  </si>
  <si>
    <t>morse</t>
  </si>
  <si>
    <t>vault</t>
  </si>
  <si>
    <t>fix</t>
  </si>
  <si>
    <t>runny</t>
  </si>
  <si>
    <t>tweed</t>
  </si>
  <si>
    <t>debbie</t>
  </si>
  <si>
    <t>duly</t>
  </si>
  <si>
    <t>light</t>
  </si>
  <si>
    <t>ruler</t>
  </si>
  <si>
    <t>versus</t>
  </si>
  <si>
    <t>shunt</t>
  </si>
  <si>
    <t>dowd</t>
  </si>
  <si>
    <t>theories</t>
  </si>
  <si>
    <t>ling</t>
  </si>
  <si>
    <t>age</t>
  </si>
  <si>
    <t>geek</t>
  </si>
  <si>
    <t>padded</t>
  </si>
  <si>
    <t>cisco</t>
  </si>
  <si>
    <t>fertile</t>
  </si>
  <si>
    <t>boils</t>
  </si>
  <si>
    <t>l</t>
  </si>
  <si>
    <t>realm</t>
  </si>
  <si>
    <t>praying</t>
  </si>
  <si>
    <t>ge</t>
  </si>
  <si>
    <t>death</t>
  </si>
  <si>
    <t>coop</t>
  </si>
  <si>
    <t>clam</t>
  </si>
  <si>
    <t>worries</t>
  </si>
  <si>
    <t>cath</t>
  </si>
  <si>
    <t>sweetly</t>
  </si>
  <si>
    <t>whence</t>
  </si>
  <si>
    <t>store</t>
  </si>
  <si>
    <t>sellers</t>
  </si>
  <si>
    <t>moocher</t>
  </si>
  <si>
    <t>dairy</t>
  </si>
  <si>
    <t>drone</t>
  </si>
  <si>
    <t>eddy</t>
  </si>
  <si>
    <t>donuts</t>
  </si>
  <si>
    <t>ag</t>
  </si>
  <si>
    <t>needs</t>
  </si>
  <si>
    <t>blackie</t>
  </si>
  <si>
    <t>mitts</t>
  </si>
  <si>
    <t>tree</t>
  </si>
  <si>
    <t>hath</t>
  </si>
  <si>
    <t>ax</t>
  </si>
  <si>
    <t>owner</t>
  </si>
  <si>
    <t>hoping</t>
  </si>
  <si>
    <t>circus</t>
  </si>
  <si>
    <t>rows</t>
  </si>
  <si>
    <t>germ</t>
  </si>
  <si>
    <t>lies</t>
  </si>
  <si>
    <t>tutti</t>
  </si>
  <si>
    <t>gong</t>
  </si>
  <si>
    <t>dipped</t>
  </si>
  <si>
    <t>disney</t>
  </si>
  <si>
    <t>duct</t>
  </si>
  <si>
    <t>giles</t>
  </si>
  <si>
    <t>knocked</t>
  </si>
  <si>
    <t>thingy</t>
  </si>
  <si>
    <t>lizzie</t>
  </si>
  <si>
    <t>von</t>
  </si>
  <si>
    <t>belt</t>
  </si>
  <si>
    <t>teacher</t>
  </si>
  <si>
    <t>facial</t>
  </si>
  <si>
    <t>outs</t>
  </si>
  <si>
    <t>pleasure</t>
  </si>
  <si>
    <t>eat</t>
  </si>
  <si>
    <t>dost</t>
  </si>
  <si>
    <t>depth</t>
  </si>
  <si>
    <t>howls</t>
  </si>
  <si>
    <t>hoops</t>
  </si>
  <si>
    <t>danes</t>
  </si>
  <si>
    <t>nay</t>
  </si>
  <si>
    <t>oaf</t>
  </si>
  <si>
    <t>trading</t>
  </si>
  <si>
    <t>sprout</t>
  </si>
  <si>
    <t>certain</t>
  </si>
  <si>
    <t>po</t>
  </si>
  <si>
    <t>cafe</t>
  </si>
  <si>
    <t>bulls</t>
  </si>
  <si>
    <t>shined</t>
  </si>
  <si>
    <t>scat</t>
  </si>
  <si>
    <t>locust</t>
  </si>
  <si>
    <t>bick</t>
  </si>
  <si>
    <t>poached</t>
  </si>
  <si>
    <t>hers</t>
  </si>
  <si>
    <t>wool</t>
  </si>
  <si>
    <t>slightly</t>
  </si>
  <si>
    <t>yi</t>
  </si>
  <si>
    <t>arouse</t>
  </si>
  <si>
    <t>ripped</t>
  </si>
  <si>
    <t>shout</t>
  </si>
  <si>
    <t>worse</t>
  </si>
  <si>
    <t>style</t>
  </si>
  <si>
    <t>backing</t>
  </si>
  <si>
    <t>bot</t>
  </si>
  <si>
    <t>buddy</t>
  </si>
  <si>
    <t>ponies</t>
  </si>
  <si>
    <t>emmy</t>
  </si>
  <si>
    <t>nazi</t>
  </si>
  <si>
    <t>bullies</t>
  </si>
  <si>
    <t>taj</t>
  </si>
  <si>
    <t>focus</t>
  </si>
  <si>
    <t>jest</t>
  </si>
  <si>
    <t>cherries</t>
  </si>
  <si>
    <t>first</t>
  </si>
  <si>
    <t>servers</t>
  </si>
  <si>
    <t>lurks</t>
  </si>
  <si>
    <t>tied</t>
  </si>
  <si>
    <t>diner</t>
  </si>
  <si>
    <t>cone</t>
  </si>
  <si>
    <t>brie</t>
  </si>
  <si>
    <t>attic</t>
  </si>
  <si>
    <t>eel</t>
  </si>
  <si>
    <t>poets</t>
  </si>
  <si>
    <t>chappie</t>
  </si>
  <si>
    <t>logo</t>
  </si>
  <si>
    <t>fudge</t>
  </si>
  <si>
    <t>swam</t>
  </si>
  <si>
    <t>wacky</t>
  </si>
  <si>
    <t>goal</t>
  </si>
  <si>
    <t>hook</t>
  </si>
  <si>
    <t>seton</t>
  </si>
  <si>
    <t>weary</t>
  </si>
  <si>
    <t>cooler</t>
  </si>
  <si>
    <t>dung</t>
  </si>
  <si>
    <t>joyous</t>
  </si>
  <si>
    <t>soak</t>
  </si>
  <si>
    <t>avast</t>
  </si>
  <si>
    <t>toying</t>
  </si>
  <si>
    <t>turbine</t>
  </si>
  <si>
    <t>souse</t>
  </si>
  <si>
    <t>barlow</t>
  </si>
  <si>
    <t>chaos</t>
  </si>
  <si>
    <t>rotting</t>
  </si>
  <si>
    <t>weight</t>
  </si>
  <si>
    <t>three</t>
  </si>
  <si>
    <t>no</t>
  </si>
  <si>
    <t>craig</t>
  </si>
  <si>
    <t>pansy</t>
  </si>
  <si>
    <t>royal</t>
  </si>
  <si>
    <t>blew</t>
  </si>
  <si>
    <t>law</t>
  </si>
  <si>
    <t>stores</t>
  </si>
  <si>
    <t>opus</t>
  </si>
  <si>
    <t>toured</t>
  </si>
  <si>
    <t>mater</t>
  </si>
  <si>
    <t>breaking</t>
  </si>
  <si>
    <t>hq</t>
  </si>
  <si>
    <t>wayne</t>
  </si>
  <si>
    <t>freud</t>
  </si>
  <si>
    <t>debby</t>
  </si>
  <si>
    <t>waking</t>
  </si>
  <si>
    <t>cully</t>
  </si>
  <si>
    <t>shaking</t>
  </si>
  <si>
    <t>thwaite</t>
  </si>
  <si>
    <t>wanna</t>
  </si>
  <si>
    <t>fences</t>
  </si>
  <si>
    <t>treat</t>
  </si>
  <si>
    <t>freak</t>
  </si>
  <si>
    <t>soda</t>
  </si>
  <si>
    <t>emery</t>
  </si>
  <si>
    <t>carey</t>
  </si>
  <si>
    <t>karma</t>
  </si>
  <si>
    <t>healthy</t>
  </si>
  <si>
    <t>awaits</t>
  </si>
  <si>
    <t>slimy</t>
  </si>
  <si>
    <t>vector</t>
  </si>
  <si>
    <t>sayid</t>
  </si>
  <si>
    <t>high</t>
  </si>
  <si>
    <t>jones</t>
  </si>
  <si>
    <t>toasted</t>
  </si>
  <si>
    <t>screams</t>
  </si>
  <si>
    <t>adrift</t>
  </si>
  <si>
    <t>level</t>
  </si>
  <si>
    <t>petite</t>
  </si>
  <si>
    <t>jab</t>
  </si>
  <si>
    <t>carrier</t>
  </si>
  <si>
    <t>owe</t>
  </si>
  <si>
    <t>keats</t>
  </si>
  <si>
    <t>lets</t>
  </si>
  <si>
    <t>club</t>
  </si>
  <si>
    <t>wipes</t>
  </si>
  <si>
    <t>drake</t>
  </si>
  <si>
    <t>posting</t>
  </si>
  <si>
    <t>weve</t>
  </si>
  <si>
    <t>nippy</t>
  </si>
  <si>
    <t>fifth</t>
  </si>
  <si>
    <t>errors</t>
  </si>
  <si>
    <t>cong</t>
  </si>
  <si>
    <t>rocky</t>
  </si>
  <si>
    <t>ill</t>
  </si>
  <si>
    <t>blair</t>
  </si>
  <si>
    <t>el</t>
  </si>
  <si>
    <t>coma</t>
  </si>
  <si>
    <t>patsy</t>
  </si>
  <si>
    <t>frogs</t>
  </si>
  <si>
    <t>hour</t>
  </si>
  <si>
    <t>slowed</t>
  </si>
  <si>
    <t>puffs</t>
  </si>
  <si>
    <t>sit</t>
  </si>
  <si>
    <t>wishing</t>
  </si>
  <si>
    <t>served</t>
  </si>
  <si>
    <t>sam</t>
  </si>
  <si>
    <t>chewie</t>
  </si>
  <si>
    <t>fallout</t>
  </si>
  <si>
    <t>struck</t>
  </si>
  <si>
    <t>tush</t>
  </si>
  <si>
    <t>garret</t>
  </si>
  <si>
    <t>loser</t>
  </si>
  <si>
    <t>blushing</t>
  </si>
  <si>
    <t>orb</t>
  </si>
  <si>
    <t>money</t>
  </si>
  <si>
    <t>writer</t>
  </si>
  <si>
    <t>lifting</t>
  </si>
  <si>
    <t>booty</t>
  </si>
  <si>
    <t>charlie</t>
  </si>
  <si>
    <t>checked</t>
  </si>
  <si>
    <t>jade</t>
  </si>
  <si>
    <t>blitz</t>
  </si>
  <si>
    <t>charge</t>
  </si>
  <si>
    <t>which</t>
  </si>
  <si>
    <t>sera</t>
  </si>
  <si>
    <t>hud</t>
  </si>
  <si>
    <t>rage</t>
  </si>
  <si>
    <t>space</t>
  </si>
  <si>
    <t>v</t>
  </si>
  <si>
    <t>throne</t>
  </si>
  <si>
    <t>range</t>
  </si>
  <si>
    <t>stooge</t>
  </si>
  <si>
    <t>doth</t>
  </si>
  <si>
    <t>dex</t>
  </si>
  <si>
    <t>wreath</t>
  </si>
  <si>
    <t>beard</t>
  </si>
  <si>
    <t>luther</t>
  </si>
  <si>
    <t>nectar</t>
  </si>
  <si>
    <t>blows</t>
  </si>
  <si>
    <t>skinned</t>
  </si>
  <si>
    <t>fighting</t>
  </si>
  <si>
    <t>ropes</t>
  </si>
  <si>
    <t>nailed</t>
  </si>
  <si>
    <t>fools</t>
  </si>
  <si>
    <t>say</t>
  </si>
  <si>
    <t>lever</t>
  </si>
  <si>
    <t>many</t>
  </si>
  <si>
    <t>burden</t>
  </si>
  <si>
    <t>lash</t>
  </si>
  <si>
    <t>sully</t>
  </si>
  <si>
    <t>bobby</t>
  </si>
  <si>
    <t>bead</t>
  </si>
  <si>
    <t>winch</t>
  </si>
  <si>
    <t>alf</t>
  </si>
  <si>
    <t>steward</t>
  </si>
  <si>
    <t>bashed</t>
  </si>
  <si>
    <t>grooms</t>
  </si>
  <si>
    <t>tiger</t>
  </si>
  <si>
    <t>snuck</t>
  </si>
  <si>
    <t>sponge</t>
  </si>
  <si>
    <t>as</t>
  </si>
  <si>
    <t>soap</t>
  </si>
  <si>
    <t>avoid</t>
  </si>
  <si>
    <t>such</t>
  </si>
  <si>
    <t>neatly</t>
  </si>
  <si>
    <t>nails</t>
  </si>
  <si>
    <t>baron</t>
  </si>
  <si>
    <t>attain</t>
  </si>
  <si>
    <t>wine</t>
  </si>
  <si>
    <t>granny</t>
  </si>
  <si>
    <t>from</t>
  </si>
  <si>
    <t>racy</t>
  </si>
  <si>
    <t>jobs</t>
  </si>
  <si>
    <t>needy</t>
  </si>
  <si>
    <t>peeling</t>
  </si>
  <si>
    <t>heave</t>
  </si>
  <si>
    <t>assaults</t>
  </si>
  <si>
    <t>orange</t>
  </si>
  <si>
    <t>ageing</t>
  </si>
  <si>
    <t>oppose</t>
  </si>
  <si>
    <t>boogie</t>
  </si>
  <si>
    <t>looking</t>
  </si>
  <si>
    <t>mess</t>
  </si>
  <si>
    <t>pips</t>
  </si>
  <si>
    <t>ran</t>
  </si>
  <si>
    <t>cram</t>
  </si>
  <si>
    <t>cheek</t>
  </si>
  <si>
    <t>boot</t>
  </si>
  <si>
    <t>eye</t>
  </si>
  <si>
    <t>pico</t>
  </si>
  <si>
    <t>glide</t>
  </si>
  <si>
    <t>grabbed</t>
  </si>
  <si>
    <t>meadows</t>
  </si>
  <si>
    <t>lane</t>
  </si>
  <si>
    <t>rung</t>
  </si>
  <si>
    <t>parade</t>
  </si>
  <si>
    <t>tense</t>
  </si>
  <si>
    <t>colour</t>
  </si>
  <si>
    <t>grief</t>
  </si>
  <si>
    <t>busting</t>
  </si>
  <si>
    <t>guild</t>
  </si>
  <si>
    <t>hung</t>
  </si>
  <si>
    <t>bounty</t>
  </si>
  <si>
    <t>latter</t>
  </si>
  <si>
    <t>walter</t>
  </si>
  <si>
    <t>steed</t>
  </si>
  <si>
    <t>de</t>
  </si>
  <si>
    <t>sub</t>
  </si>
  <si>
    <t>favored</t>
  </si>
  <si>
    <t>borough</t>
  </si>
  <si>
    <t>jap</t>
  </si>
  <si>
    <t>lint</t>
  </si>
  <si>
    <t>lineup</t>
  </si>
  <si>
    <t>ink</t>
  </si>
  <si>
    <t>heart</t>
  </si>
  <si>
    <t>laura</t>
  </si>
  <si>
    <t>pg</t>
  </si>
  <si>
    <t>erase</t>
  </si>
  <si>
    <t>winters</t>
  </si>
  <si>
    <t>rin</t>
  </si>
  <si>
    <t>lorry</t>
  </si>
  <si>
    <t>strain</t>
  </si>
  <si>
    <t>ding</t>
  </si>
  <si>
    <t>idea</t>
  </si>
  <si>
    <t>blocks</t>
  </si>
  <si>
    <t>bars</t>
  </si>
  <si>
    <t>homing</t>
  </si>
  <si>
    <t>cloned</t>
  </si>
  <si>
    <t>griff</t>
  </si>
  <si>
    <t>boss</t>
  </si>
  <si>
    <t>lima</t>
  </si>
  <si>
    <t>horn</t>
  </si>
  <si>
    <t>vila</t>
  </si>
  <si>
    <t>foggy</t>
  </si>
  <si>
    <t>t</t>
  </si>
  <si>
    <t>cloak</t>
  </si>
  <si>
    <t>seaman</t>
  </si>
  <si>
    <t>urge</t>
  </si>
  <si>
    <t>minute</t>
  </si>
  <si>
    <t>mein</t>
  </si>
  <si>
    <t>fang</t>
  </si>
  <si>
    <t>sen</t>
  </si>
  <si>
    <t>trained</t>
  </si>
  <si>
    <t>molly</t>
  </si>
  <si>
    <t>runners</t>
  </si>
  <si>
    <t>beats</t>
  </si>
  <si>
    <t>pads</t>
  </si>
  <si>
    <t>let</t>
  </si>
  <si>
    <t>auf</t>
  </si>
  <si>
    <t>whitey</t>
  </si>
  <si>
    <t>gunned</t>
  </si>
  <si>
    <t>mitch</t>
  </si>
  <si>
    <t>shape</t>
  </si>
  <si>
    <t>owls</t>
  </si>
  <si>
    <t>pay</t>
  </si>
  <si>
    <t>grows</t>
  </si>
  <si>
    <t>each</t>
  </si>
  <si>
    <t>devil</t>
  </si>
  <si>
    <t>foxy</t>
  </si>
  <si>
    <t>spooky</t>
  </si>
  <si>
    <t>blink</t>
  </si>
  <si>
    <t>crit</t>
  </si>
  <si>
    <t>buzzard</t>
  </si>
  <si>
    <t>blot</t>
  </si>
  <si>
    <t>heals</t>
  </si>
  <si>
    <t>wheezer</t>
  </si>
  <si>
    <t>mouse</t>
  </si>
  <si>
    <t>pollack</t>
  </si>
  <si>
    <t>agreed</t>
  </si>
  <si>
    <t>rock</t>
  </si>
  <si>
    <t>pounds</t>
  </si>
  <si>
    <t>courts</t>
  </si>
  <si>
    <t>vans</t>
  </si>
  <si>
    <t>buried</t>
  </si>
  <si>
    <t>sphere</t>
  </si>
  <si>
    <t>shirt</t>
  </si>
  <si>
    <t>rift</t>
  </si>
  <si>
    <t>bun</t>
  </si>
  <si>
    <t>mints</t>
  </si>
  <si>
    <t>hope</t>
  </si>
  <si>
    <t>cursing</t>
  </si>
  <si>
    <t>rely</t>
  </si>
  <si>
    <t>roast</t>
  </si>
  <si>
    <t>nelly</t>
  </si>
  <si>
    <t>for</t>
  </si>
  <si>
    <t>log</t>
  </si>
  <si>
    <t>arresting</t>
  </si>
  <si>
    <t>okay</t>
  </si>
  <si>
    <t>cleaves</t>
  </si>
  <si>
    <t>plates</t>
  </si>
  <si>
    <t>calling</t>
  </si>
  <si>
    <t>misty</t>
  </si>
  <si>
    <t>moscow</t>
  </si>
  <si>
    <t>heroin</t>
  </si>
  <si>
    <t>turban</t>
  </si>
  <si>
    <t>aha</t>
  </si>
  <si>
    <t>suppose</t>
  </si>
  <si>
    <t>help</t>
  </si>
  <si>
    <t>prone</t>
  </si>
  <si>
    <t>sword</t>
  </si>
  <si>
    <t>chili</t>
  </si>
  <si>
    <t>beers</t>
  </si>
  <si>
    <t>ride</t>
  </si>
  <si>
    <t>cot</t>
  </si>
  <si>
    <t>thumbs</t>
  </si>
  <si>
    <t>guts</t>
  </si>
  <si>
    <t>heaped</t>
  </si>
  <si>
    <t>decreed</t>
  </si>
  <si>
    <t>dowry</t>
  </si>
  <si>
    <t>lays</t>
  </si>
  <si>
    <t>smith</t>
  </si>
  <si>
    <t>sores</t>
  </si>
  <si>
    <t>sass</t>
  </si>
  <si>
    <t>ted</t>
  </si>
  <si>
    <t>hawks</t>
  </si>
  <si>
    <t>twa</t>
  </si>
  <si>
    <t>sweeter</t>
  </si>
  <si>
    <t>phased</t>
  </si>
  <si>
    <t>lots</t>
  </si>
  <si>
    <t>rocking</t>
  </si>
  <si>
    <t>rubbish</t>
  </si>
  <si>
    <t>grape</t>
  </si>
  <si>
    <t>rump</t>
  </si>
  <si>
    <t>vs</t>
  </si>
  <si>
    <t>strange</t>
  </si>
  <si>
    <t>torn</t>
  </si>
  <si>
    <t>fred</t>
  </si>
  <si>
    <t>showed</t>
  </si>
  <si>
    <t>cora</t>
  </si>
  <si>
    <t>flan</t>
  </si>
  <si>
    <t>clears</t>
  </si>
  <si>
    <t>bearer</t>
  </si>
  <si>
    <t>fern</t>
  </si>
  <si>
    <t>gi</t>
  </si>
  <si>
    <t>ginger</t>
  </si>
  <si>
    <t>makes</t>
  </si>
  <si>
    <t>docked</t>
  </si>
  <si>
    <t>till</t>
  </si>
  <si>
    <t>squared</t>
  </si>
  <si>
    <t>flat</t>
  </si>
  <si>
    <t>calming</t>
  </si>
  <si>
    <t>nah</t>
  </si>
  <si>
    <t>sink</t>
  </si>
  <si>
    <t>buns</t>
  </si>
  <si>
    <t>balls</t>
  </si>
  <si>
    <t>quince</t>
  </si>
  <si>
    <t>pam</t>
  </si>
  <si>
    <t>shots</t>
  </si>
  <si>
    <t>waltz</t>
  </si>
  <si>
    <t>royalty</t>
  </si>
  <si>
    <t>envy</t>
  </si>
  <si>
    <t>reeks</t>
  </si>
  <si>
    <t>hogg</t>
  </si>
  <si>
    <t>crock</t>
  </si>
  <si>
    <t>thames</t>
  </si>
  <si>
    <t>hotter</t>
  </si>
  <si>
    <t>lard</t>
  </si>
  <si>
    <t>dorm</t>
  </si>
  <si>
    <t>dust</t>
  </si>
  <si>
    <t>la</t>
  </si>
  <si>
    <t>plato</t>
  </si>
  <si>
    <t>own</t>
  </si>
  <si>
    <t>flows</t>
  </si>
  <si>
    <t>square</t>
  </si>
  <si>
    <t>find</t>
  </si>
  <si>
    <t>freaked</t>
  </si>
  <si>
    <t>op</t>
  </si>
  <si>
    <t>torah</t>
  </si>
  <si>
    <t>ping</t>
  </si>
  <si>
    <t>steam</t>
  </si>
  <si>
    <t>fears</t>
  </si>
  <si>
    <t>hurtful</t>
  </si>
  <si>
    <t>resign</t>
  </si>
  <si>
    <t>month</t>
  </si>
  <si>
    <t>move</t>
  </si>
  <si>
    <t>goods</t>
  </si>
  <si>
    <t>pillow</t>
  </si>
  <si>
    <t>deal</t>
  </si>
  <si>
    <t>strings</t>
  </si>
  <si>
    <t>pacing</t>
  </si>
  <si>
    <t>dome</t>
  </si>
  <si>
    <t>potty</t>
  </si>
  <si>
    <t>peeper</t>
  </si>
  <si>
    <t>wasp</t>
  </si>
  <si>
    <t>hurray</t>
  </si>
  <si>
    <t>jube</t>
  </si>
  <si>
    <t>kat</t>
  </si>
  <si>
    <t>fit</t>
  </si>
  <si>
    <t>tunes</t>
  </si>
  <si>
    <t>matt</t>
  </si>
  <si>
    <t>jammed</t>
  </si>
  <si>
    <t>assign</t>
  </si>
  <si>
    <t>jar</t>
  </si>
  <si>
    <t>chart</t>
  </si>
  <si>
    <t>turf</t>
  </si>
  <si>
    <t>midgets</t>
  </si>
  <si>
    <t>pets</t>
  </si>
  <si>
    <t>luckily</t>
  </si>
  <si>
    <t>smut</t>
  </si>
  <si>
    <t>spins</t>
  </si>
  <si>
    <t>gallows</t>
  </si>
  <si>
    <t>bowler</t>
  </si>
  <si>
    <t>rains</t>
  </si>
  <si>
    <t>elope</t>
  </si>
  <si>
    <t>bonne</t>
  </si>
  <si>
    <t>darn</t>
  </si>
  <si>
    <t>barren</t>
  </si>
  <si>
    <t>touchy</t>
  </si>
  <si>
    <t>frames</t>
  </si>
  <si>
    <t>sheets</t>
  </si>
  <si>
    <t>attract</t>
  </si>
  <si>
    <t>jump</t>
  </si>
  <si>
    <t>stats</t>
  </si>
  <si>
    <t>fake</t>
  </si>
  <si>
    <t>pe</t>
  </si>
  <si>
    <t>grant</t>
  </si>
  <si>
    <t>soon</t>
  </si>
  <si>
    <t>scaly</t>
  </si>
  <si>
    <t>click</t>
  </si>
  <si>
    <t>cairo</t>
  </si>
  <si>
    <t>liked</t>
  </si>
  <si>
    <t>youse</t>
  </si>
  <si>
    <t>braille</t>
  </si>
  <si>
    <t>berger</t>
  </si>
  <si>
    <t>girly</t>
  </si>
  <si>
    <t>ceased</t>
  </si>
  <si>
    <t>muller</t>
  </si>
  <si>
    <t>emily</t>
  </si>
  <si>
    <t>row</t>
  </si>
  <si>
    <t>mocha</t>
  </si>
  <si>
    <t>gut</t>
  </si>
  <si>
    <t>babes</t>
  </si>
  <si>
    <t>filing</t>
  </si>
  <si>
    <t>est</t>
  </si>
  <si>
    <t>fed</t>
  </si>
  <si>
    <t>quickly</t>
  </si>
  <si>
    <t>swat</t>
  </si>
  <si>
    <t>tech</t>
  </si>
  <si>
    <t>carlo</t>
  </si>
  <si>
    <t>whirring</t>
  </si>
  <si>
    <t>courier</t>
  </si>
  <si>
    <t>ja</t>
  </si>
  <si>
    <t>shaft</t>
  </si>
  <si>
    <t>barge</t>
  </si>
  <si>
    <t>dies</t>
  </si>
  <si>
    <t>chess</t>
  </si>
  <si>
    <t>visa</t>
  </si>
  <si>
    <t>wan</t>
  </si>
  <si>
    <t>thins</t>
  </si>
  <si>
    <t>sting</t>
  </si>
  <si>
    <t>vie</t>
  </si>
  <si>
    <t>looney</t>
  </si>
  <si>
    <t>clark</t>
  </si>
  <si>
    <t>savings</t>
  </si>
  <si>
    <t>booked</t>
  </si>
  <si>
    <t>plot</t>
  </si>
  <si>
    <t>aaron</t>
  </si>
  <si>
    <t>blister</t>
  </si>
  <si>
    <t>tub</t>
  </si>
  <si>
    <t>da</t>
  </si>
  <si>
    <t>fateful</t>
  </si>
  <si>
    <t>mock</t>
  </si>
  <si>
    <t>rod</t>
  </si>
  <si>
    <t>slobs</t>
  </si>
  <si>
    <t>least</t>
  </si>
  <si>
    <t>venture</t>
  </si>
  <si>
    <t>dada</t>
  </si>
  <si>
    <t>bring</t>
  </si>
  <si>
    <t>keg</t>
  </si>
  <si>
    <t>cain</t>
  </si>
  <si>
    <t>dont</t>
  </si>
  <si>
    <t>flashy</t>
  </si>
  <si>
    <t>mel</t>
  </si>
  <si>
    <t>sweaty</t>
  </si>
  <si>
    <t>rested</t>
  </si>
  <si>
    <t>growl</t>
  </si>
  <si>
    <t>nicely</t>
  </si>
  <si>
    <t>snug</t>
  </si>
  <si>
    <t>hooks</t>
  </si>
  <si>
    <t>sticky</t>
  </si>
  <si>
    <t>ship</t>
  </si>
  <si>
    <t>brain</t>
  </si>
  <si>
    <t>kid</t>
  </si>
  <si>
    <t>pierced</t>
  </si>
  <si>
    <t>popped</t>
  </si>
  <si>
    <t>dread</t>
  </si>
  <si>
    <t>cons</t>
  </si>
  <si>
    <t>weave</t>
  </si>
  <si>
    <t>flees</t>
  </si>
  <si>
    <t>spook</t>
  </si>
  <si>
    <t>spying</t>
  </si>
  <si>
    <t>flake</t>
  </si>
  <si>
    <t>vent</t>
  </si>
  <si>
    <t>crushing</t>
  </si>
  <si>
    <t>note</t>
  </si>
  <si>
    <t>semi</t>
  </si>
  <si>
    <t>line</t>
  </si>
  <si>
    <t>frau</t>
  </si>
  <si>
    <t>carry</t>
  </si>
  <si>
    <t>tabs</t>
  </si>
  <si>
    <t>thou</t>
  </si>
  <si>
    <t>towed</t>
  </si>
  <si>
    <t>dope</t>
  </si>
  <si>
    <t>lunch</t>
  </si>
  <si>
    <t>gunner</t>
  </si>
  <si>
    <t>fans</t>
  </si>
  <si>
    <t>my</t>
  </si>
  <si>
    <t>tattoo</t>
  </si>
  <si>
    <t>buildings</t>
  </si>
  <si>
    <t>huge</t>
  </si>
  <si>
    <t>evils</t>
  </si>
  <si>
    <t>I</t>
  </si>
  <si>
    <t>ships</t>
  </si>
  <si>
    <t>speeds</t>
  </si>
  <si>
    <t>pinching</t>
  </si>
  <si>
    <t>buyer</t>
  </si>
  <si>
    <t>dd</t>
  </si>
  <si>
    <t>lion</t>
  </si>
  <si>
    <t>healing</t>
  </si>
  <si>
    <t>panting</t>
  </si>
  <si>
    <t>nietzsche</t>
  </si>
  <si>
    <t>tit</t>
  </si>
  <si>
    <t>odor</t>
  </si>
  <si>
    <t>rape</t>
  </si>
  <si>
    <t>phony</t>
  </si>
  <si>
    <t>spike</t>
  </si>
  <si>
    <t>film</t>
  </si>
  <si>
    <t>lonely</t>
  </si>
  <si>
    <t>fun</t>
  </si>
  <si>
    <t>times</t>
  </si>
  <si>
    <t>siege</t>
  </si>
  <si>
    <t>gown</t>
  </si>
  <si>
    <t>frame</t>
  </si>
  <si>
    <t>feds</t>
  </si>
  <si>
    <t>course</t>
  </si>
  <si>
    <t>workup</t>
  </si>
  <si>
    <t>met</t>
  </si>
  <si>
    <t>y</t>
  </si>
  <si>
    <t>pi</t>
  </si>
  <si>
    <t>kathy</t>
  </si>
  <si>
    <t>lube</t>
  </si>
  <si>
    <t>proud</t>
  </si>
  <si>
    <t>eggs</t>
  </si>
  <si>
    <t>charm</t>
  </si>
  <si>
    <t>drivers</t>
  </si>
  <si>
    <t>yawn</t>
  </si>
  <si>
    <t>lest</t>
  </si>
  <si>
    <t>mccoy</t>
  </si>
  <si>
    <t>breathes</t>
  </si>
  <si>
    <t>snooze</t>
  </si>
  <si>
    <t>josh</t>
  </si>
  <si>
    <t>e</t>
  </si>
  <si>
    <t>surfers</t>
  </si>
  <si>
    <t>brushing</t>
  </si>
  <si>
    <t>bad</t>
  </si>
  <si>
    <t>muck</t>
  </si>
  <si>
    <t>read</t>
  </si>
  <si>
    <t>pedal</t>
  </si>
  <si>
    <t>carol</t>
  </si>
  <si>
    <t>very</t>
  </si>
  <si>
    <t>hitched</t>
  </si>
  <si>
    <t>relying</t>
  </si>
  <si>
    <t>wines</t>
  </si>
  <si>
    <t>ridge</t>
  </si>
  <si>
    <t>buff</t>
  </si>
  <si>
    <t>banned</t>
  </si>
  <si>
    <t>gallop</t>
  </si>
  <si>
    <t>spring</t>
  </si>
  <si>
    <t>vary</t>
  </si>
  <si>
    <t>tray</t>
  </si>
  <si>
    <t>mao</t>
  </si>
  <si>
    <t>wink</t>
  </si>
  <si>
    <t>al</t>
  </si>
  <si>
    <t>whit</t>
  </si>
  <si>
    <t>baba</t>
  </si>
  <si>
    <t>vega</t>
  </si>
  <si>
    <t>divers</t>
  </si>
  <si>
    <t>rare</t>
  </si>
  <si>
    <t>winds</t>
  </si>
  <si>
    <t>doll</t>
  </si>
  <si>
    <t>cleve</t>
  </si>
  <si>
    <t>cod</t>
  </si>
  <si>
    <t>account</t>
  </si>
  <si>
    <t>small</t>
  </si>
  <si>
    <t>brats</t>
  </si>
  <si>
    <t>slide</t>
  </si>
  <si>
    <t>solves</t>
  </si>
  <si>
    <t>keeping</t>
  </si>
  <si>
    <t>button</t>
  </si>
  <si>
    <t>sprained</t>
  </si>
  <si>
    <t>tip</t>
  </si>
  <si>
    <t>senate</t>
  </si>
  <si>
    <t>stork</t>
  </si>
  <si>
    <t>irene</t>
  </si>
  <si>
    <t>zap</t>
  </si>
  <si>
    <t>stirring</t>
  </si>
  <si>
    <t>iris</t>
  </si>
  <si>
    <t>quirks</t>
  </si>
  <si>
    <t>miro</t>
  </si>
  <si>
    <t>bleed</t>
  </si>
  <si>
    <t>slurp</t>
  </si>
  <si>
    <t>blues</t>
  </si>
  <si>
    <t>storm</t>
  </si>
  <si>
    <t>flaunt</t>
  </si>
  <si>
    <t>yea</t>
  </si>
  <si>
    <t>necks</t>
  </si>
  <si>
    <t>dotes</t>
  </si>
  <si>
    <t>hm</t>
  </si>
  <si>
    <t>staff</t>
  </si>
  <si>
    <t>footage</t>
  </si>
  <si>
    <t>hussy</t>
  </si>
  <si>
    <t>meet</t>
  </si>
  <si>
    <t>nuns</t>
  </si>
  <si>
    <t>ducking</t>
  </si>
  <si>
    <t>wedge</t>
  </si>
  <si>
    <t>seemed</t>
  </si>
  <si>
    <t>sites</t>
  </si>
  <si>
    <t>jacking</t>
  </si>
  <si>
    <t>yep</t>
  </si>
  <si>
    <t>juice</t>
  </si>
  <si>
    <t>tune</t>
  </si>
  <si>
    <t>theory</t>
  </si>
  <si>
    <t>best</t>
  </si>
  <si>
    <t>mines</t>
  </si>
  <si>
    <t>fault</t>
  </si>
  <si>
    <t>sinner</t>
  </si>
  <si>
    <t>cans</t>
  </si>
  <si>
    <t>stairs</t>
  </si>
  <si>
    <t>fills</t>
  </si>
  <si>
    <t>cant</t>
  </si>
  <si>
    <t>egos</t>
  </si>
  <si>
    <t>risky</t>
  </si>
  <si>
    <t>wiped</t>
  </si>
  <si>
    <t>muff</t>
  </si>
  <si>
    <t>failing</t>
  </si>
  <si>
    <t>usa</t>
  </si>
  <si>
    <t>carte</t>
  </si>
  <si>
    <t>barn</t>
  </si>
  <si>
    <t>sexes</t>
  </si>
  <si>
    <t>dusting</t>
  </si>
  <si>
    <t>night</t>
  </si>
  <si>
    <t>chance</t>
  </si>
  <si>
    <t>libre</t>
  </si>
  <si>
    <t>fool</t>
  </si>
  <si>
    <t>joins</t>
  </si>
  <si>
    <t>someday</t>
  </si>
  <si>
    <t>alleys</t>
  </si>
  <si>
    <t>whoever</t>
  </si>
  <si>
    <t>golly</t>
  </si>
  <si>
    <t>knee</t>
  </si>
  <si>
    <t>shudder</t>
  </si>
  <si>
    <t>milks</t>
  </si>
  <si>
    <t>eyesight</t>
  </si>
  <si>
    <t>held</t>
  </si>
  <si>
    <t>finch</t>
  </si>
  <si>
    <t>com</t>
  </si>
  <si>
    <t>flash</t>
  </si>
  <si>
    <t>teased</t>
  </si>
  <si>
    <t>arc</t>
  </si>
  <si>
    <t>wham</t>
  </si>
  <si>
    <t>bat</t>
  </si>
  <si>
    <t>rode</t>
  </si>
  <si>
    <t>toto</t>
  </si>
  <si>
    <t>wives</t>
  </si>
  <si>
    <t>done</t>
  </si>
  <si>
    <t>fuck</t>
  </si>
  <si>
    <t>sleepy</t>
  </si>
  <si>
    <t>about</t>
  </si>
  <si>
    <t>bark</t>
  </si>
  <si>
    <t>jock</t>
  </si>
  <si>
    <t>means</t>
  </si>
  <si>
    <t>warn</t>
  </si>
  <si>
    <t>hooch</t>
  </si>
  <si>
    <t>show</t>
  </si>
  <si>
    <t>mom</t>
  </si>
  <si>
    <t>prints</t>
  </si>
  <si>
    <t>asian</t>
  </si>
  <si>
    <t>end</t>
  </si>
  <si>
    <t>feathers</t>
  </si>
  <si>
    <t>snap</t>
  </si>
  <si>
    <t>attire</t>
  </si>
  <si>
    <t>however</t>
  </si>
  <si>
    <t>cloth</t>
  </si>
  <si>
    <t>doubts</t>
  </si>
  <si>
    <t>germany</t>
  </si>
  <si>
    <t>planes</t>
  </si>
  <si>
    <t>dicks</t>
  </si>
  <si>
    <t>sex</t>
  </si>
  <si>
    <t>risen</t>
  </si>
  <si>
    <t>sensor</t>
  </si>
  <si>
    <t>worked</t>
  </si>
  <si>
    <t>tailor</t>
  </si>
  <si>
    <t>dink</t>
  </si>
  <si>
    <t>flooding</t>
  </si>
  <si>
    <t>wrongs</t>
  </si>
  <si>
    <t>flyer</t>
  </si>
  <si>
    <t>yes</t>
  </si>
  <si>
    <t>mowing</t>
  </si>
  <si>
    <t>stutter</t>
  </si>
  <si>
    <t>goats</t>
  </si>
  <si>
    <t>shoes</t>
  </si>
  <si>
    <t>cluck</t>
  </si>
  <si>
    <t>dry</t>
  </si>
  <si>
    <t>phi</t>
  </si>
  <si>
    <t>cad</t>
  </si>
  <si>
    <t>herb</t>
  </si>
  <si>
    <t>shaving</t>
  </si>
  <si>
    <t>fi</t>
  </si>
  <si>
    <t>chiefs</t>
  </si>
  <si>
    <t>wronged</t>
  </si>
  <si>
    <t>lo</t>
  </si>
  <si>
    <t>rat</t>
  </si>
  <si>
    <t>oink</t>
  </si>
  <si>
    <t>leagues</t>
  </si>
  <si>
    <t>sayer</t>
  </si>
  <si>
    <t>climbed</t>
  </si>
  <si>
    <t>parrot</t>
  </si>
  <si>
    <t>vast</t>
  </si>
  <si>
    <t>squares</t>
  </si>
  <si>
    <t>herbal</t>
  </si>
  <si>
    <t>en</t>
  </si>
  <si>
    <t>park</t>
  </si>
  <si>
    <t>peel</t>
  </si>
  <si>
    <t>cunt</t>
  </si>
  <si>
    <t>moody</t>
  </si>
  <si>
    <t>blackout</t>
  </si>
  <si>
    <t>lady</t>
  </si>
  <si>
    <t>swinging</t>
  </si>
  <si>
    <t>looked</t>
  </si>
  <si>
    <t>facing</t>
  </si>
  <si>
    <t>horrid</t>
  </si>
  <si>
    <t>layer</t>
  </si>
  <si>
    <t>saucy</t>
  </si>
  <si>
    <t>flipped</t>
  </si>
  <si>
    <t>tsk</t>
  </si>
  <si>
    <t>fully</t>
  </si>
  <si>
    <t>receipt</t>
  </si>
  <si>
    <t>quiz</t>
  </si>
  <si>
    <t>bruce</t>
  </si>
  <si>
    <t>beg</t>
  </si>
  <si>
    <t>nash</t>
  </si>
  <si>
    <t>missy</t>
  </si>
  <si>
    <t>are</t>
  </si>
  <si>
    <t>uns</t>
  </si>
  <si>
    <t>claimed</t>
  </si>
  <si>
    <t>sunny</t>
  </si>
  <si>
    <t>loyalty</t>
  </si>
  <si>
    <t>clerks</t>
  </si>
  <si>
    <t>cork</t>
  </si>
  <si>
    <t>chest</t>
  </si>
  <si>
    <t>thump</t>
  </si>
  <si>
    <t>stale</t>
  </si>
  <si>
    <t>mailing</t>
  </si>
  <si>
    <t>loved</t>
  </si>
  <si>
    <t>buzz</t>
  </si>
  <si>
    <t>heels</t>
  </si>
  <si>
    <t>lowa</t>
  </si>
  <si>
    <t>eyeliner</t>
  </si>
  <si>
    <t>blob</t>
  </si>
  <si>
    <t>fide</t>
  </si>
  <si>
    <t>alpha</t>
  </si>
  <si>
    <t>brute</t>
  </si>
  <si>
    <t>jagger</t>
  </si>
  <si>
    <t>our</t>
  </si>
  <si>
    <t>writing</t>
  </si>
  <si>
    <t>meter</t>
  </si>
  <si>
    <t>stock</t>
  </si>
  <si>
    <t>goalie</t>
  </si>
  <si>
    <t>scheme</t>
  </si>
  <si>
    <t>set</t>
  </si>
  <si>
    <t>shit</t>
  </si>
  <si>
    <t>reap</t>
  </si>
  <si>
    <t>strike</t>
  </si>
  <si>
    <t>hup</t>
  </si>
  <si>
    <t>salty</t>
  </si>
  <si>
    <t>check</t>
  </si>
  <si>
    <t>pug</t>
  </si>
  <si>
    <t>wrath</t>
  </si>
  <si>
    <t>thine</t>
  </si>
  <si>
    <t>clare</t>
  </si>
  <si>
    <t>skilled</t>
  </si>
  <si>
    <t>dreary</t>
  </si>
  <si>
    <t>bed</t>
  </si>
  <si>
    <t>scooped</t>
  </si>
  <si>
    <t>rinse</t>
  </si>
  <si>
    <t>guns</t>
  </si>
  <si>
    <t>wound</t>
  </si>
  <si>
    <t>whither</t>
  </si>
  <si>
    <t>worrying</t>
  </si>
  <si>
    <t>rubbed</t>
  </si>
  <si>
    <t>raced</t>
  </si>
  <si>
    <t>payoff</t>
  </si>
  <si>
    <t>fear</t>
  </si>
  <si>
    <t>gulf</t>
  </si>
  <si>
    <t>welsh</t>
  </si>
  <si>
    <t>perdy</t>
  </si>
  <si>
    <t>creamy</t>
  </si>
  <si>
    <t>lotion</t>
  </si>
  <si>
    <t>injure</t>
  </si>
  <si>
    <t>proofs</t>
  </si>
  <si>
    <t>soho</t>
  </si>
  <si>
    <t>tombs</t>
  </si>
  <si>
    <t>dog</t>
  </si>
  <si>
    <t>scanners</t>
  </si>
  <si>
    <t>time</t>
  </si>
  <si>
    <t>clear</t>
  </si>
  <si>
    <t>camped</t>
  </si>
  <si>
    <t>vote</t>
  </si>
  <si>
    <t>shove</t>
  </si>
  <si>
    <t>finer</t>
  </si>
  <si>
    <t>crafty</t>
  </si>
  <si>
    <t>nest</t>
  </si>
  <si>
    <t>dwight</t>
  </si>
  <si>
    <t>toward</t>
  </si>
  <si>
    <t>pope</t>
  </si>
  <si>
    <t>assault</t>
  </si>
  <si>
    <t>mutt</t>
  </si>
  <si>
    <t>milt</t>
  </si>
  <si>
    <t>hating</t>
  </si>
  <si>
    <t>barred</t>
  </si>
  <si>
    <t>dug</t>
  </si>
  <si>
    <t>verde</t>
  </si>
  <si>
    <t>prague</t>
  </si>
  <si>
    <t>mall</t>
  </si>
  <si>
    <t>track</t>
  </si>
  <si>
    <t>long</t>
  </si>
  <si>
    <t>be</t>
  </si>
  <si>
    <t>slaying</t>
  </si>
  <si>
    <t>quad</t>
  </si>
  <si>
    <t>stab</t>
  </si>
  <si>
    <t>knowing</t>
  </si>
  <si>
    <t>peril</t>
  </si>
  <si>
    <t>gals</t>
  </si>
  <si>
    <t>longed</t>
  </si>
  <si>
    <t>lungs</t>
  </si>
  <si>
    <t>kick</t>
  </si>
  <si>
    <t>huff</t>
  </si>
  <si>
    <t>alice</t>
  </si>
  <si>
    <t>keeler</t>
  </si>
  <si>
    <t>hull</t>
  </si>
  <si>
    <t>scroll</t>
  </si>
  <si>
    <t>phase</t>
  </si>
  <si>
    <t>bal</t>
  </si>
  <si>
    <t>wallet</t>
  </si>
  <si>
    <t>ribs</t>
  </si>
  <si>
    <t>fuzzy</t>
  </si>
  <si>
    <t>way</t>
  </si>
  <si>
    <t>betcha</t>
  </si>
  <si>
    <t>arrow</t>
  </si>
  <si>
    <t>judah</t>
  </si>
  <si>
    <t>llama</t>
  </si>
  <si>
    <t>scottie</t>
  </si>
  <si>
    <t>mas</t>
  </si>
  <si>
    <t>phrase</t>
  </si>
  <si>
    <t>hurley</t>
  </si>
  <si>
    <t>thy</t>
  </si>
  <si>
    <t>trim</t>
  </si>
  <si>
    <t>fc</t>
  </si>
  <si>
    <t>pep</t>
  </si>
  <si>
    <t>further</t>
  </si>
  <si>
    <t>kiki</t>
  </si>
  <si>
    <t>peeled</t>
  </si>
  <si>
    <t>fixing</t>
  </si>
  <si>
    <t>worms</t>
  </si>
  <si>
    <t>shine</t>
  </si>
  <si>
    <t>whites</t>
  </si>
  <si>
    <t>surge</t>
  </si>
  <si>
    <t>cursed</t>
  </si>
  <si>
    <t>ti</t>
  </si>
  <si>
    <t>poof</t>
  </si>
  <si>
    <t>carl</t>
  </si>
  <si>
    <t>changed</t>
  </si>
  <si>
    <t>sob</t>
  </si>
  <si>
    <t>potter</t>
  </si>
  <si>
    <t>preaching</t>
  </si>
  <si>
    <t>plague</t>
  </si>
  <si>
    <t>rune</t>
  </si>
  <si>
    <t>scraps</t>
  </si>
  <si>
    <t>docks</t>
  </si>
  <si>
    <t>stride</t>
  </si>
  <si>
    <t>says</t>
  </si>
  <si>
    <t>spig</t>
  </si>
  <si>
    <t>ghouls</t>
  </si>
  <si>
    <t>crabby</t>
  </si>
  <si>
    <t>chink</t>
  </si>
  <si>
    <t>stacked</t>
  </si>
  <si>
    <t>sealing</t>
  </si>
  <si>
    <t>scares</t>
  </si>
  <si>
    <t>harry</t>
  </si>
  <si>
    <t>smell</t>
  </si>
  <si>
    <t>beauties</t>
  </si>
  <si>
    <t>authors</t>
  </si>
  <si>
    <t>rufus</t>
  </si>
  <si>
    <t>wars</t>
  </si>
  <si>
    <t>epic</t>
  </si>
  <si>
    <t>fuzz</t>
  </si>
  <si>
    <t>robbed</t>
  </si>
  <si>
    <t>eve</t>
  </si>
  <si>
    <t>growth</t>
  </si>
  <si>
    <t>big</t>
  </si>
  <si>
    <t>crude</t>
  </si>
  <si>
    <t>books</t>
  </si>
  <si>
    <t>britain</t>
  </si>
  <si>
    <t>butter</t>
  </si>
  <si>
    <t>crunchy</t>
  </si>
  <si>
    <t>kind</t>
  </si>
  <si>
    <t>date</t>
  </si>
  <si>
    <t>ls</t>
  </si>
  <si>
    <t>walsh</t>
  </si>
  <si>
    <t>cooks</t>
  </si>
  <si>
    <t>emerge</t>
  </si>
  <si>
    <t>skippy</t>
  </si>
  <si>
    <t>fouled</t>
  </si>
  <si>
    <t>ate</t>
  </si>
  <si>
    <t>bop</t>
  </si>
  <si>
    <t>oh</t>
  </si>
  <si>
    <t>pouch</t>
  </si>
  <si>
    <t>ballet</t>
  </si>
  <si>
    <t>strains</t>
  </si>
  <si>
    <t>spice</t>
  </si>
  <si>
    <t>gills</t>
  </si>
  <si>
    <t>ghost</t>
  </si>
  <si>
    <t>eden</t>
  </si>
  <si>
    <t>cohen</t>
  </si>
  <si>
    <t>rather</t>
  </si>
  <si>
    <t>cassie</t>
  </si>
  <si>
    <t>launching</t>
  </si>
  <si>
    <t>sauna</t>
  </si>
  <si>
    <t>ivy</t>
  </si>
  <si>
    <t>ka</t>
  </si>
  <si>
    <t>code</t>
  </si>
  <si>
    <t>torso</t>
  </si>
  <si>
    <t>therein</t>
  </si>
  <si>
    <t>gook</t>
  </si>
  <si>
    <t>coffee</t>
  </si>
  <si>
    <t>spine</t>
  </si>
  <si>
    <t>dave</t>
  </si>
  <si>
    <t>goof</t>
  </si>
  <si>
    <t>dean</t>
  </si>
  <si>
    <t>yip</t>
  </si>
  <si>
    <t>bras</t>
  </si>
  <si>
    <t>soot</t>
  </si>
  <si>
    <t>cow</t>
  </si>
  <si>
    <t>diver</t>
  </si>
  <si>
    <t>woof</t>
  </si>
  <si>
    <t>reaching</t>
  </si>
  <si>
    <t>leaf</t>
  </si>
  <si>
    <t>gowns</t>
  </si>
  <si>
    <t>shoot</t>
  </si>
  <si>
    <t>brave</t>
  </si>
  <si>
    <t>cooked</t>
  </si>
  <si>
    <t>crabs</t>
  </si>
  <si>
    <t>brick</t>
  </si>
  <si>
    <t>cathy</t>
  </si>
  <si>
    <t>comp</t>
  </si>
  <si>
    <t>cell</t>
  </si>
  <si>
    <t>baths</t>
  </si>
  <si>
    <t>cause</t>
  </si>
  <si>
    <t>bend</t>
  </si>
  <si>
    <t>winnings</t>
  </si>
  <si>
    <t>locket</t>
  </si>
  <si>
    <t>sick</t>
  </si>
  <si>
    <t>stored</t>
  </si>
  <si>
    <t>chipper</t>
  </si>
  <si>
    <t>tier</t>
  </si>
  <si>
    <t>witter</t>
  </si>
  <si>
    <t>sightings</t>
  </si>
  <si>
    <t>allah</t>
  </si>
  <si>
    <t>smart</t>
  </si>
  <si>
    <t>brutal</t>
  </si>
  <si>
    <t>splash</t>
  </si>
  <si>
    <t>asap</t>
  </si>
  <si>
    <t>rumours</t>
  </si>
  <si>
    <t>dodger</t>
  </si>
  <si>
    <t>fitting</t>
  </si>
  <si>
    <t>then</t>
  </si>
  <si>
    <t>pus</t>
  </si>
  <si>
    <t>pledge</t>
  </si>
  <si>
    <t>lass</t>
  </si>
  <si>
    <t>chai</t>
  </si>
  <si>
    <t>paste</t>
  </si>
  <si>
    <t>vice</t>
  </si>
  <si>
    <t>gives</t>
  </si>
  <si>
    <t>shades</t>
  </si>
  <si>
    <t>teasing</t>
  </si>
  <si>
    <t>rem</t>
  </si>
  <si>
    <t>kern</t>
  </si>
  <si>
    <t>latin</t>
  </si>
  <si>
    <t>casting</t>
  </si>
  <si>
    <t>pots</t>
  </si>
  <si>
    <t>watt</t>
  </si>
  <si>
    <t>reel</t>
  </si>
  <si>
    <t>slut</t>
  </si>
  <si>
    <t>fish</t>
  </si>
  <si>
    <t>colonel</t>
  </si>
  <si>
    <t>tracked</t>
  </si>
  <si>
    <t>hurrying</t>
  </si>
  <si>
    <t>yelled</t>
  </si>
  <si>
    <t>kraut</t>
  </si>
  <si>
    <t>gauze</t>
  </si>
  <si>
    <t>aging</t>
  </si>
  <si>
    <t>kite</t>
  </si>
  <si>
    <t>keen</t>
  </si>
  <si>
    <t>job</t>
  </si>
  <si>
    <t>stakeout</t>
  </si>
  <si>
    <t>fiber</t>
  </si>
  <si>
    <t>antique</t>
  </si>
  <si>
    <t>totally</t>
  </si>
  <si>
    <t>spoils</t>
  </si>
  <si>
    <t>marry</t>
  </si>
  <si>
    <t>host</t>
  </si>
  <si>
    <t>leaps</t>
  </si>
  <si>
    <t>sorrow</t>
  </si>
  <si>
    <t>hola</t>
  </si>
  <si>
    <t>rig</t>
  </si>
  <si>
    <t>begged</t>
  </si>
  <si>
    <t>chilled</t>
  </si>
  <si>
    <t>dea</t>
  </si>
  <si>
    <t>bi</t>
  </si>
  <si>
    <t>rhymes</t>
  </si>
  <si>
    <t>chan</t>
  </si>
  <si>
    <t>when</t>
  </si>
  <si>
    <t>largo</t>
  </si>
  <si>
    <t>manner</t>
  </si>
  <si>
    <t>mark</t>
  </si>
  <si>
    <t>fetal</t>
  </si>
  <si>
    <t>warm</t>
  </si>
  <si>
    <t>snot</t>
  </si>
  <si>
    <t>dries</t>
  </si>
  <si>
    <t>yuck</t>
  </si>
  <si>
    <t>brooch</t>
  </si>
  <si>
    <t>buts</t>
  </si>
  <si>
    <t>boiled</t>
  </si>
  <si>
    <t>sports</t>
  </si>
  <si>
    <t>sewing</t>
  </si>
  <si>
    <t>loss</t>
  </si>
  <si>
    <t>laws</t>
  </si>
  <si>
    <t>bein</t>
  </si>
  <si>
    <t>reaper</t>
  </si>
  <si>
    <t>gravely</t>
  </si>
  <si>
    <t>flu</t>
  </si>
  <si>
    <t>fruit</t>
  </si>
  <si>
    <t>abu</t>
  </si>
  <si>
    <t>scarier</t>
  </si>
  <si>
    <t>sims</t>
  </si>
  <si>
    <t>shot</t>
  </si>
  <si>
    <t>asked</t>
  </si>
  <si>
    <t>jeep</t>
  </si>
  <si>
    <t>died</t>
  </si>
  <si>
    <t>thee</t>
  </si>
  <si>
    <t>well</t>
  </si>
  <si>
    <t>guides</t>
  </si>
  <si>
    <t>wigs</t>
  </si>
  <si>
    <t>since</t>
  </si>
  <si>
    <t>assigned</t>
  </si>
  <si>
    <t>girls</t>
  </si>
  <si>
    <t>phat</t>
  </si>
  <si>
    <t>peck</t>
  </si>
  <si>
    <t>food</t>
  </si>
  <si>
    <t>stakes</t>
  </si>
  <si>
    <t>whacking</t>
  </si>
  <si>
    <t>pharaoh</t>
  </si>
  <si>
    <t>men</t>
  </si>
  <si>
    <t>catchy</t>
  </si>
  <si>
    <t>whistler</t>
  </si>
  <si>
    <t>bob</t>
  </si>
  <si>
    <t>alike</t>
  </si>
  <si>
    <t>coin</t>
  </si>
  <si>
    <t>howe</t>
  </si>
  <si>
    <t>ng</t>
  </si>
  <si>
    <t>rally</t>
  </si>
  <si>
    <t>weli</t>
  </si>
  <si>
    <t>beets</t>
  </si>
  <si>
    <t>logs</t>
  </si>
  <si>
    <t>eh</t>
  </si>
  <si>
    <t>drown</t>
  </si>
  <si>
    <t>dire</t>
  </si>
  <si>
    <t>bombers</t>
  </si>
  <si>
    <t>bothers</t>
  </si>
  <si>
    <t>estates</t>
  </si>
  <si>
    <t>grease</t>
  </si>
  <si>
    <t>fucks</t>
  </si>
  <si>
    <t>wuss</t>
  </si>
  <si>
    <t>rummy</t>
  </si>
  <si>
    <t>jerky</t>
  </si>
  <si>
    <t>speech</t>
  </si>
  <si>
    <t>scoop</t>
  </si>
  <si>
    <t>setup</t>
  </si>
  <si>
    <t>talked</t>
  </si>
  <si>
    <t>duds</t>
  </si>
  <si>
    <t>tock</t>
  </si>
  <si>
    <t>rule</t>
  </si>
  <si>
    <t>hiro</t>
  </si>
  <si>
    <t>sell</t>
  </si>
  <si>
    <t>mag</t>
  </si>
  <si>
    <t>banging</t>
  </si>
  <si>
    <t>una</t>
  </si>
  <si>
    <t>rolled</t>
  </si>
  <si>
    <t>perm</t>
  </si>
  <si>
    <t>loki</t>
  </si>
  <si>
    <t>twain</t>
  </si>
  <si>
    <t>mirror</t>
  </si>
  <si>
    <t>leaders</t>
  </si>
  <si>
    <t>ah</t>
  </si>
  <si>
    <t>countless</t>
  </si>
  <si>
    <t>horde</t>
  </si>
  <si>
    <t>clues</t>
  </si>
  <si>
    <t>red</t>
  </si>
  <si>
    <t>twerp</t>
  </si>
  <si>
    <t>why</t>
  </si>
  <si>
    <t>arraigned</t>
  </si>
  <si>
    <t>peaks</t>
  </si>
  <si>
    <t>carlie</t>
  </si>
  <si>
    <t>tick</t>
  </si>
  <si>
    <t>prof</t>
  </si>
  <si>
    <t>thinner</t>
  </si>
  <si>
    <t>fringe</t>
  </si>
  <si>
    <t>damp</t>
  </si>
  <si>
    <t>floppy</t>
  </si>
  <si>
    <t>sod</t>
  </si>
  <si>
    <t>gant</t>
  </si>
  <si>
    <t>tagged</t>
  </si>
  <si>
    <t>brighter</t>
  </si>
  <si>
    <t>count</t>
  </si>
  <si>
    <t>rug</t>
  </si>
  <si>
    <t>rent</t>
  </si>
  <si>
    <t>essay</t>
  </si>
  <si>
    <t>buoys</t>
  </si>
  <si>
    <t>roof</t>
  </si>
  <si>
    <t>neck</t>
  </si>
  <si>
    <t>lull</t>
  </si>
  <si>
    <t>dealing</t>
  </si>
  <si>
    <t>may</t>
  </si>
  <si>
    <t>le</t>
  </si>
  <si>
    <t>calm</t>
  </si>
  <si>
    <t>thieves</t>
  </si>
  <si>
    <t>tote</t>
  </si>
  <si>
    <t>polite</t>
  </si>
  <si>
    <t>umm</t>
  </si>
  <si>
    <t>cleaned</t>
  </si>
  <si>
    <t>pods</t>
  </si>
  <si>
    <t>ln</t>
  </si>
  <si>
    <t>tone</t>
  </si>
  <si>
    <t>lawsuit</t>
  </si>
  <si>
    <t>goner</t>
  </si>
  <si>
    <t>zorro</t>
  </si>
  <si>
    <t>donate</t>
  </si>
  <si>
    <t>dang</t>
  </si>
  <si>
    <t>voted</t>
  </si>
  <si>
    <t>net</t>
  </si>
  <si>
    <t>whose</t>
  </si>
  <si>
    <t>sofia</t>
  </si>
  <si>
    <t>cheese</t>
  </si>
  <si>
    <t>malee</t>
  </si>
  <si>
    <t>snowy</t>
  </si>
  <si>
    <t>out</t>
  </si>
  <si>
    <t>burn</t>
  </si>
  <si>
    <t>heads</t>
  </si>
  <si>
    <t>boiling</t>
  </si>
  <si>
    <t>spouse</t>
  </si>
  <si>
    <t>mallard</t>
  </si>
  <si>
    <t>caps</t>
  </si>
  <si>
    <t>wakes</t>
  </si>
  <si>
    <t>ton</t>
  </si>
  <si>
    <t>abend</t>
  </si>
  <si>
    <t>lam</t>
  </si>
  <si>
    <t>pulp</t>
  </si>
  <si>
    <t>quote</t>
  </si>
  <si>
    <t>quiet</t>
  </si>
  <si>
    <t>below</t>
  </si>
  <si>
    <t>fiery</t>
  </si>
  <si>
    <t>bodies</t>
  </si>
  <si>
    <t>soaking</t>
  </si>
  <si>
    <t>happy</t>
  </si>
  <si>
    <t>annoyed</t>
  </si>
  <si>
    <t>bio</t>
  </si>
  <si>
    <t>deals</t>
  </si>
  <si>
    <t>knox</t>
  </si>
  <si>
    <t>cord</t>
  </si>
  <si>
    <t>talent</t>
  </si>
  <si>
    <t>scanned</t>
  </si>
  <si>
    <t>creed</t>
  </si>
  <si>
    <t>ceiling</t>
  </si>
  <si>
    <t>pity</t>
  </si>
  <si>
    <t>fender</t>
  </si>
  <si>
    <t>edge</t>
  </si>
  <si>
    <t>gulp</t>
  </si>
  <si>
    <t>blue</t>
  </si>
  <si>
    <t>allowed</t>
  </si>
  <si>
    <t>whores</t>
  </si>
  <si>
    <t>moira</t>
  </si>
  <si>
    <t>poles</t>
  </si>
  <si>
    <t>sniff</t>
  </si>
  <si>
    <t>key</t>
  </si>
  <si>
    <t>thrifty</t>
  </si>
  <si>
    <t>smithy</t>
  </si>
  <si>
    <t>slowly</t>
  </si>
  <si>
    <t>loop</t>
  </si>
  <si>
    <t>queen</t>
  </si>
  <si>
    <t>lassie</t>
  </si>
  <si>
    <t>dab</t>
  </si>
  <si>
    <t>wipe</t>
  </si>
  <si>
    <t>strut</t>
  </si>
  <si>
    <t>yous</t>
  </si>
  <si>
    <t>sacked</t>
  </si>
  <si>
    <t>schmuck</t>
  </si>
  <si>
    <t>dj</t>
  </si>
  <si>
    <t>sheik</t>
  </si>
  <si>
    <t>stunt</t>
  </si>
  <si>
    <t>docking</t>
  </si>
  <si>
    <t>clot</t>
  </si>
  <si>
    <t>sneaked</t>
  </si>
  <si>
    <t>stall</t>
  </si>
  <si>
    <t>kelp</t>
  </si>
  <si>
    <t>comm</t>
  </si>
  <si>
    <t>cheerio</t>
  </si>
  <si>
    <t>bobbie</t>
  </si>
  <si>
    <t>stick</t>
  </si>
  <si>
    <t>risk</t>
  </si>
  <si>
    <t>nearer</t>
  </si>
  <si>
    <t>laird</t>
  </si>
  <si>
    <t>trigger</t>
  </si>
  <si>
    <t>tuna</t>
  </si>
  <si>
    <t>pacey</t>
  </si>
  <si>
    <t>par</t>
  </si>
  <si>
    <t>eta</t>
  </si>
  <si>
    <t>amy</t>
  </si>
  <si>
    <t>freeze</t>
  </si>
  <si>
    <t>proxy</t>
  </si>
  <si>
    <t>tout</t>
  </si>
  <si>
    <t>heather</t>
  </si>
  <si>
    <t>circuits</t>
  </si>
  <si>
    <t>mace</t>
  </si>
  <si>
    <t>soy</t>
  </si>
  <si>
    <t>german</t>
  </si>
  <si>
    <t>prison</t>
  </si>
  <si>
    <t>cheers</t>
  </si>
  <si>
    <t>peach</t>
  </si>
  <si>
    <t>dwell</t>
  </si>
  <si>
    <t>stirred</t>
  </si>
  <si>
    <t>young</t>
  </si>
  <si>
    <t>bombs</t>
  </si>
  <si>
    <t>rid</t>
  </si>
  <si>
    <t>cheque</t>
  </si>
  <si>
    <t>cipher</t>
  </si>
  <si>
    <t>shortly</t>
  </si>
  <si>
    <t>booger</t>
  </si>
  <si>
    <t>sox</t>
  </si>
  <si>
    <t>rubber</t>
  </si>
  <si>
    <t>womb</t>
  </si>
  <si>
    <t>tears</t>
  </si>
  <si>
    <t>heater</t>
  </si>
  <si>
    <t>co</t>
  </si>
  <si>
    <t>daddies</t>
  </si>
  <si>
    <t>bound</t>
  </si>
  <si>
    <t>horny</t>
  </si>
  <si>
    <t>praised</t>
  </si>
  <si>
    <t>thorn</t>
  </si>
  <si>
    <t>pesto</t>
  </si>
  <si>
    <t>pines</t>
  </si>
  <si>
    <t>missed</t>
  </si>
  <si>
    <t>peaked</t>
  </si>
  <si>
    <t>reads</t>
  </si>
  <si>
    <t>th</t>
  </si>
  <si>
    <t>burr</t>
  </si>
  <si>
    <t>brock</t>
  </si>
  <si>
    <t>named</t>
  </si>
  <si>
    <t>lewd</t>
  </si>
  <si>
    <t>feet</t>
  </si>
  <si>
    <t>shaming</t>
  </si>
  <si>
    <t>breed</t>
  </si>
  <si>
    <t>lockup</t>
  </si>
  <si>
    <t>mus</t>
  </si>
  <si>
    <t>taste</t>
  </si>
  <si>
    <t>knife</t>
  </si>
  <si>
    <t>smug</t>
  </si>
  <si>
    <t>j</t>
  </si>
  <si>
    <t>sock</t>
  </si>
  <si>
    <t>niche</t>
  </si>
  <si>
    <t>feller</t>
  </si>
  <si>
    <t>grate</t>
  </si>
  <si>
    <t>lox</t>
  </si>
  <si>
    <t>lost</t>
  </si>
  <si>
    <t>oaks</t>
  </si>
  <si>
    <t>walking</t>
  </si>
  <si>
    <t>peer</t>
  </si>
  <si>
    <t>yells</t>
  </si>
  <si>
    <t>huh</t>
  </si>
  <si>
    <t>shark</t>
  </si>
  <si>
    <t>cramp</t>
  </si>
  <si>
    <t>twos</t>
  </si>
  <si>
    <t>whom</t>
  </si>
  <si>
    <t>pedes</t>
  </si>
  <si>
    <t>taboo</t>
  </si>
  <si>
    <t>lay</t>
  </si>
  <si>
    <t>dad</t>
  </si>
  <si>
    <t>turkey</t>
  </si>
  <si>
    <t>block</t>
  </si>
  <si>
    <t>zipper</t>
  </si>
  <si>
    <t>slice</t>
  </si>
  <si>
    <t>buzzing</t>
  </si>
  <si>
    <t>tribe</t>
  </si>
  <si>
    <t>brunch</t>
  </si>
  <si>
    <t>slinky</t>
  </si>
  <si>
    <t>tate</t>
  </si>
  <si>
    <t>spake</t>
  </si>
  <si>
    <t>fellow</t>
  </si>
  <si>
    <t>duffy</t>
  </si>
  <si>
    <t>damned</t>
  </si>
  <si>
    <t>tutu</t>
  </si>
  <si>
    <t>diem</t>
  </si>
  <si>
    <t>berg</t>
  </si>
  <si>
    <t>naw</t>
  </si>
  <si>
    <t>roped</t>
  </si>
  <si>
    <t>deer</t>
  </si>
  <si>
    <t>zero</t>
  </si>
  <si>
    <t>lurking</t>
  </si>
  <si>
    <t>mocks</t>
  </si>
  <si>
    <t>wali</t>
  </si>
  <si>
    <t>stun</t>
  </si>
  <si>
    <t>kludge</t>
  </si>
  <si>
    <t>amir</t>
  </si>
  <si>
    <t>bows</t>
  </si>
  <si>
    <t>ditch</t>
  </si>
  <si>
    <t>snatch</t>
  </si>
  <si>
    <t>walnut</t>
  </si>
  <si>
    <t>ca</t>
  </si>
  <si>
    <t>bash</t>
  </si>
  <si>
    <t>surfer</t>
  </si>
  <si>
    <t>sleazy</t>
  </si>
  <si>
    <t>scarf</t>
  </si>
  <si>
    <t>game</t>
  </si>
  <si>
    <t>stashed</t>
  </si>
  <si>
    <t>sham</t>
  </si>
  <si>
    <t>later</t>
  </si>
  <si>
    <t>cg</t>
  </si>
  <si>
    <t>trough</t>
  </si>
  <si>
    <t>kisser</t>
  </si>
  <si>
    <t>skinner</t>
  </si>
  <si>
    <t>chico</t>
  </si>
  <si>
    <t>shh</t>
  </si>
  <si>
    <t>root</t>
  </si>
  <si>
    <t>muster</t>
  </si>
  <si>
    <t>bud</t>
  </si>
  <si>
    <t>aloud</t>
  </si>
  <si>
    <t>takin</t>
  </si>
  <si>
    <t>local</t>
  </si>
  <si>
    <t>stacks</t>
  </si>
  <si>
    <t>pub</t>
  </si>
  <si>
    <t>urged</t>
  </si>
  <si>
    <t>poured</t>
  </si>
  <si>
    <t>lucy</t>
  </si>
  <si>
    <t>cite</t>
  </si>
  <si>
    <t>drat</t>
  </si>
  <si>
    <t>rate</t>
  </si>
  <si>
    <t>grimm</t>
  </si>
  <si>
    <t>cum</t>
  </si>
  <si>
    <t>conn</t>
  </si>
  <si>
    <t>paws</t>
  </si>
  <si>
    <t>saving</t>
  </si>
  <si>
    <t>vinny</t>
  </si>
  <si>
    <t>mite</t>
  </si>
  <si>
    <t>chin</t>
  </si>
  <si>
    <t>nada</t>
  </si>
  <si>
    <t>weed</t>
  </si>
  <si>
    <t>coil</t>
  </si>
  <si>
    <t>broom</t>
  </si>
  <si>
    <t>plums</t>
  </si>
  <si>
    <t>quarry</t>
  </si>
  <si>
    <t>mascot</t>
  </si>
  <si>
    <t>differ</t>
  </si>
  <si>
    <t>lacrosse</t>
  </si>
  <si>
    <t>bakers</t>
  </si>
  <si>
    <t>charms</t>
  </si>
  <si>
    <t>robes</t>
  </si>
  <si>
    <t>hurt</t>
  </si>
  <si>
    <t>knights</t>
  </si>
  <si>
    <t>pissing</t>
  </si>
  <si>
    <t>posh</t>
  </si>
  <si>
    <t>lend</t>
  </si>
  <si>
    <t>sober</t>
  </si>
  <si>
    <t>farther</t>
  </si>
  <si>
    <t>brace</t>
  </si>
  <si>
    <t>dune</t>
  </si>
  <si>
    <t>creeps</t>
  </si>
  <si>
    <t>just</t>
  </si>
  <si>
    <t>comic</t>
  </si>
  <si>
    <t>has</t>
  </si>
  <si>
    <t>whats</t>
  </si>
  <si>
    <t>testy</t>
  </si>
  <si>
    <t>semen</t>
  </si>
  <si>
    <t>psychos</t>
  </si>
  <si>
    <t>league</t>
  </si>
  <si>
    <t>tape</t>
  </si>
  <si>
    <t>bass</t>
  </si>
  <si>
    <t>dent</t>
  </si>
  <si>
    <t>gunning</t>
  </si>
  <si>
    <t>meteor</t>
  </si>
  <si>
    <t>pushed</t>
  </si>
  <si>
    <t>dooley</t>
  </si>
  <si>
    <t>owl</t>
  </si>
  <si>
    <t>sect</t>
  </si>
  <si>
    <t>whip</t>
  </si>
  <si>
    <t>crows</t>
  </si>
  <si>
    <t>aside</t>
  </si>
  <si>
    <t>waxed</t>
  </si>
  <si>
    <t>lp</t>
  </si>
  <si>
    <t>guinea</t>
  </si>
  <si>
    <t>switched</t>
  </si>
  <si>
    <t>windy</t>
  </si>
  <si>
    <t>crammed</t>
  </si>
  <si>
    <t>typing</t>
  </si>
  <si>
    <t>white</t>
  </si>
  <si>
    <t>shawl</t>
  </si>
  <si>
    <t>meets</t>
  </si>
  <si>
    <t>coat</t>
  </si>
  <si>
    <t>boat</t>
  </si>
  <si>
    <t>height</t>
  </si>
  <si>
    <t>dare</t>
  </si>
  <si>
    <t>cats</t>
  </si>
  <si>
    <t>lately</t>
  </si>
  <si>
    <t>repair</t>
  </si>
  <si>
    <t>soil</t>
  </si>
  <si>
    <t>tis</t>
  </si>
  <si>
    <t>cluster</t>
  </si>
  <si>
    <t>sr</t>
  </si>
  <si>
    <t>dip</t>
  </si>
  <si>
    <t>dutch</t>
  </si>
  <si>
    <t>holes</t>
  </si>
  <si>
    <t>stein</t>
  </si>
  <si>
    <t>low</t>
  </si>
  <si>
    <t>sec</t>
  </si>
  <si>
    <t>bent</t>
  </si>
  <si>
    <t>tell</t>
  </si>
  <si>
    <t>fourth</t>
  </si>
  <si>
    <t>thug</t>
  </si>
  <si>
    <t>mayan</t>
  </si>
  <si>
    <t>hailing</t>
  </si>
  <si>
    <t>half</t>
  </si>
  <si>
    <t>sand</t>
  </si>
  <si>
    <t>badge</t>
  </si>
  <si>
    <t>knot</t>
  </si>
  <si>
    <t>stalks</t>
  </si>
  <si>
    <t>ahoy</t>
  </si>
  <si>
    <t>crime</t>
  </si>
  <si>
    <t>drained</t>
  </si>
  <si>
    <t>shooter</t>
  </si>
  <si>
    <t>fess</t>
  </si>
  <si>
    <t>fakes</t>
  </si>
  <si>
    <t>fan</t>
  </si>
  <si>
    <t>merrily</t>
  </si>
  <si>
    <t>strauss</t>
  </si>
  <si>
    <t>pluto</t>
  </si>
  <si>
    <t>pearce</t>
  </si>
  <si>
    <t>groovy</t>
  </si>
  <si>
    <t>off</t>
  </si>
  <si>
    <t>opera</t>
  </si>
  <si>
    <t>appeal</t>
  </si>
  <si>
    <t>smokey</t>
  </si>
  <si>
    <t>cuts</t>
  </si>
  <si>
    <t>bran</t>
  </si>
  <si>
    <t>common</t>
  </si>
  <si>
    <t>furs</t>
  </si>
  <si>
    <t>foe</t>
  </si>
  <si>
    <t>juan</t>
  </si>
  <si>
    <t>thin</t>
  </si>
  <si>
    <t>beggar</t>
  </si>
  <si>
    <t>knows</t>
  </si>
  <si>
    <t>lace</t>
  </si>
  <si>
    <t>dull</t>
  </si>
  <si>
    <t>dobby</t>
  </si>
  <si>
    <t>jacked</t>
  </si>
  <si>
    <t>bench</t>
  </si>
  <si>
    <t>paine</t>
  </si>
  <si>
    <t>sidle</t>
  </si>
  <si>
    <t>chores</t>
  </si>
  <si>
    <t>craft</t>
  </si>
  <si>
    <t>clause</t>
  </si>
  <si>
    <t>bucket</t>
  </si>
  <si>
    <t>lar</t>
  </si>
  <si>
    <t>lighted</t>
  </si>
  <si>
    <t>pawn</t>
  </si>
  <si>
    <t>blonds</t>
  </si>
  <si>
    <t>platter</t>
  </si>
  <si>
    <t>mill</t>
  </si>
  <si>
    <t>biased</t>
  </si>
  <si>
    <t>commits</t>
  </si>
  <si>
    <t>allow</t>
  </si>
  <si>
    <t>rog</t>
  </si>
  <si>
    <t>fib</t>
  </si>
  <si>
    <t>flaps</t>
  </si>
  <si>
    <t>grand</t>
  </si>
  <si>
    <t>spin</t>
  </si>
  <si>
    <t>honey</t>
  </si>
  <si>
    <t>raining</t>
  </si>
  <si>
    <t>corso</t>
  </si>
  <si>
    <t>bugger</t>
  </si>
  <si>
    <t>them</t>
  </si>
  <si>
    <t>steamed</t>
  </si>
  <si>
    <t>sneezed</t>
  </si>
  <si>
    <t>fats</t>
  </si>
  <si>
    <t>invest</t>
  </si>
  <si>
    <t>housing</t>
  </si>
  <si>
    <t>lora</t>
  </si>
  <si>
    <t>dotty</t>
  </si>
  <si>
    <t>mocking</t>
  </si>
  <si>
    <t>gareth</t>
  </si>
  <si>
    <t>nude</t>
  </si>
  <si>
    <t>arrival</t>
  </si>
  <si>
    <t>asia</t>
  </si>
  <si>
    <t>rarely</t>
  </si>
  <si>
    <t>fee</t>
  </si>
  <si>
    <t>tait</t>
  </si>
  <si>
    <t>mild</t>
  </si>
  <si>
    <t>cape</t>
  </si>
  <si>
    <t>skid</t>
  </si>
  <si>
    <t>sally</t>
  </si>
  <si>
    <t>preach</t>
  </si>
  <si>
    <t>fibre</t>
  </si>
  <si>
    <t>bellies</t>
  </si>
  <si>
    <t>fete</t>
  </si>
  <si>
    <t>arabs</t>
  </si>
  <si>
    <t>spree</t>
  </si>
  <si>
    <t>sounds</t>
  </si>
  <si>
    <t>ear</t>
  </si>
  <si>
    <t>pills</t>
  </si>
  <si>
    <t>toy</t>
  </si>
  <si>
    <t>gem</t>
  </si>
  <si>
    <t>rim</t>
  </si>
  <si>
    <t>psych</t>
  </si>
  <si>
    <t>twins</t>
  </si>
  <si>
    <t>dodd</t>
  </si>
  <si>
    <t>group</t>
  </si>
  <si>
    <t>jing</t>
  </si>
  <si>
    <t>boom</t>
  </si>
  <si>
    <t>prepped</t>
  </si>
  <si>
    <t>ray</t>
  </si>
  <si>
    <t>con</t>
  </si>
  <si>
    <t>toys</t>
  </si>
  <si>
    <t>lapse</t>
  </si>
  <si>
    <t>aiding</t>
  </si>
  <si>
    <t>puddle</t>
  </si>
  <si>
    <t>mask</t>
  </si>
  <si>
    <t>pros</t>
  </si>
  <si>
    <t>bored</t>
  </si>
  <si>
    <t>glove</t>
  </si>
  <si>
    <t>uphold</t>
  </si>
  <si>
    <t>fife</t>
  </si>
  <si>
    <t>sharp</t>
  </si>
  <si>
    <t>neighbor</t>
  </si>
  <si>
    <t>doughnut</t>
  </si>
  <si>
    <t>itchy</t>
  </si>
  <si>
    <t>words</t>
  </si>
  <si>
    <t>finally</t>
  </si>
  <si>
    <t>dukes</t>
  </si>
  <si>
    <t>smiled</t>
  </si>
  <si>
    <t>garth</t>
  </si>
  <si>
    <t>puck</t>
  </si>
  <si>
    <t>rushing</t>
  </si>
  <si>
    <t>curves</t>
  </si>
  <si>
    <t>bona</t>
  </si>
  <si>
    <t>stead</t>
  </si>
  <si>
    <t>cloud</t>
  </si>
  <si>
    <t>kowtow</t>
  </si>
  <si>
    <t>win</t>
  </si>
  <si>
    <t>gent</t>
  </si>
  <si>
    <t>hoof</t>
  </si>
  <si>
    <t>tall</t>
  </si>
  <si>
    <t>saying</t>
  </si>
  <si>
    <t>patched</t>
  </si>
  <si>
    <t>potion</t>
  </si>
  <si>
    <t>mad</t>
  </si>
  <si>
    <t>flock</t>
  </si>
  <si>
    <t>pas</t>
  </si>
  <si>
    <t>tons</t>
  </si>
  <si>
    <t>wounds</t>
  </si>
  <si>
    <t>cha</t>
  </si>
  <si>
    <t>belly</t>
  </si>
  <si>
    <t>tap</t>
  </si>
  <si>
    <t>refer</t>
  </si>
  <si>
    <t>lt</t>
  </si>
  <si>
    <t>leaned</t>
  </si>
  <si>
    <t>warped</t>
  </si>
  <si>
    <t>whipped</t>
  </si>
  <si>
    <t>manor</t>
  </si>
  <si>
    <t>dings</t>
  </si>
  <si>
    <t>sums</t>
  </si>
  <si>
    <t>allo</t>
  </si>
  <si>
    <t>still</t>
  </si>
  <si>
    <t>solely</t>
  </si>
  <si>
    <t>stocked</t>
  </si>
  <si>
    <t>canned</t>
  </si>
  <si>
    <t>tut</t>
  </si>
  <si>
    <t>belts</t>
  </si>
  <si>
    <t>hing</t>
  </si>
  <si>
    <t>son</t>
  </si>
  <si>
    <t>lucia</t>
  </si>
  <si>
    <t>born</t>
  </si>
  <si>
    <t>slums</t>
  </si>
  <si>
    <t>beanie</t>
  </si>
  <si>
    <t>color</t>
  </si>
  <si>
    <t>jews</t>
  </si>
  <si>
    <t>quotes</t>
  </si>
  <si>
    <t>wrote</t>
  </si>
  <si>
    <t>dibs</t>
  </si>
  <si>
    <t>nod</t>
  </si>
  <si>
    <t>gou</t>
  </si>
  <si>
    <t>kits</t>
  </si>
  <si>
    <t>logged</t>
  </si>
  <si>
    <t>dye</t>
  </si>
  <si>
    <t>poppy</t>
  </si>
  <si>
    <t>louse</t>
  </si>
  <si>
    <t>moon</t>
  </si>
  <si>
    <t>wheels</t>
  </si>
  <si>
    <t>recite</t>
  </si>
  <si>
    <t>movies</t>
  </si>
  <si>
    <t>quart</t>
  </si>
  <si>
    <t>loose</t>
  </si>
  <si>
    <t>midst</t>
  </si>
  <si>
    <t>kegs</t>
  </si>
  <si>
    <t>reading</t>
  </si>
  <si>
    <t>crick</t>
  </si>
  <si>
    <t>chains</t>
  </si>
  <si>
    <t>caddy</t>
  </si>
  <si>
    <t>groupie</t>
  </si>
  <si>
    <t>asher</t>
  </si>
  <si>
    <t>slows</t>
  </si>
  <si>
    <t>solar</t>
  </si>
  <si>
    <t>dawn</t>
  </si>
  <si>
    <t>cabbie</t>
  </si>
  <si>
    <t>daily</t>
  </si>
  <si>
    <t>siam</t>
  </si>
  <si>
    <t>harp</t>
  </si>
  <si>
    <t>nailing</t>
  </si>
  <si>
    <t>finals</t>
  </si>
  <si>
    <t>bum</t>
  </si>
  <si>
    <t>barb</t>
  </si>
  <si>
    <t>sector</t>
  </si>
  <si>
    <t>bell</t>
  </si>
  <si>
    <t>scene</t>
  </si>
  <si>
    <t>khan</t>
  </si>
  <si>
    <t>seeks</t>
  </si>
  <si>
    <t>spill</t>
  </si>
  <si>
    <t>meth</t>
  </si>
  <si>
    <t>saves</t>
  </si>
  <si>
    <t>diana</t>
  </si>
  <si>
    <t>moi</t>
  </si>
  <si>
    <t>dyed</t>
  </si>
  <si>
    <t>trip</t>
  </si>
  <si>
    <t>theme</t>
  </si>
  <si>
    <t>rigged</t>
  </si>
  <si>
    <t>untrue</t>
  </si>
  <si>
    <t>foder</t>
  </si>
  <si>
    <t>build</t>
  </si>
  <si>
    <t>sloth</t>
  </si>
  <si>
    <t>buck</t>
  </si>
  <si>
    <t>reeling</t>
  </si>
  <si>
    <t>elm</t>
  </si>
  <si>
    <t>glen</t>
  </si>
  <si>
    <t>bryan</t>
  </si>
  <si>
    <t>self</t>
  </si>
  <si>
    <t>bosh</t>
  </si>
  <si>
    <t>grid</t>
  </si>
  <si>
    <t>thrift</t>
  </si>
  <si>
    <t>farrow</t>
  </si>
  <si>
    <t>dork</t>
  </si>
  <si>
    <t>elite</t>
  </si>
  <si>
    <t>wick</t>
  </si>
  <si>
    <t>swede</t>
  </si>
  <si>
    <t>flint</t>
  </si>
  <si>
    <t>laughed</t>
  </si>
  <si>
    <t>minutes</t>
  </si>
  <si>
    <t>malls</t>
  </si>
  <si>
    <t>gear</t>
  </si>
  <si>
    <t>health</t>
  </si>
  <si>
    <t>sport</t>
  </si>
  <si>
    <t>rick</t>
  </si>
  <si>
    <t>mister</t>
  </si>
  <si>
    <t>luger</t>
  </si>
  <si>
    <t>gaze</t>
  </si>
  <si>
    <t>hickey</t>
  </si>
  <si>
    <t>chilling</t>
  </si>
  <si>
    <t>seaweed</t>
  </si>
  <si>
    <t>pattern</t>
  </si>
  <si>
    <t>acme</t>
  </si>
  <si>
    <t>nights</t>
  </si>
  <si>
    <t>breakers</t>
  </si>
  <si>
    <t>goes</t>
  </si>
  <si>
    <t>hails</t>
  </si>
  <si>
    <t>gone</t>
  </si>
  <si>
    <t>baked</t>
  </si>
  <si>
    <t>raw</t>
  </si>
  <si>
    <t>rope</t>
  </si>
  <si>
    <t>kenny</t>
  </si>
  <si>
    <t>veal</t>
  </si>
  <si>
    <t>shave</t>
  </si>
  <si>
    <t>wah</t>
  </si>
  <si>
    <t>wow</t>
  </si>
  <si>
    <t>loaned</t>
  </si>
  <si>
    <t>wider</t>
  </si>
  <si>
    <t>lung</t>
  </si>
  <si>
    <t>typed</t>
  </si>
  <si>
    <t>dorothy</t>
  </si>
  <si>
    <t>orbs</t>
  </si>
  <si>
    <t>allows</t>
  </si>
  <si>
    <t>chem</t>
  </si>
  <si>
    <t>cakes</t>
  </si>
  <si>
    <t>join</t>
  </si>
  <si>
    <t>coach</t>
  </si>
  <si>
    <t>eric</t>
  </si>
  <si>
    <t>las</t>
  </si>
  <si>
    <t>ruby</t>
  </si>
  <si>
    <t>lug</t>
  </si>
  <si>
    <t>folly</t>
  </si>
  <si>
    <t>otto</t>
  </si>
  <si>
    <t>buzzed</t>
  </si>
  <si>
    <t>stiff</t>
  </si>
  <si>
    <t>county</t>
  </si>
  <si>
    <t>streets</t>
  </si>
  <si>
    <t>charade</t>
  </si>
  <si>
    <t>bailiff</t>
  </si>
  <si>
    <t>aids</t>
  </si>
  <si>
    <t>freight</t>
  </si>
  <si>
    <t>quota</t>
  </si>
  <si>
    <t>plucked</t>
  </si>
  <si>
    <t>play</t>
  </si>
  <si>
    <t>fox</t>
  </si>
  <si>
    <t>guile</t>
  </si>
  <si>
    <t>prep</t>
  </si>
  <si>
    <t>hitter</t>
  </si>
  <si>
    <t>froze</t>
  </si>
  <si>
    <t>pete</t>
  </si>
  <si>
    <t>mon</t>
  </si>
  <si>
    <t>bai</t>
  </si>
  <si>
    <t>bowden</t>
  </si>
  <si>
    <t>twit</t>
  </si>
  <si>
    <t>homies</t>
  </si>
  <si>
    <t>den</t>
  </si>
  <si>
    <t>corned</t>
  </si>
  <si>
    <t>signs</t>
  </si>
  <si>
    <t>oi</t>
  </si>
  <si>
    <t>church</t>
  </si>
  <si>
    <t>choy</t>
  </si>
  <si>
    <t>hong</t>
  </si>
  <si>
    <t>ming</t>
  </si>
  <si>
    <t>heal</t>
  </si>
  <si>
    <t>wong</t>
  </si>
  <si>
    <t>vogue</t>
  </si>
  <si>
    <t>hiss</t>
  </si>
  <si>
    <t>centered</t>
  </si>
  <si>
    <t>doughnuts</t>
  </si>
  <si>
    <t>dat</t>
  </si>
  <si>
    <t>flier</t>
  </si>
  <si>
    <t>bleach</t>
  </si>
  <si>
    <t>chilly</t>
  </si>
  <si>
    <t>kersey</t>
  </si>
  <si>
    <t>smacking</t>
  </si>
  <si>
    <t>spawned</t>
  </si>
  <si>
    <t>cows</t>
  </si>
  <si>
    <t>toa</t>
  </si>
  <si>
    <t>slides</t>
  </si>
  <si>
    <t>thought</t>
  </si>
  <si>
    <t>pipe</t>
  </si>
  <si>
    <t>speaker</t>
  </si>
  <si>
    <t>marie</t>
  </si>
  <si>
    <t>bowing</t>
  </si>
  <si>
    <t>stacking</t>
  </si>
  <si>
    <t>hg</t>
  </si>
  <si>
    <t>final</t>
  </si>
  <si>
    <t>canoeing</t>
  </si>
  <si>
    <t>prune</t>
  </si>
  <si>
    <t>sol</t>
  </si>
  <si>
    <t>spam</t>
  </si>
  <si>
    <t>ties</t>
  </si>
  <si>
    <t>pious</t>
  </si>
  <si>
    <t>buys</t>
  </si>
  <si>
    <t>max</t>
  </si>
  <si>
    <t>bells</t>
  </si>
  <si>
    <t>wop</t>
  </si>
  <si>
    <t>glitter</t>
  </si>
  <si>
    <t>gang</t>
  </si>
  <si>
    <t>whales</t>
  </si>
  <si>
    <t>spiked</t>
  </si>
  <si>
    <t>nim</t>
  </si>
  <si>
    <t>peep</t>
  </si>
  <si>
    <t>vi</t>
  </si>
  <si>
    <t>both</t>
  </si>
  <si>
    <t>mun</t>
  </si>
  <si>
    <t>broke</t>
  </si>
  <si>
    <t>dine</t>
  </si>
  <si>
    <t>trick</t>
  </si>
  <si>
    <t>doom</t>
  </si>
  <si>
    <t>adding</t>
  </si>
  <si>
    <t>orcs</t>
  </si>
  <si>
    <t>putter</t>
  </si>
  <si>
    <t>perk</t>
  </si>
  <si>
    <t>cera</t>
  </si>
  <si>
    <t>teeny</t>
  </si>
  <si>
    <t>ram</t>
  </si>
  <si>
    <t>rose</t>
  </si>
  <si>
    <t>kin</t>
  </si>
  <si>
    <t>champ</t>
  </si>
  <si>
    <t>hooper</t>
  </si>
  <si>
    <t>summon</t>
  </si>
  <si>
    <t>spoke</t>
  </si>
  <si>
    <t>pals</t>
  </si>
  <si>
    <t>laddie</t>
  </si>
  <si>
    <t>towards</t>
  </si>
  <si>
    <t>lilies</t>
  </si>
  <si>
    <t>accounts</t>
  </si>
  <si>
    <t>steak</t>
  </si>
  <si>
    <t>rules</t>
  </si>
  <si>
    <t>casing</t>
  </si>
  <si>
    <t>quest</t>
  </si>
  <si>
    <t>cuffs</t>
  </si>
  <si>
    <t>halls</t>
  </si>
  <si>
    <t>pearls</t>
  </si>
  <si>
    <t>sync</t>
  </si>
  <si>
    <t>scars</t>
  </si>
  <si>
    <t>moat</t>
  </si>
  <si>
    <t>moths</t>
  </si>
  <si>
    <t>unrest</t>
  </si>
  <si>
    <t>cello</t>
  </si>
  <si>
    <t>saps</t>
  </si>
  <si>
    <t>maybe</t>
  </si>
  <si>
    <t>jackass</t>
  </si>
  <si>
    <t>firm</t>
  </si>
  <si>
    <t>holler</t>
  </si>
  <si>
    <t>wear</t>
  </si>
  <si>
    <t>elves</t>
  </si>
  <si>
    <t>circuit</t>
  </si>
  <si>
    <t>dawned</t>
  </si>
  <si>
    <t>pickin</t>
  </si>
  <si>
    <t>tucked</t>
  </si>
  <si>
    <t>frat</t>
  </si>
  <si>
    <t>probe</t>
  </si>
  <si>
    <t>okie</t>
  </si>
  <si>
    <t>chubby</t>
  </si>
  <si>
    <t>chose</t>
  </si>
  <si>
    <t>coon</t>
  </si>
  <si>
    <t>spades</t>
  </si>
  <si>
    <t>cy</t>
  </si>
  <si>
    <t>flack</t>
  </si>
  <si>
    <t>neddy</t>
  </si>
  <si>
    <t>hap</t>
  </si>
  <si>
    <t>trait</t>
  </si>
  <si>
    <t>sleep</t>
  </si>
  <si>
    <t>weirdo</t>
  </si>
  <si>
    <t>rite</t>
  </si>
  <si>
    <t>erin</t>
  </si>
  <si>
    <t>socially</t>
  </si>
  <si>
    <t>ticked</t>
  </si>
  <si>
    <t>soft</t>
  </si>
  <si>
    <t>bitchy</t>
  </si>
  <si>
    <t>jill</t>
  </si>
  <si>
    <t>reuben</t>
  </si>
  <si>
    <t>eighty</t>
  </si>
  <si>
    <t>what</t>
  </si>
  <si>
    <t>offence</t>
  </si>
  <si>
    <t>brent</t>
  </si>
  <si>
    <t>luce</t>
  </si>
  <si>
    <t>kit</t>
  </si>
  <si>
    <t>karen</t>
  </si>
  <si>
    <t>kilo</t>
  </si>
  <si>
    <t>conner</t>
  </si>
  <si>
    <t>spur</t>
  </si>
  <si>
    <t>johns</t>
  </si>
  <si>
    <t>tire</t>
  </si>
  <si>
    <t>ways</t>
  </si>
  <si>
    <t>stream</t>
  </si>
  <si>
    <t>limbs</t>
  </si>
  <si>
    <t>steele</t>
  </si>
  <si>
    <t>smelled</t>
  </si>
  <si>
    <t>yay</t>
  </si>
  <si>
    <t>punchy</t>
  </si>
  <si>
    <t>hate</t>
  </si>
  <si>
    <t>bughouse</t>
  </si>
  <si>
    <t>suites</t>
  </si>
  <si>
    <t>dish</t>
  </si>
  <si>
    <t>hire</t>
  </si>
  <si>
    <t>steep</t>
  </si>
  <si>
    <t>step</t>
  </si>
  <si>
    <t>crease</t>
  </si>
  <si>
    <t>wang</t>
  </si>
  <si>
    <t>his</t>
  </si>
  <si>
    <t>field</t>
  </si>
  <si>
    <t>suitor</t>
  </si>
  <si>
    <t>alec</t>
  </si>
  <si>
    <t>want</t>
  </si>
  <si>
    <t>jailer</t>
  </si>
  <si>
    <t>aah</t>
  </si>
  <si>
    <t>wheeler</t>
  </si>
  <si>
    <t>caliber</t>
  </si>
  <si>
    <t>dora</t>
  </si>
  <si>
    <t>sewage</t>
  </si>
  <si>
    <t>packed</t>
  </si>
  <si>
    <t>odell</t>
  </si>
  <si>
    <t>ama</t>
  </si>
  <si>
    <t>henry</t>
  </si>
  <si>
    <t>raids</t>
  </si>
  <si>
    <t>image</t>
  </si>
  <si>
    <t>pollen</t>
  </si>
  <si>
    <t>worried</t>
  </si>
  <si>
    <t>n</t>
  </si>
  <si>
    <t>err</t>
  </si>
  <si>
    <t>dreamt</t>
  </si>
  <si>
    <t>hockey</t>
  </si>
  <si>
    <t>caught</t>
  </si>
  <si>
    <t>fatal</t>
  </si>
  <si>
    <t>gloomy</t>
  </si>
  <si>
    <t>chimes</t>
  </si>
  <si>
    <t>term</t>
  </si>
  <si>
    <t>commies</t>
  </si>
  <si>
    <t>merge</t>
  </si>
  <si>
    <t>shocking</t>
  </si>
  <si>
    <t>ask</t>
  </si>
  <si>
    <t>lai</t>
  </si>
  <si>
    <t>crashing</t>
  </si>
  <si>
    <t>leach</t>
  </si>
  <si>
    <t>broads</t>
  </si>
  <si>
    <t>halt</t>
  </si>
  <si>
    <t>fixed</t>
  </si>
  <si>
    <t>kam</t>
  </si>
  <si>
    <t>licking</t>
  </si>
  <si>
    <t>aiming</t>
  </si>
  <si>
    <t>dot</t>
  </si>
  <si>
    <t>deck</t>
  </si>
  <si>
    <t>clap</t>
  </si>
  <si>
    <t>basalt</t>
  </si>
  <si>
    <t>sis</t>
  </si>
  <si>
    <t>cover</t>
  </si>
  <si>
    <t>staked</t>
  </si>
  <si>
    <t>ninth</t>
  </si>
  <si>
    <t>eyes</t>
  </si>
  <si>
    <t>sh</t>
  </si>
  <si>
    <t>choked</t>
  </si>
  <si>
    <t>rob</t>
  </si>
  <si>
    <t>greek</t>
  </si>
  <si>
    <t>memo</t>
  </si>
  <si>
    <t>bien</t>
  </si>
  <si>
    <t>lilly</t>
  </si>
  <si>
    <t>boeing</t>
  </si>
  <si>
    <t>reader</t>
  </si>
  <si>
    <t>rained</t>
  </si>
  <si>
    <t>found</t>
  </si>
  <si>
    <t>bonus</t>
  </si>
  <si>
    <t>stings</t>
  </si>
  <si>
    <t>wesley</t>
  </si>
  <si>
    <t>fort</t>
  </si>
  <si>
    <t>kyoto</t>
  </si>
  <si>
    <t>faking</t>
  </si>
  <si>
    <t>oui</t>
  </si>
  <si>
    <t>circle</t>
  </si>
  <si>
    <t>bayou</t>
  </si>
  <si>
    <t>grin</t>
  </si>
  <si>
    <t>raps</t>
  </si>
  <si>
    <t>loans</t>
  </si>
  <si>
    <t>mod</t>
  </si>
  <si>
    <t>slit</t>
  </si>
  <si>
    <t>sixes</t>
  </si>
  <si>
    <t>litter</t>
  </si>
  <si>
    <t>ghoul</t>
  </si>
  <si>
    <t>hops</t>
  </si>
  <si>
    <t>whiz</t>
  </si>
  <si>
    <t>jenna</t>
  </si>
  <si>
    <t>meadow</t>
  </si>
  <si>
    <t>appear</t>
  </si>
  <si>
    <t>neo</t>
  </si>
  <si>
    <t>grim</t>
  </si>
  <si>
    <t>bunny</t>
  </si>
  <si>
    <t>brad</t>
  </si>
  <si>
    <t>dried</t>
  </si>
  <si>
    <t>slade</t>
  </si>
  <si>
    <t>liege</t>
  </si>
  <si>
    <t>wise</t>
  </si>
  <si>
    <t>hunts</t>
  </si>
  <si>
    <t>stiffs</t>
  </si>
  <si>
    <t>route</t>
  </si>
  <si>
    <t>atta</t>
  </si>
  <si>
    <t>tuned</t>
  </si>
  <si>
    <t>sweater</t>
  </si>
  <si>
    <t>hots</t>
  </si>
  <si>
    <t>fry</t>
  </si>
  <si>
    <t>nike</t>
  </si>
  <si>
    <t>rumored</t>
  </si>
  <si>
    <t>shaw</t>
  </si>
  <si>
    <t>fei</t>
  </si>
  <si>
    <t>bug</t>
  </si>
  <si>
    <t>boats</t>
  </si>
  <si>
    <t>sinners</t>
  </si>
  <si>
    <t>barrier</t>
  </si>
  <si>
    <t>skye</t>
  </si>
  <si>
    <t>bait</t>
  </si>
  <si>
    <t>fell</t>
  </si>
  <si>
    <t>saddle</t>
  </si>
  <si>
    <t>moods</t>
  </si>
  <si>
    <t>shag</t>
  </si>
  <si>
    <t>weights</t>
  </si>
  <si>
    <t>betty</t>
  </si>
  <si>
    <t>stash</t>
  </si>
  <si>
    <t>zip</t>
  </si>
  <si>
    <t>frisky</t>
  </si>
  <si>
    <t>stones</t>
  </si>
  <si>
    <t>tapped</t>
  </si>
  <si>
    <t>snow</t>
  </si>
  <si>
    <t>cal</t>
  </si>
  <si>
    <t>same</t>
  </si>
  <si>
    <t>inner</t>
  </si>
  <si>
    <t>yellow</t>
  </si>
  <si>
    <t>tao</t>
  </si>
  <si>
    <t>gal</t>
  </si>
  <si>
    <t>touching</t>
  </si>
  <si>
    <t>dobie</t>
  </si>
  <si>
    <t>choir</t>
  </si>
  <si>
    <t>house</t>
  </si>
  <si>
    <t>titty</t>
  </si>
  <si>
    <t>teams</t>
  </si>
  <si>
    <t>plea</t>
  </si>
  <si>
    <t>worm</t>
  </si>
  <si>
    <t>cd</t>
  </si>
  <si>
    <t>craving</t>
  </si>
  <si>
    <t>teller</t>
  </si>
  <si>
    <t>cab</t>
  </si>
  <si>
    <t>hector</t>
  </si>
  <si>
    <t>jun</t>
  </si>
  <si>
    <t>brutus</t>
  </si>
  <si>
    <t>brother</t>
  </si>
  <si>
    <t>fins</t>
  </si>
  <si>
    <t>elle</t>
  </si>
  <si>
    <t>pippin</t>
  </si>
  <si>
    <t>homer</t>
  </si>
  <si>
    <t>dey</t>
  </si>
  <si>
    <t>clipper</t>
  </si>
  <si>
    <t>trainee</t>
  </si>
  <si>
    <t>doesn</t>
  </si>
  <si>
    <t>swayed</t>
  </si>
  <si>
    <t>decay</t>
  </si>
  <si>
    <t>won</t>
  </si>
  <si>
    <t>wasnt</t>
  </si>
  <si>
    <t>blown</t>
  </si>
  <si>
    <t>pennies</t>
  </si>
  <si>
    <t>careful</t>
  </si>
  <si>
    <t>pegged</t>
  </si>
  <si>
    <t>tha</t>
  </si>
  <si>
    <t>maine</t>
  </si>
  <si>
    <t>smalls</t>
  </si>
  <si>
    <t>sour</t>
  </si>
  <si>
    <t>joys</t>
  </si>
  <si>
    <t>spawn</t>
  </si>
  <si>
    <t>gala</t>
  </si>
  <si>
    <t>drops</t>
  </si>
  <si>
    <t>dorky</t>
  </si>
  <si>
    <t>ta</t>
  </si>
  <si>
    <t>forced</t>
  </si>
  <si>
    <t>alan</t>
  </si>
  <si>
    <t>rot</t>
  </si>
  <si>
    <t>dressed</t>
  </si>
  <si>
    <t>wings</t>
  </si>
  <si>
    <t>fuss</t>
  </si>
  <si>
    <t>scored</t>
  </si>
  <si>
    <t>sitting</t>
  </si>
  <si>
    <t>boca</t>
  </si>
  <si>
    <t>run</t>
  </si>
  <si>
    <t>jog</t>
  </si>
  <si>
    <t>baldy</t>
  </si>
  <si>
    <t>bury</t>
  </si>
  <si>
    <t>howling</t>
  </si>
  <si>
    <t>ethic</t>
  </si>
  <si>
    <t>scotch</t>
  </si>
  <si>
    <t>matched</t>
  </si>
  <si>
    <t>auntie</t>
  </si>
  <si>
    <t>hoyle</t>
  </si>
  <si>
    <t>beeper</t>
  </si>
  <si>
    <t>blasting</t>
  </si>
  <si>
    <t>donny</t>
  </si>
  <si>
    <t>skirt</t>
  </si>
  <si>
    <t>miller</t>
  </si>
  <si>
    <t>upside</t>
  </si>
  <si>
    <t>tomb</t>
  </si>
  <si>
    <t>willy</t>
  </si>
  <si>
    <t>kay</t>
  </si>
  <si>
    <t>clearer</t>
  </si>
  <si>
    <t>font</t>
  </si>
  <si>
    <t>flair</t>
  </si>
  <si>
    <t>board</t>
  </si>
  <si>
    <t>gobble</t>
  </si>
  <si>
    <t>sip</t>
  </si>
  <si>
    <t>sneak</t>
  </si>
  <si>
    <t>poet</t>
  </si>
  <si>
    <t>veer</t>
  </si>
  <si>
    <t>jeepers</t>
  </si>
  <si>
    <t>stripes</t>
  </si>
  <si>
    <t>salute</t>
  </si>
  <si>
    <t>james</t>
  </si>
  <si>
    <t>olds</t>
  </si>
  <si>
    <t>sale</t>
  </si>
  <si>
    <t>oliver</t>
  </si>
  <si>
    <t>crew</t>
  </si>
  <si>
    <t>typhon</t>
  </si>
  <si>
    <t>startling</t>
  </si>
  <si>
    <t>broker</t>
  </si>
  <si>
    <t>charmer</t>
  </si>
  <si>
    <t>bottom</t>
  </si>
  <si>
    <t>squeal</t>
  </si>
  <si>
    <t>cleaners</t>
  </si>
  <si>
    <t>barks</t>
  </si>
  <si>
    <t>you</t>
  </si>
  <si>
    <t>parked</t>
  </si>
  <si>
    <t>rebel</t>
  </si>
  <si>
    <t>rumba</t>
  </si>
  <si>
    <t>linger</t>
  </si>
  <si>
    <t>lightning</t>
  </si>
  <si>
    <t>lists</t>
  </si>
  <si>
    <t>turning</t>
  </si>
  <si>
    <t>katrina</t>
  </si>
  <si>
    <t>shards</t>
  </si>
  <si>
    <t>fainting</t>
  </si>
  <si>
    <t>fencing</t>
  </si>
  <si>
    <t>rumour</t>
  </si>
  <si>
    <t>diesel</t>
  </si>
  <si>
    <t>coaster</t>
  </si>
  <si>
    <t>georgia</t>
  </si>
  <si>
    <t>defense</t>
  </si>
  <si>
    <t>london</t>
  </si>
  <si>
    <t>loses</t>
  </si>
  <si>
    <t>drinks</t>
  </si>
  <si>
    <t>thriving</t>
  </si>
  <si>
    <t>basis</t>
  </si>
  <si>
    <t>hangs</t>
  </si>
  <si>
    <t>intend</t>
  </si>
  <si>
    <t>boarding</t>
  </si>
  <si>
    <t>guiding</t>
  </si>
  <si>
    <t>cloning</t>
  </si>
  <si>
    <t>reasons</t>
  </si>
  <si>
    <t>sinking</t>
  </si>
  <si>
    <t>hoses</t>
  </si>
  <si>
    <t>jungle</t>
  </si>
  <si>
    <t>other</t>
  </si>
  <si>
    <t>madison</t>
  </si>
  <si>
    <t>curie</t>
  </si>
  <si>
    <t>rumor</t>
  </si>
  <si>
    <t>mingle</t>
  </si>
  <si>
    <t>laurence</t>
  </si>
  <si>
    <t>prices</t>
  </si>
  <si>
    <t>jumper</t>
  </si>
  <si>
    <t>yapping</t>
  </si>
  <si>
    <t>crying</t>
  </si>
  <si>
    <t>palace</t>
  </si>
  <si>
    <t>tests</t>
  </si>
  <si>
    <t>detain</t>
  </si>
  <si>
    <t>squeeze</t>
  </si>
  <si>
    <t>stuffing</t>
  </si>
  <si>
    <t>kiddies</t>
  </si>
  <si>
    <t>worthing</t>
  </si>
  <si>
    <t>surreal</t>
  </si>
  <si>
    <t>spaces</t>
  </si>
  <si>
    <t>watchers</t>
  </si>
  <si>
    <t>colored</t>
  </si>
  <si>
    <t>philip</t>
  </si>
  <si>
    <t>anus</t>
  </si>
  <si>
    <t>pimps</t>
  </si>
  <si>
    <t>naples</t>
  </si>
  <si>
    <t>darts</t>
  </si>
  <si>
    <t>shepherd</t>
  </si>
  <si>
    <t>frasier</t>
  </si>
  <si>
    <t>screw</t>
  </si>
  <si>
    <t>pure</t>
  </si>
  <si>
    <t>strapped</t>
  </si>
  <si>
    <t>yearning</t>
  </si>
  <si>
    <t>peters</t>
  </si>
  <si>
    <t>yanked</t>
  </si>
  <si>
    <t>bordeaux</t>
  </si>
  <si>
    <t>nags</t>
  </si>
  <si>
    <t>area</t>
  </si>
  <si>
    <t>posts</t>
  </si>
  <si>
    <t>chopping</t>
  </si>
  <si>
    <t>bumpy</t>
  </si>
  <si>
    <t>fore</t>
  </si>
  <si>
    <t>flaming</t>
  </si>
  <si>
    <t>sulfur</t>
  </si>
  <si>
    <t>threw</t>
  </si>
  <si>
    <t>duel</t>
  </si>
  <si>
    <t>capture</t>
  </si>
  <si>
    <t>swig</t>
  </si>
  <si>
    <t>blinking</t>
  </si>
  <si>
    <t>becker</t>
  </si>
  <si>
    <t>starling</t>
  </si>
  <si>
    <t>middle</t>
  </si>
  <si>
    <t>needing</t>
  </si>
  <si>
    <t>cube</t>
  </si>
  <si>
    <t>sharpen</t>
  </si>
  <si>
    <t>rusty</t>
  </si>
  <si>
    <t>blasts</t>
  </si>
  <si>
    <t>drilled</t>
  </si>
  <si>
    <t>lethal</t>
  </si>
  <si>
    <t>larger</t>
  </si>
  <si>
    <t>tires</t>
  </si>
  <si>
    <t>silo</t>
  </si>
  <si>
    <t>clipping</t>
  </si>
  <si>
    <t>donors</t>
  </si>
  <si>
    <t>janet</t>
  </si>
  <si>
    <t>arts</t>
  </si>
  <si>
    <t>dashing</t>
  </si>
  <si>
    <t>barton</t>
  </si>
  <si>
    <t>warmer</t>
  </si>
  <si>
    <t>minding</t>
  </si>
  <si>
    <t>spits</t>
  </si>
  <si>
    <t>users</t>
  </si>
  <si>
    <t>shopping</t>
  </si>
  <si>
    <t>dares</t>
  </si>
  <si>
    <t>shrunk</t>
  </si>
  <si>
    <t>arrive</t>
  </si>
  <si>
    <t>script</t>
  </si>
  <si>
    <t>seven</t>
  </si>
  <si>
    <t>slowing</t>
  </si>
  <si>
    <t>seeking</t>
  </si>
  <si>
    <t>hopper</t>
  </si>
  <si>
    <t>robert</t>
  </si>
  <si>
    <t>taken</t>
  </si>
  <si>
    <t>findings</t>
  </si>
  <si>
    <t>adieu</t>
  </si>
  <si>
    <t>presence</t>
  </si>
  <si>
    <t>deader</t>
  </si>
  <si>
    <t>salem</t>
  </si>
  <si>
    <t>bearing</t>
  </si>
  <si>
    <t>dinky</t>
  </si>
  <si>
    <t>new</t>
  </si>
  <si>
    <t>answers</t>
  </si>
  <si>
    <t>intent</t>
  </si>
  <si>
    <t>dusk</t>
  </si>
  <si>
    <t>ensure</t>
  </si>
  <si>
    <t>eclipse</t>
  </si>
  <si>
    <t>yale</t>
  </si>
  <si>
    <t>valves</t>
  </si>
  <si>
    <t>boar</t>
  </si>
  <si>
    <t>repose</t>
  </si>
  <si>
    <t>flask</t>
  </si>
  <si>
    <t>threads</t>
  </si>
  <si>
    <t>phrases</t>
  </si>
  <si>
    <t>cherished</t>
  </si>
  <si>
    <t>discuss</t>
  </si>
  <si>
    <t>lawfully</t>
  </si>
  <si>
    <t>hacker</t>
  </si>
  <si>
    <t>corny</t>
  </si>
  <si>
    <t>marshall</t>
  </si>
  <si>
    <t>docket</t>
  </si>
  <si>
    <t>giver</t>
  </si>
  <si>
    <t>strip</t>
  </si>
  <si>
    <t>surprise</t>
  </si>
  <si>
    <t>artery</t>
  </si>
  <si>
    <t>crutches</t>
  </si>
  <si>
    <t>croft</t>
  </si>
  <si>
    <t>ore</t>
  </si>
  <si>
    <t>stunk</t>
  </si>
  <si>
    <t>tempt</t>
  </si>
  <si>
    <t>shore</t>
  </si>
  <si>
    <t>adore</t>
  </si>
  <si>
    <t>hondo</t>
  </si>
  <si>
    <t>heaven</t>
  </si>
  <si>
    <t>wrapping</t>
  </si>
  <si>
    <t>ending</t>
  </si>
  <si>
    <t>blanks</t>
  </si>
  <si>
    <t>bumps</t>
  </si>
  <si>
    <t>folding</t>
  </si>
  <si>
    <t>pumped</t>
  </si>
  <si>
    <t>sneezing</t>
  </si>
  <si>
    <t>ducal</t>
  </si>
  <si>
    <t>four</t>
  </si>
  <si>
    <t>frosty</t>
  </si>
  <si>
    <t>havoc</t>
  </si>
  <si>
    <t>chopper</t>
  </si>
  <si>
    <t>random</t>
  </si>
  <si>
    <t>mason</t>
  </si>
  <si>
    <t>kiddie</t>
  </si>
  <si>
    <t>bondage</t>
  </si>
  <si>
    <t>poses</t>
  </si>
  <si>
    <t>views</t>
  </si>
  <si>
    <t>wording</t>
  </si>
  <si>
    <t>mac</t>
  </si>
  <si>
    <t>putting</t>
  </si>
  <si>
    <t>tipping</t>
  </si>
  <si>
    <t>sends</t>
  </si>
  <si>
    <t>offend</t>
  </si>
  <si>
    <t>tractor</t>
  </si>
  <si>
    <t>watching</t>
  </si>
  <si>
    <t>hammock</t>
  </si>
  <si>
    <t>noodle</t>
  </si>
  <si>
    <t>erect</t>
  </si>
  <si>
    <t>liters</t>
  </si>
  <si>
    <t>cheddar</t>
  </si>
  <si>
    <t>cards</t>
  </si>
  <si>
    <t>peasants</t>
  </si>
  <si>
    <t>mining</t>
  </si>
  <si>
    <t>nigga</t>
  </si>
  <si>
    <t>choices</t>
  </si>
  <si>
    <t>phyllis</t>
  </si>
  <si>
    <t>scram</t>
  </si>
  <si>
    <t>biker</t>
  </si>
  <si>
    <t>flights</t>
  </si>
  <si>
    <t>likely</t>
  </si>
  <si>
    <t>stamped</t>
  </si>
  <si>
    <t>dual</t>
  </si>
  <si>
    <t>clowns</t>
  </si>
  <si>
    <t>hookers</t>
  </si>
  <si>
    <t>around</t>
  </si>
  <si>
    <t>ounce</t>
  </si>
  <si>
    <t>melons</t>
  </si>
  <si>
    <t>sharks</t>
  </si>
  <si>
    <t>jumbo</t>
  </si>
  <si>
    <t>ooh</t>
  </si>
  <si>
    <t>smarts</t>
  </si>
  <si>
    <t>massive</t>
  </si>
  <si>
    <t>horns</t>
  </si>
  <si>
    <t>pumps</t>
  </si>
  <si>
    <t>evans</t>
  </si>
  <si>
    <t>hiking</t>
  </si>
  <si>
    <t>mystique</t>
  </si>
  <si>
    <t>corona</t>
  </si>
  <si>
    <t>session</t>
  </si>
  <si>
    <t>tuning</t>
  </si>
  <si>
    <t>shaman</t>
  </si>
  <si>
    <t>tucker</t>
  </si>
  <si>
    <t>carver</t>
  </si>
  <si>
    <t>norma</t>
  </si>
  <si>
    <t>bale</t>
  </si>
  <si>
    <t>fallen</t>
  </si>
  <si>
    <t>sweating</t>
  </si>
  <si>
    <t>bail</t>
  </si>
  <si>
    <t>whack</t>
  </si>
  <si>
    <t>cabins</t>
  </si>
  <si>
    <t>insure</t>
  </si>
  <si>
    <t>crusty</t>
  </si>
  <si>
    <t>tor</t>
  </si>
  <si>
    <t>damon</t>
  </si>
  <si>
    <t>present</t>
  </si>
  <si>
    <t>dryer</t>
  </si>
  <si>
    <t>menace</t>
  </si>
  <si>
    <t>oasis</t>
  </si>
  <si>
    <t>archie</t>
  </si>
  <si>
    <t>manger</t>
  </si>
  <si>
    <t>chewing</t>
  </si>
  <si>
    <t>sands</t>
  </si>
  <si>
    <t>cotton</t>
  </si>
  <si>
    <t>hammer</t>
  </si>
  <si>
    <t>gaga</t>
  </si>
  <si>
    <t>grooves</t>
  </si>
  <si>
    <t>learning</t>
  </si>
  <si>
    <t>billings</t>
  </si>
  <si>
    <t>dumped</t>
  </si>
  <si>
    <t>harbour</t>
  </si>
  <si>
    <t>gotten</t>
  </si>
  <si>
    <t>brownies</t>
  </si>
  <si>
    <t>gazelle</t>
  </si>
  <si>
    <t>cuba</t>
  </si>
  <si>
    <t>carrying</t>
  </si>
  <si>
    <t>slopes</t>
  </si>
  <si>
    <t>wack</t>
  </si>
  <si>
    <t>pesos</t>
  </si>
  <si>
    <t>parts</t>
  </si>
  <si>
    <t>couldn</t>
  </si>
  <si>
    <t>pasted</t>
  </si>
  <si>
    <t>snapping</t>
  </si>
  <si>
    <t>squaw</t>
  </si>
  <si>
    <t>crandall</t>
  </si>
  <si>
    <t>yelling</t>
  </si>
  <si>
    <t>farmer</t>
  </si>
  <si>
    <t>handy</t>
  </si>
  <si>
    <t>fists</t>
  </si>
  <si>
    <t>stalker</t>
  </si>
  <si>
    <t>whipping</t>
  </si>
  <si>
    <t>shouted</t>
  </si>
  <si>
    <t>plank</t>
  </si>
  <si>
    <t>marianne</t>
  </si>
  <si>
    <t>glands</t>
  </si>
  <si>
    <t>bagel</t>
  </si>
  <si>
    <t>armed</t>
  </si>
  <si>
    <t>malik</t>
  </si>
  <si>
    <t>teachers</t>
  </si>
  <si>
    <t>herring</t>
  </si>
  <si>
    <t>endings</t>
  </si>
  <si>
    <t>buddhist</t>
  </si>
  <si>
    <t>too</t>
  </si>
  <si>
    <t>dangle</t>
  </si>
  <si>
    <t>damning</t>
  </si>
  <si>
    <t>marian</t>
  </si>
  <si>
    <t>uther</t>
  </si>
  <si>
    <t>india</t>
  </si>
  <si>
    <t>lemon</t>
  </si>
  <si>
    <t>punk</t>
  </si>
  <si>
    <t>whew</t>
  </si>
  <si>
    <t>vests</t>
  </si>
  <si>
    <t>christy</t>
  </si>
  <si>
    <t>tasted</t>
  </si>
  <si>
    <t>lumpy</t>
  </si>
  <si>
    <t>direct</t>
  </si>
  <si>
    <t>tracer</t>
  </si>
  <si>
    <t>games</t>
  </si>
  <si>
    <t>haitian</t>
  </si>
  <si>
    <t>clothing</t>
  </si>
  <si>
    <t>tired</t>
  </si>
  <si>
    <t>mc</t>
  </si>
  <si>
    <t>pleasing</t>
  </si>
  <si>
    <t>weirdos</t>
  </si>
  <si>
    <t>shank</t>
  </si>
  <si>
    <t>tempo</t>
  </si>
  <si>
    <t>ponder</t>
  </si>
  <si>
    <t>wires</t>
  </si>
  <si>
    <t>packer</t>
  </si>
  <si>
    <t>dearly</t>
  </si>
  <si>
    <t>punks</t>
  </si>
  <si>
    <t>author</t>
  </si>
  <si>
    <t>kids</t>
  </si>
  <si>
    <t>kidney</t>
  </si>
  <si>
    <t>linking</t>
  </si>
  <si>
    <t>whale</t>
  </si>
  <si>
    <t>baddest</t>
  </si>
  <si>
    <t>glowing</t>
  </si>
  <si>
    <t>graders</t>
  </si>
  <si>
    <t>typhoon</t>
  </si>
  <si>
    <t>solid</t>
  </si>
  <si>
    <t>flips</t>
  </si>
  <si>
    <t>pudding</t>
  </si>
  <si>
    <t>shagging</t>
  </si>
  <si>
    <t>sipping</t>
  </si>
  <si>
    <t>rags</t>
  </si>
  <si>
    <t>blazer</t>
  </si>
  <si>
    <t>tripping</t>
  </si>
  <si>
    <t>asks</t>
  </si>
  <si>
    <t>medals</t>
  </si>
  <si>
    <t>longing</t>
  </si>
  <si>
    <t>kisses</t>
  </si>
  <si>
    <t>zak</t>
  </si>
  <si>
    <t>steady</t>
  </si>
  <si>
    <t>habits</t>
  </si>
  <si>
    <t>dancer</t>
  </si>
  <si>
    <t>bulb</t>
  </si>
  <si>
    <t>drunks</t>
  </si>
  <si>
    <t>starter</t>
  </si>
  <si>
    <t>patches</t>
  </si>
  <si>
    <t>depend</t>
  </si>
  <si>
    <t>yanks</t>
  </si>
  <si>
    <t>skunk</t>
  </si>
  <si>
    <t>nibble</t>
  </si>
  <si>
    <t>male</t>
  </si>
  <si>
    <t>hardy</t>
  </si>
  <si>
    <t>norman</t>
  </si>
  <si>
    <t>shadowy</t>
  </si>
  <si>
    <t>aren</t>
  </si>
  <si>
    <t>attempt</t>
  </si>
  <si>
    <t>squawk</t>
  </si>
  <si>
    <t>savior</t>
  </si>
  <si>
    <t>rita</t>
  </si>
  <si>
    <t>passes</t>
  </si>
  <si>
    <t>cancel</t>
  </si>
  <si>
    <t>clumpy</t>
  </si>
  <si>
    <t>warrior</t>
  </si>
  <si>
    <t>switch</t>
  </si>
  <si>
    <t>cartier</t>
  </si>
  <si>
    <t>seating</t>
  </si>
  <si>
    <t>ll</t>
  </si>
  <si>
    <t>holden</t>
  </si>
  <si>
    <t>gander</t>
  </si>
  <si>
    <t>vision</t>
  </si>
  <si>
    <t>jimmy</t>
  </si>
  <si>
    <t>spunk</t>
  </si>
  <si>
    <t>warnings</t>
  </si>
  <si>
    <t>cookies</t>
  </si>
  <si>
    <t>flossing</t>
  </si>
  <si>
    <t>slips</t>
  </si>
  <si>
    <t>flakes</t>
  </si>
  <si>
    <t>retain</t>
  </si>
  <si>
    <t>jester</t>
  </si>
  <si>
    <t>basin</t>
  </si>
  <si>
    <t>passion</t>
  </si>
  <si>
    <t>snowing</t>
  </si>
  <si>
    <t>gail</t>
  </si>
  <si>
    <t>descent</t>
  </si>
  <si>
    <t>heathens</t>
  </si>
  <si>
    <t>presses</t>
  </si>
  <si>
    <t>scoops</t>
  </si>
  <si>
    <t>holds</t>
  </si>
  <si>
    <t>swearing</t>
  </si>
  <si>
    <t>mt</t>
  </si>
  <si>
    <t>boulder</t>
  </si>
  <si>
    <t>cutie</t>
  </si>
  <si>
    <t>wiggle</t>
  </si>
  <si>
    <t>suckers</t>
  </si>
  <si>
    <t>moore</t>
  </si>
  <si>
    <t>bladder</t>
  </si>
  <si>
    <t>honks</t>
  </si>
  <si>
    <t>spilling</t>
  </si>
  <si>
    <t>ballast</t>
  </si>
  <si>
    <t>earning</t>
  </si>
  <si>
    <t>traces</t>
  </si>
  <si>
    <t>racket</t>
  </si>
  <si>
    <t>eager</t>
  </si>
  <si>
    <t>bubbles</t>
  </si>
  <si>
    <t>crust</t>
  </si>
  <si>
    <t>chirping</t>
  </si>
  <si>
    <t>settlers</t>
  </si>
  <si>
    <t>vending</t>
  </si>
  <si>
    <t>humble</t>
  </si>
  <si>
    <t>barbara</t>
  </si>
  <si>
    <t>fellows</t>
  </si>
  <si>
    <t>garden</t>
  </si>
  <si>
    <t>amuse</t>
  </si>
  <si>
    <t>saviour</t>
  </si>
  <si>
    <t>eagle</t>
  </si>
  <si>
    <t>cabin</t>
  </si>
  <si>
    <t>louder</t>
  </si>
  <si>
    <t>scarring</t>
  </si>
  <si>
    <t>petals</t>
  </si>
  <si>
    <t>vials</t>
  </si>
  <si>
    <t>knuckles</t>
  </si>
  <si>
    <t>seventh</t>
  </si>
  <si>
    <t>candy</t>
  </si>
  <si>
    <t>murder</t>
  </si>
  <si>
    <t>mormon</t>
  </si>
  <si>
    <t>plumbing</t>
  </si>
  <si>
    <t>return</t>
  </si>
  <si>
    <t>gigolo</t>
  </si>
  <si>
    <t>devon</t>
  </si>
  <si>
    <t>rattle</t>
  </si>
  <si>
    <t>lining</t>
  </si>
  <si>
    <t>trader</t>
  </si>
  <si>
    <t>collars</t>
  </si>
  <si>
    <t>angus</t>
  </si>
  <si>
    <t>bu</t>
  </si>
  <si>
    <t>cordial</t>
  </si>
  <si>
    <t>renal</t>
  </si>
  <si>
    <t>frying</t>
  </si>
  <si>
    <t>covers</t>
  </si>
  <si>
    <t>makeup</t>
  </si>
  <si>
    <t>martians</t>
  </si>
  <si>
    <t>shivers</t>
  </si>
  <si>
    <t>splitting</t>
  </si>
  <si>
    <t>immoral</t>
  </si>
  <si>
    <t>portals</t>
  </si>
  <si>
    <t>core</t>
  </si>
  <si>
    <t>skates</t>
  </si>
  <si>
    <t>privy</t>
  </si>
  <si>
    <t>pounce</t>
  </si>
  <si>
    <t>liver</t>
  </si>
  <si>
    <t>inches</t>
  </si>
  <si>
    <t>staying</t>
  </si>
  <si>
    <t>caring</t>
  </si>
  <si>
    <t>crossed</t>
  </si>
  <si>
    <t>kicker</t>
  </si>
  <si>
    <t>stomped</t>
  </si>
  <si>
    <t>whining</t>
  </si>
  <si>
    <t>bloody</t>
  </si>
  <si>
    <t>poo</t>
  </si>
  <si>
    <t>deacon</t>
  </si>
  <si>
    <t>listen</t>
  </si>
  <si>
    <t>frank</t>
  </si>
  <si>
    <t>callous</t>
  </si>
  <si>
    <t>scraped</t>
  </si>
  <si>
    <t>rejoin</t>
  </si>
  <si>
    <t>cute</t>
  </si>
  <si>
    <t>nickels</t>
  </si>
  <si>
    <t>piccolo</t>
  </si>
  <si>
    <t>chew</t>
  </si>
  <si>
    <t>army</t>
  </si>
  <si>
    <t>founding</t>
  </si>
  <si>
    <t>baboon</t>
  </si>
  <si>
    <t>rack</t>
  </si>
  <si>
    <t>pitches</t>
  </si>
  <si>
    <t>consul</t>
  </si>
  <si>
    <t>cases</t>
  </si>
  <si>
    <t>raven</t>
  </si>
  <si>
    <t>windsor</t>
  </si>
  <si>
    <t>bunker</t>
  </si>
  <si>
    <t>drags</t>
  </si>
  <si>
    <t>dallas</t>
  </si>
  <si>
    <t>frost</t>
  </si>
  <si>
    <t>amps</t>
  </si>
  <si>
    <t>tracking</t>
  </si>
  <si>
    <t>poster</t>
  </si>
  <si>
    <t>fishes</t>
  </si>
  <si>
    <t>crowning</t>
  </si>
  <si>
    <t>tartar</t>
  </si>
  <si>
    <t>chevy</t>
  </si>
  <si>
    <t>ariel</t>
  </si>
  <si>
    <t>maiden</t>
  </si>
  <si>
    <t>timed</t>
  </si>
  <si>
    <t>skating</t>
  </si>
  <si>
    <t>thicker</t>
  </si>
  <si>
    <t>parks</t>
  </si>
  <si>
    <t>manic</t>
  </si>
  <si>
    <t>tanks</t>
  </si>
  <si>
    <t>browns</t>
  </si>
  <si>
    <t>chowder</t>
  </si>
  <si>
    <t>russell</t>
  </si>
  <si>
    <t>strikes</t>
  </si>
  <si>
    <t>loading</t>
  </si>
  <si>
    <t>snoozing</t>
  </si>
  <si>
    <t>hired</t>
  </si>
  <si>
    <t>offer</t>
  </si>
  <si>
    <t>valleys</t>
  </si>
  <si>
    <t>blaring</t>
  </si>
  <si>
    <t>lamps</t>
  </si>
  <si>
    <t>stumble</t>
  </si>
  <si>
    <t>tanked</t>
  </si>
  <si>
    <t>scouts</t>
  </si>
  <si>
    <t>ranked</t>
  </si>
  <si>
    <t>taker</t>
  </si>
  <si>
    <t>prying</t>
  </si>
  <si>
    <t>gents</t>
  </si>
  <si>
    <t>arthur</t>
  </si>
  <si>
    <t>nickel</t>
  </si>
  <si>
    <t>palmer</t>
  </si>
  <si>
    <t>randall</t>
  </si>
  <si>
    <t>trades</t>
  </si>
  <si>
    <t>catches</t>
  </si>
  <si>
    <t>bounced</t>
  </si>
  <si>
    <t>blurry</t>
  </si>
  <si>
    <t>purser</t>
  </si>
  <si>
    <t>picture</t>
  </si>
  <si>
    <t>manning</t>
  </si>
  <si>
    <t>david</t>
  </si>
  <si>
    <t>jumped</t>
  </si>
  <si>
    <t>french</t>
  </si>
  <si>
    <t>beatings</t>
  </si>
  <si>
    <t>repay</t>
  </si>
  <si>
    <t>token</t>
  </si>
  <si>
    <t>danke</t>
  </si>
  <si>
    <t>vinyl</t>
  </si>
  <si>
    <t>cherish</t>
  </si>
  <si>
    <t>selling</t>
  </si>
  <si>
    <t>cracking</t>
  </si>
  <si>
    <t>living</t>
  </si>
  <si>
    <t>flats</t>
  </si>
  <si>
    <t>felony</t>
  </si>
  <si>
    <t>granger</t>
  </si>
  <si>
    <t>feeding</t>
  </si>
  <si>
    <t>vultures</t>
  </si>
  <si>
    <t>freezer</t>
  </si>
  <si>
    <t>opposes</t>
  </si>
  <si>
    <t>warren</t>
  </si>
  <si>
    <t>ale</t>
  </si>
  <si>
    <t>rises</t>
  </si>
  <si>
    <t>planets</t>
  </si>
  <si>
    <t>prefers</t>
  </si>
  <si>
    <t>corky</t>
  </si>
  <si>
    <t>suffers</t>
  </si>
  <si>
    <t>towers</t>
  </si>
  <si>
    <t>doodle</t>
  </si>
  <si>
    <t>soaring</t>
  </si>
  <si>
    <t>arming</t>
  </si>
  <si>
    <t>squish</t>
  </si>
  <si>
    <t>ascend</t>
  </si>
  <si>
    <t>roaches</t>
  </si>
  <si>
    <t>dripping</t>
  </si>
  <si>
    <t>triple</t>
  </si>
  <si>
    <t>stripped</t>
  </si>
  <si>
    <t>boo</t>
  </si>
  <si>
    <t>nagging</t>
  </si>
  <si>
    <t>pillars</t>
  </si>
  <si>
    <t>puzzle</t>
  </si>
  <si>
    <t>harris</t>
  </si>
  <si>
    <t>hunk</t>
  </si>
  <si>
    <t>perceived</t>
  </si>
  <si>
    <t>seated</t>
  </si>
  <si>
    <t>melon</t>
  </si>
  <si>
    <t>pocket</t>
  </si>
  <si>
    <t>covered</t>
  </si>
  <si>
    <t>mortal</t>
  </si>
  <si>
    <t>under</t>
  </si>
  <si>
    <t>brink</t>
  </si>
  <si>
    <t>vale</t>
  </si>
  <si>
    <t>raises</t>
  </si>
  <si>
    <t>weaken</t>
  </si>
  <si>
    <t>shares</t>
  </si>
  <si>
    <t>lotto</t>
  </si>
  <si>
    <t>valets</t>
  </si>
  <si>
    <t>holder</t>
  </si>
  <si>
    <t>screeching</t>
  </si>
  <si>
    <t>pillows</t>
  </si>
  <si>
    <t>colours</t>
  </si>
  <si>
    <t>suited</t>
  </si>
  <si>
    <t>buckle</t>
  </si>
  <si>
    <t>robbers</t>
  </si>
  <si>
    <t>faces</t>
  </si>
  <si>
    <t>sensing</t>
  </si>
  <si>
    <t>snarling</t>
  </si>
  <si>
    <t>webbed</t>
  </si>
  <si>
    <t>dissent</t>
  </si>
  <si>
    <t>jail</t>
  </si>
  <si>
    <t>sinus</t>
  </si>
  <si>
    <t>dingle</t>
  </si>
  <si>
    <t>wander</t>
  </si>
  <si>
    <t>grains</t>
  </si>
  <si>
    <t>brakes</t>
  </si>
  <si>
    <t>forcing</t>
  </si>
  <si>
    <t>scooter</t>
  </si>
  <si>
    <t>custard</t>
  </si>
  <si>
    <t>honors</t>
  </si>
  <si>
    <t>bandage</t>
  </si>
  <si>
    <t>cured</t>
  </si>
  <si>
    <t>simple</t>
  </si>
  <si>
    <t>clearing</t>
  </si>
  <si>
    <t>crewe</t>
  </si>
  <si>
    <t>saloon</t>
  </si>
  <si>
    <t>strips</t>
  </si>
  <si>
    <t>mattered</t>
  </si>
  <si>
    <t>sank</t>
  </si>
  <si>
    <t>riddle</t>
  </si>
  <si>
    <t>slugs</t>
  </si>
  <si>
    <t>undone</t>
  </si>
  <si>
    <t>jogging</t>
  </si>
  <si>
    <t>hyphen</t>
  </si>
  <si>
    <t>tinkles</t>
  </si>
  <si>
    <t>storms</t>
  </si>
  <si>
    <t>garter</t>
  </si>
  <si>
    <t>viewers</t>
  </si>
  <si>
    <t>mags</t>
  </si>
  <si>
    <t>scrooge</t>
  </si>
  <si>
    <t>dorian</t>
  </si>
  <si>
    <t>postal</t>
  </si>
  <si>
    <t>barter</t>
  </si>
  <si>
    <t>perish</t>
  </si>
  <si>
    <t>browning</t>
  </si>
  <si>
    <t>leonard</t>
  </si>
  <si>
    <t>atom</t>
  </si>
  <si>
    <t>thrust</t>
  </si>
  <si>
    <t>bible</t>
  </si>
  <si>
    <t>bonded</t>
  </si>
  <si>
    <t>troupe</t>
  </si>
  <si>
    <t>mothers</t>
  </si>
  <si>
    <t>revised</t>
  </si>
  <si>
    <t>rue</t>
  </si>
  <si>
    <t>levy</t>
  </si>
  <si>
    <t>nu</t>
  </si>
  <si>
    <t>streaming</t>
  </si>
  <si>
    <t>places</t>
  </si>
  <si>
    <t>liars</t>
  </si>
  <si>
    <t>washes</t>
  </si>
  <si>
    <t>colder</t>
  </si>
  <si>
    <t>summary</t>
  </si>
  <si>
    <t>your</t>
  </si>
  <si>
    <t>zoo</t>
  </si>
  <si>
    <t>races</t>
  </si>
  <si>
    <t>pimping</t>
  </si>
  <si>
    <t>rounding</t>
  </si>
  <si>
    <t>riders</t>
  </si>
  <si>
    <t>printing</t>
  </si>
  <si>
    <t>marvel</t>
  </si>
  <si>
    <t>twitches</t>
  </si>
  <si>
    <t>flocking</t>
  </si>
  <si>
    <t>ringing</t>
  </si>
  <si>
    <t>closes</t>
  </si>
  <si>
    <t>squashed</t>
  </si>
  <si>
    <t>franks</t>
  </si>
  <si>
    <t>bronze</t>
  </si>
  <si>
    <t>aryan</t>
  </si>
  <si>
    <t>cracker</t>
  </si>
  <si>
    <t>scuse</t>
  </si>
  <si>
    <t>awful</t>
  </si>
  <si>
    <t>tags</t>
  </si>
  <si>
    <t>uncle</t>
  </si>
  <si>
    <t>stomp</t>
  </si>
  <si>
    <t>handle</t>
  </si>
  <si>
    <t>owners</t>
  </si>
  <si>
    <t>coaches</t>
  </si>
  <si>
    <t>drew</t>
  </si>
  <si>
    <t>thanking</t>
  </si>
  <si>
    <t>endured</t>
  </si>
  <si>
    <t>accuse</t>
  </si>
  <si>
    <t>friction</t>
  </si>
  <si>
    <t>thank</t>
  </si>
  <si>
    <t>bricks</t>
  </si>
  <si>
    <t>parlour</t>
  </si>
  <si>
    <t>someone</t>
  </si>
  <si>
    <t>cheating</t>
  </si>
  <si>
    <t>few</t>
  </si>
  <si>
    <t>manage</t>
  </si>
  <si>
    <t>squeak</t>
  </si>
  <si>
    <t>female</t>
  </si>
  <si>
    <t>yards</t>
  </si>
  <si>
    <t>windows</t>
  </si>
  <si>
    <t>supplies</t>
  </si>
  <si>
    <t>snippy</t>
  </si>
  <si>
    <t>gamble</t>
  </si>
  <si>
    <t>chisel</t>
  </si>
  <si>
    <t>swim</t>
  </si>
  <si>
    <t>flank</t>
  </si>
  <si>
    <t>dancers</t>
  </si>
  <si>
    <t>stickup</t>
  </si>
  <si>
    <t>warming</t>
  </si>
  <si>
    <t>email</t>
  </si>
  <si>
    <t>robots</t>
  </si>
  <si>
    <t>madly</t>
  </si>
  <si>
    <t>damnit</t>
  </si>
  <si>
    <t>thinking</t>
  </si>
  <si>
    <t>cages</t>
  </si>
  <si>
    <t>borrowed</t>
  </si>
  <si>
    <t>blocking</t>
  </si>
  <si>
    <t>hue</t>
  </si>
  <si>
    <t>tinkle</t>
  </si>
  <si>
    <t>corpsman</t>
  </si>
  <si>
    <t>shallow</t>
  </si>
  <si>
    <t>styles</t>
  </si>
  <si>
    <t>warning</t>
  </si>
  <si>
    <t>sleeps</t>
  </si>
  <si>
    <t>arte</t>
  </si>
  <si>
    <t>chunk</t>
  </si>
  <si>
    <t>crowns</t>
  </si>
  <si>
    <t>charmed</t>
  </si>
  <si>
    <t>defence</t>
  </si>
  <si>
    <t>beckett</t>
  </si>
  <si>
    <t>grades</t>
  </si>
  <si>
    <t>sadist</t>
  </si>
  <si>
    <t>delete</t>
  </si>
  <si>
    <t>ironing</t>
  </si>
  <si>
    <t>searching</t>
  </si>
  <si>
    <t>rogers</t>
  </si>
  <si>
    <t>hooves</t>
  </si>
  <si>
    <t>groans</t>
  </si>
  <si>
    <t>tarts</t>
  </si>
  <si>
    <t>creaking</t>
  </si>
  <si>
    <t>thanked</t>
  </si>
  <si>
    <t>bubble</t>
  </si>
  <si>
    <t>rated</t>
  </si>
  <si>
    <t>cordy</t>
  </si>
  <si>
    <t>grinning</t>
  </si>
  <si>
    <t>granting</t>
  </si>
  <si>
    <t>freeing</t>
  </si>
  <si>
    <t>arty</t>
  </si>
  <si>
    <t>eyebrow</t>
  </si>
  <si>
    <t>yank</t>
  </si>
  <si>
    <t>double</t>
  </si>
  <si>
    <t>qu</t>
  </si>
  <si>
    <t>lesson</t>
  </si>
  <si>
    <t>descend</t>
  </si>
  <si>
    <t>backup</t>
  </si>
  <si>
    <t>tours</t>
  </si>
  <si>
    <t>abuse</t>
  </si>
  <si>
    <t>following</t>
  </si>
  <si>
    <t>floats</t>
  </si>
  <si>
    <t>felon</t>
  </si>
  <si>
    <t>guardian</t>
  </si>
  <si>
    <t>bumping</t>
  </si>
  <si>
    <t>stalling</t>
  </si>
  <si>
    <t>coroner</t>
  </si>
  <si>
    <t>sessions</t>
  </si>
  <si>
    <t>legal</t>
  </si>
  <si>
    <t>harbor</t>
  </si>
  <si>
    <t>helen</t>
  </si>
  <si>
    <t>mower</t>
  </si>
  <si>
    <t>pecker</t>
  </si>
  <si>
    <t>needle</t>
  </si>
  <si>
    <t>formerly</t>
  </si>
  <si>
    <t>copper</t>
  </si>
  <si>
    <t>campus</t>
  </si>
  <si>
    <t>fasten</t>
  </si>
  <si>
    <t>thanks</t>
  </si>
  <si>
    <t>ether</t>
  </si>
  <si>
    <t>guru</t>
  </si>
  <si>
    <t>por</t>
  </si>
  <si>
    <t>topper</t>
  </si>
  <si>
    <t>troops</t>
  </si>
  <si>
    <t>skipping</t>
  </si>
  <si>
    <t>mistook</t>
  </si>
  <si>
    <t>stating</t>
  </si>
  <si>
    <t>holding</t>
  </si>
  <si>
    <t>machines</t>
  </si>
  <si>
    <t>ashore</t>
  </si>
  <si>
    <t>braces</t>
  </si>
  <si>
    <t>fraction</t>
  </si>
  <si>
    <t>trying</t>
  </si>
  <si>
    <t>sanka</t>
  </si>
  <si>
    <t>damsel</t>
  </si>
  <si>
    <t>cripple</t>
  </si>
  <si>
    <t>carmen</t>
  </si>
  <si>
    <t>bicker</t>
  </si>
  <si>
    <t>pac</t>
  </si>
  <si>
    <t>refined</t>
  </si>
  <si>
    <t>loving</t>
  </si>
  <si>
    <t>cooking</t>
  </si>
  <si>
    <t>fielding</t>
  </si>
  <si>
    <t>dodgers</t>
  </si>
  <si>
    <t>clever</t>
  </si>
  <si>
    <t>hank</t>
  </si>
  <si>
    <t>followers</t>
  </si>
  <si>
    <t>arena</t>
  </si>
  <si>
    <t>pauses</t>
  </si>
  <si>
    <t>sketching</t>
  </si>
  <si>
    <t>panicky</t>
  </si>
  <si>
    <t>carts</t>
  </si>
  <si>
    <t>thumping</t>
  </si>
  <si>
    <t>links</t>
  </si>
  <si>
    <t>blush</t>
  </si>
  <si>
    <t>rookies</t>
  </si>
  <si>
    <t>famine</t>
  </si>
  <si>
    <t>saddest</t>
  </si>
  <si>
    <t>wicked</t>
  </si>
  <si>
    <t>donkey</t>
  </si>
  <si>
    <t>cattle</t>
  </si>
  <si>
    <t>shoe</t>
  </si>
  <si>
    <t>monkey</t>
  </si>
  <si>
    <t>ballad</t>
  </si>
  <si>
    <t>phoning</t>
  </si>
  <si>
    <t>cannon</t>
  </si>
  <si>
    <t>trains</t>
  </si>
  <si>
    <t>lilo</t>
  </si>
  <si>
    <t>meters</t>
  </si>
  <si>
    <t>pour</t>
  </si>
  <si>
    <t>back</t>
  </si>
  <si>
    <t>fibers</t>
  </si>
  <si>
    <t>rail</t>
  </si>
  <si>
    <t>proceed</t>
  </si>
  <si>
    <t>stretch</t>
  </si>
  <si>
    <t>signing</t>
  </si>
  <si>
    <t>pizza</t>
  </si>
  <si>
    <t>daylight</t>
  </si>
  <si>
    <t>franco</t>
  </si>
  <si>
    <t>applause</t>
  </si>
  <si>
    <t>bowman</t>
  </si>
  <si>
    <t>snappy</t>
  </si>
  <si>
    <t>hosts</t>
  </si>
  <si>
    <t>lively</t>
  </si>
  <si>
    <t>slapping</t>
  </si>
  <si>
    <t>pail</t>
  </si>
  <si>
    <t>bother</t>
  </si>
  <si>
    <t>trunks</t>
  </si>
  <si>
    <t>repeats</t>
  </si>
  <si>
    <t>inspect</t>
  </si>
  <si>
    <t>damage</t>
  </si>
  <si>
    <t>plants</t>
  </si>
  <si>
    <t>humping</t>
  </si>
  <si>
    <t>indoor</t>
  </si>
  <si>
    <t>leading</t>
  </si>
  <si>
    <t>brags</t>
  </si>
  <si>
    <t>elmer</t>
  </si>
  <si>
    <t>messes</t>
  </si>
  <si>
    <t>tagging</t>
  </si>
  <si>
    <t>funding</t>
  </si>
  <si>
    <t>voices</t>
  </si>
  <si>
    <t>parlor</t>
  </si>
  <si>
    <t>cuban</t>
  </si>
  <si>
    <t>mixture</t>
  </si>
  <si>
    <t>risks</t>
  </si>
  <si>
    <t>jason</t>
  </si>
  <si>
    <t>combo</t>
  </si>
  <si>
    <t>thorns</t>
  </si>
  <si>
    <t>drive</t>
  </si>
  <si>
    <t>dances</t>
  </si>
  <si>
    <t>venice</t>
  </si>
  <si>
    <t>model</t>
  </si>
  <si>
    <t>who</t>
  </si>
  <si>
    <t>margin</t>
  </si>
  <si>
    <t>fainted</t>
  </si>
  <si>
    <t>faded</t>
  </si>
  <si>
    <t>actor</t>
  </si>
  <si>
    <t>soar</t>
  </si>
  <si>
    <t>begun</t>
  </si>
  <si>
    <t>sunk</t>
  </si>
  <si>
    <t>bosses</t>
  </si>
  <si>
    <t>ankle</t>
  </si>
  <si>
    <t>niggas</t>
  </si>
  <si>
    <t>cooker</t>
  </si>
  <si>
    <t>venting</t>
  </si>
  <si>
    <t>earnings</t>
  </si>
  <si>
    <t>fleming</t>
  </si>
  <si>
    <t>shiver</t>
  </si>
  <si>
    <t>fail</t>
  </si>
  <si>
    <t>cruising</t>
  </si>
  <si>
    <t>borrowing</t>
  </si>
  <si>
    <t>screwy</t>
  </si>
  <si>
    <t>tank</t>
  </si>
  <si>
    <t>disc</t>
  </si>
  <si>
    <t>aroused</t>
  </si>
  <si>
    <t>cajun</t>
  </si>
  <si>
    <t>names</t>
  </si>
  <si>
    <t>lester</t>
  </si>
  <si>
    <t>rubble</t>
  </si>
  <si>
    <t>parting</t>
  </si>
  <si>
    <t>swill</t>
  </si>
  <si>
    <t>speaking</t>
  </si>
  <si>
    <t>resigned</t>
  </si>
  <si>
    <t>desired</t>
  </si>
  <si>
    <t>crater</t>
  </si>
  <si>
    <t>cleaning</t>
  </si>
  <si>
    <t>do</t>
  </si>
  <si>
    <t>praises</t>
  </si>
  <si>
    <t>fickle</t>
  </si>
  <si>
    <t>junkie</t>
  </si>
  <si>
    <t>guests</t>
  </si>
  <si>
    <t>flinging</t>
  </si>
  <si>
    <t>christ</t>
  </si>
  <si>
    <t>incense</t>
  </si>
  <si>
    <t>harmed</t>
  </si>
  <si>
    <t>mystic</t>
  </si>
  <si>
    <t>applies</t>
  </si>
  <si>
    <t>prissy</t>
  </si>
  <si>
    <t>gazette</t>
  </si>
  <si>
    <t>firemen</t>
  </si>
  <si>
    <t>jumping</t>
  </si>
  <si>
    <t>more</t>
  </si>
  <si>
    <t>tracks</t>
  </si>
  <si>
    <t>bakery</t>
  </si>
  <si>
    <t>drugs</t>
  </si>
  <si>
    <t>shifts</t>
  </si>
  <si>
    <t>carina</t>
  </si>
  <si>
    <t>eastern</t>
  </si>
  <si>
    <t>fury</t>
  </si>
  <si>
    <t>hanks</t>
  </si>
  <si>
    <t>wired</t>
  </si>
  <si>
    <t>vail</t>
  </si>
  <si>
    <t>butcher</t>
  </si>
  <si>
    <t>breasts</t>
  </si>
  <si>
    <t>stumped</t>
  </si>
  <si>
    <t>dunk</t>
  </si>
  <si>
    <t>view</t>
  </si>
  <si>
    <t>horace</t>
  </si>
  <si>
    <t>decide</t>
  </si>
  <si>
    <t>widows</t>
  </si>
  <si>
    <t>pounding</t>
  </si>
  <si>
    <t>gutters</t>
  </si>
  <si>
    <t>dames</t>
  </si>
  <si>
    <t>thinks</t>
  </si>
  <si>
    <t>defend</t>
  </si>
  <si>
    <t>lending</t>
  </si>
  <si>
    <t>splits</t>
  </si>
  <si>
    <t>mumps</t>
  </si>
  <si>
    <t>trailer</t>
  </si>
  <si>
    <t>dental</t>
  </si>
  <si>
    <t>linda</t>
  </si>
  <si>
    <t>hostess</t>
  </si>
  <si>
    <t>binding</t>
  </si>
  <si>
    <t>que</t>
  </si>
  <si>
    <t>peasant</t>
  </si>
  <si>
    <t>ellen</t>
  </si>
  <si>
    <t>burning</t>
  </si>
  <si>
    <t>butters</t>
  </si>
  <si>
    <t>gesture</t>
  </si>
  <si>
    <t>merely</t>
  </si>
  <si>
    <t>catching</t>
  </si>
  <si>
    <t>golden</t>
  </si>
  <si>
    <t>bracken</t>
  </si>
  <si>
    <t>sydney</t>
  </si>
  <si>
    <t>replace</t>
  </si>
  <si>
    <t>moldings</t>
  </si>
  <si>
    <t>chester</t>
  </si>
  <si>
    <t>quaker</t>
  </si>
  <si>
    <t>balloon</t>
  </si>
  <si>
    <t>supplied</t>
  </si>
  <si>
    <t>tiny</t>
  </si>
  <si>
    <t>piston</t>
  </si>
  <si>
    <t>bluff</t>
  </si>
  <si>
    <t>chimps</t>
  </si>
  <si>
    <t>camps</t>
  </si>
  <si>
    <t>clones</t>
  </si>
  <si>
    <t>occurs</t>
  </si>
  <si>
    <t>yours</t>
  </si>
  <si>
    <t>uses</t>
  </si>
  <si>
    <t>nibbles</t>
  </si>
  <si>
    <t>shuttle</t>
  </si>
  <si>
    <t>parson</t>
  </si>
  <si>
    <t>marble</t>
  </si>
  <si>
    <t>misses</t>
  </si>
  <si>
    <t>bunnies</t>
  </si>
  <si>
    <t>anders</t>
  </si>
  <si>
    <t>scaring</t>
  </si>
  <si>
    <t>console</t>
  </si>
  <si>
    <t>ration</t>
  </si>
  <si>
    <t>itches</t>
  </si>
  <si>
    <t>bends</t>
  </si>
  <si>
    <t>follows</t>
  </si>
  <si>
    <t>huddle</t>
  </si>
  <si>
    <t>trucking</t>
  </si>
  <si>
    <t>hiding</t>
  </si>
  <si>
    <t>sounding</t>
  </si>
  <si>
    <t>josie</t>
  </si>
  <si>
    <t>messin</t>
  </si>
  <si>
    <t>crowned</t>
  </si>
  <si>
    <t>desk</t>
  </si>
  <si>
    <t>flags</t>
  </si>
  <si>
    <t>stunning</t>
  </si>
  <si>
    <t>bomber</t>
  </si>
  <si>
    <t>talker</t>
  </si>
  <si>
    <t>former</t>
  </si>
  <si>
    <t>blaming</t>
  </si>
  <si>
    <t>engle</t>
  </si>
  <si>
    <t>reason</t>
  </si>
  <si>
    <t>broken</t>
  </si>
  <si>
    <t>wrench</t>
  </si>
  <si>
    <t>define</t>
  </si>
  <si>
    <t>lor</t>
  </si>
  <si>
    <t>areas</t>
  </si>
  <si>
    <t>beating</t>
  </si>
  <si>
    <t>onion</t>
  </si>
  <si>
    <t>fiction</t>
  </si>
  <si>
    <t>thumper</t>
  </si>
  <si>
    <t>passing</t>
  </si>
  <si>
    <t>rabbits</t>
  </si>
  <si>
    <t>lieu</t>
  </si>
  <si>
    <t>normal</t>
  </si>
  <si>
    <t>settles</t>
  </si>
  <si>
    <t>q</t>
  </si>
  <si>
    <t>faints</t>
  </si>
  <si>
    <t>loo</t>
  </si>
  <si>
    <t>sporting</t>
  </si>
  <si>
    <t>brooding</t>
  </si>
  <si>
    <t>surround</t>
  </si>
  <si>
    <t>meetings</t>
  </si>
  <si>
    <t>doris</t>
  </si>
  <si>
    <t>clots</t>
  </si>
  <si>
    <t>market</t>
  </si>
  <si>
    <t>acute</t>
  </si>
  <si>
    <t>scopes</t>
  </si>
  <si>
    <t>titan</t>
  </si>
  <si>
    <t>morally</t>
  </si>
  <si>
    <t>muir</t>
  </si>
  <si>
    <t>goo</t>
  </si>
  <si>
    <t>decker</t>
  </si>
  <si>
    <t>limping</t>
  </si>
  <si>
    <t>bringing</t>
  </si>
  <si>
    <t>motto</t>
  </si>
  <si>
    <t>rising</t>
  </si>
  <si>
    <t>costs</t>
  </si>
  <si>
    <t>castle</t>
  </si>
  <si>
    <t>turtles</t>
  </si>
  <si>
    <t>cultured</t>
  </si>
  <si>
    <t>twirling</t>
  </si>
  <si>
    <t>roses</t>
  </si>
  <si>
    <t>breathing</t>
  </si>
  <si>
    <t>bands</t>
  </si>
  <si>
    <t>stoner</t>
  </si>
  <si>
    <t>laurel</t>
  </si>
  <si>
    <t>powered</t>
  </si>
  <si>
    <t>banking</t>
  </si>
  <si>
    <t>minds</t>
  </si>
  <si>
    <t>roo</t>
  </si>
  <si>
    <t>bingo</t>
  </si>
  <si>
    <t>seizing</t>
  </si>
  <si>
    <t>tanning</t>
  </si>
  <si>
    <t>janus</t>
  </si>
  <si>
    <t>moo</t>
  </si>
  <si>
    <t>thunder</t>
  </si>
  <si>
    <t>hors</t>
  </si>
  <si>
    <t>pursued</t>
  </si>
  <si>
    <t>traitor</t>
  </si>
  <si>
    <t>bears</t>
  </si>
  <si>
    <t>winding</t>
  </si>
  <si>
    <t>kidneys</t>
  </si>
  <si>
    <t>package</t>
  </si>
  <si>
    <t>hatcher</t>
  </si>
  <si>
    <t>pale</t>
  </si>
  <si>
    <t>pardon</t>
  </si>
  <si>
    <t>knuckle</t>
  </si>
  <si>
    <t>boards</t>
  </si>
  <si>
    <t>harper</t>
  </si>
  <si>
    <t>plugs</t>
  </si>
  <si>
    <t>drying</t>
  </si>
  <si>
    <t>prank</t>
  </si>
  <si>
    <t>hairs</t>
  </si>
  <si>
    <t>rank</t>
  </si>
  <si>
    <t>fizzle</t>
  </si>
  <si>
    <t>door</t>
  </si>
  <si>
    <t>ewing</t>
  </si>
  <si>
    <t>killers</t>
  </si>
  <si>
    <t>dishes</t>
  </si>
  <si>
    <t>issue</t>
  </si>
  <si>
    <t>solace</t>
  </si>
  <si>
    <t>george</t>
  </si>
  <si>
    <t>rapid</t>
  </si>
  <si>
    <t>kuei</t>
  </si>
  <si>
    <t>pockets</t>
  </si>
  <si>
    <t>shiny</t>
  </si>
  <si>
    <t>harvey</t>
  </si>
  <si>
    <t>sail</t>
  </si>
  <si>
    <t>tickled</t>
  </si>
  <si>
    <t>leopard</t>
  </si>
  <si>
    <t>corinne</t>
  </si>
  <si>
    <t>issuing</t>
  </si>
  <si>
    <t>unsure</t>
  </si>
  <si>
    <t>wages</t>
  </si>
  <si>
    <t>earring</t>
  </si>
  <si>
    <t>jiffy</t>
  </si>
  <si>
    <t>trouble</t>
  </si>
  <si>
    <t>peppers</t>
  </si>
  <si>
    <t>marking</t>
  </si>
  <si>
    <t>rumble</t>
  </si>
  <si>
    <t>solved</t>
  </si>
  <si>
    <t>bags</t>
  </si>
  <si>
    <t>meeting</t>
  </si>
  <si>
    <t>doubles</t>
  </si>
  <si>
    <t>wonder</t>
  </si>
  <si>
    <t>tainted</t>
  </si>
  <si>
    <t>porter</t>
  </si>
  <si>
    <t>supporting</t>
  </si>
  <si>
    <t>ladder</t>
  </si>
  <si>
    <t>disk</t>
  </si>
  <si>
    <t>chuckles</t>
  </si>
  <si>
    <t>whereas</t>
  </si>
  <si>
    <t>forming</t>
  </si>
  <si>
    <t>markings</t>
  </si>
  <si>
    <t>salud</t>
  </si>
  <si>
    <t>morals</t>
  </si>
  <si>
    <t>guzzle</t>
  </si>
  <si>
    <t>tearing</t>
  </si>
  <si>
    <t>upload</t>
  </si>
  <si>
    <t>chests</t>
  </si>
  <si>
    <t>rushes</t>
  </si>
  <si>
    <t>slicing</t>
  </si>
  <si>
    <t>winter</t>
  </si>
  <si>
    <t>dr</t>
  </si>
  <si>
    <t>doctor</t>
  </si>
  <si>
    <t>apparent</t>
  </si>
  <si>
    <t>shyness</t>
  </si>
  <si>
    <t>undue</t>
  </si>
  <si>
    <t>spoiling</t>
  </si>
  <si>
    <t>tending</t>
  </si>
  <si>
    <t>oral</t>
  </si>
  <si>
    <t>tissue</t>
  </si>
  <si>
    <t>dew</t>
  </si>
  <si>
    <t>leaning</t>
  </si>
  <si>
    <t>shorter</t>
  </si>
  <si>
    <t>brands</t>
  </si>
  <si>
    <t>db</t>
  </si>
  <si>
    <t>detest</t>
  </si>
  <si>
    <t>clips</t>
  </si>
  <si>
    <t>cupboard</t>
  </si>
  <si>
    <t>squeaks</t>
  </si>
  <si>
    <t>marched</t>
  </si>
  <si>
    <t>somewhat</t>
  </si>
  <si>
    <t>remain</t>
  </si>
  <si>
    <t>bacon</t>
  </si>
  <si>
    <t>passive</t>
  </si>
  <si>
    <t>barbed</t>
  </si>
  <si>
    <t>curses</t>
  </si>
  <si>
    <t>yonder</t>
  </si>
  <si>
    <t>anger</t>
  </si>
  <si>
    <t>halves</t>
  </si>
  <si>
    <t>hack</t>
  </si>
  <si>
    <t>bases</t>
  </si>
  <si>
    <t>timon</t>
  </si>
  <si>
    <t>hansel</t>
  </si>
  <si>
    <t>grew</t>
  </si>
  <si>
    <t>checker</t>
  </si>
  <si>
    <t>becket</t>
  </si>
  <si>
    <t>pistol</t>
  </si>
  <si>
    <t>mastered</t>
  </si>
  <si>
    <t>lepers</t>
  </si>
  <si>
    <t>attend</t>
  </si>
  <si>
    <t>striped</t>
  </si>
  <si>
    <t>bravery</t>
  </si>
  <si>
    <t>hounds</t>
  </si>
  <si>
    <t>gorge</t>
  </si>
  <si>
    <t>paper</t>
  </si>
  <si>
    <t>gale</t>
  </si>
  <si>
    <t>bookie</t>
  </si>
  <si>
    <t>crowding</t>
  </si>
  <si>
    <t>rigging</t>
  </si>
  <si>
    <t>smelling</t>
  </si>
  <si>
    <t>dopers</t>
  </si>
  <si>
    <t>demo</t>
  </si>
  <si>
    <t>squat</t>
  </si>
  <si>
    <t>tents</t>
  </si>
  <si>
    <t>disco</t>
  </si>
  <si>
    <t>coral</t>
  </si>
  <si>
    <t>chaser</t>
  </si>
  <si>
    <t>deceased</t>
  </si>
  <si>
    <t>youre</t>
  </si>
  <si>
    <t>sixer</t>
  </si>
  <si>
    <t>purses</t>
  </si>
  <si>
    <t>pricks</t>
  </si>
  <si>
    <t>piper</t>
  </si>
  <si>
    <t>clouds</t>
  </si>
  <si>
    <t>cookie</t>
  </si>
  <si>
    <t>angle</t>
  </si>
  <si>
    <t>syrup</t>
  </si>
  <si>
    <t>item</t>
  </si>
  <si>
    <t>ticker</t>
  </si>
  <si>
    <t>grunt</t>
  </si>
  <si>
    <t>marshals</t>
  </si>
  <si>
    <t>snoring</t>
  </si>
  <si>
    <t>eject</t>
  </si>
  <si>
    <t>olden</t>
  </si>
  <si>
    <t>jinx</t>
  </si>
  <si>
    <t>crashes</t>
  </si>
  <si>
    <t>folds</t>
  </si>
  <si>
    <t>funk</t>
  </si>
  <si>
    <t>rackets</t>
  </si>
  <si>
    <t>looker</t>
  </si>
  <si>
    <t>titans</t>
  </si>
  <si>
    <t>device</t>
  </si>
  <si>
    <t>trucks</t>
  </si>
  <si>
    <t>denied</t>
  </si>
  <si>
    <t>heinous</t>
  </si>
  <si>
    <t>mending</t>
  </si>
  <si>
    <t>writers</t>
  </si>
  <si>
    <t>scratching</t>
  </si>
  <si>
    <t>alden</t>
  </si>
  <si>
    <t>parched</t>
  </si>
  <si>
    <t>wore</t>
  </si>
  <si>
    <t>crank</t>
  </si>
  <si>
    <t>farts</t>
  </si>
  <si>
    <t>rivers</t>
  </si>
  <si>
    <t>medina</t>
  </si>
  <si>
    <t>fires</t>
  </si>
  <si>
    <t>coasts</t>
  </si>
  <si>
    <t>perceive</t>
  </si>
  <si>
    <t>hopping</t>
  </si>
  <si>
    <t>scatter</t>
  </si>
  <si>
    <t>canker</t>
  </si>
  <si>
    <t>musty</t>
  </si>
  <si>
    <t>detect</t>
  </si>
  <si>
    <t>helena</t>
  </si>
  <si>
    <t>service</t>
  </si>
  <si>
    <t>missile</t>
  </si>
  <si>
    <t>models</t>
  </si>
  <si>
    <t>verses</t>
  </si>
  <si>
    <t>decent</t>
  </si>
  <si>
    <t>divide</t>
  </si>
  <si>
    <t>paris</t>
  </si>
  <si>
    <t>fraser</t>
  </si>
  <si>
    <t>stinker</t>
  </si>
  <si>
    <t>dotted</t>
  </si>
  <si>
    <t>nobles</t>
  </si>
  <si>
    <t>puerto</t>
  </si>
  <si>
    <t>after</t>
  </si>
  <si>
    <t>borders</t>
  </si>
  <si>
    <t>flashing</t>
  </si>
  <si>
    <t>sharper</t>
  </si>
  <si>
    <t>jimbo</t>
  </si>
  <si>
    <t>grilled</t>
  </si>
  <si>
    <t>sizes</t>
  </si>
  <si>
    <t>owning</t>
  </si>
  <si>
    <t>nipple</t>
  </si>
  <si>
    <t>shorten</t>
  </si>
  <si>
    <t>alison</t>
  </si>
  <si>
    <t>infect</t>
  </si>
  <si>
    <t>others</t>
  </si>
  <si>
    <t>arson</t>
  </si>
  <si>
    <t>banker</t>
  </si>
  <si>
    <t>answer</t>
  </si>
  <si>
    <t>wriggle</t>
  </si>
  <si>
    <t>become</t>
  </si>
  <si>
    <t>rerun</t>
  </si>
  <si>
    <t>aerial</t>
  </si>
  <si>
    <t>ferris</t>
  </si>
  <si>
    <t>feelings</t>
  </si>
  <si>
    <t>cashing</t>
  </si>
  <si>
    <t>swish</t>
  </si>
  <si>
    <t>flipping</t>
  </si>
  <si>
    <t>fired</t>
  </si>
  <si>
    <t>limbo</t>
  </si>
  <si>
    <t>cleanup</t>
  </si>
  <si>
    <t>friar</t>
  </si>
  <si>
    <t>doubted</t>
  </si>
  <si>
    <t>bubbly</t>
  </si>
  <si>
    <t>readers</t>
  </si>
  <si>
    <t>cleanse</t>
  </si>
  <si>
    <t>soaps</t>
  </si>
  <si>
    <t>trusts</t>
  </si>
  <si>
    <t>balanced</t>
  </si>
  <si>
    <t>woo</t>
  </si>
  <si>
    <t>urges</t>
  </si>
  <si>
    <t>pretty</t>
  </si>
  <si>
    <t>older</t>
  </si>
  <si>
    <t>party</t>
  </si>
  <si>
    <t>stalls</t>
  </si>
  <si>
    <t>crumble</t>
  </si>
  <si>
    <t>swelling</t>
  </si>
  <si>
    <t>cecil</t>
  </si>
  <si>
    <t>chou</t>
  </si>
  <si>
    <t>arrests</t>
  </si>
  <si>
    <t>gorman</t>
  </si>
  <si>
    <t>crushes</t>
  </si>
  <si>
    <t>highness</t>
  </si>
  <si>
    <t>bleeder</t>
  </si>
  <si>
    <t>carbs</t>
  </si>
  <si>
    <t>shalt</t>
  </si>
  <si>
    <t>zack</t>
  </si>
  <si>
    <t>burying</t>
  </si>
  <si>
    <t>fester</t>
  </si>
  <si>
    <t>sorting</t>
  </si>
  <si>
    <t>raisins</t>
  </si>
  <si>
    <t>beaut</t>
  </si>
  <si>
    <t>hale</t>
  </si>
  <si>
    <t>killings</t>
  </si>
  <si>
    <t>panicked</t>
  </si>
  <si>
    <t>vessel</t>
  </si>
  <si>
    <t>shuffle</t>
  </si>
  <si>
    <t>indians</t>
  </si>
  <si>
    <t>slumming</t>
  </si>
  <si>
    <t>gotcha</t>
  </si>
  <si>
    <t>francs</t>
  </si>
  <si>
    <t>fireman</t>
  </si>
  <si>
    <t>toaster</t>
  </si>
  <si>
    <t>blazing</t>
  </si>
  <si>
    <t>armored</t>
  </si>
  <si>
    <t>affair</t>
  </si>
  <si>
    <t>sou</t>
  </si>
  <si>
    <t>pickup</t>
  </si>
  <si>
    <t>duffel</t>
  </si>
  <si>
    <t>rosy</t>
  </si>
  <si>
    <t>hooker</t>
  </si>
  <si>
    <t>gl</t>
  </si>
  <si>
    <t>hustle</t>
  </si>
  <si>
    <t>wicker</t>
  </si>
  <si>
    <t>smarter</t>
  </si>
  <si>
    <t>charged</t>
  </si>
  <si>
    <t>copter</t>
  </si>
  <si>
    <t>catcher</t>
  </si>
  <si>
    <t>easter</t>
  </si>
  <si>
    <t>cutesy</t>
  </si>
  <si>
    <t>gifts</t>
  </si>
  <si>
    <t>showered</t>
  </si>
  <si>
    <t>ballard</t>
  </si>
  <si>
    <t>honored</t>
  </si>
  <si>
    <t>tour</t>
  </si>
  <si>
    <t>matches</t>
  </si>
  <si>
    <t>treason</t>
  </si>
  <si>
    <t>parish</t>
  </si>
  <si>
    <t>drunk</t>
  </si>
  <si>
    <t>flyers</t>
  </si>
  <si>
    <t>crux</t>
  </si>
  <si>
    <t>bridges</t>
  </si>
  <si>
    <t>bozo</t>
  </si>
  <si>
    <t>tigers</t>
  </si>
  <si>
    <t>edible</t>
  </si>
  <si>
    <t>rabble</t>
  </si>
  <si>
    <t>murmur</t>
  </si>
  <si>
    <t>column</t>
  </si>
  <si>
    <t>hoo</t>
  </si>
  <si>
    <t>acre</t>
  </si>
  <si>
    <t>ripple</t>
  </si>
  <si>
    <t>pino</t>
  </si>
  <si>
    <t>forged</t>
  </si>
  <si>
    <t>knack</t>
  </si>
  <si>
    <t>motors</t>
  </si>
  <si>
    <t>booker</t>
  </si>
  <si>
    <t>greater</t>
  </si>
  <si>
    <t>honoured</t>
  </si>
  <si>
    <t>cents</t>
  </si>
  <si>
    <t>foreman</t>
  </si>
  <si>
    <t>mourning</t>
  </si>
  <si>
    <t>supper</t>
  </si>
  <si>
    <t>mourns</t>
  </si>
  <si>
    <t>chunks</t>
  </si>
  <si>
    <t>panel</t>
  </si>
  <si>
    <t>anchor</t>
  </si>
  <si>
    <t>surfing</t>
  </si>
  <si>
    <t>blank</t>
  </si>
  <si>
    <t>bullet</t>
  </si>
  <si>
    <t>mavis</t>
  </si>
  <si>
    <t>nemo</t>
  </si>
  <si>
    <t>maris</t>
  </si>
  <si>
    <t>legion</t>
  </si>
  <si>
    <t>dale</t>
  </si>
  <si>
    <t>heavens</t>
  </si>
  <si>
    <t>hanger</t>
  </si>
  <si>
    <t>wards</t>
  </si>
  <si>
    <t>lifts</t>
  </si>
  <si>
    <t>morgan</t>
  </si>
  <si>
    <t>jealous</t>
  </si>
  <si>
    <t>cordon</t>
  </si>
  <si>
    <t>triage</t>
  </si>
  <si>
    <t>climbing</t>
  </si>
  <si>
    <t>shoulder</t>
  </si>
  <si>
    <t>due</t>
  </si>
  <si>
    <t>matching</t>
  </si>
  <si>
    <t>edison</t>
  </si>
  <si>
    <t>kiddo</t>
  </si>
  <si>
    <t>keepers</t>
  </si>
  <si>
    <t>mantle</t>
  </si>
  <si>
    <t>drool</t>
  </si>
  <si>
    <t>assure</t>
  </si>
  <si>
    <t>bunks</t>
  </si>
  <si>
    <t>sucker</t>
  </si>
  <si>
    <t>madonna</t>
  </si>
  <si>
    <t>buyers</t>
  </si>
  <si>
    <t>partial</t>
  </si>
  <si>
    <t>power</t>
  </si>
  <si>
    <t>hearings</t>
  </si>
  <si>
    <t>leader</t>
  </si>
  <si>
    <t>marching</t>
  </si>
  <si>
    <t>matters</t>
  </si>
  <si>
    <t>feud</t>
  </si>
  <si>
    <t>armoured</t>
  </si>
  <si>
    <t>floating</t>
  </si>
  <si>
    <t>flirting</t>
  </si>
  <si>
    <t>wedged</t>
  </si>
  <si>
    <t>leeches</t>
  </si>
  <si>
    <t>upfront</t>
  </si>
  <si>
    <t>palate</t>
  </si>
  <si>
    <t>truth</t>
  </si>
  <si>
    <t>bangs</t>
  </si>
  <si>
    <t>racer</t>
  </si>
  <si>
    <t>raffle</t>
  </si>
  <si>
    <t>basic</t>
  </si>
  <si>
    <t>swiss</t>
  </si>
  <si>
    <t>warden</t>
  </si>
  <si>
    <t>jordan</t>
  </si>
  <si>
    <t>elder</t>
  </si>
  <si>
    <t>ground</t>
  </si>
  <si>
    <t>malice</t>
  </si>
  <si>
    <t>basil</t>
  </si>
  <si>
    <t>normally</t>
  </si>
  <si>
    <t>belongs</t>
  </si>
  <si>
    <t>trunk</t>
  </si>
  <si>
    <t>florence</t>
  </si>
  <si>
    <t>eating</t>
  </si>
  <si>
    <t>marx</t>
  </si>
  <si>
    <t>carton</t>
  </si>
  <si>
    <t>shelling</t>
  </si>
  <si>
    <t>truce</t>
  </si>
  <si>
    <t>screening</t>
  </si>
  <si>
    <t>drains</t>
  </si>
  <si>
    <t>champs</t>
  </si>
  <si>
    <t>stump</t>
  </si>
  <si>
    <t>pongo</t>
  </si>
  <si>
    <t>freaking</t>
  </si>
  <si>
    <t>vicar</t>
  </si>
  <si>
    <t>trucker</t>
  </si>
  <si>
    <t>maroon</t>
  </si>
  <si>
    <t>collide</t>
  </si>
  <si>
    <t>hours</t>
  </si>
  <si>
    <t>purchase</t>
  </si>
  <si>
    <t>flapping</t>
  </si>
  <si>
    <t>lack</t>
  </si>
  <si>
    <t>lingo</t>
  </si>
  <si>
    <t>foo</t>
  </si>
  <si>
    <t>prior</t>
  </si>
  <si>
    <t>front</t>
  </si>
  <si>
    <t>either</t>
  </si>
  <si>
    <t>fuse</t>
  </si>
  <si>
    <t>milo</t>
  </si>
  <si>
    <t>marriage</t>
  </si>
  <si>
    <t>piling</t>
  </si>
  <si>
    <t>honk</t>
  </si>
  <si>
    <t>cure</t>
  </si>
  <si>
    <t>having</t>
  </si>
  <si>
    <t>beasts</t>
  </si>
  <si>
    <t>moral</t>
  </si>
  <si>
    <t>honours</t>
  </si>
  <si>
    <t>ripping</t>
  </si>
  <si>
    <t>joel</t>
  </si>
  <si>
    <t>sevens</t>
  </si>
  <si>
    <t>wasted</t>
  </si>
  <si>
    <t>salon</t>
  </si>
  <si>
    <t>clapping</t>
  </si>
  <si>
    <t>beacon</t>
  </si>
  <si>
    <t>perished</t>
  </si>
  <si>
    <t>cures</t>
  </si>
  <si>
    <t>partying</t>
  </si>
  <si>
    <t>spank</t>
  </si>
  <si>
    <t>insect</t>
  </si>
  <si>
    <t>armory</t>
  </si>
  <si>
    <t>reaches</t>
  </si>
  <si>
    <t>skater</t>
  </si>
  <si>
    <t>upper</t>
  </si>
  <si>
    <t>paces</t>
  </si>
  <si>
    <t>manners</t>
  </si>
  <si>
    <t>powder</t>
  </si>
  <si>
    <t>cutters</t>
  </si>
  <si>
    <t>felons</t>
  </si>
  <si>
    <t>sheriff</t>
  </si>
  <si>
    <t>funky</t>
  </si>
  <si>
    <t>slipping</t>
  </si>
  <si>
    <t>steals</t>
  </si>
  <si>
    <t>saxon</t>
  </si>
  <si>
    <t>barber</t>
  </si>
  <si>
    <t>critter</t>
  </si>
  <si>
    <t>stamp</t>
  </si>
  <si>
    <t>pisses</t>
  </si>
  <si>
    <t>bouncy</t>
  </si>
  <si>
    <t>clover</t>
  </si>
  <si>
    <t>cheetah</t>
  </si>
  <si>
    <t>shrink</t>
  </si>
  <si>
    <t>heating</t>
  </si>
  <si>
    <t>mixer</t>
  </si>
  <si>
    <t>screwed</t>
  </si>
  <si>
    <t>squash</t>
  </si>
  <si>
    <t>zoning</t>
  </si>
  <si>
    <t>skinning</t>
  </si>
  <si>
    <t>muzzle</t>
  </si>
  <si>
    <t>sore</t>
  </si>
  <si>
    <t>hires</t>
  </si>
  <si>
    <t>condom</t>
  </si>
  <si>
    <t>tinker</t>
  </si>
  <si>
    <t>martial</t>
  </si>
  <si>
    <t>shackle</t>
  </si>
  <si>
    <t>browsing</t>
  </si>
  <si>
    <t>person</t>
  </si>
  <si>
    <t>hatches</t>
  </si>
  <si>
    <t>vitals</t>
  </si>
  <si>
    <t>brew</t>
  </si>
  <si>
    <t>mute</t>
  </si>
  <si>
    <t>shadows</t>
  </si>
  <si>
    <t>layman</t>
  </si>
  <si>
    <t>frigging</t>
  </si>
  <si>
    <t>war</t>
  </si>
  <si>
    <t>condor</t>
  </si>
  <si>
    <t>reapers</t>
  </si>
  <si>
    <t>cabot</t>
  </si>
  <si>
    <t>quarrel</t>
  </si>
  <si>
    <t>pieces</t>
  </si>
  <si>
    <t>telling</t>
  </si>
  <si>
    <t>crackling</t>
  </si>
  <si>
    <t>jealousy</t>
  </si>
  <si>
    <t>renting</t>
  </si>
  <si>
    <t>jingle</t>
  </si>
  <si>
    <t>fangs</t>
  </si>
  <si>
    <t>tends</t>
  </si>
  <si>
    <t>illegal</t>
  </si>
  <si>
    <t>handing</t>
  </si>
  <si>
    <t>hated</t>
  </si>
  <si>
    <t>suffer</t>
  </si>
  <si>
    <t>mardi</t>
  </si>
  <si>
    <t>hogging</t>
  </si>
  <si>
    <t>sections</t>
  </si>
  <si>
    <t>margins</t>
  </si>
  <si>
    <t>kinky</t>
  </si>
  <si>
    <t>brains</t>
  </si>
  <si>
    <t>bra</t>
  </si>
  <si>
    <t>mule</t>
  </si>
  <si>
    <t>brewing</t>
  </si>
  <si>
    <t>tellin</t>
  </si>
  <si>
    <t>trails</t>
  </si>
  <si>
    <t>akron</t>
  </si>
  <si>
    <t>armor</t>
  </si>
  <si>
    <t>phew</t>
  </si>
  <si>
    <t>hanging</t>
  </si>
  <si>
    <t>tower</t>
  </si>
  <si>
    <t>spitting</t>
  </si>
  <si>
    <t>thrilled</t>
  </si>
  <si>
    <t>maria</t>
  </si>
  <si>
    <t>pulling</t>
  </si>
  <si>
    <t>nurses</t>
  </si>
  <si>
    <t>lure</t>
  </si>
  <si>
    <t>sue</t>
  </si>
  <si>
    <t>groaning</t>
  </si>
  <si>
    <t>warrens</t>
  </si>
  <si>
    <t>partially</t>
  </si>
  <si>
    <t>boomer</t>
  </si>
  <si>
    <t>clocked</t>
  </si>
  <si>
    <t>spleen</t>
  </si>
  <si>
    <t>buses</t>
  </si>
  <si>
    <t>pranks</t>
  </si>
  <si>
    <t>sinks</t>
  </si>
  <si>
    <t>saran</t>
  </si>
  <si>
    <t>sliding</t>
  </si>
  <si>
    <t>finding</t>
  </si>
  <si>
    <t>moaning</t>
  </si>
  <si>
    <t>legally</t>
  </si>
  <si>
    <t>crower</t>
  </si>
  <si>
    <t>cheated</t>
  </si>
  <si>
    <t>intense</t>
  </si>
  <si>
    <t>starving</t>
  </si>
  <si>
    <t>pickled</t>
  </si>
  <si>
    <t>sicker</t>
  </si>
  <si>
    <t>papers</t>
  </si>
  <si>
    <t>whiny</t>
  </si>
  <si>
    <t>version</t>
  </si>
  <si>
    <t>colon</t>
  </si>
  <si>
    <t>rental</t>
  </si>
  <si>
    <t>purpose</t>
  </si>
  <si>
    <t>cayman</t>
  </si>
  <si>
    <t>inject</t>
  </si>
  <si>
    <t>victory</t>
  </si>
  <si>
    <t>jackal</t>
  </si>
  <si>
    <t>beetle</t>
  </si>
  <si>
    <t>marshal</t>
  </si>
  <si>
    <t>sack</t>
  </si>
  <si>
    <t>watches</t>
  </si>
  <si>
    <t>sturdy</t>
  </si>
  <si>
    <t>serene</t>
  </si>
  <si>
    <t>braver</t>
  </si>
  <si>
    <t>paints</t>
  </si>
  <si>
    <t>astern</t>
  </si>
  <si>
    <t>puke</t>
  </si>
  <si>
    <t>pairs</t>
  </si>
  <si>
    <t>shovel</t>
  </si>
  <si>
    <t>koreans</t>
  </si>
  <si>
    <t>shooters</t>
  </si>
  <si>
    <t>unload</t>
  </si>
  <si>
    <t>gabbing</t>
  </si>
  <si>
    <t>crowds</t>
  </si>
  <si>
    <t>closing</t>
  </si>
  <si>
    <t>monks</t>
  </si>
  <si>
    <t>tighten</t>
  </si>
  <si>
    <t>reverse</t>
  </si>
  <si>
    <t>purple</t>
  </si>
  <si>
    <t>lookee</t>
  </si>
  <si>
    <t>warrant</t>
  </si>
  <si>
    <t>bumped</t>
  </si>
  <si>
    <t>saline</t>
  </si>
  <si>
    <t>esther</t>
  </si>
  <si>
    <t>ages</t>
  </si>
  <si>
    <t>shoo</t>
  </si>
  <si>
    <t>spending</t>
  </si>
  <si>
    <t>missus</t>
  </si>
  <si>
    <t>archer</t>
  </si>
  <si>
    <t>serving</t>
  </si>
  <si>
    <t>magic</t>
  </si>
  <si>
    <t>landing</t>
  </si>
  <si>
    <t>flowers</t>
  </si>
  <si>
    <t>minus</t>
  </si>
  <si>
    <t>teachings</t>
  </si>
  <si>
    <t>snooping</t>
  </si>
  <si>
    <t>reno</t>
  </si>
  <si>
    <t>scratched</t>
  </si>
  <si>
    <t>moors</t>
  </si>
  <si>
    <t>option</t>
  </si>
  <si>
    <t>battered</t>
  </si>
  <si>
    <t>breaker</t>
  </si>
  <si>
    <t>candor</t>
  </si>
  <si>
    <t>troop</t>
  </si>
  <si>
    <t>divine</t>
  </si>
  <si>
    <t>battles</t>
  </si>
  <si>
    <t>jewel</t>
  </si>
  <si>
    <t>pack</t>
  </si>
  <si>
    <t>regent</t>
  </si>
  <si>
    <t>tumble</t>
  </si>
  <si>
    <t>straps</t>
  </si>
  <si>
    <t>starting</t>
  </si>
  <si>
    <t>checkup</t>
  </si>
  <si>
    <t>orders</t>
  </si>
  <si>
    <t>supported</t>
  </si>
  <si>
    <t>muscle</t>
  </si>
  <si>
    <t>squad</t>
  </si>
  <si>
    <t>hackers</t>
  </si>
  <si>
    <t>skimming</t>
  </si>
  <si>
    <t>rhino</t>
  </si>
  <si>
    <t>banyan</t>
  </si>
  <si>
    <t>shutters</t>
  </si>
  <si>
    <t>congo</t>
  </si>
  <si>
    <t>creator</t>
  </si>
  <si>
    <t>grabbing</t>
  </si>
  <si>
    <t>solemn</t>
  </si>
  <si>
    <t>poppin</t>
  </si>
  <si>
    <t>fucker</t>
  </si>
  <si>
    <t>kimono</t>
  </si>
  <si>
    <t>marquis</t>
  </si>
  <si>
    <t>cartoon</t>
  </si>
  <si>
    <t>disks</t>
  </si>
  <si>
    <t>horrors</t>
  </si>
  <si>
    <t>thatcher</t>
  </si>
  <si>
    <t>joker</t>
  </si>
  <si>
    <t>jumba</t>
  </si>
  <si>
    <t>tale</t>
  </si>
  <si>
    <t>dandy</t>
  </si>
  <si>
    <t>addresses</t>
  </si>
  <si>
    <t>grounds</t>
  </si>
  <si>
    <t>fighters</t>
  </si>
  <si>
    <t>growling</t>
  </si>
  <si>
    <t>deceit</t>
  </si>
  <si>
    <t>snoopy</t>
  </si>
  <si>
    <t>rosa</t>
  </si>
  <si>
    <t>bookies</t>
  </si>
  <si>
    <t>growls</t>
  </si>
  <si>
    <t>showers</t>
  </si>
  <si>
    <t>breeding</t>
  </si>
  <si>
    <t>summers</t>
  </si>
  <si>
    <t>fleeting</t>
  </si>
  <si>
    <t>chances</t>
  </si>
  <si>
    <t>cubes</t>
  </si>
  <si>
    <t>flitting</t>
  </si>
  <si>
    <t>afar</t>
  </si>
  <si>
    <t>freezes</t>
  </si>
  <si>
    <t>fliers</t>
  </si>
  <si>
    <t>lawman</t>
  </si>
  <si>
    <t>screech</t>
  </si>
  <si>
    <t>marina</t>
  </si>
  <si>
    <t>dammit</t>
  </si>
  <si>
    <t>soften</t>
  </si>
  <si>
    <t>yankee</t>
  </si>
  <si>
    <t>laden</t>
  </si>
  <si>
    <t>pitcher</t>
  </si>
  <si>
    <t>temp</t>
  </si>
  <si>
    <t>cashier</t>
  </si>
  <si>
    <t>emptied</t>
  </si>
  <si>
    <t>trans</t>
  </si>
  <si>
    <t>devised</t>
  </si>
  <si>
    <t>message</t>
  </si>
  <si>
    <t>tingle</t>
  </si>
  <si>
    <t>gangs</t>
  </si>
  <si>
    <t>croaker</t>
  </si>
  <si>
    <t>bulk</t>
  </si>
  <si>
    <t>tumor</t>
  </si>
  <si>
    <t>pimple</t>
  </si>
  <si>
    <t>hammers</t>
  </si>
  <si>
    <t>cannons</t>
  </si>
  <si>
    <t>liquor</t>
  </si>
  <si>
    <t>breakup</t>
  </si>
  <si>
    <t>nail</t>
  </si>
  <si>
    <t>aims</t>
  </si>
  <si>
    <t>office</t>
  </si>
  <si>
    <t>clothes</t>
  </si>
  <si>
    <t>shanked</t>
  </si>
  <si>
    <t>gotta</t>
  </si>
  <si>
    <t>dingo</t>
  </si>
  <si>
    <t>boring</t>
  </si>
  <si>
    <t>swords</t>
  </si>
  <si>
    <t>hiring</t>
  </si>
  <si>
    <t>counsel</t>
  </si>
  <si>
    <t>sticker</t>
  </si>
  <si>
    <t>pints</t>
  </si>
  <si>
    <t>trance</t>
  </si>
  <si>
    <t>mornings</t>
  </si>
  <si>
    <t>salad</t>
  </si>
  <si>
    <t>formal</t>
  </si>
  <si>
    <t>ranking</t>
  </si>
  <si>
    <t>farting</t>
  </si>
  <si>
    <t>fu</t>
  </si>
  <si>
    <t>tardy</t>
  </si>
  <si>
    <t>meddle</t>
  </si>
  <si>
    <t>slices</t>
  </si>
  <si>
    <t>kitten</t>
  </si>
  <si>
    <t>hertz</t>
  </si>
  <si>
    <t>lbs</t>
  </si>
  <si>
    <t>fleeing</t>
  </si>
  <si>
    <t>woken</t>
  </si>
  <si>
    <t>bottoms</t>
  </si>
  <si>
    <t>ranks</t>
  </si>
  <si>
    <t>daughters</t>
  </si>
  <si>
    <t>vial</t>
  </si>
  <si>
    <t>curtain</t>
  </si>
  <si>
    <t>monk</t>
  </si>
  <si>
    <t>quail</t>
  </si>
  <si>
    <t>aversion</t>
  </si>
  <si>
    <t>skirts</t>
  </si>
  <si>
    <t>section</t>
  </si>
  <si>
    <t>masses</t>
  </si>
  <si>
    <t>loosen</t>
  </si>
  <si>
    <t>cuddle</t>
  </si>
  <si>
    <t>busts</t>
  </si>
  <si>
    <t>oyster</t>
  </si>
  <si>
    <t>bonding</t>
  </si>
  <si>
    <t>arises</t>
  </si>
  <si>
    <t>mayor</t>
  </si>
  <si>
    <t>dealings</t>
  </si>
  <si>
    <t>graves</t>
  </si>
  <si>
    <t>vikings</t>
  </si>
  <si>
    <t>trench</t>
  </si>
  <si>
    <t>fags</t>
  </si>
  <si>
    <t>whore</t>
  </si>
  <si>
    <t>holdings</t>
  </si>
  <si>
    <t>harder</t>
  </si>
  <si>
    <t>richter</t>
  </si>
  <si>
    <t>tangle</t>
  </si>
  <si>
    <t>pouring</t>
  </si>
  <si>
    <t>lawrence</t>
  </si>
  <si>
    <t>ceilings</t>
  </si>
  <si>
    <t>vernon</t>
  </si>
  <si>
    <t>backer</t>
  </si>
  <si>
    <t>fidel</t>
  </si>
  <si>
    <t>thrive</t>
  </si>
  <si>
    <t>morning</t>
  </si>
  <si>
    <t>formally</t>
  </si>
  <si>
    <t>napping</t>
  </si>
  <si>
    <t>waiters</t>
  </si>
  <si>
    <t>sure</t>
  </si>
  <si>
    <t>sanders</t>
  </si>
  <si>
    <t>habit</t>
  </si>
  <si>
    <t>colin</t>
  </si>
  <si>
    <t>hardly</t>
  </si>
  <si>
    <t>traction</t>
  </si>
  <si>
    <t>fiddle</t>
  </si>
  <si>
    <t>basics</t>
  </si>
  <si>
    <t>seeming</t>
  </si>
  <si>
    <t>rapping</t>
  </si>
  <si>
    <t>doable</t>
  </si>
  <si>
    <t>scoring</t>
  </si>
  <si>
    <t>danger</t>
  </si>
  <si>
    <t>symbol</t>
  </si>
  <si>
    <t>drink</t>
  </si>
  <si>
    <t>dresses</t>
  </si>
  <si>
    <t>veil</t>
  </si>
  <si>
    <t>flux</t>
  </si>
  <si>
    <t>pleasant</t>
  </si>
  <si>
    <t>lasts</t>
  </si>
  <si>
    <t>closure</t>
  </si>
  <si>
    <t>applaud</t>
  </si>
  <si>
    <t>bibles</t>
  </si>
  <si>
    <t>chases</t>
  </si>
  <si>
    <t>cleans</t>
  </si>
  <si>
    <t>folder</t>
  </si>
  <si>
    <t>clowning</t>
  </si>
  <si>
    <t>thieving</t>
  </si>
  <si>
    <t>auction</t>
  </si>
  <si>
    <t>rigid</t>
  </si>
  <si>
    <t>usher</t>
  </si>
  <si>
    <t>moor</t>
  </si>
  <si>
    <t>shreds</t>
  </si>
  <si>
    <t>haven</t>
  </si>
  <si>
    <t>condo</t>
  </si>
  <si>
    <t>relay</t>
  </si>
  <si>
    <t>marrying</t>
  </si>
  <si>
    <t>points</t>
  </si>
  <si>
    <t>shouldn</t>
  </si>
  <si>
    <t>hooters</t>
  </si>
  <si>
    <t>morris</t>
  </si>
  <si>
    <t>mental</t>
  </si>
  <si>
    <t>martyr</t>
  </si>
  <si>
    <t>bullock</t>
  </si>
  <si>
    <t>ridges</t>
  </si>
  <si>
    <t>candle</t>
  </si>
  <si>
    <t>franz</t>
  </si>
  <si>
    <t>hassle</t>
  </si>
  <si>
    <t>dusty</t>
  </si>
  <si>
    <t>mortals</t>
  </si>
  <si>
    <t>pliers</t>
  </si>
  <si>
    <t>parents</t>
  </si>
  <si>
    <t>siding</t>
  </si>
  <si>
    <t>stealing</t>
  </si>
  <si>
    <t>voters</t>
  </si>
  <si>
    <t>quicker</t>
  </si>
  <si>
    <t>driving</t>
  </si>
  <si>
    <t>cleaver</t>
  </si>
  <si>
    <t>lumps</t>
  </si>
  <si>
    <t>bursts</t>
  </si>
  <si>
    <t>design</t>
  </si>
  <si>
    <t>awfully</t>
  </si>
  <si>
    <t>courting</t>
  </si>
  <si>
    <t>region</t>
  </si>
  <si>
    <t>penal</t>
  </si>
  <si>
    <t>funds</t>
  </si>
  <si>
    <t>powers</t>
  </si>
  <si>
    <t>lawful</t>
  </si>
  <si>
    <t>linen</t>
  </si>
  <si>
    <t>booster</t>
  </si>
  <si>
    <t>hearts</t>
  </si>
  <si>
    <t>tickle</t>
  </si>
  <si>
    <t>miles</t>
  </si>
  <si>
    <t>shimmy</t>
  </si>
  <si>
    <t>pants</t>
  </si>
  <si>
    <t>sanest</t>
  </si>
  <si>
    <t>brogan</t>
  </si>
  <si>
    <t>mrs</t>
  </si>
  <si>
    <t>canyon</t>
  </si>
  <si>
    <t>attraction</t>
  </si>
  <si>
    <t>often</t>
  </si>
  <si>
    <t>scrapped</t>
  </si>
  <si>
    <t>freighter</t>
  </si>
  <si>
    <t>undo</t>
  </si>
  <si>
    <t>touches</t>
  </si>
  <si>
    <t>marker</t>
  </si>
  <si>
    <t>rectal</t>
  </si>
  <si>
    <t>hubble</t>
  </si>
  <si>
    <t>prizes</t>
  </si>
  <si>
    <t>causes</t>
  </si>
  <si>
    <t>teaches</t>
  </si>
  <si>
    <t>leering</t>
  </si>
  <si>
    <t>regain</t>
  </si>
  <si>
    <t>marks</t>
  </si>
  <si>
    <t>charger</t>
  </si>
  <si>
    <t>pinky</t>
  </si>
  <si>
    <t>battle</t>
  </si>
  <si>
    <t>wrinkle</t>
  </si>
  <si>
    <t>mail</t>
  </si>
  <si>
    <t>sluts</t>
  </si>
  <si>
    <t>regions</t>
  </si>
  <si>
    <t>randy</t>
  </si>
  <si>
    <t>strap</t>
  </si>
  <si>
    <t>sleeping</t>
  </si>
  <si>
    <t>delight</t>
  </si>
  <si>
    <t>junk</t>
  </si>
  <si>
    <t>linden</t>
  </si>
  <si>
    <t>single</t>
  </si>
  <si>
    <t>blur</t>
  </si>
  <si>
    <t>blinding</t>
  </si>
  <si>
    <t>campbell</t>
  </si>
  <si>
    <t>becomes</t>
  </si>
  <si>
    <t>compass</t>
  </si>
  <si>
    <t>dollars</t>
  </si>
  <si>
    <t>bonds</t>
  </si>
  <si>
    <t>merger</t>
  </si>
  <si>
    <t>cited</t>
  </si>
  <si>
    <t>humbug</t>
  </si>
  <si>
    <t>rooted</t>
  </si>
  <si>
    <t>pickle</t>
  </si>
  <si>
    <t>tricks</t>
  </si>
  <si>
    <t>letters</t>
  </si>
  <si>
    <t>seagull</t>
  </si>
  <si>
    <t>sweeps</t>
  </si>
  <si>
    <t>edges</t>
  </si>
  <si>
    <t>shoeing</t>
  </si>
  <si>
    <t>climate</t>
  </si>
  <si>
    <t>addison</t>
  </si>
  <si>
    <t>vital</t>
  </si>
  <si>
    <t>nosy</t>
  </si>
  <si>
    <t>shaker</t>
  </si>
  <si>
    <t>barked</t>
  </si>
  <si>
    <t>parent</t>
  </si>
  <si>
    <t>cubans</t>
  </si>
  <si>
    <t>features</t>
  </si>
  <si>
    <t>holdup</t>
  </si>
  <si>
    <t>sandy</t>
  </si>
  <si>
    <t>dregs</t>
  </si>
  <si>
    <t>ballot</t>
  </si>
  <si>
    <t>metals</t>
  </si>
  <si>
    <t>people</t>
  </si>
  <si>
    <t>designed</t>
  </si>
  <si>
    <t>drank</t>
  </si>
  <si>
    <t>powdered</t>
  </si>
  <si>
    <t>colors</t>
  </si>
  <si>
    <t>parcel</t>
  </si>
  <si>
    <t>beatles</t>
  </si>
  <si>
    <t>gras</t>
  </si>
  <si>
    <t>casts</t>
  </si>
  <si>
    <t>channel</t>
  </si>
  <si>
    <t>sac</t>
  </si>
  <si>
    <t>ratted</t>
  </si>
  <si>
    <t>pickles</t>
  </si>
  <si>
    <t>chords</t>
  </si>
  <si>
    <t>sunrise</t>
  </si>
  <si>
    <t>stoker</t>
  </si>
  <si>
    <t>doing</t>
  </si>
  <si>
    <t>trusty</t>
  </si>
  <si>
    <t>coward</t>
  </si>
  <si>
    <t>spices</t>
  </si>
  <si>
    <t>rookie</t>
  </si>
  <si>
    <t>rabid</t>
  </si>
  <si>
    <t>rustle</t>
  </si>
  <si>
    <t>monies</t>
  </si>
  <si>
    <t>bleeding</t>
  </si>
  <si>
    <t>viper</t>
  </si>
  <si>
    <t>cheering</t>
  </si>
  <si>
    <t>grieves</t>
  </si>
  <si>
    <t>jack</t>
  </si>
  <si>
    <t>jiggle</t>
  </si>
  <si>
    <t>maker</t>
  </si>
  <si>
    <t>seasons</t>
  </si>
  <si>
    <t>wearing</t>
  </si>
  <si>
    <t>fellas</t>
  </si>
  <si>
    <t>cultures</t>
  </si>
  <si>
    <t>shack</t>
  </si>
  <si>
    <t>macho</t>
  </si>
  <si>
    <t>dazzle</t>
  </si>
  <si>
    <t>bumper</t>
  </si>
  <si>
    <t>claiming</t>
  </si>
  <si>
    <t>persian</t>
  </si>
  <si>
    <t>squeaky</t>
  </si>
  <si>
    <t>marco</t>
  </si>
  <si>
    <t>greens</t>
  </si>
  <si>
    <t>masks</t>
  </si>
  <si>
    <t>speeding</t>
  </si>
  <si>
    <t>foreign</t>
  </si>
  <si>
    <t>raided</t>
  </si>
  <si>
    <t>rests</t>
  </si>
  <si>
    <t>breaks</t>
  </si>
  <si>
    <t>marine</t>
  </si>
  <si>
    <t>plots</t>
  </si>
  <si>
    <t>theirs</t>
  </si>
  <si>
    <t>landings</t>
  </si>
  <si>
    <t>pinkie</t>
  </si>
  <si>
    <t>tack</t>
  </si>
  <si>
    <t>bottle</t>
  </si>
  <si>
    <t>washing</t>
  </si>
  <si>
    <t>trainer</t>
  </si>
  <si>
    <t>dated</t>
  </si>
  <si>
    <t>groves</t>
  </si>
  <si>
    <t>flying</t>
  </si>
  <si>
    <t>faker</t>
  </si>
  <si>
    <t>sterling</t>
  </si>
  <si>
    <t>indeed</t>
  </si>
  <si>
    <t>parker</t>
  </si>
  <si>
    <t>raiders</t>
  </si>
  <si>
    <t>logging</t>
  </si>
  <si>
    <t>joists</t>
  </si>
  <si>
    <t>mistake</t>
  </si>
  <si>
    <t>bruising</t>
  </si>
  <si>
    <t>cozy</t>
  </si>
  <si>
    <t>badgered</t>
  </si>
  <si>
    <t>mambo</t>
  </si>
  <si>
    <t>fortune</t>
  </si>
  <si>
    <t>skilling</t>
  </si>
  <si>
    <t>slits</t>
  </si>
  <si>
    <t>saints</t>
  </si>
  <si>
    <t>mongol</t>
  </si>
  <si>
    <t>wears</t>
  </si>
  <si>
    <t>summer</t>
  </si>
  <si>
    <t>stress</t>
  </si>
  <si>
    <t>dumping</t>
  </si>
  <si>
    <t>nor</t>
  </si>
  <si>
    <t>shadow</t>
  </si>
  <si>
    <t>partly</t>
  </si>
  <si>
    <t>rents</t>
  </si>
  <si>
    <t>dumps</t>
  </si>
  <si>
    <t>banks</t>
  </si>
  <si>
    <t>abbott</t>
  </si>
  <si>
    <t>peanut</t>
  </si>
  <si>
    <t>yawning</t>
  </si>
  <si>
    <t>clinging</t>
  </si>
  <si>
    <t>stripping</t>
  </si>
  <si>
    <t>daughter</t>
  </si>
  <si>
    <t>mustard</t>
  </si>
  <si>
    <t>rockets</t>
  </si>
  <si>
    <t>hangar</t>
  </si>
  <si>
    <t>safest</t>
  </si>
  <si>
    <t>rocket</t>
  </si>
  <si>
    <t>gael</t>
  </si>
  <si>
    <t>yak</t>
  </si>
  <si>
    <t>viewing</t>
  </si>
  <si>
    <t>muse</t>
  </si>
  <si>
    <t>charter</t>
  </si>
  <si>
    <t>enters</t>
  </si>
  <si>
    <t>smiling</t>
  </si>
  <si>
    <t>chunky</t>
  </si>
  <si>
    <t>strokes</t>
  </si>
  <si>
    <t>witches</t>
  </si>
  <si>
    <t>aces</t>
  </si>
  <si>
    <t>tennis</t>
  </si>
  <si>
    <t>tasks</t>
  </si>
  <si>
    <t>sample</t>
  </si>
  <si>
    <t>dipping</t>
  </si>
  <si>
    <t>dropping</t>
  </si>
  <si>
    <t>ghosts</t>
  </si>
  <si>
    <t>nearing</t>
  </si>
  <si>
    <t>scanning</t>
  </si>
  <si>
    <t>schooling</t>
  </si>
  <si>
    <t>subpoena</t>
  </si>
  <si>
    <t>losses</t>
  </si>
  <si>
    <t>kinder</t>
  </si>
  <si>
    <t>hugh</t>
  </si>
  <si>
    <t>cares</t>
  </si>
  <si>
    <t>theres</t>
  </si>
  <si>
    <t>drowning</t>
  </si>
  <si>
    <t>insured</t>
  </si>
  <si>
    <t>twinkle</t>
  </si>
  <si>
    <t>sumner</t>
  </si>
  <si>
    <t>whistle</t>
  </si>
  <si>
    <t>cue</t>
  </si>
  <si>
    <t>through</t>
  </si>
  <si>
    <t>tackle</t>
  </si>
  <si>
    <t>diving</t>
  </si>
  <si>
    <t>two</t>
  </si>
  <si>
    <t>pages</t>
  </si>
  <si>
    <t>hamper</t>
  </si>
  <si>
    <t>bison</t>
  </si>
  <si>
    <t>vents</t>
  </si>
  <si>
    <t>slamming</t>
  </si>
  <si>
    <t>wattle</t>
  </si>
  <si>
    <t>empty</t>
  </si>
  <si>
    <t>shower</t>
  </si>
  <si>
    <t>brewster</t>
  </si>
  <si>
    <t>rabbit</t>
  </si>
  <si>
    <t>action</t>
  </si>
  <si>
    <t>corner</t>
  </si>
  <si>
    <t>autumn</t>
  </si>
  <si>
    <t>vestal</t>
  </si>
  <si>
    <t>jameson</t>
  </si>
  <si>
    <t>conquer</t>
  </si>
  <si>
    <t>dwelling</t>
  </si>
  <si>
    <t>sighted</t>
  </si>
  <si>
    <t>bending</t>
  </si>
  <si>
    <t>scandal</t>
  </si>
  <si>
    <t>juggle</t>
  </si>
  <si>
    <t>handsome</t>
  </si>
  <si>
    <t>study</t>
  </si>
  <si>
    <t>framing</t>
  </si>
  <si>
    <t>leaping</t>
  </si>
  <si>
    <t>honeys</t>
  </si>
  <si>
    <t>sending</t>
  </si>
  <si>
    <t>victor</t>
  </si>
  <si>
    <t>ew</t>
  </si>
  <si>
    <t>neither</t>
  </si>
  <si>
    <t>fuckers</t>
  </si>
  <si>
    <t>bongo</t>
  </si>
  <si>
    <t>cranky</t>
  </si>
  <si>
    <t>pepper</t>
  </si>
  <si>
    <t>chanting</t>
  </si>
  <si>
    <t>cracks</t>
  </si>
  <si>
    <t>miners</t>
  </si>
  <si>
    <t>carter</t>
  </si>
  <si>
    <t>faithful</t>
  </si>
  <si>
    <t>thor</t>
  </si>
  <si>
    <t>brushes</t>
  </si>
  <si>
    <t>leaving</t>
  </si>
  <si>
    <t>scrape</t>
  </si>
  <si>
    <t>cycles</t>
  </si>
  <si>
    <t>sioux</t>
  </si>
  <si>
    <t>bounce</t>
  </si>
  <si>
    <t>costar</t>
  </si>
  <si>
    <t>daring</t>
  </si>
  <si>
    <t>wrinkles</t>
  </si>
  <si>
    <t>guards</t>
  </si>
  <si>
    <t>stumpy</t>
  </si>
  <si>
    <t>flowing</t>
  </si>
  <si>
    <t>clicking</t>
  </si>
  <si>
    <t>sharing</t>
  </si>
  <si>
    <t>shrinks</t>
  </si>
  <si>
    <t>elect</t>
  </si>
  <si>
    <t>jumpy</t>
  </si>
  <si>
    <t>pooh</t>
  </si>
  <si>
    <t>lew</t>
  </si>
  <si>
    <t>pears</t>
  </si>
  <si>
    <t>bikers</t>
  </si>
  <si>
    <t>strep</t>
  </si>
  <si>
    <t>bimbo</t>
  </si>
  <si>
    <t>joints</t>
  </si>
  <si>
    <t>korean</t>
  </si>
  <si>
    <t>bunk</t>
  </si>
  <si>
    <t>mano</t>
  </si>
  <si>
    <t>sockets</t>
  </si>
  <si>
    <t>metres</t>
  </si>
  <si>
    <t>ado</t>
  </si>
  <si>
    <t>socket</t>
  </si>
  <si>
    <t>spinning</t>
  </si>
  <si>
    <t>mortar</t>
  </si>
  <si>
    <t>tickles</t>
  </si>
  <si>
    <t>nipples</t>
  </si>
  <si>
    <t>replay</t>
  </si>
  <si>
    <t>clumsy</t>
  </si>
  <si>
    <t>cleaner</t>
  </si>
  <si>
    <t>wheres</t>
  </si>
  <si>
    <t>mack</t>
  </si>
  <si>
    <t>steaming</t>
  </si>
  <si>
    <t>screaming</t>
  </si>
  <si>
    <t>badly</t>
  </si>
  <si>
    <t>graces</t>
  </si>
  <si>
    <t>stitches</t>
  </si>
  <si>
    <t>shillings</t>
  </si>
  <si>
    <t>jacket</t>
  </si>
  <si>
    <t>mondo</t>
  </si>
  <si>
    <t>hampshire</t>
  </si>
  <si>
    <t>terrible</t>
  </si>
  <si>
    <t>levee</t>
  </si>
  <si>
    <t>blood</t>
  </si>
  <si>
    <t>waters</t>
  </si>
  <si>
    <t>su</t>
  </si>
  <si>
    <t>giggle</t>
  </si>
  <si>
    <t>scouting</t>
  </si>
  <si>
    <t>christine</t>
  </si>
  <si>
    <t>cosy</t>
  </si>
  <si>
    <t>chateau</t>
  </si>
  <si>
    <t>smoker</t>
  </si>
  <si>
    <t>riches</t>
  </si>
  <si>
    <t>mumbo</t>
  </si>
  <si>
    <t>lands</t>
  </si>
  <si>
    <t>luncheon</t>
  </si>
  <si>
    <t>gramps</t>
  </si>
  <si>
    <t>faithfully</t>
  </si>
  <si>
    <t>chairs</t>
  </si>
  <si>
    <t>mazel</t>
  </si>
  <si>
    <t>heated</t>
  </si>
  <si>
    <t>slots</t>
  </si>
  <si>
    <t>shaken</t>
  </si>
  <si>
    <t>roar</t>
  </si>
  <si>
    <t>cancer</t>
  </si>
  <si>
    <t>wrists</t>
  </si>
  <si>
    <t>scratchy</t>
  </si>
  <si>
    <t>tanker</t>
  </si>
  <si>
    <t>barging</t>
  </si>
  <si>
    <t>finds</t>
  </si>
  <si>
    <t>sookie</t>
  </si>
  <si>
    <t>hatching</t>
  </si>
  <si>
    <t>bottles</t>
  </si>
  <si>
    <t>chore</t>
  </si>
  <si>
    <t>stands</t>
  </si>
  <si>
    <t>bitches</t>
  </si>
  <si>
    <t>fuses</t>
  </si>
  <si>
    <t>foreigner</t>
  </si>
  <si>
    <t>bengal</t>
  </si>
  <si>
    <t>mules</t>
  </si>
  <si>
    <t>scream</t>
  </si>
  <si>
    <t>ransom</t>
  </si>
  <si>
    <t>bulge</t>
  </si>
  <si>
    <t>marked</t>
  </si>
  <si>
    <t>bounds</t>
  </si>
  <si>
    <t>racers</t>
  </si>
  <si>
    <t>swirling</t>
  </si>
  <si>
    <t>catchers</t>
  </si>
  <si>
    <t>events</t>
  </si>
  <si>
    <t>expect</t>
  </si>
  <si>
    <t>refers</t>
  </si>
  <si>
    <t>patching</t>
  </si>
  <si>
    <t>suction</t>
  </si>
  <si>
    <t>booking</t>
  </si>
  <si>
    <t>scheming</t>
  </si>
  <si>
    <t>snatching</t>
  </si>
  <si>
    <t>fibres</t>
  </si>
  <si>
    <t>farming</t>
  </si>
  <si>
    <t>morons</t>
  </si>
  <si>
    <t>clippings</t>
  </si>
  <si>
    <t>sparring</t>
  </si>
  <si>
    <t>fumes</t>
  </si>
  <si>
    <t>towel</t>
  </si>
  <si>
    <t>entered</t>
  </si>
  <si>
    <t>wanting</t>
  </si>
  <si>
    <t>wrestle</t>
  </si>
  <si>
    <t>speeches</t>
  </si>
  <si>
    <t>barker</t>
  </si>
  <si>
    <t>marbles</t>
  </si>
  <si>
    <t>croaking</t>
  </si>
  <si>
    <t>ranger</t>
  </si>
  <si>
    <t>hail</t>
  </si>
  <si>
    <t>titles</t>
  </si>
  <si>
    <t>stories</t>
  </si>
  <si>
    <t>chino</t>
  </si>
  <si>
    <t>circles</t>
  </si>
  <si>
    <t>fashion</t>
  </si>
  <si>
    <t>recent</t>
  </si>
  <si>
    <t>formed</t>
  </si>
  <si>
    <t>hearing</t>
  </si>
  <si>
    <t>streaks</t>
  </si>
  <si>
    <t>bastard</t>
  </si>
  <si>
    <t>waffle</t>
  </si>
  <si>
    <t>butchery</t>
  </si>
  <si>
    <t>wishes</t>
  </si>
  <si>
    <t>supportive</t>
  </si>
  <si>
    <t>jackson</t>
  </si>
  <si>
    <t>coloured</t>
  </si>
  <si>
    <t>loren</t>
  </si>
  <si>
    <t>snorting</t>
  </si>
  <si>
    <t>eraser</t>
  </si>
  <si>
    <t>endure</t>
  </si>
  <si>
    <t>faction</t>
  </si>
  <si>
    <t>u</t>
  </si>
  <si>
    <t>viewed</t>
  </si>
  <si>
    <t>clamps</t>
  </si>
  <si>
    <t>trust</t>
  </si>
  <si>
    <t>pumping</t>
  </si>
  <si>
    <t>proves</t>
  </si>
  <si>
    <t>davis</t>
  </si>
  <si>
    <t>whoo</t>
  </si>
  <si>
    <t>arriving</t>
  </si>
  <si>
    <t>doo</t>
  </si>
  <si>
    <t>drones</t>
  </si>
  <si>
    <t>dumbo</t>
  </si>
  <si>
    <t>carson</t>
  </si>
  <si>
    <t>jr</t>
  </si>
  <si>
    <t>portal</t>
  </si>
  <si>
    <t>flunk</t>
  </si>
  <si>
    <t>barking</t>
  </si>
  <si>
    <t>thinker</t>
  </si>
  <si>
    <t>sparks</t>
  </si>
  <si>
    <t>sadly</t>
  </si>
  <si>
    <t>saunders</t>
  </si>
  <si>
    <t>regal</t>
  </si>
  <si>
    <t>tail</t>
  </si>
  <si>
    <t>darker</t>
  </si>
  <si>
    <t>bowel</t>
  </si>
  <si>
    <t>blocked</t>
  </si>
  <si>
    <t>hessian</t>
  </si>
  <si>
    <t>illegally</t>
  </si>
  <si>
    <t>trustees</t>
  </si>
  <si>
    <t>sneaking</t>
  </si>
  <si>
    <t>shattered</t>
  </si>
  <si>
    <t>wimps</t>
  </si>
  <si>
    <t>scrap</t>
  </si>
  <si>
    <t>camel</t>
  </si>
  <si>
    <t>mercer</t>
  </si>
  <si>
    <t>tu</t>
  </si>
  <si>
    <t>startle</t>
  </si>
  <si>
    <t>tapping</t>
  </si>
  <si>
    <t>boarded</t>
  </si>
  <si>
    <t>ends</t>
  </si>
  <si>
    <t>chatting</t>
  </si>
  <si>
    <t>gags</t>
  </si>
  <si>
    <t>receipts</t>
  </si>
  <si>
    <t>tyres</t>
  </si>
  <si>
    <t>simba</t>
  </si>
  <si>
    <t>medal</t>
  </si>
  <si>
    <t>masseuse</t>
  </si>
  <si>
    <t>pew</t>
  </si>
  <si>
    <t>nation</t>
  </si>
  <si>
    <t>strapping</t>
  </si>
  <si>
    <t>dining</t>
  </si>
  <si>
    <t>lu</t>
  </si>
  <si>
    <t>beagle</t>
  </si>
  <si>
    <t>gore</t>
  </si>
  <si>
    <t>nestor</t>
  </si>
  <si>
    <t>briefing</t>
  </si>
  <si>
    <t>livery</t>
  </si>
  <si>
    <t>noses</t>
  </si>
  <si>
    <t>canon</t>
  </si>
  <si>
    <t>marines</t>
  </si>
  <si>
    <t>tracker</t>
  </si>
  <si>
    <t>guesses</t>
  </si>
  <si>
    <t>couple</t>
  </si>
  <si>
    <t>heavy</t>
  </si>
  <si>
    <t>bobo</t>
  </si>
  <si>
    <t>razors</t>
  </si>
  <si>
    <t>shining</t>
  </si>
  <si>
    <t>indian</t>
  </si>
  <si>
    <t>brooks</t>
  </si>
  <si>
    <t>stiles</t>
  </si>
  <si>
    <t>noises</t>
  </si>
  <si>
    <t>closer</t>
  </si>
  <si>
    <t>chuckle</t>
  </si>
  <si>
    <t>dennis</t>
  </si>
  <si>
    <t>packet</t>
  </si>
  <si>
    <t>roman</t>
  </si>
  <si>
    <t>actin</t>
  </si>
  <si>
    <t>bore</t>
  </si>
  <si>
    <t>minors</t>
  </si>
  <si>
    <t>viking</t>
  </si>
  <si>
    <t>beetles</t>
  </si>
  <si>
    <t>jew</t>
  </si>
  <si>
    <t>offending</t>
  </si>
  <si>
    <t>hangers</t>
  </si>
  <si>
    <t>crooks</t>
  </si>
  <si>
    <t>sidney</t>
  </si>
  <si>
    <t>screws</t>
  </si>
  <si>
    <t>scratch</t>
  </si>
  <si>
    <t>attending</t>
  </si>
  <si>
    <t>queue</t>
  </si>
  <si>
    <t>christie</t>
  </si>
  <si>
    <t>prayers</t>
  </si>
  <si>
    <t>mammal</t>
  </si>
  <si>
    <t>switches</t>
  </si>
  <si>
    <t>marches</t>
  </si>
  <si>
    <t>chooses</t>
  </si>
  <si>
    <t>serum</t>
  </si>
  <si>
    <t>immortal</t>
  </si>
  <si>
    <t>popping</t>
  </si>
  <si>
    <t>reagan</t>
  </si>
  <si>
    <t>tore</t>
  </si>
  <si>
    <t>dawning</t>
  </si>
  <si>
    <t>applied</t>
  </si>
  <si>
    <t>digging</t>
  </si>
  <si>
    <t>france</t>
  </si>
  <si>
    <t>meaning</t>
  </si>
  <si>
    <t>carmine</t>
  </si>
  <si>
    <t>hooking</t>
  </si>
  <si>
    <t>nearly</t>
  </si>
  <si>
    <t>lords</t>
  </si>
  <si>
    <t>cramps</t>
  </si>
  <si>
    <t>truths</t>
  </si>
  <si>
    <t>rooster</t>
  </si>
  <si>
    <t>presents</t>
  </si>
  <si>
    <t>buzzes</t>
  </si>
  <si>
    <t>screen</t>
  </si>
  <si>
    <t>spelling</t>
  </si>
  <si>
    <t>bowers</t>
  </si>
  <si>
    <t>anxious</t>
  </si>
  <si>
    <t>hearty</t>
  </si>
  <si>
    <t>latte</t>
  </si>
  <si>
    <t>waited</t>
  </si>
  <si>
    <t>hedges</t>
  </si>
  <si>
    <t>casings</t>
  </si>
  <si>
    <t>scholars</t>
  </si>
  <si>
    <t>starts</t>
  </si>
  <si>
    <t>afore</t>
  </si>
  <si>
    <t>staging</t>
  </si>
  <si>
    <t>warner</t>
  </si>
  <si>
    <t>capsule</t>
  </si>
  <si>
    <t>scaling</t>
  </si>
  <si>
    <t>because</t>
  </si>
  <si>
    <t>occur</t>
  </si>
  <si>
    <t>meer</t>
  </si>
  <si>
    <t>panic</t>
  </si>
  <si>
    <t>indy</t>
  </si>
  <si>
    <t>swarming</t>
  </si>
  <si>
    <t>bank</t>
  </si>
  <si>
    <t>pleading</t>
  </si>
  <si>
    <t>tycoon</t>
  </si>
  <si>
    <t>masters</t>
  </si>
  <si>
    <t>beaches</t>
  </si>
  <si>
    <t>poker</t>
  </si>
  <si>
    <t>jumps</t>
  </si>
  <si>
    <t>padding</t>
  </si>
  <si>
    <t>squeals</t>
  </si>
  <si>
    <t>charming</t>
  </si>
  <si>
    <t>council</t>
  </si>
  <si>
    <t>pushing</t>
  </si>
  <si>
    <t>carbon</t>
  </si>
  <si>
    <t>roaring</t>
  </si>
  <si>
    <t>baker</t>
  </si>
  <si>
    <t>pita</t>
  </si>
  <si>
    <t>blowing</t>
  </si>
  <si>
    <t>brow</t>
  </si>
  <si>
    <t>lac</t>
  </si>
  <si>
    <t>coup</t>
  </si>
  <si>
    <t>pagan</t>
  </si>
  <si>
    <t>cords</t>
  </si>
  <si>
    <t>parking</t>
  </si>
  <si>
    <t>drowned</t>
  </si>
  <si>
    <t>honky</t>
  </si>
  <si>
    <t>pending</t>
  </si>
  <si>
    <t>looky</t>
  </si>
  <si>
    <t>armour</t>
  </si>
  <si>
    <t>defied</t>
  </si>
  <si>
    <t>serena</t>
  </si>
  <si>
    <t>charging</t>
  </si>
  <si>
    <t>queens</t>
  </si>
  <si>
    <t>glazer</t>
  </si>
  <si>
    <t>knew</t>
  </si>
  <si>
    <t>shipping</t>
  </si>
  <si>
    <t>flex</t>
  </si>
  <si>
    <t>mu</t>
  </si>
  <si>
    <t>awards</t>
  </si>
  <si>
    <t>defined</t>
  </si>
  <si>
    <t>during</t>
  </si>
  <si>
    <t>kinda</t>
  </si>
  <si>
    <t>kitchen</t>
  </si>
  <si>
    <t>peaches</t>
  </si>
  <si>
    <t>passage</t>
  </si>
  <si>
    <t>riding</t>
  </si>
  <si>
    <t>charts</t>
  </si>
  <si>
    <t>bopper</t>
  </si>
  <si>
    <t>martian</t>
  </si>
  <si>
    <t>freezing</t>
  </si>
  <si>
    <t>minded</t>
  </si>
  <si>
    <t>blessing</t>
  </si>
  <si>
    <t>defeat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</si>
</sst>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tr">
        <f>IFERROR(__xludf.DUMMYFUNCTION("IFERROR(VLOOKUP(A1, IMPORTRANGE(""https://docs.google.com/spreadsheets/d/1-3Vjw2Cyy-mry5gbC8ypIR3YVGFfEpyFESummAta6sg/edit"", ""Sheet1!B:D""), 2, FALSE), ""Not Found"")"),"IPA")</f>
        <v>IPA</v>
      </c>
      <c r="E1" s="1" t="s">
        <v>3</v>
      </c>
    </row>
    <row r="2">
      <c r="A2" s="1" t="s">
        <v>4</v>
      </c>
      <c r="B2" s="1" t="s">
        <v>5</v>
      </c>
      <c r="C2" s="2">
        <f>IFERROR(__xludf.DUMMYFUNCTION("IFERROR(VLOOKUP(A2, IMPORTRANGE(""https://docs.google.com/spreadsheets/d/1AVX9GT0dgogEBStecCXMMQ29tWz3gBrtNB8yIromXbY/edit?gid=741673867"", ""out1g!A:B""), 2, FALSE), 0)"),1524.0)</f>
        <v>1524</v>
      </c>
      <c r="D2" s="2" t="str">
        <f>IFERROR(__xludf.DUMMYFUNCTION("IFERROR(VLOOKUP(A2, IMPORTRANGE(""https://docs.google.com/spreadsheets/d/1-3Vjw2Cyy-mry5gbC8ypIR3YVGFfEpyFESummAta6sg/edit"", ""Sheet1!B:D""), 2, FALSE), ""Not Found"")"),"rɪŋz")</f>
        <v>rɪŋz</v>
      </c>
      <c r="E2" s="2" t="str">
        <f>IFERROR(__xludf.DUMMYFUNCTION("IFERROR(VLOOKUP(A2, IMPORTRANGE(""https://docs.google.com/spreadsheets/d/1-3Vjw2Cyy-mry5gbC8ypIR3YVGFfEpyFESummAta6sg/edit"", ""Sheet1!B:D""), 3, FALSE), ""Not Found"")"),"r ɪ ŋ z ")</f>
        <v>r ɪ ŋ z </v>
      </c>
    </row>
    <row r="3">
      <c r="A3" s="1" t="s">
        <v>6</v>
      </c>
      <c r="B3" s="1" t="s">
        <v>5</v>
      </c>
      <c r="C3" s="2">
        <f>IFERROR(__xludf.DUMMYFUNCTION("IFERROR(VLOOKUP(A3, IMPORTRANGE(""https://docs.google.com/spreadsheets/d/1AVX9GT0dgogEBStecCXMMQ29tWz3gBrtNB8yIromXbY/edit?gid=741673867"", ""out1g!A:B""), 2, FALSE), 0)"),219.0)</f>
        <v>219</v>
      </c>
      <c r="D3" s="2" t="str">
        <f>IFERROR(__xludf.DUMMYFUNCTION("IFERROR(VLOOKUP(A3, IMPORTRANGE(""https://docs.google.com/spreadsheets/d/1-3Vjw2Cyy-mry5gbC8ypIR3YVGFfEpyFESummAta6sg/edit"", ""Sheet1!B:D""), 2, FALSE), ""Not Found"")"),"pæstər")</f>
        <v>pæstər</v>
      </c>
      <c r="E3" s="2" t="str">
        <f>IFERROR(__xludf.DUMMYFUNCTION("IFERROR(VLOOKUP(A3, IMPORTRANGE(""https://docs.google.com/spreadsheets/d/1-3Vjw2Cyy-mry5gbC8ypIR3YVGFfEpyFESummAta6sg/edit"", ""Sheet1!B:D""), 3, FALSE), ""Not Found"")"),"p æ s t ə r ")</f>
        <v>p æ s t ə r </v>
      </c>
    </row>
    <row r="4">
      <c r="A4" s="1" t="s">
        <v>7</v>
      </c>
      <c r="B4" s="1" t="s">
        <v>5</v>
      </c>
      <c r="C4" s="2">
        <f>IFERROR(__xludf.DUMMYFUNCTION("IFERROR(VLOOKUP(A4, IMPORTRANGE(""https://docs.google.com/spreadsheets/d/1AVX9GT0dgogEBStecCXMMQ29tWz3gBrtNB8yIromXbY/edit?gid=741673867"", ""out1g!A:B""), 2, FALSE), 0)"),1912.0)</f>
        <v>1912</v>
      </c>
      <c r="D4" s="2" t="str">
        <f>IFERROR(__xludf.DUMMYFUNCTION("IFERROR(VLOOKUP(A4, IMPORTRANGE(""https://docs.google.com/spreadsheets/d/1-3Vjw2Cyy-mry5gbC8ypIR3YVGFfEpyFESummAta6sg/edit"", ""Sheet1!B:D""), 2, FALSE), ""Not Found"")"),"peʤ")</f>
        <v>peʤ</v>
      </c>
      <c r="E4" s="2" t="str">
        <f>IFERROR(__xludf.DUMMYFUNCTION("IFERROR(VLOOKUP(A4, IMPORTRANGE(""https://docs.google.com/spreadsheets/d/1-3Vjw2Cyy-mry5gbC8ypIR3YVGFfEpyFESummAta6sg/edit"", ""Sheet1!B:D""), 3, FALSE), ""Not Found"")"),"p e ʤ ")</f>
        <v>p e ʤ </v>
      </c>
    </row>
    <row r="5">
      <c r="A5" s="1" t="s">
        <v>8</v>
      </c>
      <c r="B5" s="1" t="s">
        <v>5</v>
      </c>
      <c r="C5" s="2">
        <f>IFERROR(__xludf.DUMMYFUNCTION("IFERROR(VLOOKUP(A5, IMPORTRANGE(""https://docs.google.com/spreadsheets/d/1AVX9GT0dgogEBStecCXMMQ29tWz3gBrtNB8yIromXbY/edit?gid=741673867"", ""out1g!A:B""), 2, FALSE), 0)"),101.0)</f>
        <v>101</v>
      </c>
      <c r="D5" s="2" t="str">
        <f>IFERROR(__xludf.DUMMYFUNCTION("IFERROR(VLOOKUP(A5, IMPORTRANGE(""https://docs.google.com/spreadsheets/d/1-3Vjw2Cyy-mry5gbC8ypIR3YVGFfEpyFESummAta6sg/edit"", ""Sheet1!B:D""), 2, FALSE), ""Not Found"")"),"spæn")</f>
        <v>spæn</v>
      </c>
      <c r="E5" s="2" t="str">
        <f>IFERROR(__xludf.DUMMYFUNCTION("IFERROR(VLOOKUP(A5, IMPORTRANGE(""https://docs.google.com/spreadsheets/d/1-3Vjw2Cyy-mry5gbC8ypIR3YVGFfEpyFESummAta6sg/edit"", ""Sheet1!B:D""), 3, FALSE), ""Not Found"")"),"s p æ n ")</f>
        <v>s p æ n </v>
      </c>
    </row>
    <row r="6">
      <c r="A6" s="1" t="s">
        <v>9</v>
      </c>
      <c r="B6" s="1" t="s">
        <v>5</v>
      </c>
      <c r="C6" s="2">
        <f>IFERROR(__xludf.DUMMYFUNCTION("IFERROR(VLOOKUP(A6, IMPORTRANGE(""https://docs.google.com/spreadsheets/d/1AVX9GT0dgogEBStecCXMMQ29tWz3gBrtNB8yIromXbY/edit?gid=741673867"", ""out1g!A:B""), 2, FALSE), 0)"),63.0)</f>
        <v>63</v>
      </c>
      <c r="D6" s="2" t="str">
        <f>IFERROR(__xludf.DUMMYFUNCTION("IFERROR(VLOOKUP(A6, IMPORTRANGE(""https://docs.google.com/spreadsheets/d/1-3Vjw2Cyy-mry5gbC8ypIR3YVGFfEpyFESummAta6sg/edit"", ""Sheet1!B:D""), 2, FALSE), ""Not Found"")"),"rəgz")</f>
        <v>rəgz</v>
      </c>
      <c r="E6" s="2" t="str">
        <f>IFERROR(__xludf.DUMMYFUNCTION("IFERROR(VLOOKUP(A6, IMPORTRANGE(""https://docs.google.com/spreadsheets/d/1-3Vjw2Cyy-mry5gbC8ypIR3YVGFfEpyFESummAta6sg/edit"", ""Sheet1!B:D""), 3, FALSE), ""Not Found"")"),"r ə g z ")</f>
        <v>r ə g z </v>
      </c>
    </row>
    <row r="7">
      <c r="A7" s="1" t="s">
        <v>10</v>
      </c>
      <c r="B7" s="1" t="s">
        <v>5</v>
      </c>
      <c r="C7" s="2">
        <f>IFERROR(__xludf.DUMMYFUNCTION("IFERROR(VLOOKUP(A7, IMPORTRANGE(""https://docs.google.com/spreadsheets/d/1AVX9GT0dgogEBStecCXMMQ29tWz3gBrtNB8yIromXbY/edit?gid=741673867"", ""out1g!A:B""), 2, FALSE), 0)"),109.0)</f>
        <v>109</v>
      </c>
      <c r="D7" s="2" t="str">
        <f>IFERROR(__xludf.DUMMYFUNCTION("IFERROR(VLOOKUP(A7, IMPORTRANGE(""https://docs.google.com/spreadsheets/d/1-3Vjw2Cyy-mry5gbC8ypIR3YVGFfEpyFESummAta6sg/edit"", ""Sheet1!B:D""), 2, FALSE), ""Not Found"")"),"rɛkɪŋ")</f>
        <v>rɛkɪŋ</v>
      </c>
      <c r="E7" s="2" t="str">
        <f>IFERROR(__xludf.DUMMYFUNCTION("IFERROR(VLOOKUP(A7, IMPORTRANGE(""https://docs.google.com/spreadsheets/d/1-3Vjw2Cyy-mry5gbC8ypIR3YVGFfEpyFESummAta6sg/edit"", ""Sheet1!B:D""), 3, FALSE), ""Not Found"")"),"r ɛ k ɪ ŋ ")</f>
        <v>r ɛ k ɪ ŋ </v>
      </c>
    </row>
    <row r="8">
      <c r="A8" s="1" t="s">
        <v>11</v>
      </c>
      <c r="B8" s="1" t="s">
        <v>5</v>
      </c>
      <c r="C8" s="2">
        <f>IFERROR(__xludf.DUMMYFUNCTION("IFERROR(VLOOKUP(A8, IMPORTRANGE(""https://docs.google.com/spreadsheets/d/1AVX9GT0dgogEBStecCXMMQ29tWz3gBrtNB8yIromXbY/edit?gid=741673867"", ""out1g!A:B""), 2, FALSE), 0)"),8155.0)</f>
        <v>8155</v>
      </c>
      <c r="D8" s="2" t="str">
        <f>IFERROR(__xludf.DUMMYFUNCTION("IFERROR(VLOOKUP(A8, IMPORTRANGE(""https://docs.google.com/spreadsheets/d/1-3Vjw2Cyy-mry5gbC8ypIR3YVGFfEpyFESummAta6sg/edit"", ""Sheet1!B:D""), 2, FALSE), ""Not Found"")"),"ebəl")</f>
        <v>ebəl</v>
      </c>
      <c r="E8" s="2" t="str">
        <f>IFERROR(__xludf.DUMMYFUNCTION("IFERROR(VLOOKUP(A8, IMPORTRANGE(""https://docs.google.com/spreadsheets/d/1-3Vjw2Cyy-mry5gbC8ypIR3YVGFfEpyFESummAta6sg/edit"", ""Sheet1!B:D""), 3, FALSE), ""Not Found"")"),"e b ə l ")</f>
        <v>e b ə l </v>
      </c>
    </row>
    <row r="9">
      <c r="A9" s="1" t="s">
        <v>12</v>
      </c>
      <c r="B9" s="1" t="s">
        <v>5</v>
      </c>
      <c r="C9" s="2">
        <f>IFERROR(__xludf.DUMMYFUNCTION("IFERROR(VLOOKUP(A9, IMPORTRANGE(""https://docs.google.com/spreadsheets/d/1AVX9GT0dgogEBStecCXMMQ29tWz3gBrtNB8yIromXbY/edit?gid=741673867"", ""out1g!A:B""), 2, FALSE), 0)"),363.0)</f>
        <v>363</v>
      </c>
      <c r="D9" s="2" t="str">
        <f>IFERROR(__xludf.DUMMYFUNCTION("IFERROR(VLOOKUP(A9, IMPORTRANGE(""https://docs.google.com/spreadsheets/d/1-3Vjw2Cyy-mry5gbC8ypIR3YVGFfEpyFESummAta6sg/edit"", ""Sheet1!B:D""), 2, FALSE), ""Not Found"")"),"we")</f>
        <v>we</v>
      </c>
      <c r="E9" s="2" t="str">
        <f>IFERROR(__xludf.DUMMYFUNCTION("IFERROR(VLOOKUP(A9, IMPORTRANGE(""https://docs.google.com/spreadsheets/d/1-3Vjw2Cyy-mry5gbC8ypIR3YVGFfEpyFESummAta6sg/edit"", ""Sheet1!B:D""), 3, FALSE), ""Not Found"")"),"w e ")</f>
        <v>w e </v>
      </c>
    </row>
    <row r="10">
      <c r="A10" s="1" t="s">
        <v>13</v>
      </c>
      <c r="B10" s="1" t="s">
        <v>5</v>
      </c>
      <c r="C10" s="2">
        <f>IFERROR(__xludf.DUMMYFUNCTION("IFERROR(VLOOKUP(A10, IMPORTRANGE(""https://docs.google.com/spreadsheets/d/1AVX9GT0dgogEBStecCXMMQ29tWz3gBrtNB8yIromXbY/edit?gid=741673867"", ""out1g!A:B""), 2, FALSE), 0)"),13.0)</f>
        <v>13</v>
      </c>
      <c r="D10" s="2" t="str">
        <f>IFERROR(__xludf.DUMMYFUNCTION("IFERROR(VLOOKUP(A10, IMPORTRANGE(""https://docs.google.com/spreadsheets/d/1-3Vjw2Cyy-mry5gbC8ypIR3YVGFfEpyFESummAta6sg/edit"", ""Sheet1!B:D""), 2, FALSE), ""Not Found"")"),"dimən")</f>
        <v>dimən</v>
      </c>
      <c r="E10" s="2" t="str">
        <f>IFERROR(__xludf.DUMMYFUNCTION("IFERROR(VLOOKUP(A10, IMPORTRANGE(""https://docs.google.com/spreadsheets/d/1-3Vjw2Cyy-mry5gbC8ypIR3YVGFfEpyFESummAta6sg/edit"", ""Sheet1!B:D""), 3, FALSE), ""Not Found"")"),"d i m ə n ")</f>
        <v>d i m ə n </v>
      </c>
    </row>
    <row r="11">
      <c r="A11" s="1" t="s">
        <v>14</v>
      </c>
      <c r="B11" s="1" t="s">
        <v>5</v>
      </c>
      <c r="C11" s="2">
        <f>IFERROR(__xludf.DUMMYFUNCTION("IFERROR(VLOOKUP(A11, IMPORTRANGE(""https://docs.google.com/spreadsheets/d/1AVX9GT0dgogEBStecCXMMQ29tWz3gBrtNB8yIromXbY/edit?gid=741673867"", ""out1g!A:B""), 2, FALSE), 0)"),8054.0)</f>
        <v>8054</v>
      </c>
      <c r="D11" s="2" t="str">
        <f>IFERROR(__xludf.DUMMYFUNCTION("IFERROR(VLOOKUP(A11, IMPORTRANGE(""https://docs.google.com/spreadsheets/d/1-3Vjw2Cyy-mry5gbC8ypIR3YVGFfEpyFESummAta6sg/edit"", ""Sheet1!B:D""), 2, FALSE), ""Not Found"")"),"rənɪŋ")</f>
        <v>rənɪŋ</v>
      </c>
      <c r="E11" s="2" t="str">
        <f>IFERROR(__xludf.DUMMYFUNCTION("IFERROR(VLOOKUP(A11, IMPORTRANGE(""https://docs.google.com/spreadsheets/d/1-3Vjw2Cyy-mry5gbC8ypIR3YVGFfEpyFESummAta6sg/edit"", ""Sheet1!B:D""), 3, FALSE), ""Not Found"")"),"r ə n ɪ ŋ ")</f>
        <v>r ə n ɪ ŋ </v>
      </c>
    </row>
    <row r="12">
      <c r="A12" s="1" t="s">
        <v>15</v>
      </c>
      <c r="B12" s="1" t="s">
        <v>5</v>
      </c>
      <c r="C12" s="2">
        <f>IFERROR(__xludf.DUMMYFUNCTION("IFERROR(VLOOKUP(A12, IMPORTRANGE(""https://docs.google.com/spreadsheets/d/1AVX9GT0dgogEBStecCXMMQ29tWz3gBrtNB8yIromXbY/edit?gid=741673867"", ""out1g!A:B""), 2, FALSE), 0)"),10.0)</f>
        <v>10</v>
      </c>
      <c r="D12" s="2" t="str">
        <f>IFERROR(__xludf.DUMMYFUNCTION("IFERROR(VLOOKUP(A12, IMPORTRANGE(""https://docs.google.com/spreadsheets/d/1-3Vjw2Cyy-mry5gbC8ypIR3YVGFfEpyFESummAta6sg/edit"", ""Sheet1!B:D""), 2, FALSE), ""Not Found"")"),"kwɪn")</f>
        <v>kwɪn</v>
      </c>
      <c r="E12" s="2" t="str">
        <f>IFERROR(__xludf.DUMMYFUNCTION("IFERROR(VLOOKUP(A12, IMPORTRANGE(""https://docs.google.com/spreadsheets/d/1-3Vjw2Cyy-mry5gbC8ypIR3YVGFfEpyFESummAta6sg/edit"", ""Sheet1!B:D""), 3, FALSE), ""Not Found"")"),"k w ɪ n ")</f>
        <v>k w ɪ n </v>
      </c>
    </row>
    <row r="13">
      <c r="A13" s="1" t="s">
        <v>16</v>
      </c>
      <c r="B13" s="1" t="s">
        <v>5</v>
      </c>
      <c r="C13" s="2">
        <f>IFERROR(__xludf.DUMMYFUNCTION("IFERROR(VLOOKUP(A13, IMPORTRANGE(""https://docs.google.com/spreadsheets/d/1AVX9GT0dgogEBStecCXMMQ29tWz3gBrtNB8yIromXbY/edit?gid=741673867"", ""out1g!A:B""), 2, FALSE), 0)"),1156570.0)</f>
        <v>1156570</v>
      </c>
      <c r="D13" s="2" t="str">
        <f>IFERROR(__xludf.DUMMYFUNCTION("IFERROR(VLOOKUP(A13, IMPORTRANGE(""https://docs.google.com/spreadsheets/d/1-3Vjw2Cyy-mry5gbC8ypIR3YVGFfEpyFESummAta6sg/edit"", ""Sheet1!B:D""), 2, FALSE), ""Not Found"")"),"tɪ")</f>
        <v>tɪ</v>
      </c>
      <c r="E13" s="2" t="str">
        <f>IFERROR(__xludf.DUMMYFUNCTION("IFERROR(VLOOKUP(A13, IMPORTRANGE(""https://docs.google.com/spreadsheets/d/1-3Vjw2Cyy-mry5gbC8ypIR3YVGFfEpyFESummAta6sg/edit"", ""Sheet1!B:D""), 3, FALSE), ""Not Found"")"),"t ɪ ")</f>
        <v>t ɪ </v>
      </c>
    </row>
    <row r="14">
      <c r="A14" s="1" t="s">
        <v>17</v>
      </c>
      <c r="B14" s="1" t="s">
        <v>5</v>
      </c>
      <c r="C14" s="2">
        <f>IFERROR(__xludf.DUMMYFUNCTION("IFERROR(VLOOKUP(A14, IMPORTRANGE(""https://docs.google.com/spreadsheets/d/1AVX9GT0dgogEBStecCXMMQ29tWz3gBrtNB8yIromXbY/edit?gid=741673867"", ""out1g!A:B""), 2, FALSE), 0)"),93.0)</f>
        <v>93</v>
      </c>
      <c r="D14" s="2" t="str">
        <f>IFERROR(__xludf.DUMMYFUNCTION("IFERROR(VLOOKUP(A14, IMPORTRANGE(""https://docs.google.com/spreadsheets/d/1-3Vjw2Cyy-mry5gbC8ypIR3YVGFfEpyFESummAta6sg/edit"", ""Sheet1!B:D""), 2, FALSE), ""Not Found"")"),"spərz")</f>
        <v>spərz</v>
      </c>
      <c r="E14" s="2" t="str">
        <f>IFERROR(__xludf.DUMMYFUNCTION("IFERROR(VLOOKUP(A14, IMPORTRANGE(""https://docs.google.com/spreadsheets/d/1-3Vjw2Cyy-mry5gbC8ypIR3YVGFfEpyFESummAta6sg/edit"", ""Sheet1!B:D""), 3, FALSE), ""Not Found"")"),"s p ə r z ")</f>
        <v>s p ə r z </v>
      </c>
    </row>
    <row r="15">
      <c r="A15" s="1" t="s">
        <v>18</v>
      </c>
      <c r="B15" s="1" t="s">
        <v>5</v>
      </c>
      <c r="C15" s="2">
        <f>IFERROR(__xludf.DUMMYFUNCTION("IFERROR(VLOOKUP(A15, IMPORTRANGE(""https://docs.google.com/spreadsheets/d/1AVX9GT0dgogEBStecCXMMQ29tWz3gBrtNB8yIromXbY/edit?gid=741673867"", ""out1g!A:B""), 2, FALSE), 0)"),225.0)</f>
        <v>225</v>
      </c>
      <c r="D15" s="2" t="str">
        <f>IFERROR(__xludf.DUMMYFUNCTION("IFERROR(VLOOKUP(A15, IMPORTRANGE(""https://docs.google.com/spreadsheets/d/1-3Vjw2Cyy-mry5gbC8ypIR3YVGFfEpyFESummAta6sg/edit"", ""Sheet1!B:D""), 2, FALSE), ""Not Found"")"),"slɪpəri")</f>
        <v>slɪpəri</v>
      </c>
      <c r="E15" s="2" t="str">
        <f>IFERROR(__xludf.DUMMYFUNCTION("IFERROR(VLOOKUP(A15, IMPORTRANGE(""https://docs.google.com/spreadsheets/d/1-3Vjw2Cyy-mry5gbC8ypIR3YVGFfEpyFESummAta6sg/edit"", ""Sheet1!B:D""), 3, FALSE), ""Not Found"")"),"s l ɪ p ə r i ")</f>
        <v>s l ɪ p ə r i </v>
      </c>
    </row>
    <row r="16">
      <c r="A16" s="1" t="s">
        <v>19</v>
      </c>
      <c r="B16" s="1" t="s">
        <v>5</v>
      </c>
      <c r="C16" s="2">
        <f>IFERROR(__xludf.DUMMYFUNCTION("IFERROR(VLOOKUP(A16, IMPORTRANGE(""https://docs.google.com/spreadsheets/d/1AVX9GT0dgogEBStecCXMMQ29tWz3gBrtNB8yIromXbY/edit?gid=741673867"", ""out1g!A:B""), 2, FALSE), 0)"),86.0)</f>
        <v>86</v>
      </c>
      <c r="D16" s="2" t="str">
        <f>IFERROR(__xludf.DUMMYFUNCTION("IFERROR(VLOOKUP(A16, IMPORTRANGE(""https://docs.google.com/spreadsheets/d/1-3Vjw2Cyy-mry5gbC8ypIR3YVGFfEpyFESummAta6sg/edit"", ""Sheet1!B:D""), 2, FALSE), ""Not Found"")"),"pɪrz")</f>
        <v>pɪrz</v>
      </c>
      <c r="E16" s="2" t="str">
        <f>IFERROR(__xludf.DUMMYFUNCTION("IFERROR(VLOOKUP(A16, IMPORTRANGE(""https://docs.google.com/spreadsheets/d/1-3Vjw2Cyy-mry5gbC8ypIR3YVGFfEpyFESummAta6sg/edit"", ""Sheet1!B:D""), 3, FALSE), ""Not Found"")"),"p ɪ r z ")</f>
        <v>p ɪ r z </v>
      </c>
    </row>
    <row r="17">
      <c r="A17" s="1" t="s">
        <v>20</v>
      </c>
      <c r="B17" s="1" t="s">
        <v>5</v>
      </c>
      <c r="C17" s="2">
        <f>IFERROR(__xludf.DUMMYFUNCTION("IFERROR(VLOOKUP(A17, IMPORTRANGE(""https://docs.google.com/spreadsheets/d/1AVX9GT0dgogEBStecCXMMQ29tWz3gBrtNB8yIromXbY/edit?gid=741673867"", ""out1g!A:B""), 2, FALSE), 0)"),255.0)</f>
        <v>255</v>
      </c>
      <c r="D17" s="2" t="str">
        <f>IFERROR(__xludf.DUMMYFUNCTION("IFERROR(VLOOKUP(A17, IMPORTRANGE(""https://docs.google.com/spreadsheets/d/1-3Vjw2Cyy-mry5gbC8ypIR3YVGFfEpyFESummAta6sg/edit"", ""Sheet1!B:D""), 2, FALSE), ""Not Found"")"),"friki")</f>
        <v>friki</v>
      </c>
      <c r="E17" s="2" t="str">
        <f>IFERROR(__xludf.DUMMYFUNCTION("IFERROR(VLOOKUP(A17, IMPORTRANGE(""https://docs.google.com/spreadsheets/d/1-3Vjw2Cyy-mry5gbC8ypIR3YVGFfEpyFESummAta6sg/edit"", ""Sheet1!B:D""), 3, FALSE), ""Not Found"")"),"f r i k i ")</f>
        <v>f r i k i </v>
      </c>
    </row>
    <row r="18">
      <c r="A18" s="1" t="s">
        <v>21</v>
      </c>
      <c r="B18" s="1" t="s">
        <v>5</v>
      </c>
      <c r="C18" s="2">
        <f>IFERROR(__xludf.DUMMYFUNCTION("IFERROR(VLOOKUP(A18, IMPORTRANGE(""https://docs.google.com/spreadsheets/d/1AVX9GT0dgogEBStecCXMMQ29tWz3gBrtNB8yIromXbY/edit?gid=741673867"", ""out1g!A:B""), 2, FALSE), 0)"),110.0)</f>
        <v>110</v>
      </c>
      <c r="D18" s="2" t="str">
        <f>IFERROR(__xludf.DUMMYFUNCTION("IFERROR(VLOOKUP(A18, IMPORTRANGE(""https://docs.google.com/spreadsheets/d/1-3Vjw2Cyy-mry5gbC8ypIR3YVGFfEpyFESummAta6sg/edit"", ""Sheet1!B:D""), 2, FALSE), ""Not Found"")"),"klaʊdi")</f>
        <v>klaʊdi</v>
      </c>
      <c r="E18" s="2" t="str">
        <f>IFERROR(__xludf.DUMMYFUNCTION("IFERROR(VLOOKUP(A18, IMPORTRANGE(""https://docs.google.com/spreadsheets/d/1-3Vjw2Cyy-mry5gbC8ypIR3YVGFfEpyFESummAta6sg/edit"", ""Sheet1!B:D""), 3, FALSE), ""Not Found"")"),"k l a ʊ d i ")</f>
        <v>k l a ʊ d i </v>
      </c>
    </row>
    <row r="19">
      <c r="A19" s="1" t="s">
        <v>22</v>
      </c>
      <c r="B19" s="1" t="s">
        <v>5</v>
      </c>
      <c r="C19" s="2">
        <f>IFERROR(__xludf.DUMMYFUNCTION("IFERROR(VLOOKUP(A19, IMPORTRANGE(""https://docs.google.com/spreadsheets/d/1AVX9GT0dgogEBStecCXMMQ29tWz3gBrtNB8yIromXbY/edit?gid=741673867"", ""out1g!A:B""), 2, FALSE), 0)"),2867.0)</f>
        <v>2867</v>
      </c>
      <c r="D19" s="2" t="str">
        <f>IFERROR(__xludf.DUMMYFUNCTION("IFERROR(VLOOKUP(A19, IMPORTRANGE(""https://docs.google.com/spreadsheets/d/1-3Vjw2Cyy-mry5gbC8ypIR3YVGFfEpyFESummAta6sg/edit"", ""Sheet1!B:D""), 2, FALSE), ""Not Found"")"),"plænz")</f>
        <v>plænz</v>
      </c>
      <c r="E19" s="2" t="str">
        <f>IFERROR(__xludf.DUMMYFUNCTION("IFERROR(VLOOKUP(A19, IMPORTRANGE(""https://docs.google.com/spreadsheets/d/1-3Vjw2Cyy-mry5gbC8ypIR3YVGFfEpyFESummAta6sg/edit"", ""Sheet1!B:D""), 3, FALSE), ""Not Found"")"),"p l æ n z ")</f>
        <v>p l æ n z </v>
      </c>
    </row>
    <row r="20">
      <c r="A20" s="1" t="s">
        <v>23</v>
      </c>
      <c r="B20" s="1" t="s">
        <v>5</v>
      </c>
      <c r="C20" s="2">
        <f>IFERROR(__xludf.DUMMYFUNCTION("IFERROR(VLOOKUP(A20, IMPORTRANGE(""https://docs.google.com/spreadsheets/d/1AVX9GT0dgogEBStecCXMMQ29tWz3gBrtNB8yIromXbY/edit?gid=741673867"", ""out1g!A:B""), 2, FALSE), 0)"),225.0)</f>
        <v>225</v>
      </c>
      <c r="D20" s="2" t="str">
        <f>IFERROR(__xludf.DUMMYFUNCTION("IFERROR(VLOOKUP(A20, IMPORTRANGE(""https://docs.google.com/spreadsheets/d/1-3Vjw2Cyy-mry5gbC8ypIR3YVGFfEpyFESummAta6sg/edit"", ""Sheet1!B:D""), 2, FALSE), ""Not Found"")"),"ʧiks")</f>
        <v>ʧiks</v>
      </c>
      <c r="E20" s="2" t="str">
        <f>IFERROR(__xludf.DUMMYFUNCTION("IFERROR(VLOOKUP(A20, IMPORTRANGE(""https://docs.google.com/spreadsheets/d/1-3Vjw2Cyy-mry5gbC8ypIR3YVGFfEpyFESummAta6sg/edit"", ""Sheet1!B:D""), 3, FALSE), ""Not Found"")"),"ʧ i k s ")</f>
        <v>ʧ i k s </v>
      </c>
    </row>
    <row r="21">
      <c r="A21" s="1" t="s">
        <v>24</v>
      </c>
      <c r="B21" s="1" t="s">
        <v>5</v>
      </c>
      <c r="C21" s="2">
        <f>IFERROR(__xludf.DUMMYFUNCTION("IFERROR(VLOOKUP(A21, IMPORTRANGE(""https://docs.google.com/spreadsheets/d/1AVX9GT0dgogEBStecCXMMQ29tWz3gBrtNB8yIromXbY/edit?gid=741673867"", ""out1g!A:B""), 2, FALSE), 0)"),607.0)</f>
        <v>607</v>
      </c>
      <c r="D21" s="2" t="str">
        <f>IFERROR(__xludf.DUMMYFUNCTION("IFERROR(VLOOKUP(A21, IMPORTRANGE(""https://docs.google.com/spreadsheets/d/1-3Vjw2Cyy-mry5gbC8ypIR3YVGFfEpyFESummAta6sg/edit"", ""Sheet1!B:D""), 2, FALSE), ""Not Found"")"),"seks")</f>
        <v>seks</v>
      </c>
      <c r="E21" s="2" t="str">
        <f>IFERROR(__xludf.DUMMYFUNCTION("IFERROR(VLOOKUP(A21, IMPORTRANGE(""https://docs.google.com/spreadsheets/d/1-3Vjw2Cyy-mry5gbC8ypIR3YVGFfEpyFESummAta6sg/edit"", ""Sheet1!B:D""), 3, FALSE), ""Not Found"")"),"s e k s ")</f>
        <v>s e k s </v>
      </c>
    </row>
    <row r="22">
      <c r="A22" s="1" t="s">
        <v>25</v>
      </c>
      <c r="B22" s="1" t="s">
        <v>5</v>
      </c>
      <c r="C22" s="2">
        <f>IFERROR(__xludf.DUMMYFUNCTION("IFERROR(VLOOKUP(A22, IMPORTRANGE(""https://docs.google.com/spreadsheets/d/1AVX9GT0dgogEBStecCXMMQ29tWz3gBrtNB8yIromXbY/edit?gid=741673867"", ""out1g!A:B""), 2, FALSE), 0)"),66.0)</f>
        <v>66</v>
      </c>
      <c r="D22" s="2" t="str">
        <f>IFERROR(__xludf.DUMMYFUNCTION("IFERROR(VLOOKUP(A22, IMPORTRANGE(""https://docs.google.com/spreadsheets/d/1-3Vjw2Cyy-mry5gbC8ypIR3YVGFfEpyFESummAta6sg/edit"", ""Sheet1!B:D""), 2, FALSE), ""Not Found"")"),"tərkiz")</f>
        <v>tərkiz</v>
      </c>
      <c r="E22" s="2" t="str">
        <f>IFERROR(__xludf.DUMMYFUNCTION("IFERROR(VLOOKUP(A22, IMPORTRANGE(""https://docs.google.com/spreadsheets/d/1-3Vjw2Cyy-mry5gbC8ypIR3YVGFfEpyFESummAta6sg/edit"", ""Sheet1!B:D""), 3, FALSE), ""Not Found"")"),"t ə r k i z ")</f>
        <v>t ə r k i z </v>
      </c>
    </row>
    <row r="23">
      <c r="A23" s="1" t="s">
        <v>26</v>
      </c>
      <c r="B23" s="1" t="s">
        <v>5</v>
      </c>
      <c r="C23" s="2">
        <f>IFERROR(__xludf.DUMMYFUNCTION("IFERROR(VLOOKUP(A23, IMPORTRANGE(""https://docs.google.com/spreadsheets/d/1AVX9GT0dgogEBStecCXMMQ29tWz3gBrtNB8yIromXbY/edit?gid=741673867"", ""out1g!A:B""), 2, FALSE), 0)"),17551.0)</f>
        <v>17551</v>
      </c>
      <c r="D23" s="2" t="str">
        <f>IFERROR(__xludf.DUMMYFUNCTION("IFERROR(VLOOKUP(A23, IMPORTRANGE(""https://docs.google.com/spreadsheets/d/1-3Vjw2Cyy-mry5gbC8ypIR3YVGFfEpyFESummAta6sg/edit"", ""Sheet1!B:D""), 2, FALSE), ""Not Found"")"),"juzd")</f>
        <v>juzd</v>
      </c>
      <c r="E23" s="2" t="str">
        <f>IFERROR(__xludf.DUMMYFUNCTION("IFERROR(VLOOKUP(A23, IMPORTRANGE(""https://docs.google.com/spreadsheets/d/1-3Vjw2Cyy-mry5gbC8ypIR3YVGFfEpyFESummAta6sg/edit"", ""Sheet1!B:D""), 3, FALSE), ""Not Found"")"),"j u z d ")</f>
        <v>j u z d </v>
      </c>
    </row>
    <row r="24">
      <c r="A24" s="1" t="s">
        <v>27</v>
      </c>
      <c r="B24" s="1" t="s">
        <v>5</v>
      </c>
      <c r="C24" s="2">
        <f>IFERROR(__xludf.DUMMYFUNCTION("IFERROR(VLOOKUP(A24, IMPORTRANGE(""https://docs.google.com/spreadsheets/d/1AVX9GT0dgogEBStecCXMMQ29tWz3gBrtNB8yIromXbY/edit?gid=741673867"", ""out1g!A:B""), 2, FALSE), 0)"),14.0)</f>
        <v>14</v>
      </c>
      <c r="D24" s="2" t="str">
        <f>IFERROR(__xludf.DUMMYFUNCTION("IFERROR(VLOOKUP(A24, IMPORTRANGE(""https://docs.google.com/spreadsheets/d/1-3Vjw2Cyy-mry5gbC8ypIR3YVGFfEpyFESummAta6sg/edit"", ""Sheet1!B:D""), 2, FALSE), ""Not Found"")"),"stɪŋkoʊ")</f>
        <v>stɪŋkoʊ</v>
      </c>
      <c r="E24" s="2" t="str">
        <f>IFERROR(__xludf.DUMMYFUNCTION("IFERROR(VLOOKUP(A24, IMPORTRANGE(""https://docs.google.com/spreadsheets/d/1-3Vjw2Cyy-mry5gbC8ypIR3YVGFfEpyFESummAta6sg/edit"", ""Sheet1!B:D""), 3, FALSE), ""Not Found"")"),"s t ɪ ŋ k o ʊ ")</f>
        <v>s t ɪ ŋ k o ʊ </v>
      </c>
    </row>
    <row r="25">
      <c r="A25" s="1" t="s">
        <v>28</v>
      </c>
      <c r="B25" s="1" t="s">
        <v>5</v>
      </c>
      <c r="C25" s="2">
        <f>IFERROR(__xludf.DUMMYFUNCTION("IFERROR(VLOOKUP(A25, IMPORTRANGE(""https://docs.google.com/spreadsheets/d/1AVX9GT0dgogEBStecCXMMQ29tWz3gBrtNB8yIromXbY/edit?gid=741673867"", ""out1g!A:B""), 2, FALSE), 0)"),20.0)</f>
        <v>20</v>
      </c>
      <c r="D25" s="2" t="str">
        <f>IFERROR(__xludf.DUMMYFUNCTION("IFERROR(VLOOKUP(A25, IMPORTRANGE(""https://docs.google.com/spreadsheets/d/1-3Vjw2Cyy-mry5gbC8ypIR3YVGFfEpyFESummAta6sg/edit"", ""Sheet1!B:D""), 2, FALSE), ""Not Found"")"),"temɪŋ")</f>
        <v>temɪŋ</v>
      </c>
      <c r="E25" s="2" t="str">
        <f>IFERROR(__xludf.DUMMYFUNCTION("IFERROR(VLOOKUP(A25, IMPORTRANGE(""https://docs.google.com/spreadsheets/d/1-3Vjw2Cyy-mry5gbC8ypIR3YVGFfEpyFESummAta6sg/edit"", ""Sheet1!B:D""), 3, FALSE), ""Not Found"")"),"t e m ɪ ŋ ")</f>
        <v>t e m ɪ ŋ </v>
      </c>
    </row>
    <row r="26">
      <c r="A26" s="1" t="s">
        <v>29</v>
      </c>
      <c r="B26" s="1" t="s">
        <v>5</v>
      </c>
      <c r="C26" s="2">
        <f>IFERROR(__xludf.DUMMYFUNCTION("IFERROR(VLOOKUP(A26, IMPORTRANGE(""https://docs.google.com/spreadsheets/d/1AVX9GT0dgogEBStecCXMMQ29tWz3gBrtNB8yIromXbY/edit?gid=741673867"", ""out1g!A:B""), 2, FALSE), 0)"),10.0)</f>
        <v>10</v>
      </c>
      <c r="D26" s="2" t="str">
        <f>IFERROR(__xludf.DUMMYFUNCTION("IFERROR(VLOOKUP(A26, IMPORTRANGE(""https://docs.google.com/spreadsheets/d/1-3Vjw2Cyy-mry5gbC8ypIR3YVGFfEpyFESummAta6sg/edit"", ""Sheet1!B:D""), 2, FALSE), ""Not Found"")"),"tɛnst")</f>
        <v>tɛnst</v>
      </c>
      <c r="E26" s="2" t="str">
        <f>IFERROR(__xludf.DUMMYFUNCTION("IFERROR(VLOOKUP(A26, IMPORTRANGE(""https://docs.google.com/spreadsheets/d/1-3Vjw2Cyy-mry5gbC8ypIR3YVGFfEpyFESummAta6sg/edit"", ""Sheet1!B:D""), 3, FALSE), ""Not Found"")"),"t ɛ n s t ")</f>
        <v>t ɛ n s t </v>
      </c>
    </row>
    <row r="27">
      <c r="A27" s="1" t="s">
        <v>30</v>
      </c>
      <c r="B27" s="1" t="s">
        <v>5</v>
      </c>
      <c r="C27" s="2">
        <f>IFERROR(__xludf.DUMMYFUNCTION("IFERROR(VLOOKUP(A27, IMPORTRANGE(""https://docs.google.com/spreadsheets/d/1AVX9GT0dgogEBStecCXMMQ29tWz3gBrtNB8yIromXbY/edit?gid=741673867"", ""out1g!A:B""), 2, FALSE), 0)"),290.0)</f>
        <v>290</v>
      </c>
      <c r="D27" s="2" t="str">
        <f>IFERROR(__xludf.DUMMYFUNCTION("IFERROR(VLOOKUP(A27, IMPORTRANGE(""https://docs.google.com/spreadsheets/d/1-3Vjw2Cyy-mry5gbC8ypIR3YVGFfEpyFESummAta6sg/edit"", ""Sheet1!B:D""), 2, FALSE), ""Not Found"")"),"tiz")</f>
        <v>tiz</v>
      </c>
      <c r="E27" s="2" t="str">
        <f>IFERROR(__xludf.DUMMYFUNCTION("IFERROR(VLOOKUP(A27, IMPORTRANGE(""https://docs.google.com/spreadsheets/d/1-3Vjw2Cyy-mry5gbC8ypIR3YVGFfEpyFESummAta6sg/edit"", ""Sheet1!B:D""), 3, FALSE), ""Not Found"")"),"t i z ")</f>
        <v>t i z </v>
      </c>
    </row>
    <row r="28">
      <c r="A28" s="1" t="s">
        <v>31</v>
      </c>
      <c r="B28" s="1" t="s">
        <v>5</v>
      </c>
      <c r="C28" s="2">
        <f>IFERROR(__xludf.DUMMYFUNCTION("IFERROR(VLOOKUP(A28, IMPORTRANGE(""https://docs.google.com/spreadsheets/d/1AVX9GT0dgogEBStecCXMMQ29tWz3gBrtNB8yIromXbY/edit?gid=741673867"", ""out1g!A:B""), 2, FALSE), 0)"),418.0)</f>
        <v>418</v>
      </c>
      <c r="D28" s="2" t="str">
        <f>IFERROR(__xludf.DUMMYFUNCTION("IFERROR(VLOOKUP(A28, IMPORTRANGE(""https://docs.google.com/spreadsheets/d/1-3Vjw2Cyy-mry5gbC8ypIR3YVGFfEpyFESummAta6sg/edit"", ""Sheet1!B:D""), 2, FALSE), ""Not Found"")"),"lɔri")</f>
        <v>lɔri</v>
      </c>
      <c r="E28" s="2" t="str">
        <f>IFERROR(__xludf.DUMMYFUNCTION("IFERROR(VLOOKUP(A28, IMPORTRANGE(""https://docs.google.com/spreadsheets/d/1-3Vjw2Cyy-mry5gbC8ypIR3YVGFfEpyFESummAta6sg/edit"", ""Sheet1!B:D""), 3, FALSE), ""Not Found"")"),"l ɔ r i ")</f>
        <v>l ɔ r i </v>
      </c>
    </row>
    <row r="29">
      <c r="A29" s="1" t="s">
        <v>32</v>
      </c>
      <c r="B29" s="1" t="s">
        <v>5</v>
      </c>
      <c r="C29" s="2">
        <f>IFERROR(__xludf.DUMMYFUNCTION("IFERROR(VLOOKUP(A29, IMPORTRANGE(""https://docs.google.com/spreadsheets/d/1AVX9GT0dgogEBStecCXMMQ29tWz3gBrtNB8yIromXbY/edit?gid=741673867"", ""out1g!A:B""), 2, FALSE), 0)"),121.0)</f>
        <v>121</v>
      </c>
      <c r="D29" s="2" t="str">
        <f>IFERROR(__xludf.DUMMYFUNCTION("IFERROR(VLOOKUP(A29, IMPORTRANGE(""https://docs.google.com/spreadsheets/d/1-3Vjw2Cyy-mry5gbC8ypIR3YVGFfEpyFESummAta6sg/edit"", ""Sheet1!B:D""), 2, FALSE), ""Not Found"")"),"məgz")</f>
        <v>məgz</v>
      </c>
      <c r="E29" s="2" t="str">
        <f>IFERROR(__xludf.DUMMYFUNCTION("IFERROR(VLOOKUP(A29, IMPORTRANGE(""https://docs.google.com/spreadsheets/d/1-3Vjw2Cyy-mry5gbC8ypIR3YVGFfEpyFESummAta6sg/edit"", ""Sheet1!B:D""), 3, FALSE), ""Not Found"")"),"m ə g z ")</f>
        <v>m ə g z </v>
      </c>
    </row>
    <row r="30">
      <c r="A30" s="1" t="s">
        <v>33</v>
      </c>
      <c r="B30" s="1" t="s">
        <v>5</v>
      </c>
      <c r="C30" s="2">
        <f>IFERROR(__xludf.DUMMYFUNCTION("IFERROR(VLOOKUP(A30, IMPORTRANGE(""https://docs.google.com/spreadsheets/d/1AVX9GT0dgogEBStecCXMMQ29tWz3gBrtNB8yIromXbY/edit?gid=741673867"", ""out1g!A:B""), 2, FALSE), 0)"),40699.0)</f>
        <v>40699</v>
      </c>
      <c r="D30" s="2" t="str">
        <f>IFERROR(__xludf.DUMMYFUNCTION("IFERROR(VLOOKUP(A30, IMPORTRANGE(""https://docs.google.com/spreadsheets/d/1-3Vjw2Cyy-mry5gbC8ypIR3YVGFfEpyFESummAta6sg/edit"", ""Sheet1!B:D""), 2, FALSE), ""Not Found"")"),"wərk")</f>
        <v>wərk</v>
      </c>
      <c r="E30" s="2" t="str">
        <f>IFERROR(__xludf.DUMMYFUNCTION("IFERROR(VLOOKUP(A30, IMPORTRANGE(""https://docs.google.com/spreadsheets/d/1-3Vjw2Cyy-mry5gbC8ypIR3YVGFfEpyFESummAta6sg/edit"", ""Sheet1!B:D""), 3, FALSE), ""Not Found"")"),"w ə r k ")</f>
        <v>w ə r k </v>
      </c>
    </row>
    <row r="31">
      <c r="A31" s="1" t="s">
        <v>34</v>
      </c>
      <c r="B31" s="1" t="s">
        <v>5</v>
      </c>
      <c r="C31" s="2">
        <f>IFERROR(__xludf.DUMMYFUNCTION("IFERROR(VLOOKUP(A31, IMPORTRANGE(""https://docs.google.com/spreadsheets/d/1AVX9GT0dgogEBStecCXMMQ29tWz3gBrtNB8yIromXbY/edit?gid=741673867"", ""out1g!A:B""), 2, FALSE), 0)"),1869.0)</f>
        <v>1869</v>
      </c>
      <c r="D31" s="2" t="str">
        <f>IFERROR(__xludf.DUMMYFUNCTION("IFERROR(VLOOKUP(A31, IMPORTRANGE(""https://docs.google.com/spreadsheets/d/1-3Vjw2Cyy-mry5gbC8ypIR3YVGFfEpyFESummAta6sg/edit"", ""Sheet1!B:D""), 2, FALSE), ""Not Found"")"),"spɛl")</f>
        <v>spɛl</v>
      </c>
      <c r="E31" s="2" t="str">
        <f>IFERROR(__xludf.DUMMYFUNCTION("IFERROR(VLOOKUP(A31, IMPORTRANGE(""https://docs.google.com/spreadsheets/d/1-3Vjw2Cyy-mry5gbC8ypIR3YVGFfEpyFESummAta6sg/edit"", ""Sheet1!B:D""), 3, FALSE), ""Not Found"")"),"s p ɛ l ")</f>
        <v>s p ɛ l </v>
      </c>
    </row>
    <row r="32">
      <c r="A32" s="1" t="s">
        <v>35</v>
      </c>
      <c r="B32" s="1" t="s">
        <v>5</v>
      </c>
      <c r="C32" s="2">
        <f>IFERROR(__xludf.DUMMYFUNCTION("IFERROR(VLOOKUP(A32, IMPORTRANGE(""https://docs.google.com/spreadsheets/d/1AVX9GT0dgogEBStecCXMMQ29tWz3gBrtNB8yIromXbY/edit?gid=741673867"", ""out1g!A:B""), 2, FALSE), 0)"),173.0)</f>
        <v>173</v>
      </c>
      <c r="D32" s="2" t="str">
        <f>IFERROR(__xludf.DUMMYFUNCTION("IFERROR(VLOOKUP(A32, IMPORTRANGE(""https://docs.google.com/spreadsheets/d/1-3Vjw2Cyy-mry5gbC8ypIR3YVGFfEpyFESummAta6sg/edit"", ""Sheet1!B:D""), 2, FALSE), ""Not Found"")"),"ʤæks")</f>
        <v>ʤæks</v>
      </c>
      <c r="E32" s="2" t="str">
        <f>IFERROR(__xludf.DUMMYFUNCTION("IFERROR(VLOOKUP(A32, IMPORTRANGE(""https://docs.google.com/spreadsheets/d/1-3Vjw2Cyy-mry5gbC8ypIR3YVGFfEpyFESummAta6sg/edit"", ""Sheet1!B:D""), 3, FALSE), ""Not Found"")"),"ʤ æ k s ")</f>
        <v>ʤ æ k s </v>
      </c>
    </row>
    <row r="33">
      <c r="A33" s="1" t="s">
        <v>36</v>
      </c>
      <c r="B33" s="1" t="s">
        <v>5</v>
      </c>
      <c r="C33" s="2">
        <f>IFERROR(__xludf.DUMMYFUNCTION("IFERROR(VLOOKUP(A33, IMPORTRANGE(""https://docs.google.com/spreadsheets/d/1AVX9GT0dgogEBStecCXMMQ29tWz3gBrtNB8yIromXbY/edit?gid=741673867"", ""out1g!A:B""), 2, FALSE), 0)"),7010.0)</f>
        <v>7010</v>
      </c>
      <c r="D33" s="2" t="str">
        <f>IFERROR(__xludf.DUMMYFUNCTION("IFERROR(VLOOKUP(A33, IMPORTRANGE(""https://docs.google.com/spreadsheets/d/1-3Vjw2Cyy-mry5gbC8ypIR3YVGFfEpyFESummAta6sg/edit"", ""Sheet1!B:D""), 2, FALSE), ""Not Found"")"),"fæst")</f>
        <v>fæst</v>
      </c>
      <c r="E33" s="2" t="str">
        <f>IFERROR(__xludf.DUMMYFUNCTION("IFERROR(VLOOKUP(A33, IMPORTRANGE(""https://docs.google.com/spreadsheets/d/1-3Vjw2Cyy-mry5gbC8ypIR3YVGFfEpyFESummAta6sg/edit"", ""Sheet1!B:D""), 3, FALSE), ""Not Found"")"),"f æ s t ")</f>
        <v>f æ s t </v>
      </c>
    </row>
    <row r="34">
      <c r="A34" s="1" t="s">
        <v>37</v>
      </c>
      <c r="B34" s="1" t="s">
        <v>5</v>
      </c>
      <c r="C34" s="2">
        <f>IFERROR(__xludf.DUMMYFUNCTION("IFERROR(VLOOKUP(A34, IMPORTRANGE(""https://docs.google.com/spreadsheets/d/1AVX9GT0dgogEBStecCXMMQ29tWz3gBrtNB8yIromXbY/edit?gid=741673867"", ""out1g!A:B""), 2, FALSE), 0)"),406915.0)</f>
        <v>406915</v>
      </c>
      <c r="D34" s="2" t="str">
        <f>IFERROR(__xludf.DUMMYFUNCTION("IFERROR(VLOOKUP(A34, IMPORTRANGE(""https://docs.google.com/spreadsheets/d/1-3Vjw2Cyy-mry5gbC8ypIR3YVGFfEpyFESummAta6sg/edit"", ""Sheet1!B:D""), 2, FALSE), ""Not Found"")"),"ðɪs")</f>
        <v>ðɪs</v>
      </c>
      <c r="E34" s="2" t="str">
        <f>IFERROR(__xludf.DUMMYFUNCTION("IFERROR(VLOOKUP(A34, IMPORTRANGE(""https://docs.google.com/spreadsheets/d/1-3Vjw2Cyy-mry5gbC8ypIR3YVGFfEpyFESummAta6sg/edit"", ""Sheet1!B:D""), 3, FALSE), ""Not Found"")"),"ð ɪ s ")</f>
        <v>ð ɪ s </v>
      </c>
    </row>
    <row r="35">
      <c r="A35" s="1" t="s">
        <v>38</v>
      </c>
      <c r="B35" s="1" t="s">
        <v>5</v>
      </c>
      <c r="C35" s="2">
        <f>IFERROR(__xludf.DUMMYFUNCTION("IFERROR(VLOOKUP(A35, IMPORTRANGE(""https://docs.google.com/spreadsheets/d/1AVX9GT0dgogEBStecCXMMQ29tWz3gBrtNB8yIromXbY/edit?gid=741673867"", ""out1g!A:B""), 2, FALSE), 0)"),88.0)</f>
        <v>88</v>
      </c>
      <c r="D35" s="2" t="str">
        <f>IFERROR(__xludf.DUMMYFUNCTION("IFERROR(VLOOKUP(A35, IMPORTRANGE(""https://docs.google.com/spreadsheets/d/1-3Vjw2Cyy-mry5gbC8ypIR3YVGFfEpyFESummAta6sg/edit"", ""Sheet1!B:D""), 2, FALSE), ""Not Found"")"),"tərnəp")</f>
        <v>tərnəp</v>
      </c>
      <c r="E35" s="2" t="str">
        <f>IFERROR(__xludf.DUMMYFUNCTION("IFERROR(VLOOKUP(A35, IMPORTRANGE(""https://docs.google.com/spreadsheets/d/1-3Vjw2Cyy-mry5gbC8ypIR3YVGFfEpyFESummAta6sg/edit"", ""Sheet1!B:D""), 3, FALSE), ""Not Found"")"),"t ə r n ə p ")</f>
        <v>t ə r n ə p </v>
      </c>
    </row>
    <row r="36">
      <c r="A36" s="1" t="s">
        <v>39</v>
      </c>
      <c r="B36" s="1" t="s">
        <v>5</v>
      </c>
      <c r="C36" s="2">
        <f>IFERROR(__xludf.DUMMYFUNCTION("IFERROR(VLOOKUP(A36, IMPORTRANGE(""https://docs.google.com/spreadsheets/d/1AVX9GT0dgogEBStecCXMMQ29tWz3gBrtNB8yIromXbY/edit?gid=741673867"", ""out1g!A:B""), 2, FALSE), 0)"),59.0)</f>
        <v>59</v>
      </c>
      <c r="D36" s="2" t="str">
        <f>IFERROR(__xludf.DUMMYFUNCTION("IFERROR(VLOOKUP(A36, IMPORTRANGE(""https://docs.google.com/spreadsheets/d/1-3Vjw2Cyy-mry5gbC8ypIR3YVGFfEpyFESummAta6sg/edit"", ""Sheet1!B:D""), 2, FALSE), ""Not Found"")"),"glum")</f>
        <v>glum</v>
      </c>
      <c r="E36" s="2" t="str">
        <f>IFERROR(__xludf.DUMMYFUNCTION("IFERROR(VLOOKUP(A36, IMPORTRANGE(""https://docs.google.com/spreadsheets/d/1-3Vjw2Cyy-mry5gbC8ypIR3YVGFfEpyFESummAta6sg/edit"", ""Sheet1!B:D""), 3, FALSE), ""Not Found"")"),"g l u m ")</f>
        <v>g l u m </v>
      </c>
    </row>
    <row r="37">
      <c r="A37" s="1" t="s">
        <v>40</v>
      </c>
      <c r="B37" s="1" t="s">
        <v>5</v>
      </c>
      <c r="C37" s="2">
        <f>IFERROR(__xludf.DUMMYFUNCTION("IFERROR(VLOOKUP(A37, IMPORTRANGE(""https://docs.google.com/spreadsheets/d/1AVX9GT0dgogEBStecCXMMQ29tWz3gBrtNB8yIromXbY/edit?gid=741673867"", ""out1g!A:B""), 2, FALSE), 0)"),47.0)</f>
        <v>47</v>
      </c>
      <c r="D37" s="2" t="str">
        <f>IFERROR(__xludf.DUMMYFUNCTION("IFERROR(VLOOKUP(A37, IMPORTRANGE(""https://docs.google.com/spreadsheets/d/1-3Vjw2Cyy-mry5gbC8ypIR3YVGFfEpyFESummAta6sg/edit"", ""Sheet1!B:D""), 2, FALSE), ""Not Found"")"),"fɛnd")</f>
        <v>fɛnd</v>
      </c>
      <c r="E37" s="2" t="str">
        <f>IFERROR(__xludf.DUMMYFUNCTION("IFERROR(VLOOKUP(A37, IMPORTRANGE(""https://docs.google.com/spreadsheets/d/1-3Vjw2Cyy-mry5gbC8ypIR3YVGFfEpyFESummAta6sg/edit"", ""Sheet1!B:D""), 3, FALSE), ""Not Found"")"),"f ɛ n d ")</f>
        <v>f ɛ n d </v>
      </c>
    </row>
    <row r="38">
      <c r="A38" s="1" t="s">
        <v>41</v>
      </c>
      <c r="B38" s="1" t="s">
        <v>5</v>
      </c>
      <c r="C38" s="2">
        <f>IFERROR(__xludf.DUMMYFUNCTION("IFERROR(VLOOKUP(A38, IMPORTRANGE(""https://docs.google.com/spreadsheets/d/1AVX9GT0dgogEBStecCXMMQ29tWz3gBrtNB8yIromXbY/edit?gid=741673867"", ""out1g!A:B""), 2, FALSE), 0)"),159.0)</f>
        <v>159</v>
      </c>
      <c r="D38" s="2" t="str">
        <f>IFERROR(__xludf.DUMMYFUNCTION("IFERROR(VLOOKUP(A38, IMPORTRANGE(""https://docs.google.com/spreadsheets/d/1-3Vjw2Cyy-mry5gbC8ypIR3YVGFfEpyFESummAta6sg/edit"", ""Sheet1!B:D""), 2, FALSE), ""Not Found"")"),"vivə")</f>
        <v>vivə</v>
      </c>
      <c r="E38" s="2" t="str">
        <f>IFERROR(__xludf.DUMMYFUNCTION("IFERROR(VLOOKUP(A38, IMPORTRANGE(""https://docs.google.com/spreadsheets/d/1-3Vjw2Cyy-mry5gbC8ypIR3YVGFfEpyFESummAta6sg/edit"", ""Sheet1!B:D""), 3, FALSE), ""Not Found"")"),"v i v ə ")</f>
        <v>v i v ə </v>
      </c>
    </row>
    <row r="39">
      <c r="A39" s="1" t="s">
        <v>42</v>
      </c>
      <c r="B39" s="1" t="s">
        <v>5</v>
      </c>
      <c r="C39" s="2">
        <f>IFERROR(__xludf.DUMMYFUNCTION("IFERROR(VLOOKUP(A39, IMPORTRANGE(""https://docs.google.com/spreadsheets/d/1AVX9GT0dgogEBStecCXMMQ29tWz3gBrtNB8yIromXbY/edit?gid=741673867"", ""out1g!A:B""), 2, FALSE), 0)"),286.0)</f>
        <v>286</v>
      </c>
      <c r="D39" s="2" t="str">
        <f>IFERROR(__xludf.DUMMYFUNCTION("IFERROR(VLOOKUP(A39, IMPORTRANGE(""https://docs.google.com/spreadsheets/d/1-3Vjw2Cyy-mry5gbC8ypIR3YVGFfEpyFESummAta6sg/edit"", ""Sheet1!B:D""), 2, FALSE), ""Not Found"")"),"skoʊp")</f>
        <v>skoʊp</v>
      </c>
      <c r="E39" s="2" t="str">
        <f>IFERROR(__xludf.DUMMYFUNCTION("IFERROR(VLOOKUP(A39, IMPORTRANGE(""https://docs.google.com/spreadsheets/d/1-3Vjw2Cyy-mry5gbC8ypIR3YVGFfEpyFESummAta6sg/edit"", ""Sheet1!B:D""), 3, FALSE), ""Not Found"")"),"s k o ʊ p ")</f>
        <v>s k o ʊ p </v>
      </c>
    </row>
    <row r="40">
      <c r="A40" s="1" t="s">
        <v>43</v>
      </c>
      <c r="B40" s="1" t="s">
        <v>5</v>
      </c>
      <c r="C40" s="2">
        <f>IFERROR(__xludf.DUMMYFUNCTION("IFERROR(VLOOKUP(A40, IMPORTRANGE(""https://docs.google.com/spreadsheets/d/1AVX9GT0dgogEBStecCXMMQ29tWz3gBrtNB8yIromXbY/edit?gid=741673867"", ""out1g!A:B""), 2, FALSE), 0)"),68.0)</f>
        <v>68</v>
      </c>
      <c r="D40" s="2" t="str">
        <f>IFERROR(__xludf.DUMMYFUNCTION("IFERROR(VLOOKUP(A40, IMPORTRANGE(""https://docs.google.com/spreadsheets/d/1-3Vjw2Cyy-mry5gbC8ypIR3YVGFfEpyFESummAta6sg/edit"", ""Sheet1!B:D""), 2, FALSE), ""Not Found"")"),"ɔɪlz")</f>
        <v>ɔɪlz</v>
      </c>
      <c r="E40" s="2" t="str">
        <f>IFERROR(__xludf.DUMMYFUNCTION("IFERROR(VLOOKUP(A40, IMPORTRANGE(""https://docs.google.com/spreadsheets/d/1-3Vjw2Cyy-mry5gbC8ypIR3YVGFfEpyFESummAta6sg/edit"", ""Sheet1!B:D""), 3, FALSE), ""Not Found"")"),"ɔ ɪ l z ")</f>
        <v>ɔ ɪ l z </v>
      </c>
    </row>
    <row r="41">
      <c r="A41" s="1" t="s">
        <v>44</v>
      </c>
      <c r="B41" s="1" t="s">
        <v>5</v>
      </c>
      <c r="C41" s="2">
        <f>IFERROR(__xludf.DUMMYFUNCTION("IFERROR(VLOOKUP(A41, IMPORTRANGE(""https://docs.google.com/spreadsheets/d/1AVX9GT0dgogEBStecCXMMQ29tWz3gBrtNB8yIromXbY/edit?gid=741673867"", ""out1g!A:B""), 2, FALSE), 0)"),813.0)</f>
        <v>813</v>
      </c>
      <c r="D41" s="2" t="str">
        <f>IFERROR(__xludf.DUMMYFUNCTION("IFERROR(VLOOKUP(A41, IMPORTRANGE(""https://docs.google.com/spreadsheets/d/1-3Vjw2Cyy-mry5gbC8ypIR3YVGFfEpyFESummAta6sg/edit"", ""Sheet1!B:D""), 2, FALSE), ""Not Found"")"),"sɪn")</f>
        <v>sɪn</v>
      </c>
      <c r="E41" s="2" t="str">
        <f>IFERROR(__xludf.DUMMYFUNCTION("IFERROR(VLOOKUP(A41, IMPORTRANGE(""https://docs.google.com/spreadsheets/d/1-3Vjw2Cyy-mry5gbC8ypIR3YVGFfEpyFESummAta6sg/edit"", ""Sheet1!B:D""), 3, FALSE), ""Not Found"")"),"s ɪ n ")</f>
        <v>s ɪ n </v>
      </c>
    </row>
    <row r="42">
      <c r="A42" s="1" t="s">
        <v>45</v>
      </c>
      <c r="B42" s="1" t="s">
        <v>5</v>
      </c>
      <c r="C42" s="2">
        <f>IFERROR(__xludf.DUMMYFUNCTION("IFERROR(VLOOKUP(A42, IMPORTRANGE(""https://docs.google.com/spreadsheets/d/1AVX9GT0dgogEBStecCXMMQ29tWz3gBrtNB8yIromXbY/edit?gid=741673867"", ""out1g!A:B""), 2, FALSE), 0)"),114.0)</f>
        <v>114</v>
      </c>
      <c r="D42" s="2" t="str">
        <f>IFERROR(__xludf.DUMMYFUNCTION("IFERROR(VLOOKUP(A42, IMPORTRANGE(""https://docs.google.com/spreadsheets/d/1-3Vjw2Cyy-mry5gbC8ypIR3YVGFfEpyFESummAta6sg/edit"", ""Sheet1!B:D""), 2, FALSE), ""Not Found"")"),"tɑŋ")</f>
        <v>tɑŋ</v>
      </c>
      <c r="E42" s="2" t="str">
        <f>IFERROR(__xludf.DUMMYFUNCTION("IFERROR(VLOOKUP(A42, IMPORTRANGE(""https://docs.google.com/spreadsheets/d/1-3Vjw2Cyy-mry5gbC8ypIR3YVGFfEpyFESummAta6sg/edit"", ""Sheet1!B:D""), 3, FALSE), ""Not Found"")"),"t ɑ ŋ ")</f>
        <v>t ɑ ŋ </v>
      </c>
    </row>
    <row r="43">
      <c r="A43" s="1" t="s">
        <v>46</v>
      </c>
      <c r="B43" s="1" t="s">
        <v>5</v>
      </c>
      <c r="C43" s="2">
        <f>IFERROR(__xludf.DUMMYFUNCTION("IFERROR(VLOOKUP(A43, IMPORTRANGE(""https://docs.google.com/spreadsheets/d/1AVX9GT0dgogEBStecCXMMQ29tWz3gBrtNB8yIromXbY/edit?gid=741673867"", ""out1g!A:B""), 2, FALSE), 0)"),93.0)</f>
        <v>93</v>
      </c>
      <c r="D43" s="2" t="str">
        <f>IFERROR(__xludf.DUMMYFUNCTION("IFERROR(VLOOKUP(A43, IMPORTRANGE(""https://docs.google.com/spreadsheets/d/1-3Vjw2Cyy-mry5gbC8ypIR3YVGFfEpyFESummAta6sg/edit"", ""Sheet1!B:D""), 2, FALSE), ""Not Found"")"),"kɑks")</f>
        <v>kɑks</v>
      </c>
      <c r="E43" s="2" t="str">
        <f>IFERROR(__xludf.DUMMYFUNCTION("IFERROR(VLOOKUP(A43, IMPORTRANGE(""https://docs.google.com/spreadsheets/d/1-3Vjw2Cyy-mry5gbC8ypIR3YVGFfEpyFESummAta6sg/edit"", ""Sheet1!B:D""), 3, FALSE), ""Not Found"")"),"k ɑ k s ")</f>
        <v>k ɑ k s </v>
      </c>
    </row>
    <row r="44">
      <c r="A44" s="1" t="s">
        <v>47</v>
      </c>
      <c r="B44" s="1" t="s">
        <v>5</v>
      </c>
      <c r="C44" s="2">
        <f>IFERROR(__xludf.DUMMYFUNCTION("IFERROR(VLOOKUP(A44, IMPORTRANGE(""https://docs.google.com/spreadsheets/d/1AVX9GT0dgogEBStecCXMMQ29tWz3gBrtNB8yIromXbY/edit?gid=741673867"", ""out1g!A:B""), 2, FALSE), 0)"),317.0)</f>
        <v>317</v>
      </c>
      <c r="D44" s="2" t="str">
        <f>IFERROR(__xludf.DUMMYFUNCTION("IFERROR(VLOOKUP(A44, IMPORTRANGE(""https://docs.google.com/spreadsheets/d/1-3Vjw2Cyy-mry5gbC8ypIR3YVGFfEpyFESummAta6sg/edit"", ""Sheet1!B:D""), 2, FALSE), ""Not Found"")"),"bræt")</f>
        <v>bræt</v>
      </c>
      <c r="E44" s="2" t="str">
        <f>IFERROR(__xludf.DUMMYFUNCTION("IFERROR(VLOOKUP(A44, IMPORTRANGE(""https://docs.google.com/spreadsheets/d/1-3Vjw2Cyy-mry5gbC8ypIR3YVGFfEpyFESummAta6sg/edit"", ""Sheet1!B:D""), 3, FALSE), ""Not Found"")"),"b r æ t ")</f>
        <v>b r æ t </v>
      </c>
    </row>
    <row r="45">
      <c r="A45" s="1" t="s">
        <v>48</v>
      </c>
      <c r="B45" s="1" t="s">
        <v>5</v>
      </c>
      <c r="C45" s="2">
        <f>IFERROR(__xludf.DUMMYFUNCTION("IFERROR(VLOOKUP(A45, IMPORTRANGE(""https://docs.google.com/spreadsheets/d/1AVX9GT0dgogEBStecCXMMQ29tWz3gBrtNB8yIromXbY/edit?gid=741673867"", ""out1g!A:B""), 2, FALSE), 0)"),537.0)</f>
        <v>537</v>
      </c>
      <c r="D45" s="2" t="str">
        <f>IFERROR(__xludf.DUMMYFUNCTION("IFERROR(VLOOKUP(A45, IMPORTRANGE(""https://docs.google.com/spreadsheets/d/1-3Vjw2Cyy-mry5gbC8ypIR3YVGFfEpyFESummAta6sg/edit"", ""Sheet1!B:D""), 2, FALSE), ""Not Found"")"),"mɛʒər")</f>
        <v>mɛʒər</v>
      </c>
      <c r="E45" s="2" t="str">
        <f>IFERROR(__xludf.DUMMYFUNCTION("IFERROR(VLOOKUP(A45, IMPORTRANGE(""https://docs.google.com/spreadsheets/d/1-3Vjw2Cyy-mry5gbC8ypIR3YVGFfEpyFESummAta6sg/edit"", ""Sheet1!B:D""), 3, FALSE), ""Not Found"")"),"m ɛ ʒ ə r ")</f>
        <v>m ɛ ʒ ə r </v>
      </c>
    </row>
    <row r="46">
      <c r="A46" s="1" t="s">
        <v>49</v>
      </c>
      <c r="B46" s="1" t="s">
        <v>5</v>
      </c>
      <c r="C46" s="2">
        <f>IFERROR(__xludf.DUMMYFUNCTION("IFERROR(VLOOKUP(A46, IMPORTRANGE(""https://docs.google.com/spreadsheets/d/1AVX9GT0dgogEBStecCXMMQ29tWz3gBrtNB8yIromXbY/edit?gid=741673867"", ""out1g!A:B""), 2, FALSE), 0)"),69.0)</f>
        <v>69</v>
      </c>
      <c r="D46" s="2" t="str">
        <f>IFERROR(__xludf.DUMMYFUNCTION("IFERROR(VLOOKUP(A46, IMPORTRANGE(""https://docs.google.com/spreadsheets/d/1-3Vjw2Cyy-mry5gbC8ypIR3YVGFfEpyFESummAta6sg/edit"", ""Sheet1!B:D""), 2, FALSE), ""Not Found"")"),"gizər")</f>
        <v>gizər</v>
      </c>
      <c r="E46" s="2" t="str">
        <f>IFERROR(__xludf.DUMMYFUNCTION("IFERROR(VLOOKUP(A46, IMPORTRANGE(""https://docs.google.com/spreadsheets/d/1-3Vjw2Cyy-mry5gbC8ypIR3YVGFfEpyFESummAta6sg/edit"", ""Sheet1!B:D""), 3, FALSE), ""Not Found"")"),"g i z ə r ")</f>
        <v>g i z ə r </v>
      </c>
    </row>
    <row r="47">
      <c r="A47" s="1" t="s">
        <v>50</v>
      </c>
      <c r="B47" s="1" t="s">
        <v>5</v>
      </c>
      <c r="C47" s="2">
        <f>IFERROR(__xludf.DUMMYFUNCTION("IFERROR(VLOOKUP(A47, IMPORTRANGE(""https://docs.google.com/spreadsheets/d/1AVX9GT0dgogEBStecCXMMQ29tWz3gBrtNB8yIromXbY/edit?gid=741673867"", ""out1g!A:B""), 2, FALSE), 0)"),198.0)</f>
        <v>198</v>
      </c>
      <c r="D47" s="2" t="str">
        <f>IFERROR(__xludf.DUMMYFUNCTION("IFERROR(VLOOKUP(A47, IMPORTRANGE(""https://docs.google.com/spreadsheets/d/1-3Vjw2Cyy-mry5gbC8ypIR3YVGFfEpyFESummAta6sg/edit"", ""Sheet1!B:D""), 2, FALSE), ""Not Found"")"),"rədər")</f>
        <v>rədər</v>
      </c>
      <c r="E47" s="2" t="str">
        <f>IFERROR(__xludf.DUMMYFUNCTION("IFERROR(VLOOKUP(A47, IMPORTRANGE(""https://docs.google.com/spreadsheets/d/1-3Vjw2Cyy-mry5gbC8ypIR3YVGFfEpyFESummAta6sg/edit"", ""Sheet1!B:D""), 3, FALSE), ""Not Found"")"),"r ə d ə r ")</f>
        <v>r ə d ə r </v>
      </c>
    </row>
    <row r="48">
      <c r="A48" s="1" t="s">
        <v>51</v>
      </c>
      <c r="B48" s="1" t="s">
        <v>5</v>
      </c>
      <c r="C48" s="2">
        <f>IFERROR(__xludf.DUMMYFUNCTION("IFERROR(VLOOKUP(A48, IMPORTRANGE(""https://docs.google.com/spreadsheets/d/1AVX9GT0dgogEBStecCXMMQ29tWz3gBrtNB8yIromXbY/edit?gid=741673867"", ""out1g!A:B""), 2, FALSE), 0)"),187.0)</f>
        <v>187</v>
      </c>
      <c r="D48" s="2" t="str">
        <f>IFERROR(__xludf.DUMMYFUNCTION("IFERROR(VLOOKUP(A48, IMPORTRANGE(""https://docs.google.com/spreadsheets/d/1-3Vjw2Cyy-mry5gbC8ypIR3YVGFfEpyFESummAta6sg/edit"", ""Sheet1!B:D""), 2, FALSE), ""Not Found"")"),"drəmər")</f>
        <v>drəmər</v>
      </c>
      <c r="E48" s="2" t="str">
        <f>IFERROR(__xludf.DUMMYFUNCTION("IFERROR(VLOOKUP(A48, IMPORTRANGE(""https://docs.google.com/spreadsheets/d/1-3Vjw2Cyy-mry5gbC8ypIR3YVGFfEpyFESummAta6sg/edit"", ""Sheet1!B:D""), 3, FALSE), ""Not Found"")"),"d r ə m ə r ")</f>
        <v>d r ə m ə r </v>
      </c>
    </row>
    <row r="49">
      <c r="A49" s="1" t="s">
        <v>52</v>
      </c>
      <c r="B49" s="1" t="s">
        <v>5</v>
      </c>
      <c r="C49" s="2">
        <f>IFERROR(__xludf.DUMMYFUNCTION("IFERROR(VLOOKUP(A49, IMPORTRANGE(""https://docs.google.com/spreadsheets/d/1AVX9GT0dgogEBStecCXMMQ29tWz3gBrtNB8yIromXbY/edit?gid=741673867"", ""out1g!A:B""), 2, FALSE), 0)"),72.0)</f>
        <v>72</v>
      </c>
      <c r="D49" s="2" t="str">
        <f>IFERROR(__xludf.DUMMYFUNCTION("IFERROR(VLOOKUP(A49, IMPORTRANGE(""https://docs.google.com/spreadsheets/d/1-3Vjw2Cyy-mry5gbC8ypIR3YVGFfEpyFESummAta6sg/edit"", ""Sheet1!B:D""), 2, FALSE), ""Not Found"")"),"spaɪks")</f>
        <v>spaɪks</v>
      </c>
      <c r="E49" s="2" t="str">
        <f>IFERROR(__xludf.DUMMYFUNCTION("IFERROR(VLOOKUP(A49, IMPORTRANGE(""https://docs.google.com/spreadsheets/d/1-3Vjw2Cyy-mry5gbC8ypIR3YVGFfEpyFESummAta6sg/edit"", ""Sheet1!B:D""), 3, FALSE), ""Not Found"")"),"s p a ɪ k s ")</f>
        <v>s p a ɪ k s </v>
      </c>
    </row>
    <row r="50">
      <c r="A50" s="1" t="s">
        <v>53</v>
      </c>
      <c r="B50" s="1" t="s">
        <v>5</v>
      </c>
      <c r="C50" s="2">
        <f>IFERROR(__xludf.DUMMYFUNCTION("IFERROR(VLOOKUP(A50, IMPORTRANGE(""https://docs.google.com/spreadsheets/d/1AVX9GT0dgogEBStecCXMMQ29tWz3gBrtNB8yIromXbY/edit?gid=741673867"", ""out1g!A:B""), 2, FALSE), 0)"),423.0)</f>
        <v>423</v>
      </c>
      <c r="D50" s="2" t="str">
        <f>IFERROR(__xludf.DUMMYFUNCTION("IFERROR(VLOOKUP(A50, IMPORTRANGE(""https://docs.google.com/spreadsheets/d/1-3Vjw2Cyy-mry5gbC8ypIR3YVGFfEpyFESummAta6sg/edit"", ""Sheet1!B:D""), 2, FALSE), ""Not Found"")"),"imoʊʃən")</f>
        <v>imoʊʃən</v>
      </c>
      <c r="E50" s="2" t="str">
        <f>IFERROR(__xludf.DUMMYFUNCTION("IFERROR(VLOOKUP(A50, IMPORTRANGE(""https://docs.google.com/spreadsheets/d/1-3Vjw2Cyy-mry5gbC8ypIR3YVGFfEpyFESummAta6sg/edit"", ""Sheet1!B:D""), 3, FALSE), ""Not Found"")"),"i m o ʊ ʃ ə n ")</f>
        <v>i m o ʊ ʃ ə n </v>
      </c>
    </row>
    <row r="51">
      <c r="A51" s="1" t="s">
        <v>54</v>
      </c>
      <c r="B51" s="1" t="s">
        <v>5</v>
      </c>
      <c r="C51" s="2">
        <f>IFERROR(__xludf.DUMMYFUNCTION("IFERROR(VLOOKUP(A51, IMPORTRANGE(""https://docs.google.com/spreadsheets/d/1AVX9GT0dgogEBStecCXMMQ29tWz3gBrtNB8yIromXbY/edit?gid=741673867"", ""out1g!A:B""), 2, FALSE), 0)"),6637.0)</f>
        <v>6637</v>
      </c>
      <c r="D51" s="2" t="str">
        <f>IFERROR(__xludf.DUMMYFUNCTION("IFERROR(VLOOKUP(A51, IMPORTRANGE(""https://docs.google.com/spreadsheets/d/1-3Vjw2Cyy-mry5gbC8ypIR3YVGFfEpyFESummAta6sg/edit"", ""Sheet1!B:D""), 2, FALSE), ""Not Found"")"),"wiks")</f>
        <v>wiks</v>
      </c>
      <c r="E51" s="2" t="str">
        <f>IFERROR(__xludf.DUMMYFUNCTION("IFERROR(VLOOKUP(A51, IMPORTRANGE(""https://docs.google.com/spreadsheets/d/1-3Vjw2Cyy-mry5gbC8ypIR3YVGFfEpyFESummAta6sg/edit"", ""Sheet1!B:D""), 3, FALSE), ""Not Found"")"),"w i k s ")</f>
        <v>w i k s </v>
      </c>
    </row>
    <row r="52">
      <c r="A52" s="1" t="s">
        <v>55</v>
      </c>
      <c r="B52" s="1" t="s">
        <v>5</v>
      </c>
      <c r="C52" s="2">
        <f>IFERROR(__xludf.DUMMYFUNCTION("IFERROR(VLOOKUP(A52, IMPORTRANGE(""https://docs.google.com/spreadsheets/d/1AVX9GT0dgogEBStecCXMMQ29tWz3gBrtNB8yIromXbY/edit?gid=741673867"", ""out1g!A:B""), 2, FALSE), 0)"),614.0)</f>
        <v>614</v>
      </c>
      <c r="D52" s="2" t="str">
        <f>IFERROR(__xludf.DUMMYFUNCTION("IFERROR(VLOOKUP(A52, IMPORTRANGE(""https://docs.google.com/spreadsheets/d/1-3Vjw2Cyy-mry5gbC8ypIR3YVGFfEpyFESummAta6sg/edit"", ""Sheet1!B:D""), 2, FALSE), ""Not Found"")"),"krɔl")</f>
        <v>krɔl</v>
      </c>
      <c r="E52" s="2" t="str">
        <f>IFERROR(__xludf.DUMMYFUNCTION("IFERROR(VLOOKUP(A52, IMPORTRANGE(""https://docs.google.com/spreadsheets/d/1-3Vjw2Cyy-mry5gbC8ypIR3YVGFfEpyFESummAta6sg/edit"", ""Sheet1!B:D""), 3, FALSE), ""Not Found"")"),"k r ɔ l ")</f>
        <v>k r ɔ l </v>
      </c>
    </row>
    <row r="53">
      <c r="A53" s="1" t="s">
        <v>56</v>
      </c>
      <c r="B53" s="1" t="s">
        <v>5</v>
      </c>
      <c r="C53" s="2">
        <f>IFERROR(__xludf.DUMMYFUNCTION("IFERROR(VLOOKUP(A53, IMPORTRANGE(""https://docs.google.com/spreadsheets/d/1AVX9GT0dgogEBStecCXMMQ29tWz3gBrtNB8yIromXbY/edit?gid=741673867"", ""out1g!A:B""), 2, FALSE), 0)"),795.0)</f>
        <v>795</v>
      </c>
      <c r="D53" s="2" t="str">
        <f>IFERROR(__xludf.DUMMYFUNCTION("IFERROR(VLOOKUP(A53, IMPORTRANGE(""https://docs.google.com/spreadsheets/d/1-3Vjw2Cyy-mry5gbC8ypIR3YVGFfEpyFESummAta6sg/edit"", ""Sheet1!B:D""), 2, FALSE), ""Not Found"")"),"kɪkɪŋ")</f>
        <v>kɪkɪŋ</v>
      </c>
      <c r="E53" s="2" t="str">
        <f>IFERROR(__xludf.DUMMYFUNCTION("IFERROR(VLOOKUP(A53, IMPORTRANGE(""https://docs.google.com/spreadsheets/d/1-3Vjw2Cyy-mry5gbC8ypIR3YVGFfEpyFESummAta6sg/edit"", ""Sheet1!B:D""), 3, FALSE), ""Not Found"")"),"k ɪ k ɪ ŋ ")</f>
        <v>k ɪ k ɪ ŋ </v>
      </c>
    </row>
    <row r="54">
      <c r="A54" s="1" t="s">
        <v>57</v>
      </c>
      <c r="B54" s="1" t="s">
        <v>5</v>
      </c>
      <c r="C54" s="2">
        <f>IFERROR(__xludf.DUMMYFUNCTION("IFERROR(VLOOKUP(A54, IMPORTRANGE(""https://docs.google.com/spreadsheets/d/1AVX9GT0dgogEBStecCXMMQ29tWz3gBrtNB8yIromXbY/edit?gid=741673867"", ""out1g!A:B""), 2, FALSE), 0)"),86.0)</f>
        <v>86</v>
      </c>
      <c r="D54" s="2" t="str">
        <f>IFERROR(__xludf.DUMMYFUNCTION("IFERROR(VLOOKUP(A54, IMPORTRANGE(""https://docs.google.com/spreadsheets/d/1-3Vjw2Cyy-mry5gbC8ypIR3YVGFfEpyFESummAta6sg/edit"", ""Sheet1!B:D""), 2, FALSE), ""Not Found"")"),"fibəl")</f>
        <v>fibəl</v>
      </c>
      <c r="E54" s="2" t="str">
        <f>IFERROR(__xludf.DUMMYFUNCTION("IFERROR(VLOOKUP(A54, IMPORTRANGE(""https://docs.google.com/spreadsheets/d/1-3Vjw2Cyy-mry5gbC8ypIR3YVGFfEpyFESummAta6sg/edit"", ""Sheet1!B:D""), 3, FALSE), ""Not Found"")"),"f i b ə l ")</f>
        <v>f i b ə l </v>
      </c>
    </row>
    <row r="55">
      <c r="A55" s="1" t="s">
        <v>58</v>
      </c>
      <c r="B55" s="1" t="s">
        <v>5</v>
      </c>
      <c r="C55" s="2">
        <f>IFERROR(__xludf.DUMMYFUNCTION("IFERROR(VLOOKUP(A55, IMPORTRANGE(""https://docs.google.com/spreadsheets/d/1AVX9GT0dgogEBStecCXMMQ29tWz3gBrtNB8yIromXbY/edit?gid=741673867"", ""out1g!A:B""), 2, FALSE), 0)"),72.0)</f>
        <v>72</v>
      </c>
      <c r="D55" s="2" t="str">
        <f>IFERROR(__xludf.DUMMYFUNCTION("IFERROR(VLOOKUP(A55, IMPORTRANGE(""https://docs.google.com/spreadsheets/d/1-3Vjw2Cyy-mry5gbC8ypIR3YVGFfEpyFESummAta6sg/edit"", ""Sheet1!B:D""), 2, FALSE), ""Not Found"")"),"brɪts")</f>
        <v>brɪts</v>
      </c>
      <c r="E55" s="2" t="str">
        <f>IFERROR(__xludf.DUMMYFUNCTION("IFERROR(VLOOKUP(A55, IMPORTRANGE(""https://docs.google.com/spreadsheets/d/1-3Vjw2Cyy-mry5gbC8ypIR3YVGFfEpyFESummAta6sg/edit"", ""Sheet1!B:D""), 3, FALSE), ""Not Found"")"),"b r ɪ t s ")</f>
        <v>b r ɪ t s </v>
      </c>
    </row>
    <row r="56">
      <c r="A56" s="1" t="s">
        <v>59</v>
      </c>
      <c r="B56" s="1" t="s">
        <v>5</v>
      </c>
      <c r="C56" s="2">
        <f>IFERROR(__xludf.DUMMYFUNCTION("IFERROR(VLOOKUP(A56, IMPORTRANGE(""https://docs.google.com/spreadsheets/d/1AVX9GT0dgogEBStecCXMMQ29tWz3gBrtNB8yIromXbY/edit?gid=741673867"", ""out1g!A:B""), 2, FALSE), 0)"),82.0)</f>
        <v>82</v>
      </c>
      <c r="D56" s="2" t="str">
        <f>IFERROR(__xludf.DUMMYFUNCTION("IFERROR(VLOOKUP(A56, IMPORTRANGE(""https://docs.google.com/spreadsheets/d/1-3Vjw2Cyy-mry5gbC8ypIR3YVGFfEpyFESummAta6sg/edit"", ""Sheet1!B:D""), 2, FALSE), ""Not Found"")"),"swɛts")</f>
        <v>swɛts</v>
      </c>
      <c r="E56" s="2" t="str">
        <f>IFERROR(__xludf.DUMMYFUNCTION("IFERROR(VLOOKUP(A56, IMPORTRANGE(""https://docs.google.com/spreadsheets/d/1-3Vjw2Cyy-mry5gbC8ypIR3YVGFfEpyFESummAta6sg/edit"", ""Sheet1!B:D""), 3, FALSE), ""Not Found"")"),"s w ɛ t s ")</f>
        <v>s w ɛ t s </v>
      </c>
    </row>
    <row r="57">
      <c r="A57" s="1" t="s">
        <v>60</v>
      </c>
      <c r="B57" s="1" t="s">
        <v>5</v>
      </c>
      <c r="C57" s="2">
        <f>IFERROR(__xludf.DUMMYFUNCTION("IFERROR(VLOOKUP(A57, IMPORTRANGE(""https://docs.google.com/spreadsheets/d/1AVX9GT0dgogEBStecCXMMQ29tWz3gBrtNB8yIromXbY/edit?gid=741673867"", ""out1g!A:B""), 2, FALSE), 0)"),238.0)</f>
        <v>238</v>
      </c>
      <c r="D57" s="2" t="str">
        <f>IFERROR(__xludf.DUMMYFUNCTION("IFERROR(VLOOKUP(A57, IMPORTRANGE(""https://docs.google.com/spreadsheets/d/1-3Vjw2Cyy-mry5gbC8ypIR3YVGFfEpyFESummAta6sg/edit"", ""Sheet1!B:D""), 2, FALSE), ""Not Found"")"),"vərs")</f>
        <v>vərs</v>
      </c>
      <c r="E57" s="2" t="str">
        <f>IFERROR(__xludf.DUMMYFUNCTION("IFERROR(VLOOKUP(A57, IMPORTRANGE(""https://docs.google.com/spreadsheets/d/1-3Vjw2Cyy-mry5gbC8ypIR3YVGFfEpyFESummAta6sg/edit"", ""Sheet1!B:D""), 3, FALSE), ""Not Found"")"),"v ə r s ")</f>
        <v>v ə r s </v>
      </c>
    </row>
    <row r="58">
      <c r="A58" s="1" t="s">
        <v>61</v>
      </c>
      <c r="B58" s="1" t="s">
        <v>5</v>
      </c>
      <c r="C58" s="2">
        <f>IFERROR(__xludf.DUMMYFUNCTION("IFERROR(VLOOKUP(A58, IMPORTRANGE(""https://docs.google.com/spreadsheets/d/1AVX9GT0dgogEBStecCXMMQ29tWz3gBrtNB8yIromXbY/edit?gid=741673867"", ""out1g!A:B""), 2, FALSE), 0)"),64.0)</f>
        <v>64</v>
      </c>
      <c r="D58" s="2" t="str">
        <f>IFERROR(__xludf.DUMMYFUNCTION("IFERROR(VLOOKUP(A58, IMPORTRANGE(""https://docs.google.com/spreadsheets/d/1-3Vjw2Cyy-mry5gbC8ypIR3YVGFfEpyFESummAta6sg/edit"", ""Sheet1!B:D""), 2, FALSE), ""Not Found"")"),"dəd")</f>
        <v>dəd</v>
      </c>
      <c r="E58" s="2" t="str">
        <f>IFERROR(__xludf.DUMMYFUNCTION("IFERROR(VLOOKUP(A58, IMPORTRANGE(""https://docs.google.com/spreadsheets/d/1-3Vjw2Cyy-mry5gbC8ypIR3YVGFfEpyFESummAta6sg/edit"", ""Sheet1!B:D""), 3, FALSE), ""Not Found"")"),"d ə d ")</f>
        <v>d ə d </v>
      </c>
    </row>
    <row r="59">
      <c r="A59" s="1" t="s">
        <v>62</v>
      </c>
      <c r="B59" s="1" t="s">
        <v>5</v>
      </c>
      <c r="C59" s="2">
        <f>IFERROR(__xludf.DUMMYFUNCTION("IFERROR(VLOOKUP(A59, IMPORTRANGE(""https://docs.google.com/spreadsheets/d/1AVX9GT0dgogEBStecCXMMQ29tWz3gBrtNB8yIromXbY/edit?gid=741673867"", ""out1g!A:B""), 2, FALSE), 0)"),76508.0)</f>
        <v>76508</v>
      </c>
      <c r="D59" s="2" t="str">
        <f>IFERROR(__xludf.DUMMYFUNCTION("IFERROR(VLOOKUP(A59, IMPORTRANGE(""https://docs.google.com/spreadsheets/d/1-3Vjw2Cyy-mry5gbC8ypIR3YVGFfEpyFESummAta6sg/edit"", ""Sheet1!B:D""), 2, FALSE), ""Not Found"")"),"rɪli")</f>
        <v>rɪli</v>
      </c>
      <c r="E59" s="2" t="str">
        <f>IFERROR(__xludf.DUMMYFUNCTION("IFERROR(VLOOKUP(A59, IMPORTRANGE(""https://docs.google.com/spreadsheets/d/1-3Vjw2Cyy-mry5gbC8ypIR3YVGFfEpyFESummAta6sg/edit"", ""Sheet1!B:D""), 3, FALSE), ""Not Found"")"),"r ɪ l i ")</f>
        <v>r ɪ l i </v>
      </c>
    </row>
    <row r="60">
      <c r="A60" s="1" t="s">
        <v>63</v>
      </c>
      <c r="B60" s="1" t="s">
        <v>5</v>
      </c>
      <c r="C60" s="2">
        <f>IFERROR(__xludf.DUMMYFUNCTION("IFERROR(VLOOKUP(A60, IMPORTRANGE(""https://docs.google.com/spreadsheets/d/1AVX9GT0dgogEBStecCXMMQ29tWz3gBrtNB8yIromXbY/edit?gid=741673867"", ""out1g!A:B""), 2, FALSE), 0)"),119.0)</f>
        <v>119</v>
      </c>
      <c r="D60" s="2" t="str">
        <f>IFERROR(__xludf.DUMMYFUNCTION("IFERROR(VLOOKUP(A60, IMPORTRANGE(""https://docs.google.com/spreadsheets/d/1-3Vjw2Cyy-mry5gbC8ypIR3YVGFfEpyFESummAta6sg/edit"", ""Sheet1!B:D""), 2, FALSE), ""Not Found"")"),"bəmd")</f>
        <v>bəmd</v>
      </c>
      <c r="E60" s="2" t="str">
        <f>IFERROR(__xludf.DUMMYFUNCTION("IFERROR(VLOOKUP(A60, IMPORTRANGE(""https://docs.google.com/spreadsheets/d/1-3Vjw2Cyy-mry5gbC8ypIR3YVGFfEpyFESummAta6sg/edit"", ""Sheet1!B:D""), 3, FALSE), ""Not Found"")"),"b ə m d ")</f>
        <v>b ə m d </v>
      </c>
    </row>
    <row r="61">
      <c r="A61" s="1" t="s">
        <v>64</v>
      </c>
      <c r="B61" s="1" t="s">
        <v>5</v>
      </c>
      <c r="C61" s="2">
        <f>IFERROR(__xludf.DUMMYFUNCTION("IFERROR(VLOOKUP(A61, IMPORTRANGE(""https://docs.google.com/spreadsheets/d/1AVX9GT0dgogEBStecCXMMQ29tWz3gBrtNB8yIromXbY/edit?gid=741673867"", ""out1g!A:B""), 2, FALSE), 0)"),835.0)</f>
        <v>835</v>
      </c>
      <c r="D61" s="2" t="str">
        <f>IFERROR(__xludf.DUMMYFUNCTION("IFERROR(VLOOKUP(A61, IMPORTRANGE(""https://docs.google.com/spreadsheets/d/1-3Vjw2Cyy-mry5gbC8ypIR3YVGFfEpyFESummAta6sg/edit"", ""Sheet1!B:D""), 2, FALSE), ""Not Found"")"),"pɪn")</f>
        <v>pɪn</v>
      </c>
      <c r="E61" s="2" t="str">
        <f>IFERROR(__xludf.DUMMYFUNCTION("IFERROR(VLOOKUP(A61, IMPORTRANGE(""https://docs.google.com/spreadsheets/d/1-3Vjw2Cyy-mry5gbC8ypIR3YVGFfEpyFESummAta6sg/edit"", ""Sheet1!B:D""), 3, FALSE), ""Not Found"")"),"p ɪ n ")</f>
        <v>p ɪ n </v>
      </c>
    </row>
    <row r="62">
      <c r="A62" s="1" t="s">
        <v>65</v>
      </c>
      <c r="B62" s="1" t="s">
        <v>5</v>
      </c>
      <c r="C62" s="2">
        <f>IFERROR(__xludf.DUMMYFUNCTION("IFERROR(VLOOKUP(A62, IMPORTRANGE(""https://docs.google.com/spreadsheets/d/1AVX9GT0dgogEBStecCXMMQ29tWz3gBrtNB8yIromXbY/edit?gid=741673867"", ""out1g!A:B""), 2, FALSE), 0)"),20.0)</f>
        <v>20</v>
      </c>
      <c r="D62" s="2" t="str">
        <f>IFERROR(__xludf.DUMMYFUNCTION("IFERROR(VLOOKUP(A62, IMPORTRANGE(""https://docs.google.com/spreadsheets/d/1-3Vjw2Cyy-mry5gbC8ypIR3YVGFfEpyFESummAta6sg/edit"", ""Sheet1!B:D""), 2, FALSE), ""Not Found"")"),"bɑk")</f>
        <v>bɑk</v>
      </c>
      <c r="E62" s="2" t="str">
        <f>IFERROR(__xludf.DUMMYFUNCTION("IFERROR(VLOOKUP(A62, IMPORTRANGE(""https://docs.google.com/spreadsheets/d/1-3Vjw2Cyy-mry5gbC8ypIR3YVGFfEpyFESummAta6sg/edit"", ""Sheet1!B:D""), 3, FALSE), ""Not Found"")"),"b ɑ k ")</f>
        <v>b ɑ k </v>
      </c>
    </row>
    <row r="63">
      <c r="A63" s="1" t="s">
        <v>66</v>
      </c>
      <c r="B63" s="1" t="s">
        <v>5</v>
      </c>
      <c r="C63" s="2">
        <f>IFERROR(__xludf.DUMMYFUNCTION("IFERROR(VLOOKUP(A63, IMPORTRANGE(""https://docs.google.com/spreadsheets/d/1AVX9GT0dgogEBStecCXMMQ29tWz3gBrtNB8yIromXbY/edit?gid=741673867"", ""out1g!A:B""), 2, FALSE), 0)"),84.0)</f>
        <v>84</v>
      </c>
      <c r="D63" s="2" t="str">
        <f>IFERROR(__xludf.DUMMYFUNCTION("IFERROR(VLOOKUP(A63, IMPORTRANGE(""https://docs.google.com/spreadsheets/d/1-3Vjw2Cyy-mry5gbC8ypIR3YVGFfEpyFESummAta6sg/edit"", ""Sheet1!B:D""), 2, FALSE), ""Not Found"")"),"græft")</f>
        <v>græft</v>
      </c>
      <c r="E63" s="2" t="str">
        <f>IFERROR(__xludf.DUMMYFUNCTION("IFERROR(VLOOKUP(A63, IMPORTRANGE(""https://docs.google.com/spreadsheets/d/1-3Vjw2Cyy-mry5gbC8ypIR3YVGFfEpyFESummAta6sg/edit"", ""Sheet1!B:D""), 3, FALSE), ""Not Found"")"),"g r æ f t ")</f>
        <v>g r æ f t </v>
      </c>
    </row>
    <row r="64">
      <c r="A64" s="1" t="s">
        <v>67</v>
      </c>
      <c r="B64" s="1" t="s">
        <v>5</v>
      </c>
      <c r="C64" s="2">
        <f>IFERROR(__xludf.DUMMYFUNCTION("IFERROR(VLOOKUP(A64, IMPORTRANGE(""https://docs.google.com/spreadsheets/d/1AVX9GT0dgogEBStecCXMMQ29tWz3gBrtNB8yIromXbY/edit?gid=741673867"", ""out1g!A:B""), 2, FALSE), 0)"),127.0)</f>
        <v>127</v>
      </c>
      <c r="D64" s="2" t="str">
        <f>IFERROR(__xludf.DUMMYFUNCTION("IFERROR(VLOOKUP(A64, IMPORTRANGE(""https://docs.google.com/spreadsheets/d/1-3Vjw2Cyy-mry5gbC8ypIR3YVGFfEpyFESummAta6sg/edit"", ""Sheet1!B:D""), 2, FALSE), ""Not Found"")"),"gərni")</f>
        <v>gərni</v>
      </c>
      <c r="E64" s="2" t="str">
        <f>IFERROR(__xludf.DUMMYFUNCTION("IFERROR(VLOOKUP(A64, IMPORTRANGE(""https://docs.google.com/spreadsheets/d/1-3Vjw2Cyy-mry5gbC8ypIR3YVGFfEpyFESummAta6sg/edit"", ""Sheet1!B:D""), 3, FALSE), ""Not Found"")"),"g ə r n i ")</f>
        <v>g ə r n i </v>
      </c>
    </row>
    <row r="65">
      <c r="A65" s="1" t="s">
        <v>68</v>
      </c>
      <c r="B65" s="1" t="s">
        <v>5</v>
      </c>
      <c r="C65" s="2">
        <f>IFERROR(__xludf.DUMMYFUNCTION("IFERROR(VLOOKUP(A65, IMPORTRANGE(""https://docs.google.com/spreadsheets/d/1AVX9GT0dgogEBStecCXMMQ29tWz3gBrtNB8yIromXbY/edit?gid=741673867"", ""out1g!A:B""), 2, FALSE), 0)"),67.0)</f>
        <v>67</v>
      </c>
      <c r="D65" s="2" t="str">
        <f>IFERROR(__xludf.DUMMYFUNCTION("IFERROR(VLOOKUP(A65, IMPORTRANGE(""https://docs.google.com/spreadsheets/d/1-3Vjw2Cyy-mry5gbC8ypIR3YVGFfEpyFESummAta6sg/edit"", ""Sheet1!B:D""), 2, FALSE), ""Not Found"")"),"lɔɪnz")</f>
        <v>lɔɪnz</v>
      </c>
      <c r="E65" s="2" t="str">
        <f>IFERROR(__xludf.DUMMYFUNCTION("IFERROR(VLOOKUP(A65, IMPORTRANGE(""https://docs.google.com/spreadsheets/d/1-3Vjw2Cyy-mry5gbC8ypIR3YVGFfEpyFESummAta6sg/edit"", ""Sheet1!B:D""), 3, FALSE), ""Not Found"")"),"l ɔ ɪ n z ")</f>
        <v>l ɔ ɪ n z </v>
      </c>
    </row>
    <row r="66">
      <c r="A66" s="1" t="s">
        <v>69</v>
      </c>
      <c r="B66" s="1" t="s">
        <v>5</v>
      </c>
      <c r="C66" s="2">
        <f>IFERROR(__xludf.DUMMYFUNCTION("IFERROR(VLOOKUP(A66, IMPORTRANGE(""https://docs.google.com/spreadsheets/d/1AVX9GT0dgogEBStecCXMMQ29tWz3gBrtNB8yIromXbY/edit?gid=741673867"", ""out1g!A:B""), 2, FALSE), 0)"),88.0)</f>
        <v>88</v>
      </c>
      <c r="D66" s="2" t="str">
        <f>IFERROR(__xludf.DUMMYFUNCTION("IFERROR(VLOOKUP(A66, IMPORTRANGE(""https://docs.google.com/spreadsheets/d/1-3Vjw2Cyy-mry5gbC8ypIR3YVGFfEpyFESummAta6sg/edit"", ""Sheet1!B:D""), 2, FALSE), ""Not Found"")"),"paɪlər")</f>
        <v>paɪlər</v>
      </c>
      <c r="E66" s="2" t="str">
        <f>IFERROR(__xludf.DUMMYFUNCTION("IFERROR(VLOOKUP(A66, IMPORTRANGE(""https://docs.google.com/spreadsheets/d/1-3Vjw2Cyy-mry5gbC8ypIR3YVGFfEpyFESummAta6sg/edit"", ""Sheet1!B:D""), 3, FALSE), ""Not Found"")"),"p a ɪ l ə r ")</f>
        <v>p a ɪ l ə r </v>
      </c>
    </row>
    <row r="67">
      <c r="A67" s="1" t="s">
        <v>70</v>
      </c>
      <c r="B67" s="1" t="s">
        <v>5</v>
      </c>
      <c r="C67" s="2">
        <f>IFERROR(__xludf.DUMMYFUNCTION("IFERROR(VLOOKUP(A67, IMPORTRANGE(""https://docs.google.com/spreadsheets/d/1AVX9GT0dgogEBStecCXMMQ29tWz3gBrtNB8yIromXbY/edit?gid=741673867"", ""out1g!A:B""), 2, FALSE), 0)"),178.0)</f>
        <v>178</v>
      </c>
      <c r="D67" s="2" t="str">
        <f>IFERROR(__xludf.DUMMYFUNCTION("IFERROR(VLOOKUP(A67, IMPORTRANGE(""https://docs.google.com/spreadsheets/d/1-3Vjw2Cyy-mry5gbC8ypIR3YVGFfEpyFESummAta6sg/edit"", ""Sheet1!B:D""), 2, FALSE), ""Not Found"")"),"leaʊt")</f>
        <v>leaʊt</v>
      </c>
      <c r="E67" s="2" t="str">
        <f>IFERROR(__xludf.DUMMYFUNCTION("IFERROR(VLOOKUP(A67, IMPORTRANGE(""https://docs.google.com/spreadsheets/d/1-3Vjw2Cyy-mry5gbC8ypIR3YVGFfEpyFESummAta6sg/edit"", ""Sheet1!B:D""), 3, FALSE), ""Not Found"")"),"l e a ʊ t ")</f>
        <v>l e a ʊ t </v>
      </c>
    </row>
    <row r="68">
      <c r="A68" s="1" t="s">
        <v>71</v>
      </c>
      <c r="B68" s="1" t="s">
        <v>5</v>
      </c>
      <c r="C68" s="2">
        <f>IFERROR(__xludf.DUMMYFUNCTION("IFERROR(VLOOKUP(A68, IMPORTRANGE(""https://docs.google.com/spreadsheets/d/1AVX9GT0dgogEBStecCXMMQ29tWz3gBrtNB8yIromXbY/edit?gid=741673867"", ""out1g!A:B""), 2, FALSE), 0)"),47.0)</f>
        <v>47</v>
      </c>
      <c r="D68" s="2" t="str">
        <f>IFERROR(__xludf.DUMMYFUNCTION("IFERROR(VLOOKUP(A68, IMPORTRANGE(""https://docs.google.com/spreadsheets/d/1-3Vjw2Cyy-mry5gbC8ypIR3YVGFfEpyFESummAta6sg/edit"", ""Sheet1!B:D""), 2, FALSE), ""Not Found"")"),"lɪnʧɪŋ")</f>
        <v>lɪnʧɪŋ</v>
      </c>
      <c r="E68" s="2" t="str">
        <f>IFERROR(__xludf.DUMMYFUNCTION("IFERROR(VLOOKUP(A68, IMPORTRANGE(""https://docs.google.com/spreadsheets/d/1-3Vjw2Cyy-mry5gbC8ypIR3YVGFfEpyFESummAta6sg/edit"", ""Sheet1!B:D""), 3, FALSE), ""Not Found"")"),"l ɪ n ʧ ɪ ŋ ")</f>
        <v>l ɪ n ʧ ɪ ŋ </v>
      </c>
    </row>
    <row r="69">
      <c r="A69" s="1" t="s">
        <v>72</v>
      </c>
      <c r="B69" s="1" t="s">
        <v>5</v>
      </c>
      <c r="C69" s="2">
        <f>IFERROR(__xludf.DUMMYFUNCTION("IFERROR(VLOOKUP(A69, IMPORTRANGE(""https://docs.google.com/spreadsheets/d/1AVX9GT0dgogEBStecCXMMQ29tWz3gBrtNB8yIromXbY/edit?gid=741673867"", ""out1g!A:B""), 2, FALSE), 0)"),323.0)</f>
        <v>323</v>
      </c>
      <c r="D69" s="2" t="str">
        <f>IFERROR(__xludf.DUMMYFUNCTION("IFERROR(VLOOKUP(A69, IMPORTRANGE(""https://docs.google.com/spreadsheets/d/1-3Vjw2Cyy-mry5gbC8ypIR3YVGFfEpyFESummAta6sg/edit"", ""Sheet1!B:D""), 2, FALSE), ""Not Found"")"),"wɪnərz")</f>
        <v>wɪnərz</v>
      </c>
      <c r="E69" s="2" t="str">
        <f>IFERROR(__xludf.DUMMYFUNCTION("IFERROR(VLOOKUP(A69, IMPORTRANGE(""https://docs.google.com/spreadsheets/d/1-3Vjw2Cyy-mry5gbC8ypIR3YVGFfEpyFESummAta6sg/edit"", ""Sheet1!B:D""), 3, FALSE), ""Not Found"")"),"w ɪ n ə r z ")</f>
        <v>w ɪ n ə r z </v>
      </c>
    </row>
    <row r="70">
      <c r="A70" s="1" t="s">
        <v>73</v>
      </c>
      <c r="B70" s="1" t="s">
        <v>5</v>
      </c>
      <c r="C70" s="2">
        <f>IFERROR(__xludf.DUMMYFUNCTION("IFERROR(VLOOKUP(A70, IMPORTRANGE(""https://docs.google.com/spreadsheets/d/1AVX9GT0dgogEBStecCXMMQ29tWz3gBrtNB8yIromXbY/edit?gid=741673867"", ""out1g!A:B""), 2, FALSE), 0)"),411.0)</f>
        <v>411</v>
      </c>
      <c r="D70" s="2" t="str">
        <f>IFERROR(__xludf.DUMMYFUNCTION("IFERROR(VLOOKUP(A70, IMPORTRANGE(""https://docs.google.com/spreadsheets/d/1-3Vjw2Cyy-mry5gbC8ypIR3YVGFfEpyFESummAta6sg/edit"", ""Sheet1!B:D""), 2, FALSE), ""Not Found"")"),"hoʊz")</f>
        <v>hoʊz</v>
      </c>
      <c r="E70" s="2" t="str">
        <f>IFERROR(__xludf.DUMMYFUNCTION("IFERROR(VLOOKUP(A70, IMPORTRANGE(""https://docs.google.com/spreadsheets/d/1-3Vjw2Cyy-mry5gbC8ypIR3YVGFfEpyFESummAta6sg/edit"", ""Sheet1!B:D""), 3, FALSE), ""Not Found"")"),"h o ʊ z ")</f>
        <v>h o ʊ z </v>
      </c>
    </row>
    <row r="71">
      <c r="A71" s="1" t="s">
        <v>74</v>
      </c>
      <c r="B71" s="1" t="s">
        <v>5</v>
      </c>
      <c r="C71" s="2">
        <f>IFERROR(__xludf.DUMMYFUNCTION("IFERROR(VLOOKUP(A71, IMPORTRANGE(""https://docs.google.com/spreadsheets/d/1AVX9GT0dgogEBStecCXMMQ29tWz3gBrtNB8yIromXbY/edit?gid=741673867"", ""out1g!A:B""), 2, FALSE), 0)"),323.0)</f>
        <v>323</v>
      </c>
      <c r="D71" s="2" t="str">
        <f>IFERROR(__xludf.DUMMYFUNCTION("IFERROR(VLOOKUP(A71, IMPORTRANGE(""https://docs.google.com/spreadsheets/d/1-3Vjw2Cyy-mry5gbC8ypIR3YVGFfEpyFESummAta6sg/edit"", ""Sheet1!B:D""), 2, FALSE), ""Not Found"")"),"nərsɪŋ")</f>
        <v>nərsɪŋ</v>
      </c>
      <c r="E71" s="2" t="str">
        <f>IFERROR(__xludf.DUMMYFUNCTION("IFERROR(VLOOKUP(A71, IMPORTRANGE(""https://docs.google.com/spreadsheets/d/1-3Vjw2Cyy-mry5gbC8ypIR3YVGFfEpyFESummAta6sg/edit"", ""Sheet1!B:D""), 3, FALSE), ""Not Found"")"),"n ə r s ɪ ŋ ")</f>
        <v>n ə r s ɪ ŋ </v>
      </c>
    </row>
    <row r="72">
      <c r="A72" s="1" t="s">
        <v>75</v>
      </c>
      <c r="B72" s="1" t="s">
        <v>5</v>
      </c>
      <c r="C72" s="2">
        <f>IFERROR(__xludf.DUMMYFUNCTION("IFERROR(VLOOKUP(A72, IMPORTRANGE(""https://docs.google.com/spreadsheets/d/1AVX9GT0dgogEBStecCXMMQ29tWz3gBrtNB8yIromXbY/edit?gid=741673867"", ""out1g!A:B""), 2, FALSE), 0)"),611.0)</f>
        <v>611</v>
      </c>
      <c r="D72" s="2" t="str">
        <f>IFERROR(__xludf.DUMMYFUNCTION("IFERROR(VLOOKUP(A72, IMPORTRANGE(""https://docs.google.com/spreadsheets/d/1-3Vjw2Cyy-mry5gbC8ypIR3YVGFfEpyFESummAta6sg/edit"", ""Sheet1!B:D""), 2, FALSE), ""Not Found"")"),"bitən")</f>
        <v>bitən</v>
      </c>
      <c r="E72" s="2" t="str">
        <f>IFERROR(__xludf.DUMMYFUNCTION("IFERROR(VLOOKUP(A72, IMPORTRANGE(""https://docs.google.com/spreadsheets/d/1-3Vjw2Cyy-mry5gbC8ypIR3YVGFfEpyFESummAta6sg/edit"", ""Sheet1!B:D""), 3, FALSE), ""Not Found"")"),"b i t ə n ")</f>
        <v>b i t ə n </v>
      </c>
    </row>
    <row r="73">
      <c r="A73" s="1" t="s">
        <v>76</v>
      </c>
      <c r="B73" s="1" t="s">
        <v>5</v>
      </c>
      <c r="C73" s="2">
        <f>IFERROR(__xludf.DUMMYFUNCTION("IFERROR(VLOOKUP(A73, IMPORTRANGE(""https://docs.google.com/spreadsheets/d/1AVX9GT0dgogEBStecCXMMQ29tWz3gBrtNB8yIromXbY/edit?gid=741673867"", ""out1g!A:B""), 2, FALSE), 0)"),179.0)</f>
        <v>179</v>
      </c>
      <c r="D73" s="2" t="str">
        <f>IFERROR(__xludf.DUMMYFUNCTION("IFERROR(VLOOKUP(A73, IMPORTRANGE(""https://docs.google.com/spreadsheets/d/1-3Vjw2Cyy-mry5gbC8ypIR3YVGFfEpyFESummAta6sg/edit"", ""Sheet1!B:D""), 2, FALSE), ""Not Found"")"),"foʊm")</f>
        <v>foʊm</v>
      </c>
      <c r="E73" s="2" t="str">
        <f>IFERROR(__xludf.DUMMYFUNCTION("IFERROR(VLOOKUP(A73, IMPORTRANGE(""https://docs.google.com/spreadsheets/d/1-3Vjw2Cyy-mry5gbC8ypIR3YVGFfEpyFESummAta6sg/edit"", ""Sheet1!B:D""), 3, FALSE), ""Not Found"")"),"f o ʊ m ")</f>
        <v>f o ʊ m </v>
      </c>
    </row>
    <row r="74">
      <c r="A74" s="1" t="s">
        <v>77</v>
      </c>
      <c r="B74" s="1" t="s">
        <v>5</v>
      </c>
      <c r="C74" s="2">
        <f>IFERROR(__xludf.DUMMYFUNCTION("IFERROR(VLOOKUP(A74, IMPORTRANGE(""https://docs.google.com/spreadsheets/d/1AVX9GT0dgogEBStecCXMMQ29tWz3gBrtNB8yIromXbY/edit?gid=741673867"", ""out1g!A:B""), 2, FALSE), 0)"),85.0)</f>
        <v>85</v>
      </c>
      <c r="D74" s="2" t="str">
        <f>IFERROR(__xludf.DUMMYFUNCTION("IFERROR(VLOOKUP(A74, IMPORTRANGE(""https://docs.google.com/spreadsheets/d/1-3Vjw2Cyy-mry5gbC8ypIR3YVGFfEpyFESummAta6sg/edit"", ""Sheet1!B:D""), 2, FALSE), ""Not Found"")"),"ɛrɪkə")</f>
        <v>ɛrɪkə</v>
      </c>
      <c r="E74" s="2" t="str">
        <f>IFERROR(__xludf.DUMMYFUNCTION("IFERROR(VLOOKUP(A74, IMPORTRANGE(""https://docs.google.com/spreadsheets/d/1-3Vjw2Cyy-mry5gbC8ypIR3YVGFfEpyFESummAta6sg/edit"", ""Sheet1!B:D""), 3, FALSE), ""Not Found"")"),"ɛ r ɪ k ə ")</f>
        <v>ɛ r ɪ k ə </v>
      </c>
    </row>
    <row r="75">
      <c r="A75" s="1" t="s">
        <v>78</v>
      </c>
      <c r="B75" s="1" t="s">
        <v>5</v>
      </c>
      <c r="C75" s="2">
        <f>IFERROR(__xludf.DUMMYFUNCTION("IFERROR(VLOOKUP(A75, IMPORTRANGE(""https://docs.google.com/spreadsheets/d/1AVX9GT0dgogEBStecCXMMQ29tWz3gBrtNB8yIromXbY/edit?gid=741673867"", ""out1g!A:B""), 2, FALSE), 0)"),207.0)</f>
        <v>207</v>
      </c>
      <c r="D75" s="2" t="str">
        <f>IFERROR(__xludf.DUMMYFUNCTION("IFERROR(VLOOKUP(A75, IMPORTRANGE(""https://docs.google.com/spreadsheets/d/1-3Vjw2Cyy-mry5gbC8ypIR3YVGFfEpyFESummAta6sg/edit"", ""Sheet1!B:D""), 2, FALSE), ""Not Found"")"),"kənɪŋ")</f>
        <v>kənɪŋ</v>
      </c>
      <c r="E75" s="2" t="str">
        <f>IFERROR(__xludf.DUMMYFUNCTION("IFERROR(VLOOKUP(A75, IMPORTRANGE(""https://docs.google.com/spreadsheets/d/1-3Vjw2Cyy-mry5gbC8ypIR3YVGFfEpyFESummAta6sg/edit"", ""Sheet1!B:D""), 3, FALSE), ""Not Found"")"),"k ə n ɪ ŋ ")</f>
        <v>k ə n ɪ ŋ </v>
      </c>
    </row>
    <row r="76">
      <c r="A76" s="1" t="s">
        <v>79</v>
      </c>
      <c r="B76" s="1" t="s">
        <v>5</v>
      </c>
      <c r="C76" s="2">
        <f>IFERROR(__xludf.DUMMYFUNCTION("IFERROR(VLOOKUP(A76, IMPORTRANGE(""https://docs.google.com/spreadsheets/d/1AVX9GT0dgogEBStecCXMMQ29tWz3gBrtNB8yIromXbY/edit?gid=741673867"", ""out1g!A:B""), 2, FALSE), 0)"),54.0)</f>
        <v>54</v>
      </c>
      <c r="D76" s="2" t="str">
        <f>IFERROR(__xludf.DUMMYFUNCTION("IFERROR(VLOOKUP(A76, IMPORTRANGE(""https://docs.google.com/spreadsheets/d/1-3Vjw2Cyy-mry5gbC8ypIR3YVGFfEpyFESummAta6sg/edit"", ""Sheet1!B:D""), 2, FALSE), ""Not Found"")"),"kəs")</f>
        <v>kəs</v>
      </c>
      <c r="E76" s="2" t="str">
        <f>IFERROR(__xludf.DUMMYFUNCTION("IFERROR(VLOOKUP(A76, IMPORTRANGE(""https://docs.google.com/spreadsheets/d/1-3Vjw2Cyy-mry5gbC8ypIR3YVGFfEpyFESummAta6sg/edit"", ""Sheet1!B:D""), 3, FALSE), ""Not Found"")"),"k ə s ")</f>
        <v>k ə s </v>
      </c>
    </row>
    <row r="77">
      <c r="A77" s="1" t="s">
        <v>80</v>
      </c>
      <c r="B77" s="1" t="s">
        <v>5</v>
      </c>
      <c r="C77" s="2">
        <f>IFERROR(__xludf.DUMMYFUNCTION("IFERROR(VLOOKUP(A77, IMPORTRANGE(""https://docs.google.com/spreadsheets/d/1AVX9GT0dgogEBStecCXMMQ29tWz3gBrtNB8yIromXbY/edit?gid=741673867"", ""out1g!A:B""), 2, FALSE), 0)"),156.0)</f>
        <v>156</v>
      </c>
      <c r="D77" s="2" t="str">
        <f>IFERROR(__xludf.DUMMYFUNCTION("IFERROR(VLOOKUP(A77, IMPORTRANGE(""https://docs.google.com/spreadsheets/d/1-3Vjw2Cyy-mry5gbC8ypIR3YVGFfEpyFESummAta6sg/edit"", ""Sheet1!B:D""), 2, FALSE), ""Not Found"")"),"baɪrən")</f>
        <v>baɪrən</v>
      </c>
      <c r="E77" s="2" t="str">
        <f>IFERROR(__xludf.DUMMYFUNCTION("IFERROR(VLOOKUP(A77, IMPORTRANGE(""https://docs.google.com/spreadsheets/d/1-3Vjw2Cyy-mry5gbC8ypIR3YVGFfEpyFESummAta6sg/edit"", ""Sheet1!B:D""), 3, FALSE), ""Not Found"")"),"b a ɪ r ə n ")</f>
        <v>b a ɪ r ə n </v>
      </c>
    </row>
    <row r="78">
      <c r="A78" s="1" t="s">
        <v>81</v>
      </c>
      <c r="B78" s="1" t="s">
        <v>5</v>
      </c>
      <c r="C78" s="2">
        <f>IFERROR(__xludf.DUMMYFUNCTION("IFERROR(VLOOKUP(A78, IMPORTRANGE(""https://docs.google.com/spreadsheets/d/1AVX9GT0dgogEBStecCXMMQ29tWz3gBrtNB8yIromXbY/edit?gid=741673867"", ""out1g!A:B""), 2, FALSE), 0)"),1135.0)</f>
        <v>1135</v>
      </c>
      <c r="D78" s="2" t="str">
        <f>IFERROR(__xludf.DUMMYFUNCTION("IFERROR(VLOOKUP(A78, IMPORTRANGE(""https://docs.google.com/spreadsheets/d/1-3Vjw2Cyy-mry5gbC8ypIR3YVGFfEpyFESummAta6sg/edit"", ""Sheet1!B:D""), 2, FALSE), ""Not Found"")"),"westɪŋ")</f>
        <v>westɪŋ</v>
      </c>
      <c r="E78" s="2" t="str">
        <f>IFERROR(__xludf.DUMMYFUNCTION("IFERROR(VLOOKUP(A78, IMPORTRANGE(""https://docs.google.com/spreadsheets/d/1-3Vjw2Cyy-mry5gbC8ypIR3YVGFfEpyFESummAta6sg/edit"", ""Sheet1!B:D""), 3, FALSE), ""Not Found"")"),"w e s t ɪ ŋ ")</f>
        <v>w e s t ɪ ŋ </v>
      </c>
    </row>
    <row r="79">
      <c r="A79" s="1" t="s">
        <v>82</v>
      </c>
      <c r="B79" s="1" t="s">
        <v>5</v>
      </c>
      <c r="C79" s="2">
        <f>IFERROR(__xludf.DUMMYFUNCTION("IFERROR(VLOOKUP(A79, IMPORTRANGE(""https://docs.google.com/spreadsheets/d/1AVX9GT0dgogEBStecCXMMQ29tWz3gBrtNB8yIromXbY/edit?gid=741673867"", ""out1g!A:B""), 2, FALSE), 0)"),320.0)</f>
        <v>320</v>
      </c>
      <c r="D79" s="2" t="str">
        <f>IFERROR(__xludf.DUMMYFUNCTION("IFERROR(VLOOKUP(A79, IMPORTRANGE(""https://docs.google.com/spreadsheets/d/1-3Vjw2Cyy-mry5gbC8ypIR3YVGFfEpyFESummAta6sg/edit"", ""Sheet1!B:D""), 2, FALSE), ""Not Found"")"),"lis")</f>
        <v>lis</v>
      </c>
      <c r="E79" s="2" t="str">
        <f>IFERROR(__xludf.DUMMYFUNCTION("IFERROR(VLOOKUP(A79, IMPORTRANGE(""https://docs.google.com/spreadsheets/d/1-3Vjw2Cyy-mry5gbC8ypIR3YVGFfEpyFESummAta6sg/edit"", ""Sheet1!B:D""), 3, FALSE), ""Not Found"")"),"l i s ")</f>
        <v>l i s </v>
      </c>
    </row>
    <row r="80">
      <c r="A80" s="1" t="s">
        <v>83</v>
      </c>
      <c r="B80" s="1" t="s">
        <v>5</v>
      </c>
      <c r="C80" s="2">
        <f>IFERROR(__xludf.DUMMYFUNCTION("IFERROR(VLOOKUP(A80, IMPORTRANGE(""https://docs.google.com/spreadsheets/d/1AVX9GT0dgogEBStecCXMMQ29tWz3gBrtNB8yIromXbY/edit?gid=741673867"", ""out1g!A:B""), 2, FALSE), 0)"),38404.0)</f>
        <v>38404</v>
      </c>
      <c r="D80" s="2" t="str">
        <f>IFERROR(__xludf.DUMMYFUNCTION("IFERROR(VLOOKUP(A80, IMPORTRANGE(""https://docs.google.com/spreadsheets/d/1-3Vjw2Cyy-mry5gbC8ypIR3YVGFfEpyFESummAta6sg/edit"", ""Sheet1!B:D""), 2, FALSE), ""Not Found"")"),"ðoʊz")</f>
        <v>ðoʊz</v>
      </c>
      <c r="E80" s="2" t="str">
        <f>IFERROR(__xludf.DUMMYFUNCTION("IFERROR(VLOOKUP(A80, IMPORTRANGE(""https://docs.google.com/spreadsheets/d/1-3Vjw2Cyy-mry5gbC8ypIR3YVGFfEpyFESummAta6sg/edit"", ""Sheet1!B:D""), 3, FALSE), ""Not Found"")"),"ð o ʊ z ")</f>
        <v>ð o ʊ z </v>
      </c>
    </row>
    <row r="81">
      <c r="A81" s="1" t="s">
        <v>84</v>
      </c>
      <c r="B81" s="1" t="s">
        <v>5</v>
      </c>
      <c r="C81" s="2">
        <f>IFERROR(__xludf.DUMMYFUNCTION("IFERROR(VLOOKUP(A81, IMPORTRANGE(""https://docs.google.com/spreadsheets/d/1AVX9GT0dgogEBStecCXMMQ29tWz3gBrtNB8yIromXbY/edit?gid=741673867"", ""out1g!A:B""), 2, FALSE), 0)"),119.0)</f>
        <v>119</v>
      </c>
      <c r="D81" s="2" t="str">
        <f>IFERROR(__xludf.DUMMYFUNCTION("IFERROR(VLOOKUP(A81, IMPORTRANGE(""https://docs.google.com/spreadsheets/d/1-3Vjw2Cyy-mry5gbC8ypIR3YVGFfEpyFESummAta6sg/edit"", ""Sheet1!B:D""), 2, FALSE), ""Not Found"")"),"toʊv")</f>
        <v>toʊv</v>
      </c>
      <c r="E81" s="2" t="str">
        <f>IFERROR(__xludf.DUMMYFUNCTION("IFERROR(VLOOKUP(A81, IMPORTRANGE(""https://docs.google.com/spreadsheets/d/1-3Vjw2Cyy-mry5gbC8ypIR3YVGFfEpyFESummAta6sg/edit"", ""Sheet1!B:D""), 3, FALSE), ""Not Found"")"),"t o ʊ v ")</f>
        <v>t o ʊ v </v>
      </c>
    </row>
    <row r="82">
      <c r="A82" s="1" t="s">
        <v>85</v>
      </c>
      <c r="B82" s="1" t="s">
        <v>5</v>
      </c>
      <c r="C82" s="2">
        <f>IFERROR(__xludf.DUMMYFUNCTION("IFERROR(VLOOKUP(A82, IMPORTRANGE(""https://docs.google.com/spreadsheets/d/1AVX9GT0dgogEBStecCXMMQ29tWz3gBrtNB8yIromXbY/edit?gid=741673867"", ""out1g!A:B""), 2, FALSE), 0)"),1486.0)</f>
        <v>1486</v>
      </c>
      <c r="D82" s="2" t="str">
        <f>IFERROR(__xludf.DUMMYFUNCTION("IFERROR(VLOOKUP(A82, IMPORTRANGE(""https://docs.google.com/spreadsheets/d/1-3Vjw2Cyy-mry5gbC8ypIR3YVGFfEpyFESummAta6sg/edit"", ""Sheet1!B:D""), 2, FALSE), ""Not Found"")"),"rɔs")</f>
        <v>rɔs</v>
      </c>
      <c r="E82" s="2" t="str">
        <f>IFERROR(__xludf.DUMMYFUNCTION("IFERROR(VLOOKUP(A82, IMPORTRANGE(""https://docs.google.com/spreadsheets/d/1-3Vjw2Cyy-mry5gbC8ypIR3YVGFfEpyFESummAta6sg/edit"", ""Sheet1!B:D""), 3, FALSE), ""Not Found"")"),"r ɔ s ")</f>
        <v>r ɔ s </v>
      </c>
    </row>
    <row r="83">
      <c r="A83" s="1" t="s">
        <v>86</v>
      </c>
      <c r="B83" s="1" t="s">
        <v>5</v>
      </c>
      <c r="C83" s="2">
        <f>IFERROR(__xludf.DUMMYFUNCTION("IFERROR(VLOOKUP(A83, IMPORTRANGE(""https://docs.google.com/spreadsheets/d/1AVX9GT0dgogEBStecCXMMQ29tWz3gBrtNB8yIromXbY/edit?gid=741673867"", ""out1g!A:B""), 2, FALSE), 0)"),692.0)</f>
        <v>692</v>
      </c>
      <c r="D83" s="2" t="str">
        <f>IFERROR(__xludf.DUMMYFUNCTION("IFERROR(VLOOKUP(A83, IMPORTRANGE(""https://docs.google.com/spreadsheets/d/1-3Vjw2Cyy-mry5gbC8ypIR3YVGFfEpyFESummAta6sg/edit"", ""Sheet1!B:D""), 2, FALSE), ""Not Found"")"),"tuθ")</f>
        <v>tuθ</v>
      </c>
      <c r="E83" s="2" t="str">
        <f>IFERROR(__xludf.DUMMYFUNCTION("IFERROR(VLOOKUP(A83, IMPORTRANGE(""https://docs.google.com/spreadsheets/d/1-3Vjw2Cyy-mry5gbC8ypIR3YVGFfEpyFESummAta6sg/edit"", ""Sheet1!B:D""), 3, FALSE), ""Not Found"")"),"t u θ ")</f>
        <v>t u θ </v>
      </c>
    </row>
    <row r="84">
      <c r="A84" s="1" t="s">
        <v>87</v>
      </c>
      <c r="B84" s="1" t="s">
        <v>5</v>
      </c>
      <c r="C84" s="2">
        <f>IFERROR(__xludf.DUMMYFUNCTION("IFERROR(VLOOKUP(A84, IMPORTRANGE(""https://docs.google.com/spreadsheets/d/1AVX9GT0dgogEBStecCXMMQ29tWz3gBrtNB8yIromXbY/edit?gid=741673867"", ""out1g!A:B""), 2, FALSE), 0)"),1034.0)</f>
        <v>1034</v>
      </c>
      <c r="D84" s="2" t="str">
        <f>IFERROR(__xludf.DUMMYFUNCTION("IFERROR(VLOOKUP(A84, IMPORTRANGE(""https://docs.google.com/spreadsheets/d/1-3Vjw2Cyy-mry5gbC8ypIR3YVGFfEpyFESummAta6sg/edit"", ""Sheet1!B:D""), 2, FALSE), ""Not Found"")"),"keʤ")</f>
        <v>keʤ</v>
      </c>
      <c r="E84" s="2" t="str">
        <f>IFERROR(__xludf.DUMMYFUNCTION("IFERROR(VLOOKUP(A84, IMPORTRANGE(""https://docs.google.com/spreadsheets/d/1-3Vjw2Cyy-mry5gbC8ypIR3YVGFfEpyFESummAta6sg/edit"", ""Sheet1!B:D""), 3, FALSE), ""Not Found"")"),"k e ʤ ")</f>
        <v>k e ʤ </v>
      </c>
    </row>
    <row r="85">
      <c r="A85" s="1" t="s">
        <v>88</v>
      </c>
      <c r="B85" s="1" t="s">
        <v>5</v>
      </c>
      <c r="C85" s="2">
        <f>IFERROR(__xludf.DUMMYFUNCTION("IFERROR(VLOOKUP(A85, IMPORTRANGE(""https://docs.google.com/spreadsheets/d/1AVX9GT0dgogEBStecCXMMQ29tWz3gBrtNB8yIromXbY/edit?gid=741673867"", ""out1g!A:B""), 2, FALSE), 0)"),31989.0)</f>
        <v>31989</v>
      </c>
      <c r="D85" s="2" t="str">
        <f>IFERROR(__xludf.DUMMYFUNCTION("IFERROR(VLOOKUP(A85, IMPORTRANGE(""https://docs.google.com/spreadsheets/d/1-3Vjw2Cyy-mry5gbC8ypIR3YVGFfEpyFESummAta6sg/edit"", ""Sheet1!B:D""), 2, FALSE), ""Not Found"")"),"fil")</f>
        <v>fil</v>
      </c>
      <c r="E85" s="2" t="str">
        <f>IFERROR(__xludf.DUMMYFUNCTION("IFERROR(VLOOKUP(A85, IMPORTRANGE(""https://docs.google.com/spreadsheets/d/1-3Vjw2Cyy-mry5gbC8ypIR3YVGFfEpyFESummAta6sg/edit"", ""Sheet1!B:D""), 3, FALSE), ""Not Found"")"),"f i l ")</f>
        <v>f i l </v>
      </c>
    </row>
    <row r="86">
      <c r="A86" s="1" t="s">
        <v>89</v>
      </c>
      <c r="B86" s="1" t="s">
        <v>5</v>
      </c>
      <c r="C86" s="2">
        <f>IFERROR(__xludf.DUMMYFUNCTION("IFERROR(VLOOKUP(A86, IMPORTRANGE(""https://docs.google.com/spreadsheets/d/1AVX9GT0dgogEBStecCXMMQ29tWz3gBrtNB8yIromXbY/edit?gid=741673867"", ""out1g!A:B""), 2, FALSE), 0)"),12.0)</f>
        <v>12</v>
      </c>
      <c r="D86" s="2" t="str">
        <f>IFERROR(__xludf.DUMMYFUNCTION("IFERROR(VLOOKUP(A86, IMPORTRANGE(""https://docs.google.com/spreadsheets/d/1-3Vjw2Cyy-mry5gbC8ypIR3YVGFfEpyFESummAta6sg/edit"", ""Sheet1!B:D""), 2, FALSE), ""Not Found"")"),"binər")</f>
        <v>binər</v>
      </c>
      <c r="E86" s="2" t="str">
        <f>IFERROR(__xludf.DUMMYFUNCTION("IFERROR(VLOOKUP(A86, IMPORTRANGE(""https://docs.google.com/spreadsheets/d/1-3Vjw2Cyy-mry5gbC8ypIR3YVGFfEpyFESummAta6sg/edit"", ""Sheet1!B:D""), 3, FALSE), ""Not Found"")"),"b i n ə r ")</f>
        <v>b i n ə r </v>
      </c>
    </row>
    <row r="87">
      <c r="A87" s="1" t="s">
        <v>90</v>
      </c>
      <c r="B87" s="1" t="s">
        <v>5</v>
      </c>
      <c r="C87" s="2">
        <f>IFERROR(__xludf.DUMMYFUNCTION("IFERROR(VLOOKUP(A87, IMPORTRANGE(""https://docs.google.com/spreadsheets/d/1AVX9GT0dgogEBStecCXMMQ29tWz3gBrtNB8yIromXbY/edit?gid=741673867"", ""out1g!A:B""), 2, FALSE), 0)"),47.0)</f>
        <v>47</v>
      </c>
      <c r="D87" s="2" t="str">
        <f>IFERROR(__xludf.DUMMYFUNCTION("IFERROR(VLOOKUP(A87, IMPORTRANGE(""https://docs.google.com/spreadsheets/d/1-3Vjw2Cyy-mry5gbC8ypIR3YVGFfEpyFESummAta6sg/edit"", ""Sheet1!B:D""), 2, FALSE), ""Not Found"")"),"groʊn")</f>
        <v>groʊn</v>
      </c>
      <c r="E87" s="2" t="str">
        <f>IFERROR(__xludf.DUMMYFUNCTION("IFERROR(VLOOKUP(A87, IMPORTRANGE(""https://docs.google.com/spreadsheets/d/1-3Vjw2Cyy-mry5gbC8ypIR3YVGFfEpyFESummAta6sg/edit"", ""Sheet1!B:D""), 3, FALSE), ""Not Found"")"),"g r o ʊ n ")</f>
        <v>g r o ʊ n </v>
      </c>
    </row>
    <row r="88">
      <c r="A88" s="1" t="s">
        <v>91</v>
      </c>
      <c r="B88" s="1" t="s">
        <v>5</v>
      </c>
      <c r="C88" s="2">
        <f>IFERROR(__xludf.DUMMYFUNCTION("IFERROR(VLOOKUP(A88, IMPORTRANGE(""https://docs.google.com/spreadsheets/d/1AVX9GT0dgogEBStecCXMMQ29tWz3gBrtNB8yIromXbY/edit?gid=741673867"", ""out1g!A:B""), 2, FALSE), 0)"),310.0)</f>
        <v>310</v>
      </c>
      <c r="D88" s="2" t="str">
        <f>IFERROR(__xludf.DUMMYFUNCTION("IFERROR(VLOOKUP(A88, IMPORTRANGE(""https://docs.google.com/spreadsheets/d/1-3Vjw2Cyy-mry5gbC8ypIR3YVGFfEpyFESummAta6sg/edit"", ""Sheet1!B:D""), 2, FALSE), ""Not Found"")"),"kɔrəs")</f>
        <v>kɔrəs</v>
      </c>
      <c r="E88" s="2" t="str">
        <f>IFERROR(__xludf.DUMMYFUNCTION("IFERROR(VLOOKUP(A88, IMPORTRANGE(""https://docs.google.com/spreadsheets/d/1-3Vjw2Cyy-mry5gbC8ypIR3YVGFfEpyFESummAta6sg/edit"", ""Sheet1!B:D""), 3, FALSE), ""Not Found"")"),"k ɔ r ə s ")</f>
        <v>k ɔ r ə s </v>
      </c>
    </row>
    <row r="89">
      <c r="A89" s="1" t="s">
        <v>92</v>
      </c>
      <c r="B89" s="1" t="s">
        <v>5</v>
      </c>
      <c r="C89" s="2">
        <f>IFERROR(__xludf.DUMMYFUNCTION("IFERROR(VLOOKUP(A89, IMPORTRANGE(""https://docs.google.com/spreadsheets/d/1AVX9GT0dgogEBStecCXMMQ29tWz3gBrtNB8yIromXbY/edit?gid=741673867"", ""out1g!A:B""), 2, FALSE), 0)"),401.0)</f>
        <v>401</v>
      </c>
      <c r="D89" s="2" t="str">
        <f>IFERROR(__xludf.DUMMYFUNCTION("IFERROR(VLOOKUP(A89, IMPORTRANGE(""https://docs.google.com/spreadsheets/d/1-3Vjw2Cyy-mry5gbC8ypIR3YVGFfEpyFESummAta6sg/edit"", ""Sheet1!B:D""), 2, FALSE), ""Not Found"")"),"mɪr")</f>
        <v>mɪr</v>
      </c>
      <c r="E89" s="2" t="str">
        <f>IFERROR(__xludf.DUMMYFUNCTION("IFERROR(VLOOKUP(A89, IMPORTRANGE(""https://docs.google.com/spreadsheets/d/1-3Vjw2Cyy-mry5gbC8ypIR3YVGFfEpyFESummAta6sg/edit"", ""Sheet1!B:D""), 3, FALSE), ""Not Found"")"),"m ɪ r ")</f>
        <v>m ɪ r </v>
      </c>
    </row>
    <row r="90">
      <c r="A90" s="1" t="s">
        <v>93</v>
      </c>
      <c r="B90" s="1" t="s">
        <v>5</v>
      </c>
      <c r="C90" s="2">
        <f>IFERROR(__xludf.DUMMYFUNCTION("IFERROR(VLOOKUP(A90, IMPORTRANGE(""https://docs.google.com/spreadsheets/d/1AVX9GT0dgogEBStecCXMMQ29tWz3gBrtNB8yIromXbY/edit?gid=741673867"", ""out1g!A:B""), 2, FALSE), 0)"),351.0)</f>
        <v>351</v>
      </c>
      <c r="D90" s="2" t="str">
        <f>IFERROR(__xludf.DUMMYFUNCTION("IFERROR(VLOOKUP(A90, IMPORTRANGE(""https://docs.google.com/spreadsheets/d/1-3Vjw2Cyy-mry5gbC8ypIR3YVGFfEpyFESummAta6sg/edit"", ""Sheet1!B:D""), 2, FALSE), ""Not Found"")"),"lebəl")</f>
        <v>lebəl</v>
      </c>
      <c r="E90" s="2" t="str">
        <f>IFERROR(__xludf.DUMMYFUNCTION("IFERROR(VLOOKUP(A90, IMPORTRANGE(""https://docs.google.com/spreadsheets/d/1-3Vjw2Cyy-mry5gbC8ypIR3YVGFfEpyFESummAta6sg/edit"", ""Sheet1!B:D""), 3, FALSE), ""Not Found"")"),"l e b ə l ")</f>
        <v>l e b ə l </v>
      </c>
    </row>
    <row r="91">
      <c r="A91" s="1" t="s">
        <v>94</v>
      </c>
      <c r="B91" s="1" t="s">
        <v>5</v>
      </c>
      <c r="C91" s="2">
        <f>IFERROR(__xludf.DUMMYFUNCTION("IFERROR(VLOOKUP(A91, IMPORTRANGE(""https://docs.google.com/spreadsheets/d/1AVX9GT0dgogEBStecCXMMQ29tWz3gBrtNB8yIromXbY/edit?gid=741673867"", ""out1g!A:B""), 2, FALSE), 0)"),50.0)</f>
        <v>50</v>
      </c>
      <c r="D91" s="2" t="str">
        <f>IFERROR(__xludf.DUMMYFUNCTION("IFERROR(VLOOKUP(A91, IMPORTRANGE(""https://docs.google.com/spreadsheets/d/1-3Vjw2Cyy-mry5gbC8ypIR3YVGFfEpyFESummAta6sg/edit"", ""Sheet1!B:D""), 2, FALSE), ""Not Found"")"),"ɔrg")</f>
        <v>ɔrg</v>
      </c>
      <c r="E91" s="2" t="str">
        <f>IFERROR(__xludf.DUMMYFUNCTION("IFERROR(VLOOKUP(A91, IMPORTRANGE(""https://docs.google.com/spreadsheets/d/1-3Vjw2Cyy-mry5gbC8ypIR3YVGFfEpyFESummAta6sg/edit"", ""Sheet1!B:D""), 3, FALSE), ""Not Found"")"),"ɔ r g ")</f>
        <v>ɔ r g </v>
      </c>
    </row>
    <row r="92">
      <c r="A92" s="1" t="s">
        <v>95</v>
      </c>
      <c r="B92" s="1" t="s">
        <v>5</v>
      </c>
      <c r="C92" s="2">
        <f>IFERROR(__xludf.DUMMYFUNCTION("IFERROR(VLOOKUP(A92, IMPORTRANGE(""https://docs.google.com/spreadsheets/d/1AVX9GT0dgogEBStecCXMMQ29tWz3gBrtNB8yIromXbY/edit?gid=741673867"", ""out1g!A:B""), 2, FALSE), 0)"),258.0)</f>
        <v>258</v>
      </c>
      <c r="D92" s="2" t="str">
        <f>IFERROR(__xludf.DUMMYFUNCTION("IFERROR(VLOOKUP(A92, IMPORTRANGE(""https://docs.google.com/spreadsheets/d/1-3Vjw2Cyy-mry5gbC8ypIR3YVGFfEpyFESummAta6sg/edit"", ""Sheet1!B:D""), 2, FALSE), ""Not Found"")"),"rɪbən")</f>
        <v>rɪbən</v>
      </c>
      <c r="E92" s="2" t="str">
        <f>IFERROR(__xludf.DUMMYFUNCTION("IFERROR(VLOOKUP(A92, IMPORTRANGE(""https://docs.google.com/spreadsheets/d/1-3Vjw2Cyy-mry5gbC8ypIR3YVGFfEpyFESummAta6sg/edit"", ""Sheet1!B:D""), 3, FALSE), ""Not Found"")"),"r ɪ b ə n ")</f>
        <v>r ɪ b ə n </v>
      </c>
    </row>
    <row r="93">
      <c r="A93" s="1" t="s">
        <v>96</v>
      </c>
      <c r="B93" s="1" t="s">
        <v>5</v>
      </c>
      <c r="C93" s="2">
        <f>IFERROR(__xludf.DUMMYFUNCTION("IFERROR(VLOOKUP(A93, IMPORTRANGE(""https://docs.google.com/spreadsheets/d/1AVX9GT0dgogEBStecCXMMQ29tWz3gBrtNB8yIromXbY/edit?gid=741673867"", ""out1g!A:B""), 2, FALSE), 0)"),736.0)</f>
        <v>736</v>
      </c>
      <c r="D93" s="2" t="str">
        <f>IFERROR(__xludf.DUMMYFUNCTION("IFERROR(VLOOKUP(A93, IMPORTRANGE(""https://docs.google.com/spreadsheets/d/1-3Vjw2Cyy-mry5gbC8ypIR3YVGFfEpyFESummAta6sg/edit"", ""Sheet1!B:D""), 2, FALSE), ""Not Found"")"),"læd")</f>
        <v>læd</v>
      </c>
      <c r="E93" s="2" t="str">
        <f>IFERROR(__xludf.DUMMYFUNCTION("IFERROR(VLOOKUP(A93, IMPORTRANGE(""https://docs.google.com/spreadsheets/d/1-3Vjw2Cyy-mry5gbC8ypIR3YVGFfEpyFESummAta6sg/edit"", ""Sheet1!B:D""), 3, FALSE), ""Not Found"")"),"l æ d ")</f>
        <v>l æ d </v>
      </c>
    </row>
    <row r="94">
      <c r="A94" s="1" t="s">
        <v>97</v>
      </c>
      <c r="B94" s="1" t="s">
        <v>5</v>
      </c>
      <c r="C94" s="2">
        <f>IFERROR(__xludf.DUMMYFUNCTION("IFERROR(VLOOKUP(A94, IMPORTRANGE(""https://docs.google.com/spreadsheets/d/1AVX9GT0dgogEBStecCXMMQ29tWz3gBrtNB8yIromXbY/edit?gid=741673867"", ""out1g!A:B""), 2, FALSE), 0)"),127.0)</f>
        <v>127</v>
      </c>
      <c r="D94" s="2" t="str">
        <f>IFERROR(__xludf.DUMMYFUNCTION("IFERROR(VLOOKUP(A94, IMPORTRANGE(""https://docs.google.com/spreadsheets/d/1-3Vjw2Cyy-mry5gbC8ypIR3YVGFfEpyFESummAta6sg/edit"", ""Sheet1!B:D""), 2, FALSE), ""Not Found"")"),"ek")</f>
        <v>ek</v>
      </c>
      <c r="E94" s="2" t="str">
        <f>IFERROR(__xludf.DUMMYFUNCTION("IFERROR(VLOOKUP(A94, IMPORTRANGE(""https://docs.google.com/spreadsheets/d/1-3Vjw2Cyy-mry5gbC8ypIR3YVGFfEpyFESummAta6sg/edit"", ""Sheet1!B:D""), 3, FALSE), ""Not Found"")"),"e k ")</f>
        <v>e k </v>
      </c>
    </row>
    <row r="95">
      <c r="A95" s="1" t="s">
        <v>98</v>
      </c>
      <c r="B95" s="1" t="s">
        <v>5</v>
      </c>
      <c r="C95" s="2">
        <f>IFERROR(__xludf.DUMMYFUNCTION("IFERROR(VLOOKUP(A95, IMPORTRANGE(""https://docs.google.com/spreadsheets/d/1AVX9GT0dgogEBStecCXMMQ29tWz3gBrtNB8yIromXbY/edit?gid=741673867"", ""out1g!A:B""), 2, FALSE), 0)"),6797.0)</f>
        <v>6797</v>
      </c>
      <c r="D95" s="2" t="str">
        <f>IFERROR(__xludf.DUMMYFUNCTION("IFERROR(VLOOKUP(A95, IMPORTRANGE(""https://docs.google.com/spreadsheets/d/1-3Vjw2Cyy-mry5gbC8ypIR3YVGFfEpyFESummAta6sg/edit"", ""Sheet1!B:D""), 2, FALSE), ""Not Found"")"),"saɪn")</f>
        <v>saɪn</v>
      </c>
      <c r="E95" s="2" t="str">
        <f>IFERROR(__xludf.DUMMYFUNCTION("IFERROR(VLOOKUP(A95, IMPORTRANGE(""https://docs.google.com/spreadsheets/d/1-3Vjw2Cyy-mry5gbC8ypIR3YVGFfEpyFESummAta6sg/edit"", ""Sheet1!B:D""), 3, FALSE), ""Not Found"")"),"s a ɪ n ")</f>
        <v>s a ɪ n </v>
      </c>
    </row>
    <row r="96">
      <c r="A96" s="1" t="s">
        <v>99</v>
      </c>
      <c r="B96" s="1" t="s">
        <v>5</v>
      </c>
      <c r="C96" s="2">
        <f>IFERROR(__xludf.DUMMYFUNCTION("IFERROR(VLOOKUP(A96, IMPORTRANGE(""https://docs.google.com/spreadsheets/d/1AVX9GT0dgogEBStecCXMMQ29tWz3gBrtNB8yIromXbY/edit?gid=741673867"", ""out1g!A:B""), 2, FALSE), 0)"),66.0)</f>
        <v>66</v>
      </c>
      <c r="D96" s="2" t="str">
        <f>IFERROR(__xludf.DUMMYFUNCTION("IFERROR(VLOOKUP(A96, IMPORTRANGE(""https://docs.google.com/spreadsheets/d/1-3Vjw2Cyy-mry5gbC8ypIR3YVGFfEpyFESummAta6sg/edit"", ""Sheet1!B:D""), 2, FALSE), ""Not Found"")"),"praʊl")</f>
        <v>praʊl</v>
      </c>
      <c r="E96" s="2" t="str">
        <f>IFERROR(__xludf.DUMMYFUNCTION("IFERROR(VLOOKUP(A96, IMPORTRANGE(""https://docs.google.com/spreadsheets/d/1-3Vjw2Cyy-mry5gbC8ypIR3YVGFfEpyFESummAta6sg/edit"", ""Sheet1!B:D""), 3, FALSE), ""Not Found"")"),"p r a ʊ l ")</f>
        <v>p r a ʊ l </v>
      </c>
    </row>
    <row r="97">
      <c r="A97" s="1" t="s">
        <v>100</v>
      </c>
      <c r="B97" s="1" t="s">
        <v>5</v>
      </c>
      <c r="C97" s="2">
        <f>IFERROR(__xludf.DUMMYFUNCTION("IFERROR(VLOOKUP(A97, IMPORTRANGE(""https://docs.google.com/spreadsheets/d/1AVX9GT0dgogEBStecCXMMQ29tWz3gBrtNB8yIromXbY/edit?gid=741673867"", ""out1g!A:B""), 2, FALSE), 0)"),107.0)</f>
        <v>107</v>
      </c>
      <c r="D97" s="2" t="str">
        <f>IFERROR(__xludf.DUMMYFUNCTION("IFERROR(VLOOKUP(A97, IMPORTRANGE(""https://docs.google.com/spreadsheets/d/1-3Vjw2Cyy-mry5gbC8ypIR3YVGFfEpyFESummAta6sg/edit"", ""Sheet1!B:D""), 2, FALSE), ""Not Found"")"),"vaɪn")</f>
        <v>vaɪn</v>
      </c>
      <c r="E97" s="2" t="str">
        <f>IFERROR(__xludf.DUMMYFUNCTION("IFERROR(VLOOKUP(A97, IMPORTRANGE(""https://docs.google.com/spreadsheets/d/1-3Vjw2Cyy-mry5gbC8ypIR3YVGFfEpyFESummAta6sg/edit"", ""Sheet1!B:D""), 3, FALSE), ""Not Found"")"),"v a ɪ n ")</f>
        <v>v a ɪ n </v>
      </c>
    </row>
    <row r="98">
      <c r="A98" s="1" t="s">
        <v>101</v>
      </c>
      <c r="B98" s="1" t="s">
        <v>5</v>
      </c>
      <c r="C98" s="2">
        <f>IFERROR(__xludf.DUMMYFUNCTION("IFERROR(VLOOKUP(A98, IMPORTRANGE(""https://docs.google.com/spreadsheets/d/1AVX9GT0dgogEBStecCXMMQ29tWz3gBrtNB8yIromXbY/edit?gid=741673867"", ""out1g!A:B""), 2, FALSE), 0)"),12258.0)</f>
        <v>12258</v>
      </c>
      <c r="D98" s="2" t="str">
        <f>IFERROR(__xludf.DUMMYFUNCTION("IFERROR(VLOOKUP(A98, IMPORTRANGE(""https://docs.google.com/spreadsheets/d/1-3Vjw2Cyy-mry5gbC8ypIR3YVGFfEpyFESummAta6sg/edit"", ""Sheet1!B:D""), 2, FALSE), ""Not Found"")"),"ʧenʤ")</f>
        <v>ʧenʤ</v>
      </c>
      <c r="E98" s="2" t="str">
        <f>IFERROR(__xludf.DUMMYFUNCTION("IFERROR(VLOOKUP(A98, IMPORTRANGE(""https://docs.google.com/spreadsheets/d/1-3Vjw2Cyy-mry5gbC8ypIR3YVGFfEpyFESummAta6sg/edit"", ""Sheet1!B:D""), 3, FALSE), ""Not Found"")"),"ʧ e n ʤ ")</f>
        <v>ʧ e n ʤ </v>
      </c>
    </row>
    <row r="99">
      <c r="A99" s="1" t="s">
        <v>102</v>
      </c>
      <c r="B99" s="1" t="s">
        <v>5</v>
      </c>
      <c r="C99" s="2">
        <f>IFERROR(__xludf.DUMMYFUNCTION("IFERROR(VLOOKUP(A99, IMPORTRANGE(""https://docs.google.com/spreadsheets/d/1AVX9GT0dgogEBStecCXMMQ29tWz3gBrtNB8yIromXbY/edit?gid=741673867"", ""out1g!A:B""), 2, FALSE), 0)"),664.0)</f>
        <v>664</v>
      </c>
      <c r="D99" s="2" t="str">
        <f>IFERROR(__xludf.DUMMYFUNCTION("IFERROR(VLOOKUP(A99, IMPORTRANGE(""https://docs.google.com/spreadsheets/d/1-3Vjw2Cyy-mry5gbC8ypIR3YVGFfEpyFESummAta6sg/edit"", ""Sheet1!B:D""), 2, FALSE), ""Not Found"")"),"haʊdi")</f>
        <v>haʊdi</v>
      </c>
      <c r="E99" s="2" t="str">
        <f>IFERROR(__xludf.DUMMYFUNCTION("IFERROR(VLOOKUP(A99, IMPORTRANGE(""https://docs.google.com/spreadsheets/d/1-3Vjw2Cyy-mry5gbC8ypIR3YVGFfEpyFESummAta6sg/edit"", ""Sheet1!B:D""), 3, FALSE), ""Not Found"")"),"h a ʊ d i ")</f>
        <v>h a ʊ d i </v>
      </c>
    </row>
    <row r="100">
      <c r="A100" s="1" t="s">
        <v>103</v>
      </c>
      <c r="B100" s="1" t="s">
        <v>5</v>
      </c>
      <c r="C100" s="2">
        <f>IFERROR(__xludf.DUMMYFUNCTION("IFERROR(VLOOKUP(A100, IMPORTRANGE(""https://docs.google.com/spreadsheets/d/1AVX9GT0dgogEBStecCXMMQ29tWz3gBrtNB8yIromXbY/edit?gid=741673867"", ""out1g!A:B""), 2, FALSE), 0)"),848.0)</f>
        <v>848</v>
      </c>
      <c r="D100" s="2" t="str">
        <f>IFERROR(__xludf.DUMMYFUNCTION("IFERROR(VLOOKUP(A100, IMPORTRANGE(""https://docs.google.com/spreadsheets/d/1-3Vjw2Cyy-mry5gbC8ypIR3YVGFfEpyFESummAta6sg/edit"", ""Sheet1!B:D""), 2, FALSE), ""Not Found"")"),"slɪpt")</f>
        <v>slɪpt</v>
      </c>
      <c r="E100" s="2" t="str">
        <f>IFERROR(__xludf.DUMMYFUNCTION("IFERROR(VLOOKUP(A100, IMPORTRANGE(""https://docs.google.com/spreadsheets/d/1-3Vjw2Cyy-mry5gbC8ypIR3YVGFfEpyFESummAta6sg/edit"", ""Sheet1!B:D""), 3, FALSE), ""Not Found"")"),"s l ɪ p t ")</f>
        <v>s l ɪ p t </v>
      </c>
    </row>
    <row r="101">
      <c r="A101" s="1" t="s">
        <v>104</v>
      </c>
      <c r="B101" s="1" t="s">
        <v>5</v>
      </c>
      <c r="C101" s="2">
        <f>IFERROR(__xludf.DUMMYFUNCTION("IFERROR(VLOOKUP(A101, IMPORTRANGE(""https://docs.google.com/spreadsheets/d/1AVX9GT0dgogEBStecCXMMQ29tWz3gBrtNB8yIromXbY/edit?gid=741673867"", ""out1g!A:B""), 2, FALSE), 0)"),1466.0)</f>
        <v>1466</v>
      </c>
      <c r="D101" s="2" t="str">
        <f>IFERROR(__xludf.DUMMYFUNCTION("IFERROR(VLOOKUP(A101, IMPORTRANGE(""https://docs.google.com/spreadsheets/d/1-3Vjw2Cyy-mry5gbC8ypIR3YVGFfEpyFESummAta6sg/edit"", ""Sheet1!B:D""), 2, FALSE), ""Not Found"")"),"paɪ")</f>
        <v>paɪ</v>
      </c>
      <c r="E101" s="2" t="str">
        <f>IFERROR(__xludf.DUMMYFUNCTION("IFERROR(VLOOKUP(A101, IMPORTRANGE(""https://docs.google.com/spreadsheets/d/1-3Vjw2Cyy-mry5gbC8ypIR3YVGFfEpyFESummAta6sg/edit"", ""Sheet1!B:D""), 3, FALSE), ""Not Found"")"),"p a ɪ ")</f>
        <v>p a ɪ </v>
      </c>
    </row>
    <row r="102">
      <c r="A102" s="1" t="s">
        <v>105</v>
      </c>
      <c r="B102" s="1" t="s">
        <v>5</v>
      </c>
      <c r="C102" s="2">
        <f>IFERROR(__xludf.DUMMYFUNCTION("IFERROR(VLOOKUP(A102, IMPORTRANGE(""https://docs.google.com/spreadsheets/d/1AVX9GT0dgogEBStecCXMMQ29tWz3gBrtNB8yIromXbY/edit?gid=741673867"", ""out1g!A:B""), 2, FALSE), 0)"),450.0)</f>
        <v>450</v>
      </c>
      <c r="D102" s="2" t="str">
        <f>IFERROR(__xludf.DUMMYFUNCTION("IFERROR(VLOOKUP(A102, IMPORTRANGE(""https://docs.google.com/spreadsheets/d/1-3Vjw2Cyy-mry5gbC8ypIR3YVGFfEpyFESummAta6sg/edit"", ""Sheet1!B:D""), 2, FALSE), ""Not Found"")"),"fɔrk")</f>
        <v>fɔrk</v>
      </c>
      <c r="E102" s="2" t="str">
        <f>IFERROR(__xludf.DUMMYFUNCTION("IFERROR(VLOOKUP(A102, IMPORTRANGE(""https://docs.google.com/spreadsheets/d/1-3Vjw2Cyy-mry5gbC8ypIR3YVGFfEpyFESummAta6sg/edit"", ""Sheet1!B:D""), 3, FALSE), ""Not Found"")"),"f ɔ r k ")</f>
        <v>f ɔ r k </v>
      </c>
    </row>
    <row r="103">
      <c r="A103" s="1" t="s">
        <v>106</v>
      </c>
      <c r="B103" s="1" t="s">
        <v>5</v>
      </c>
      <c r="C103" s="2">
        <f>IFERROR(__xludf.DUMMYFUNCTION("IFERROR(VLOOKUP(A103, IMPORTRANGE(""https://docs.google.com/spreadsheets/d/1AVX9GT0dgogEBStecCXMMQ29tWz3gBrtNB8yIromXbY/edit?gid=741673867"", ""out1g!A:B""), 2, FALSE), 0)"),145.0)</f>
        <v>145</v>
      </c>
      <c r="D103" s="2" t="str">
        <f>IFERROR(__xludf.DUMMYFUNCTION("IFERROR(VLOOKUP(A103, IMPORTRANGE(""https://docs.google.com/spreadsheets/d/1-3Vjw2Cyy-mry5gbC8ypIR3YVGFfEpyFESummAta6sg/edit"", ""Sheet1!B:D""), 2, FALSE), ""Not Found"")"),"baɪks")</f>
        <v>baɪks</v>
      </c>
      <c r="E103" s="2" t="str">
        <f>IFERROR(__xludf.DUMMYFUNCTION("IFERROR(VLOOKUP(A103, IMPORTRANGE(""https://docs.google.com/spreadsheets/d/1-3Vjw2Cyy-mry5gbC8ypIR3YVGFfEpyFESummAta6sg/edit"", ""Sheet1!B:D""), 3, FALSE), ""Not Found"")"),"b a ɪ k s ")</f>
        <v>b a ɪ k s </v>
      </c>
    </row>
    <row r="104">
      <c r="A104" s="1" t="s">
        <v>107</v>
      </c>
      <c r="B104" s="1" t="s">
        <v>5</v>
      </c>
      <c r="C104" s="2">
        <f>IFERROR(__xludf.DUMMYFUNCTION("IFERROR(VLOOKUP(A104, IMPORTRANGE(""https://docs.google.com/spreadsheets/d/1AVX9GT0dgogEBStecCXMMQ29tWz3gBrtNB8yIromXbY/edit?gid=741673867"", ""out1g!A:B""), 2, FALSE), 0)"),251.0)</f>
        <v>251</v>
      </c>
      <c r="D104" s="2" t="str">
        <f>IFERROR(__xludf.DUMMYFUNCTION("IFERROR(VLOOKUP(A104, IMPORTRANGE(""https://docs.google.com/spreadsheets/d/1-3Vjw2Cyy-mry5gbC8ypIR3YVGFfEpyFESummAta6sg/edit"", ""Sheet1!B:D""), 2, FALSE), ""Not Found"")"),"trɪkt")</f>
        <v>trɪkt</v>
      </c>
      <c r="E104" s="2" t="str">
        <f>IFERROR(__xludf.DUMMYFUNCTION("IFERROR(VLOOKUP(A104, IMPORTRANGE(""https://docs.google.com/spreadsheets/d/1-3Vjw2Cyy-mry5gbC8ypIR3YVGFfEpyFESummAta6sg/edit"", ""Sheet1!B:D""), 3, FALSE), ""Not Found"")"),"t r ɪ k t ")</f>
        <v>t r ɪ k t </v>
      </c>
    </row>
    <row r="105">
      <c r="A105" s="1" t="s">
        <v>108</v>
      </c>
      <c r="B105" s="1" t="s">
        <v>5</v>
      </c>
      <c r="C105" s="2">
        <f>IFERROR(__xludf.DUMMYFUNCTION("IFERROR(VLOOKUP(A105, IMPORTRANGE(""https://docs.google.com/spreadsheets/d/1AVX9GT0dgogEBStecCXMMQ29tWz3gBrtNB8yIromXbY/edit?gid=741673867"", ""out1g!A:B""), 2, FALSE), 0)"),82.0)</f>
        <v>82</v>
      </c>
      <c r="D105" s="2" t="str">
        <f>IFERROR(__xludf.DUMMYFUNCTION("IFERROR(VLOOKUP(A105, IMPORTRANGE(""https://docs.google.com/spreadsheets/d/1-3Vjw2Cyy-mry5gbC8ypIR3YVGFfEpyFESummAta6sg/edit"", ""Sheet1!B:D""), 2, FALSE), ""Not Found"")"),"gæli")</f>
        <v>gæli</v>
      </c>
      <c r="E105" s="2" t="str">
        <f>IFERROR(__xludf.DUMMYFUNCTION("IFERROR(VLOOKUP(A105, IMPORTRANGE(""https://docs.google.com/spreadsheets/d/1-3Vjw2Cyy-mry5gbC8ypIR3YVGFfEpyFESummAta6sg/edit"", ""Sheet1!B:D""), 3, FALSE), ""Not Found"")"),"g æ l i ")</f>
        <v>g æ l i </v>
      </c>
    </row>
    <row r="106">
      <c r="A106" s="1" t="s">
        <v>109</v>
      </c>
      <c r="B106" s="1" t="s">
        <v>5</v>
      </c>
      <c r="C106" s="2">
        <f>IFERROR(__xludf.DUMMYFUNCTION("IFERROR(VLOOKUP(A106, IMPORTRANGE(""https://docs.google.com/spreadsheets/d/1AVX9GT0dgogEBStecCXMMQ29tWz3gBrtNB8yIromXbY/edit?gid=741673867"", ""out1g!A:B""), 2, FALSE), 0)"),875.0)</f>
        <v>875</v>
      </c>
      <c r="D106" s="2" t="str">
        <f>IFERROR(__xludf.DUMMYFUNCTION("IFERROR(VLOOKUP(A106, IMPORTRANGE(""https://docs.google.com/spreadsheets/d/1-3Vjw2Cyy-mry5gbC8ypIR3YVGFfEpyFESummAta6sg/edit"", ""Sheet1!B:D""), 2, FALSE), ""Not Found"")"),"pleərz")</f>
        <v>pleərz</v>
      </c>
      <c r="E106" s="2" t="str">
        <f>IFERROR(__xludf.DUMMYFUNCTION("IFERROR(VLOOKUP(A106, IMPORTRANGE(""https://docs.google.com/spreadsheets/d/1-3Vjw2Cyy-mry5gbC8ypIR3YVGFfEpyFESummAta6sg/edit"", ""Sheet1!B:D""), 3, FALSE), ""Not Found"")"),"p l e ə r z ")</f>
        <v>p l e ə r z </v>
      </c>
    </row>
    <row r="107">
      <c r="A107" s="1" t="s">
        <v>110</v>
      </c>
      <c r="B107" s="1" t="s">
        <v>5</v>
      </c>
      <c r="C107" s="2">
        <f>IFERROR(__xludf.DUMMYFUNCTION("IFERROR(VLOOKUP(A107, IMPORTRANGE(""https://docs.google.com/spreadsheets/d/1AVX9GT0dgogEBStecCXMMQ29tWz3gBrtNB8yIromXbY/edit?gid=741673867"", ""out1g!A:B""), 2, FALSE), 0)"),123.0)</f>
        <v>123</v>
      </c>
      <c r="D107" s="2" t="str">
        <f>IFERROR(__xludf.DUMMYFUNCTION("IFERROR(VLOOKUP(A107, IMPORTRANGE(""https://docs.google.com/spreadsheets/d/1-3Vjw2Cyy-mry5gbC8ypIR3YVGFfEpyFESummAta6sg/edit"", ""Sheet1!B:D""), 2, FALSE), ""Not Found"")"),"mɑ")</f>
        <v>mɑ</v>
      </c>
      <c r="E107" s="2" t="str">
        <f>IFERROR(__xludf.DUMMYFUNCTION("IFERROR(VLOOKUP(A107, IMPORTRANGE(""https://docs.google.com/spreadsheets/d/1-3Vjw2Cyy-mry5gbC8ypIR3YVGFfEpyFESummAta6sg/edit"", ""Sheet1!B:D""), 3, FALSE), ""Not Found"")"),"m ɑ ")</f>
        <v>m ɑ </v>
      </c>
    </row>
    <row r="108">
      <c r="A108" s="1" t="s">
        <v>111</v>
      </c>
      <c r="B108" s="1" t="s">
        <v>5</v>
      </c>
      <c r="C108" s="2">
        <f>IFERROR(__xludf.DUMMYFUNCTION("IFERROR(VLOOKUP(A108, IMPORTRANGE(""https://docs.google.com/spreadsheets/d/1AVX9GT0dgogEBStecCXMMQ29tWz3gBrtNB8yIromXbY/edit?gid=741673867"", ""out1g!A:B""), 2, FALSE), 0)"),59.0)</f>
        <v>59</v>
      </c>
      <c r="D108" s="2" t="str">
        <f>IFERROR(__xludf.DUMMYFUNCTION("IFERROR(VLOOKUP(A108, IMPORTRANGE(""https://docs.google.com/spreadsheets/d/1-3Vjw2Cyy-mry5gbC8ypIR3YVGFfEpyFESummAta6sg/edit"", ""Sheet1!B:D""), 2, FALSE), ""Not Found"")"),"mus")</f>
        <v>mus</v>
      </c>
      <c r="E108" s="2" t="str">
        <f>IFERROR(__xludf.DUMMYFUNCTION("IFERROR(VLOOKUP(A108, IMPORTRANGE(""https://docs.google.com/spreadsheets/d/1-3Vjw2Cyy-mry5gbC8ypIR3YVGFfEpyFESummAta6sg/edit"", ""Sheet1!B:D""), 3, FALSE), ""Not Found"")"),"m u s ")</f>
        <v>m u s </v>
      </c>
    </row>
    <row r="109">
      <c r="A109" s="1" t="s">
        <v>112</v>
      </c>
      <c r="B109" s="1" t="s">
        <v>5</v>
      </c>
      <c r="C109" s="2">
        <f>IFERROR(__xludf.DUMMYFUNCTION("IFERROR(VLOOKUP(A109, IMPORTRANGE(""https://docs.google.com/spreadsheets/d/1AVX9GT0dgogEBStecCXMMQ29tWz3gBrtNB8yIromXbY/edit?gid=741673867"", ""out1g!A:B""), 2, FALSE), 0)"),55.0)</f>
        <v>55</v>
      </c>
      <c r="D109" s="2" t="str">
        <f>IFERROR(__xludf.DUMMYFUNCTION("IFERROR(VLOOKUP(A109, IMPORTRANGE(""https://docs.google.com/spreadsheets/d/1-3Vjw2Cyy-mry5gbC8ypIR3YVGFfEpyFESummAta6sg/edit"", ""Sheet1!B:D""), 2, FALSE), ""Not Found"")"),"sɛnsəri")</f>
        <v>sɛnsəri</v>
      </c>
      <c r="E109" s="2" t="str">
        <f>IFERROR(__xludf.DUMMYFUNCTION("IFERROR(VLOOKUP(A109, IMPORTRANGE(""https://docs.google.com/spreadsheets/d/1-3Vjw2Cyy-mry5gbC8ypIR3YVGFfEpyFESummAta6sg/edit"", ""Sheet1!B:D""), 3, FALSE), ""Not Found"")"),"s ɛ n s ə r i ")</f>
        <v>s ɛ n s ə r i </v>
      </c>
    </row>
    <row r="110">
      <c r="A110" s="1" t="s">
        <v>113</v>
      </c>
      <c r="B110" s="1" t="s">
        <v>5</v>
      </c>
      <c r="C110" s="2">
        <f>IFERROR(__xludf.DUMMYFUNCTION("IFERROR(VLOOKUP(A110, IMPORTRANGE(""https://docs.google.com/spreadsheets/d/1AVX9GT0dgogEBStecCXMMQ29tWz3gBrtNB8yIromXbY/edit?gid=741673867"", ""out1g!A:B""), 2, FALSE), 0)"),96.0)</f>
        <v>96</v>
      </c>
      <c r="D110" s="2" t="str">
        <f>IFERROR(__xludf.DUMMYFUNCTION("IFERROR(VLOOKUP(A110, IMPORTRANGE(""https://docs.google.com/spreadsheets/d/1-3Vjw2Cyy-mry5gbC8ypIR3YVGFfEpyFESummAta6sg/edit"", ""Sheet1!B:D""), 2, FALSE), ""Not Found"")"),"kɪp")</f>
        <v>kɪp</v>
      </c>
      <c r="E110" s="2" t="str">
        <f>IFERROR(__xludf.DUMMYFUNCTION("IFERROR(VLOOKUP(A110, IMPORTRANGE(""https://docs.google.com/spreadsheets/d/1-3Vjw2Cyy-mry5gbC8ypIR3YVGFfEpyFESummAta6sg/edit"", ""Sheet1!B:D""), 3, FALSE), ""Not Found"")"),"k ɪ p ")</f>
        <v>k ɪ p </v>
      </c>
    </row>
    <row r="111">
      <c r="A111" s="1" t="s">
        <v>114</v>
      </c>
      <c r="B111" s="1" t="s">
        <v>5</v>
      </c>
      <c r="C111" s="2">
        <f>IFERROR(__xludf.DUMMYFUNCTION("IFERROR(VLOOKUP(A111, IMPORTRANGE(""https://docs.google.com/spreadsheets/d/1AVX9GT0dgogEBStecCXMMQ29tWz3gBrtNB8yIromXbY/edit?gid=741673867"", ""out1g!A:B""), 2, FALSE), 0)"),85.0)</f>
        <v>85</v>
      </c>
      <c r="D111" s="2" t="str">
        <f>IFERROR(__xludf.DUMMYFUNCTION("IFERROR(VLOOKUP(A111, IMPORTRANGE(""https://docs.google.com/spreadsheets/d/1-3Vjw2Cyy-mry5gbC8ypIR3YVGFfEpyFESummAta6sg/edit"", ""Sheet1!B:D""), 2, FALSE), ""Not Found"")"),"taɪtli")</f>
        <v>taɪtli</v>
      </c>
      <c r="E111" s="2" t="str">
        <f>IFERROR(__xludf.DUMMYFUNCTION("IFERROR(VLOOKUP(A111, IMPORTRANGE(""https://docs.google.com/spreadsheets/d/1-3Vjw2Cyy-mry5gbC8ypIR3YVGFfEpyFESummAta6sg/edit"", ""Sheet1!B:D""), 3, FALSE), ""Not Found"")"),"t a ɪ t l i ")</f>
        <v>t a ɪ t l i </v>
      </c>
    </row>
    <row r="112">
      <c r="A112" s="1" t="s">
        <v>115</v>
      </c>
      <c r="B112" s="1" t="s">
        <v>5</v>
      </c>
      <c r="C112" s="2">
        <f>IFERROR(__xludf.DUMMYFUNCTION("IFERROR(VLOOKUP(A112, IMPORTRANGE(""https://docs.google.com/spreadsheets/d/1AVX9GT0dgogEBStecCXMMQ29tWz3gBrtNB8yIromXbY/edit?gid=741673867"", ""out1g!A:B""), 2, FALSE), 0)"),141.0)</f>
        <v>141</v>
      </c>
      <c r="D112" s="2" t="str">
        <f>IFERROR(__xludf.DUMMYFUNCTION("IFERROR(VLOOKUP(A112, IMPORTRANGE(""https://docs.google.com/spreadsheets/d/1-3Vjw2Cyy-mry5gbC8ypIR3YVGFfEpyFESummAta6sg/edit"", ""Sheet1!B:D""), 2, FALSE), ""Not Found"")"),"mɪni")</f>
        <v>mɪni</v>
      </c>
      <c r="E112" s="2" t="str">
        <f>IFERROR(__xludf.DUMMYFUNCTION("IFERROR(VLOOKUP(A112, IMPORTRANGE(""https://docs.google.com/spreadsheets/d/1-3Vjw2Cyy-mry5gbC8ypIR3YVGFfEpyFESummAta6sg/edit"", ""Sheet1!B:D""), 3, FALSE), ""Not Found"")"),"m ɪ n i ")</f>
        <v>m ɪ n i </v>
      </c>
    </row>
    <row r="113">
      <c r="A113" s="1" t="s">
        <v>116</v>
      </c>
      <c r="B113" s="1" t="s">
        <v>5</v>
      </c>
      <c r="C113" s="2">
        <f>IFERROR(__xludf.DUMMYFUNCTION("IFERROR(VLOOKUP(A113, IMPORTRANGE(""https://docs.google.com/spreadsheets/d/1AVX9GT0dgogEBStecCXMMQ29tWz3gBrtNB8yIromXbY/edit?gid=741673867"", ""out1g!A:B""), 2, FALSE), 0)"),87.0)</f>
        <v>87</v>
      </c>
      <c r="D113" s="2" t="str">
        <f>IFERROR(__xludf.DUMMYFUNCTION("IFERROR(VLOOKUP(A113, IMPORTRANGE(""https://docs.google.com/spreadsheets/d/1-3Vjw2Cyy-mry5gbC8ypIR3YVGFfEpyFESummAta6sg/edit"", ""Sheet1!B:D""), 2, FALSE), ""Not Found"")"),"loʊli")</f>
        <v>loʊli</v>
      </c>
      <c r="E113" s="2" t="str">
        <f>IFERROR(__xludf.DUMMYFUNCTION("IFERROR(VLOOKUP(A113, IMPORTRANGE(""https://docs.google.com/spreadsheets/d/1-3Vjw2Cyy-mry5gbC8ypIR3YVGFfEpyFESummAta6sg/edit"", ""Sheet1!B:D""), 3, FALSE), ""Not Found"")"),"l o ʊ l i ")</f>
        <v>l o ʊ l i </v>
      </c>
    </row>
    <row r="114">
      <c r="A114" s="1" t="s">
        <v>117</v>
      </c>
      <c r="B114" s="1" t="s">
        <v>5</v>
      </c>
      <c r="C114" s="2">
        <f>IFERROR(__xludf.DUMMYFUNCTION("IFERROR(VLOOKUP(A114, IMPORTRANGE(""https://docs.google.com/spreadsheets/d/1AVX9GT0dgogEBStecCXMMQ29tWz3gBrtNB8yIromXbY/edit?gid=741673867"", ""out1g!A:B""), 2, FALSE), 0)"),2587.0)</f>
        <v>2587</v>
      </c>
      <c r="D114" s="2" t="str">
        <f>IFERROR(__xludf.DUMMYFUNCTION("IFERROR(VLOOKUP(A114, IMPORTRANGE(""https://docs.google.com/spreadsheets/d/1-3Vjw2Cyy-mry5gbC8ypIR3YVGFfEpyFESummAta6sg/edit"", ""Sheet1!B:D""), 2, FALSE), ""Not Found"")"),"səpɔrt")</f>
        <v>səpɔrt</v>
      </c>
      <c r="E114" s="2" t="str">
        <f>IFERROR(__xludf.DUMMYFUNCTION("IFERROR(VLOOKUP(A114, IMPORTRANGE(""https://docs.google.com/spreadsheets/d/1-3Vjw2Cyy-mry5gbC8ypIR3YVGFfEpyFESummAta6sg/edit"", ""Sheet1!B:D""), 3, FALSE), ""Not Found"")"),"s ə p ɔ r t ")</f>
        <v>s ə p ɔ r t </v>
      </c>
    </row>
    <row r="115">
      <c r="A115" s="1" t="s">
        <v>118</v>
      </c>
      <c r="B115" s="1" t="s">
        <v>5</v>
      </c>
      <c r="C115" s="2">
        <f>IFERROR(__xludf.DUMMYFUNCTION("IFERROR(VLOOKUP(A115, IMPORTRANGE(""https://docs.google.com/spreadsheets/d/1AVX9GT0dgogEBStecCXMMQ29tWz3gBrtNB8yIromXbY/edit?gid=741673867"", ""out1g!A:B""), 2, FALSE), 0)"),3389.0)</f>
        <v>3389</v>
      </c>
      <c r="D115" s="2" t="str">
        <f>IFERROR(__xludf.DUMMYFUNCTION("IFERROR(VLOOKUP(A115, IMPORTRANGE(""https://docs.google.com/spreadsheets/d/1-3Vjw2Cyy-mry5gbC8ypIR3YVGFfEpyFESummAta6sg/edit"", ""Sheet1!B:D""), 2, FALSE), ""Not Found"")"),"dərti")</f>
        <v>dərti</v>
      </c>
      <c r="E115" s="2" t="str">
        <f>IFERROR(__xludf.DUMMYFUNCTION("IFERROR(VLOOKUP(A115, IMPORTRANGE(""https://docs.google.com/spreadsheets/d/1-3Vjw2Cyy-mry5gbC8ypIR3YVGFfEpyFESummAta6sg/edit"", ""Sheet1!B:D""), 3, FALSE), ""Not Found"")"),"d ə r t i ")</f>
        <v>d ə r t i </v>
      </c>
    </row>
    <row r="116">
      <c r="A116" s="1" t="s">
        <v>119</v>
      </c>
      <c r="B116" s="1" t="s">
        <v>5</v>
      </c>
      <c r="C116" s="2">
        <f>IFERROR(__xludf.DUMMYFUNCTION("IFERROR(VLOOKUP(A116, IMPORTRANGE(""https://docs.google.com/spreadsheets/d/1AVX9GT0dgogEBStecCXMMQ29tWz3gBrtNB8yIromXbY/edit?gid=741673867"", ""out1g!A:B""), 2, FALSE), 0)"),95.0)</f>
        <v>95</v>
      </c>
      <c r="D116" s="2" t="str">
        <f>IFERROR(__xludf.DUMMYFUNCTION("IFERROR(VLOOKUP(A116, IMPORTRANGE(""https://docs.google.com/spreadsheets/d/1-3Vjw2Cyy-mry5gbC8ypIR3YVGFfEpyFESummAta6sg/edit"", ""Sheet1!B:D""), 2, FALSE), ""Not Found"")"),"traɪbəl")</f>
        <v>traɪbəl</v>
      </c>
      <c r="E116" s="2" t="str">
        <f>IFERROR(__xludf.DUMMYFUNCTION("IFERROR(VLOOKUP(A116, IMPORTRANGE(""https://docs.google.com/spreadsheets/d/1-3Vjw2Cyy-mry5gbC8ypIR3YVGFfEpyFESummAta6sg/edit"", ""Sheet1!B:D""), 3, FALSE), ""Not Found"")"),"t r a ɪ b ə l ")</f>
        <v>t r a ɪ b ə l </v>
      </c>
    </row>
    <row r="117">
      <c r="A117" s="1" t="s">
        <v>120</v>
      </c>
      <c r="B117" s="1" t="s">
        <v>5</v>
      </c>
      <c r="C117" s="2">
        <f>IFERROR(__xludf.DUMMYFUNCTION("IFERROR(VLOOKUP(A117, IMPORTRANGE(""https://docs.google.com/spreadsheets/d/1AVX9GT0dgogEBStecCXMMQ29tWz3gBrtNB8yIromXbY/edit?gid=741673867"", ""out1g!A:B""), 2, FALSE), 0)"),158.0)</f>
        <v>158</v>
      </c>
      <c r="D117" s="2" t="str">
        <f>IFERROR(__xludf.DUMMYFUNCTION("IFERROR(VLOOKUP(A117, IMPORTRANGE(""https://docs.google.com/spreadsheets/d/1-3Vjw2Cyy-mry5gbC8ypIR3YVGFfEpyFESummAta6sg/edit"", ""Sheet1!B:D""), 2, FALSE), ""Not Found"")"),"dɛpθs")</f>
        <v>dɛpθs</v>
      </c>
      <c r="E117" s="2" t="str">
        <f>IFERROR(__xludf.DUMMYFUNCTION("IFERROR(VLOOKUP(A117, IMPORTRANGE(""https://docs.google.com/spreadsheets/d/1-3Vjw2Cyy-mry5gbC8ypIR3YVGFfEpyFESummAta6sg/edit"", ""Sheet1!B:D""), 3, FALSE), ""Not Found"")"),"d ɛ p θ s ")</f>
        <v>d ɛ p θ s </v>
      </c>
    </row>
    <row r="118">
      <c r="A118" s="1" t="s">
        <v>121</v>
      </c>
      <c r="B118" s="1" t="s">
        <v>5</v>
      </c>
      <c r="C118" s="2">
        <f>IFERROR(__xludf.DUMMYFUNCTION("IFERROR(VLOOKUP(A118, IMPORTRANGE(""https://docs.google.com/spreadsheets/d/1AVX9GT0dgogEBStecCXMMQ29tWz3gBrtNB8yIromXbY/edit?gid=741673867"", ""out1g!A:B""), 2, FALSE), 0)"),580.0)</f>
        <v>580</v>
      </c>
      <c r="D118" s="2" t="str">
        <f>IFERROR(__xludf.DUMMYFUNCTION("IFERROR(VLOOKUP(A118, IMPORTRANGE(""https://docs.google.com/spreadsheets/d/1-3Vjw2Cyy-mry5gbC8ypIR3YVGFfEpyFESummAta6sg/edit"", ""Sheet1!B:D""), 2, FALSE), ""Not Found"")"),"sefər")</f>
        <v>sefər</v>
      </c>
      <c r="E118" s="2" t="str">
        <f>IFERROR(__xludf.DUMMYFUNCTION("IFERROR(VLOOKUP(A118, IMPORTRANGE(""https://docs.google.com/spreadsheets/d/1-3Vjw2Cyy-mry5gbC8ypIR3YVGFfEpyFESummAta6sg/edit"", ""Sheet1!B:D""), 3, FALSE), ""Not Found"")"),"s e f ə r ")</f>
        <v>s e f ə r </v>
      </c>
    </row>
    <row r="119">
      <c r="A119" s="1" t="s">
        <v>122</v>
      </c>
      <c r="B119" s="1" t="s">
        <v>5</v>
      </c>
      <c r="C119" s="2">
        <f>IFERROR(__xludf.DUMMYFUNCTION("IFERROR(VLOOKUP(A119, IMPORTRANGE(""https://docs.google.com/spreadsheets/d/1AVX9GT0dgogEBStecCXMMQ29tWz3gBrtNB8yIromXbY/edit?gid=741673867"", ""out1g!A:B""), 2, FALSE), 0)"),115.0)</f>
        <v>115</v>
      </c>
      <c r="D119" s="2" t="str">
        <f>IFERROR(__xludf.DUMMYFUNCTION("IFERROR(VLOOKUP(A119, IMPORTRANGE(""https://docs.google.com/spreadsheets/d/1-3Vjw2Cyy-mry5gbC8ypIR3YVGFfEpyFESummAta6sg/edit"", ""Sheet1!B:D""), 2, FALSE), ""Not Found"")"),"suðɪŋ")</f>
        <v>suðɪŋ</v>
      </c>
      <c r="E119" s="2" t="str">
        <f>IFERROR(__xludf.DUMMYFUNCTION("IFERROR(VLOOKUP(A119, IMPORTRANGE(""https://docs.google.com/spreadsheets/d/1-3Vjw2Cyy-mry5gbC8ypIR3YVGFfEpyFESummAta6sg/edit"", ""Sheet1!B:D""), 3, FALSE), ""Not Found"")"),"s u ð ɪ ŋ ")</f>
        <v>s u ð ɪ ŋ </v>
      </c>
    </row>
    <row r="120">
      <c r="A120" s="1" t="s">
        <v>123</v>
      </c>
      <c r="B120" s="1" t="s">
        <v>5</v>
      </c>
      <c r="C120" s="2">
        <f>IFERROR(__xludf.DUMMYFUNCTION("IFERROR(VLOOKUP(A120, IMPORTRANGE(""https://docs.google.com/spreadsheets/d/1AVX9GT0dgogEBStecCXMMQ29tWz3gBrtNB8yIromXbY/edit?gid=741673867"", ""out1g!A:B""), 2, FALSE), 0)"),12.0)</f>
        <v>12</v>
      </c>
      <c r="D120" s="2" t="str">
        <f>IFERROR(__xludf.DUMMYFUNCTION("IFERROR(VLOOKUP(A120, IMPORTRANGE(""https://docs.google.com/spreadsheets/d/1-3Vjw2Cyy-mry5gbC8ypIR3YVGFfEpyFESummAta6sg/edit"", ""Sheet1!B:D""), 2, FALSE), ""Not Found"")"),"kjutiz")</f>
        <v>kjutiz</v>
      </c>
      <c r="E120" s="2" t="str">
        <f>IFERROR(__xludf.DUMMYFUNCTION("IFERROR(VLOOKUP(A120, IMPORTRANGE(""https://docs.google.com/spreadsheets/d/1-3Vjw2Cyy-mry5gbC8ypIR3YVGFfEpyFESummAta6sg/edit"", ""Sheet1!B:D""), 3, FALSE), ""Not Found"")"),"k j u t i z ")</f>
        <v>k j u t i z </v>
      </c>
    </row>
    <row r="121">
      <c r="A121" s="1" t="s">
        <v>124</v>
      </c>
      <c r="B121" s="1" t="s">
        <v>5</v>
      </c>
      <c r="C121" s="2">
        <f>IFERROR(__xludf.DUMMYFUNCTION("IFERROR(VLOOKUP(A121, IMPORTRANGE(""https://docs.google.com/spreadsheets/d/1AVX9GT0dgogEBStecCXMMQ29tWz3gBrtNB8yIromXbY/edit?gid=741673867"", ""out1g!A:B""), 2, FALSE), 0)"),341.0)</f>
        <v>341</v>
      </c>
      <c r="D121" s="2" t="str">
        <f>IFERROR(__xludf.DUMMYFUNCTION("IFERROR(VLOOKUP(A121, IMPORTRANGE(""https://docs.google.com/spreadsheets/d/1-3Vjw2Cyy-mry5gbC8ypIR3YVGFfEpyFESummAta6sg/edit"", ""Sheet1!B:D""), 2, FALSE), ""Not Found"")"),"lɑks")</f>
        <v>lɑks</v>
      </c>
      <c r="E121" s="2" t="str">
        <f>IFERROR(__xludf.DUMMYFUNCTION("IFERROR(VLOOKUP(A121, IMPORTRANGE(""https://docs.google.com/spreadsheets/d/1-3Vjw2Cyy-mry5gbC8ypIR3YVGFfEpyFESummAta6sg/edit"", ""Sheet1!B:D""), 3, FALSE), ""Not Found"")"),"l ɑ k s ")</f>
        <v>l ɑ k s </v>
      </c>
    </row>
    <row r="122">
      <c r="A122" s="1" t="s">
        <v>125</v>
      </c>
      <c r="B122" s="1" t="s">
        <v>5</v>
      </c>
      <c r="C122" s="2">
        <f>IFERROR(__xludf.DUMMYFUNCTION("IFERROR(VLOOKUP(A122, IMPORTRANGE(""https://docs.google.com/spreadsheets/d/1AVX9GT0dgogEBStecCXMMQ29tWz3gBrtNB8yIromXbY/edit?gid=741673867"", ""out1g!A:B""), 2, FALSE), 0)"),330.0)</f>
        <v>330</v>
      </c>
      <c r="D122" s="2" t="str">
        <f>IFERROR(__xludf.DUMMYFUNCTION("IFERROR(VLOOKUP(A122, IMPORTRANGE(""https://docs.google.com/spreadsheets/d/1-3Vjw2Cyy-mry5gbC8ypIR3YVGFfEpyFESummAta6sg/edit"", ""Sheet1!B:D""), 2, FALSE), ""Not Found"")"),"ʧoʊk")</f>
        <v>ʧoʊk</v>
      </c>
      <c r="E122" s="2" t="str">
        <f>IFERROR(__xludf.DUMMYFUNCTION("IFERROR(VLOOKUP(A122, IMPORTRANGE(""https://docs.google.com/spreadsheets/d/1-3Vjw2Cyy-mry5gbC8ypIR3YVGFfEpyFESummAta6sg/edit"", ""Sheet1!B:D""), 3, FALSE), ""Not Found"")"),"ʧ o ʊ k ")</f>
        <v>ʧ o ʊ k </v>
      </c>
    </row>
    <row r="123">
      <c r="A123" s="1" t="s">
        <v>126</v>
      </c>
      <c r="B123" s="1" t="s">
        <v>5</v>
      </c>
      <c r="C123" s="2">
        <f>IFERROR(__xludf.DUMMYFUNCTION("IFERROR(VLOOKUP(A123, IMPORTRANGE(""https://docs.google.com/spreadsheets/d/1AVX9GT0dgogEBStecCXMMQ29tWz3gBrtNB8yIromXbY/edit?gid=741673867"", ""out1g!A:B""), 2, FALSE), 0)"),30.0)</f>
        <v>30</v>
      </c>
      <c r="D123" s="2" t="str">
        <f>IFERROR(__xludf.DUMMYFUNCTION("IFERROR(VLOOKUP(A123, IMPORTRANGE(""https://docs.google.com/spreadsheets/d/1-3Vjw2Cyy-mry5gbC8ypIR3YVGFfEpyFESummAta6sg/edit"", ""Sheet1!B:D""), 2, FALSE), ""Not Found"")"),"frɑgi")</f>
        <v>frɑgi</v>
      </c>
      <c r="E123" s="2" t="str">
        <f>IFERROR(__xludf.DUMMYFUNCTION("IFERROR(VLOOKUP(A123, IMPORTRANGE(""https://docs.google.com/spreadsheets/d/1-3Vjw2Cyy-mry5gbC8ypIR3YVGFfEpyFESummAta6sg/edit"", ""Sheet1!B:D""), 3, FALSE), ""Not Found"")"),"f r ɑ g i ")</f>
        <v>f r ɑ g i </v>
      </c>
    </row>
    <row r="124">
      <c r="A124" s="1" t="s">
        <v>127</v>
      </c>
      <c r="B124" s="1" t="s">
        <v>5</v>
      </c>
      <c r="C124" s="2">
        <f>IFERROR(__xludf.DUMMYFUNCTION("IFERROR(VLOOKUP(A124, IMPORTRANGE(""https://docs.google.com/spreadsheets/d/1AVX9GT0dgogEBStecCXMMQ29tWz3gBrtNB8yIromXbY/edit?gid=741673867"", ""out1g!A:B""), 2, FALSE), 0)"),1456.0)</f>
        <v>1456</v>
      </c>
      <c r="D124" s="2" t="str">
        <f>IFERROR(__xludf.DUMMYFUNCTION("IFERROR(VLOOKUP(A124, IMPORTRANGE(""https://docs.google.com/spreadsheets/d/1-3Vjw2Cyy-mry5gbC8ypIR3YVGFfEpyFESummAta6sg/edit"", ""Sheet1!B:D""), 2, FALSE), ""Not Found"")"),"ʤɔɪ")</f>
        <v>ʤɔɪ</v>
      </c>
      <c r="E124" s="2" t="str">
        <f>IFERROR(__xludf.DUMMYFUNCTION("IFERROR(VLOOKUP(A124, IMPORTRANGE(""https://docs.google.com/spreadsheets/d/1-3Vjw2Cyy-mry5gbC8ypIR3YVGFfEpyFESummAta6sg/edit"", ""Sheet1!B:D""), 3, FALSE), ""Not Found"")"),"ʤ ɔ ɪ ")</f>
        <v>ʤ ɔ ɪ </v>
      </c>
    </row>
    <row r="125">
      <c r="A125" s="1" t="s">
        <v>128</v>
      </c>
      <c r="B125" s="1" t="s">
        <v>5</v>
      </c>
      <c r="C125" s="2">
        <f>IFERROR(__xludf.DUMMYFUNCTION("IFERROR(VLOOKUP(A125, IMPORTRANGE(""https://docs.google.com/spreadsheets/d/1AVX9GT0dgogEBStecCXMMQ29tWz3gBrtNB8yIromXbY/edit?gid=741673867"", ""out1g!A:B""), 2, FALSE), 0)"),235.0)</f>
        <v>235</v>
      </c>
      <c r="D125" s="2" t="str">
        <f>IFERROR(__xludf.DUMMYFUNCTION("IFERROR(VLOOKUP(A125, IMPORTRANGE(""https://docs.google.com/spreadsheets/d/1-3Vjw2Cyy-mry5gbC8ypIR3YVGFfEpyFESummAta6sg/edit"", ""Sheet1!B:D""), 2, FALSE), ""Not Found"")"),"əbɔrt")</f>
        <v>əbɔrt</v>
      </c>
      <c r="E125" s="2" t="str">
        <f>IFERROR(__xludf.DUMMYFUNCTION("IFERROR(VLOOKUP(A125, IMPORTRANGE(""https://docs.google.com/spreadsheets/d/1-3Vjw2Cyy-mry5gbC8ypIR3YVGFfEpyFESummAta6sg/edit"", ""Sheet1!B:D""), 3, FALSE), ""Not Found"")"),"ə b ɔ r t ")</f>
        <v>ə b ɔ r t </v>
      </c>
    </row>
    <row r="126">
      <c r="A126" s="1" t="s">
        <v>129</v>
      </c>
      <c r="B126" s="1" t="s">
        <v>5</v>
      </c>
      <c r="C126" s="2">
        <f>IFERROR(__xludf.DUMMYFUNCTION("IFERROR(VLOOKUP(A126, IMPORTRANGE(""https://docs.google.com/spreadsheets/d/1AVX9GT0dgogEBStecCXMMQ29tWz3gBrtNB8yIromXbY/edit?gid=741673867"", ""out1g!A:B""), 2, FALSE), 0)"),50.0)</f>
        <v>50</v>
      </c>
      <c r="D126" s="2" t="str">
        <f>IFERROR(__xludf.DUMMYFUNCTION("IFERROR(VLOOKUP(A126, IMPORTRANGE(""https://docs.google.com/spreadsheets/d/1-3Vjw2Cyy-mry5gbC8ypIR3YVGFfEpyFESummAta6sg/edit"", ""Sheet1!B:D""), 2, FALSE), ""Not Found"")"),"gledz")</f>
        <v>gledz</v>
      </c>
      <c r="E126" s="2" t="str">
        <f>IFERROR(__xludf.DUMMYFUNCTION("IFERROR(VLOOKUP(A126, IMPORTRANGE(""https://docs.google.com/spreadsheets/d/1-3Vjw2Cyy-mry5gbC8ypIR3YVGFfEpyFESummAta6sg/edit"", ""Sheet1!B:D""), 3, FALSE), ""Not Found"")"),"g l e d z ")</f>
        <v>g l e d z </v>
      </c>
    </row>
    <row r="127">
      <c r="A127" s="1" t="s">
        <v>130</v>
      </c>
      <c r="B127" s="1" t="s">
        <v>5</v>
      </c>
      <c r="C127" s="2">
        <f>IFERROR(__xludf.DUMMYFUNCTION("IFERROR(VLOOKUP(A127, IMPORTRANGE(""https://docs.google.com/spreadsheets/d/1AVX9GT0dgogEBStecCXMMQ29tWz3gBrtNB8yIromXbY/edit?gid=741673867"", ""out1g!A:B""), 2, FALSE), 0)"),206.0)</f>
        <v>206</v>
      </c>
      <c r="D127" s="2" t="str">
        <f>IFERROR(__xludf.DUMMYFUNCTION("IFERROR(VLOOKUP(A127, IMPORTRANGE(""https://docs.google.com/spreadsheets/d/1-3Vjw2Cyy-mry5gbC8ypIR3YVGFfEpyFESummAta6sg/edit"", ""Sheet1!B:D""), 2, FALSE), ""Not Found"")"),"jild")</f>
        <v>jild</v>
      </c>
      <c r="E127" s="2" t="str">
        <f>IFERROR(__xludf.DUMMYFUNCTION("IFERROR(VLOOKUP(A127, IMPORTRANGE(""https://docs.google.com/spreadsheets/d/1-3Vjw2Cyy-mry5gbC8ypIR3YVGFfEpyFESummAta6sg/edit"", ""Sheet1!B:D""), 3, FALSE), ""Not Found"")"),"j i l d ")</f>
        <v>j i l d </v>
      </c>
    </row>
    <row r="128">
      <c r="A128" s="1" t="s">
        <v>131</v>
      </c>
      <c r="B128" s="1" t="s">
        <v>5</v>
      </c>
      <c r="C128" s="2">
        <f>IFERROR(__xludf.DUMMYFUNCTION("IFERROR(VLOOKUP(A128, IMPORTRANGE(""https://docs.google.com/spreadsheets/d/1AVX9GT0dgogEBStecCXMMQ29tWz3gBrtNB8yIromXbY/edit?gid=741673867"", ""out1g!A:B""), 2, FALSE), 0)"),61.0)</f>
        <v>61</v>
      </c>
      <c r="D128" s="2" t="str">
        <f>IFERROR(__xludf.DUMMYFUNCTION("IFERROR(VLOOKUP(A128, IMPORTRANGE(""https://docs.google.com/spreadsheets/d/1-3Vjw2Cyy-mry5gbC8ypIR3YVGFfEpyFESummAta6sg/edit"", ""Sheet1!B:D""), 2, FALSE), ""Not Found"")"),"hɛfər")</f>
        <v>hɛfər</v>
      </c>
      <c r="E128" s="2" t="str">
        <f>IFERROR(__xludf.DUMMYFUNCTION("IFERROR(VLOOKUP(A128, IMPORTRANGE(""https://docs.google.com/spreadsheets/d/1-3Vjw2Cyy-mry5gbC8ypIR3YVGFfEpyFESummAta6sg/edit"", ""Sheet1!B:D""), 3, FALSE), ""Not Found"")"),"h ɛ f ə r ")</f>
        <v>h ɛ f ə r </v>
      </c>
    </row>
    <row r="129">
      <c r="A129" s="1" t="s">
        <v>132</v>
      </c>
      <c r="B129" s="1" t="s">
        <v>5</v>
      </c>
      <c r="C129" s="2">
        <f>IFERROR(__xludf.DUMMYFUNCTION("IFERROR(VLOOKUP(A129, IMPORTRANGE(""https://docs.google.com/spreadsheets/d/1AVX9GT0dgogEBStecCXMMQ29tWz3gBrtNB8yIromXbY/edit?gid=741673867"", ""out1g!A:B""), 2, FALSE), 0)"),161.0)</f>
        <v>161</v>
      </c>
      <c r="D129" s="2" t="str">
        <f>IFERROR(__xludf.DUMMYFUNCTION("IFERROR(VLOOKUP(A129, IMPORTRANGE(""https://docs.google.com/spreadsheets/d/1-3Vjw2Cyy-mry5gbC8ypIR3YVGFfEpyFESummAta6sg/edit"", ""Sheet1!B:D""), 2, FALSE), ""Not Found"")"),"ɑrz")</f>
        <v>ɑrz</v>
      </c>
      <c r="E129" s="2" t="str">
        <f>IFERROR(__xludf.DUMMYFUNCTION("IFERROR(VLOOKUP(A129, IMPORTRANGE(""https://docs.google.com/spreadsheets/d/1-3Vjw2Cyy-mry5gbC8ypIR3YVGFfEpyFESummAta6sg/edit"", ""Sheet1!B:D""), 3, FALSE), ""Not Found"")"),"ɑ r z ")</f>
        <v>ɑ r z </v>
      </c>
    </row>
    <row r="130">
      <c r="A130" s="1" t="s">
        <v>133</v>
      </c>
      <c r="B130" s="1" t="s">
        <v>5</v>
      </c>
      <c r="C130" s="2">
        <f>IFERROR(__xludf.DUMMYFUNCTION("IFERROR(VLOOKUP(A130, IMPORTRANGE(""https://docs.google.com/spreadsheets/d/1AVX9GT0dgogEBStecCXMMQ29tWz3gBrtNB8yIromXbY/edit?gid=741673867"", ""out1g!A:B""), 2, FALSE), 0)"),701.0)</f>
        <v>701</v>
      </c>
      <c r="D130" s="2" t="str">
        <f>IFERROR(__xludf.DUMMYFUNCTION("IFERROR(VLOOKUP(A130, IMPORTRANGE(""https://docs.google.com/spreadsheets/d/1-3Vjw2Cyy-mry5gbC8ypIR3YVGFfEpyFESummAta6sg/edit"", ""Sheet1!B:D""), 2, FALSE), ""Not Found"")"),"drɪl")</f>
        <v>drɪl</v>
      </c>
      <c r="E130" s="2" t="str">
        <f>IFERROR(__xludf.DUMMYFUNCTION("IFERROR(VLOOKUP(A130, IMPORTRANGE(""https://docs.google.com/spreadsheets/d/1-3Vjw2Cyy-mry5gbC8ypIR3YVGFfEpyFESummAta6sg/edit"", ""Sheet1!B:D""), 3, FALSE), ""Not Found"")"),"d r ɪ l ")</f>
        <v>d r ɪ l </v>
      </c>
    </row>
    <row r="131">
      <c r="A131" s="1" t="s">
        <v>134</v>
      </c>
      <c r="B131" s="1" t="s">
        <v>5</v>
      </c>
      <c r="C131" s="2">
        <f>IFERROR(__xludf.DUMMYFUNCTION("IFERROR(VLOOKUP(A131, IMPORTRANGE(""https://docs.google.com/spreadsheets/d/1AVX9GT0dgogEBStecCXMMQ29tWz3gBrtNB8yIromXbY/edit?gid=741673867"", ""out1g!A:B""), 2, FALSE), 0)"),116.0)</f>
        <v>116</v>
      </c>
      <c r="D131" s="2" t="str">
        <f>IFERROR(__xludf.DUMMYFUNCTION("IFERROR(VLOOKUP(A131, IMPORTRANGE(""https://docs.google.com/spreadsheets/d/1-3Vjw2Cyy-mry5gbC8ypIR3YVGFfEpyFESummAta6sg/edit"", ""Sheet1!B:D""), 2, FALSE), ""Not Found"")"),"tɔŋ")</f>
        <v>tɔŋ</v>
      </c>
      <c r="E131" s="2" t="str">
        <f>IFERROR(__xludf.DUMMYFUNCTION("IFERROR(VLOOKUP(A131, IMPORTRANGE(""https://docs.google.com/spreadsheets/d/1-3Vjw2Cyy-mry5gbC8ypIR3YVGFfEpyFESummAta6sg/edit"", ""Sheet1!B:D""), 3, FALSE), ""Not Found"")"),"t ɔ ŋ ")</f>
        <v>t ɔ ŋ </v>
      </c>
    </row>
    <row r="132">
      <c r="A132" s="1" t="s">
        <v>135</v>
      </c>
      <c r="B132" s="1" t="s">
        <v>5</v>
      </c>
      <c r="C132" s="2">
        <f>IFERROR(__xludf.DUMMYFUNCTION("IFERROR(VLOOKUP(A132, IMPORTRANGE(""https://docs.google.com/spreadsheets/d/1AVX9GT0dgogEBStecCXMMQ29tWz3gBrtNB8yIromXbY/edit?gid=741673867"", ""out1g!A:B""), 2, FALSE), 0)"),423.0)</f>
        <v>423</v>
      </c>
      <c r="D132" s="2" t="str">
        <f>IFERROR(__xludf.DUMMYFUNCTION("IFERROR(VLOOKUP(A132, IMPORTRANGE(""https://docs.google.com/spreadsheets/d/1-3Vjw2Cyy-mry5gbC8ypIR3YVGFfEpyFESummAta6sg/edit"", ""Sheet1!B:D""), 2, FALSE), ""Not Found"")"),"træmp")</f>
        <v>træmp</v>
      </c>
      <c r="E132" s="2" t="str">
        <f>IFERROR(__xludf.DUMMYFUNCTION("IFERROR(VLOOKUP(A132, IMPORTRANGE(""https://docs.google.com/spreadsheets/d/1-3Vjw2Cyy-mry5gbC8ypIR3YVGFfEpyFESummAta6sg/edit"", ""Sheet1!B:D""), 3, FALSE), ""Not Found"")"),"t r æ m p ")</f>
        <v>t r æ m p </v>
      </c>
    </row>
    <row r="133">
      <c r="A133" s="1" t="s">
        <v>136</v>
      </c>
      <c r="B133" s="1" t="s">
        <v>5</v>
      </c>
      <c r="C133" s="2">
        <f>IFERROR(__xludf.DUMMYFUNCTION("IFERROR(VLOOKUP(A133, IMPORTRANGE(""https://docs.google.com/spreadsheets/d/1AVX9GT0dgogEBStecCXMMQ29tWz3gBrtNB8yIromXbY/edit?gid=741673867"", ""out1g!A:B""), 2, FALSE), 0)"),2477.0)</f>
        <v>2477</v>
      </c>
      <c r="D133" s="2" t="str">
        <f>IFERROR(__xludf.DUMMYFUNCTION("IFERROR(VLOOKUP(A133, IMPORTRANGE(""https://docs.google.com/spreadsheets/d/1-3Vjw2Cyy-mry5gbC8ypIR3YVGFfEpyFESummAta6sg/edit"", ""Sheet1!B:D""), 2, FALSE), ""Not Found"")"),"mɛməri")</f>
        <v>mɛməri</v>
      </c>
      <c r="E133" s="2" t="str">
        <f>IFERROR(__xludf.DUMMYFUNCTION("IFERROR(VLOOKUP(A133, IMPORTRANGE(""https://docs.google.com/spreadsheets/d/1-3Vjw2Cyy-mry5gbC8ypIR3YVGFfEpyFESummAta6sg/edit"", ""Sheet1!B:D""), 3, FALSE), ""Not Found"")"),"m ɛ m ə r i ")</f>
        <v>m ɛ m ə r i </v>
      </c>
    </row>
    <row r="134">
      <c r="A134" s="1" t="s">
        <v>137</v>
      </c>
      <c r="B134" s="1" t="s">
        <v>5</v>
      </c>
      <c r="C134" s="2">
        <f>IFERROR(__xludf.DUMMYFUNCTION("IFERROR(VLOOKUP(A134, IMPORTRANGE(""https://docs.google.com/spreadsheets/d/1AVX9GT0dgogEBStecCXMMQ29tWz3gBrtNB8yIromXbY/edit?gid=741673867"", ""out1g!A:B""), 2, FALSE), 0)"),52.0)</f>
        <v>52</v>
      </c>
      <c r="D134" s="2" t="str">
        <f>IFERROR(__xludf.DUMMYFUNCTION("IFERROR(VLOOKUP(A134, IMPORTRANGE(""https://docs.google.com/spreadsheets/d/1-3Vjw2Cyy-mry5gbC8ypIR3YVGFfEpyFESummAta6sg/edit"", ""Sheet1!B:D""), 2, FALSE), ""Not Found"")"),"fʊtɪŋ")</f>
        <v>fʊtɪŋ</v>
      </c>
      <c r="E134" s="2" t="str">
        <f>IFERROR(__xludf.DUMMYFUNCTION("IFERROR(VLOOKUP(A134, IMPORTRANGE(""https://docs.google.com/spreadsheets/d/1-3Vjw2Cyy-mry5gbC8ypIR3YVGFfEpyFESummAta6sg/edit"", ""Sheet1!B:D""), 3, FALSE), ""Not Found"")"),"f ʊ t ɪ ŋ ")</f>
        <v>f ʊ t ɪ ŋ </v>
      </c>
    </row>
    <row r="135">
      <c r="A135" s="1" t="s">
        <v>138</v>
      </c>
      <c r="B135" s="1" t="s">
        <v>5</v>
      </c>
      <c r="C135" s="2">
        <f>IFERROR(__xludf.DUMMYFUNCTION("IFERROR(VLOOKUP(A135, IMPORTRANGE(""https://docs.google.com/spreadsheets/d/1AVX9GT0dgogEBStecCXMMQ29tWz3gBrtNB8yIromXbY/edit?gid=741673867"", ""out1g!A:B""), 2, FALSE), 0)"),6041.0)</f>
        <v>6041</v>
      </c>
      <c r="D135" s="2" t="str">
        <f>IFERROR(__xludf.DUMMYFUNCTION("IFERROR(VLOOKUP(A135, IMPORTRANGE(""https://docs.google.com/spreadsheets/d/1-3Vjw2Cyy-mry5gbC8ypIR3YVGFfEpyFESummAta6sg/edit"", ""Sheet1!B:D""), 2, FALSE), ""Not Found"")"),"bɪl")</f>
        <v>bɪl</v>
      </c>
      <c r="E135" s="2" t="str">
        <f>IFERROR(__xludf.DUMMYFUNCTION("IFERROR(VLOOKUP(A135, IMPORTRANGE(""https://docs.google.com/spreadsheets/d/1-3Vjw2Cyy-mry5gbC8ypIR3YVGFfEpyFESummAta6sg/edit"", ""Sheet1!B:D""), 3, FALSE), ""Not Found"")"),"b ɪ l ")</f>
        <v>b ɪ l </v>
      </c>
    </row>
    <row r="136">
      <c r="A136" s="1" t="s">
        <v>139</v>
      </c>
      <c r="B136" s="1" t="s">
        <v>5</v>
      </c>
      <c r="C136" s="2">
        <f>IFERROR(__xludf.DUMMYFUNCTION("IFERROR(VLOOKUP(A136, IMPORTRANGE(""https://docs.google.com/spreadsheets/d/1AVX9GT0dgogEBStecCXMMQ29tWz3gBrtNB8yIromXbY/edit?gid=741673867"", ""out1g!A:B""), 2, FALSE), 0)"),2245.0)</f>
        <v>2245</v>
      </c>
      <c r="D136" s="2" t="str">
        <f>IFERROR(__xludf.DUMMYFUNCTION("IFERROR(VLOOKUP(A136, IMPORTRANGE(""https://docs.google.com/spreadsheets/d/1-3Vjw2Cyy-mry5gbC8ypIR3YVGFfEpyFESummAta6sg/edit"", ""Sheet1!B:D""), 2, FALSE), ""Not Found"")"),"ʤek")</f>
        <v>ʤek</v>
      </c>
      <c r="E136" s="2" t="str">
        <f>IFERROR(__xludf.DUMMYFUNCTION("IFERROR(VLOOKUP(A136, IMPORTRANGE(""https://docs.google.com/spreadsheets/d/1-3Vjw2Cyy-mry5gbC8ypIR3YVGFfEpyFESummAta6sg/edit"", ""Sheet1!B:D""), 3, FALSE), ""Not Found"")"),"ʤ e k ")</f>
        <v>ʤ e k </v>
      </c>
    </row>
    <row r="137">
      <c r="A137" s="1" t="s">
        <v>140</v>
      </c>
      <c r="B137" s="1" t="s">
        <v>5</v>
      </c>
      <c r="C137" s="2">
        <f>IFERROR(__xludf.DUMMYFUNCTION("IFERROR(VLOOKUP(A137, IMPORTRANGE(""https://docs.google.com/spreadsheets/d/1AVX9GT0dgogEBStecCXMMQ29tWz3gBrtNB8yIromXbY/edit?gid=741673867"", ""out1g!A:B""), 2, FALSE), 0)"),350.0)</f>
        <v>350</v>
      </c>
      <c r="D137" s="2" t="str">
        <f>IFERROR(__xludf.DUMMYFUNCTION("IFERROR(VLOOKUP(A137, IMPORTRANGE(""https://docs.google.com/spreadsheets/d/1-3Vjw2Cyy-mry5gbC8ypIR3YVGFfEpyFESummAta6sg/edit"", ""Sheet1!B:D""), 2, FALSE), ""Not Found"")"),"klæmp")</f>
        <v>klæmp</v>
      </c>
      <c r="E137" s="2" t="str">
        <f>IFERROR(__xludf.DUMMYFUNCTION("IFERROR(VLOOKUP(A137, IMPORTRANGE(""https://docs.google.com/spreadsheets/d/1-3Vjw2Cyy-mry5gbC8ypIR3YVGFfEpyFESummAta6sg/edit"", ""Sheet1!B:D""), 3, FALSE), ""Not Found"")"),"k l æ m p ")</f>
        <v>k l æ m p </v>
      </c>
    </row>
    <row r="138">
      <c r="A138" s="1" t="s">
        <v>141</v>
      </c>
      <c r="B138" s="1" t="s">
        <v>5</v>
      </c>
      <c r="C138" s="2">
        <f>IFERROR(__xludf.DUMMYFUNCTION("IFERROR(VLOOKUP(A138, IMPORTRANGE(""https://docs.google.com/spreadsheets/d/1AVX9GT0dgogEBStecCXMMQ29tWz3gBrtNB8yIromXbY/edit?gid=741673867"", ""out1g!A:B""), 2, FALSE), 0)"),14174.0)</f>
        <v>14174</v>
      </c>
      <c r="D138" s="2" t="str">
        <f>IFERROR(__xludf.DUMMYFUNCTION("IFERROR(VLOOKUP(A138, IMPORTRANGE(""https://docs.google.com/spreadsheets/d/1-3Vjw2Cyy-mry5gbC8ypIR3YVGFfEpyFESummAta6sg/edit"", ""Sheet1!B:D""), 2, FALSE), ""Not Found"")"),"jɪr")</f>
        <v>jɪr</v>
      </c>
      <c r="E138" s="2" t="str">
        <f>IFERROR(__xludf.DUMMYFUNCTION("IFERROR(VLOOKUP(A138, IMPORTRANGE(""https://docs.google.com/spreadsheets/d/1-3Vjw2Cyy-mry5gbC8ypIR3YVGFfEpyFESummAta6sg/edit"", ""Sheet1!B:D""), 3, FALSE), ""Not Found"")"),"j ɪ r ")</f>
        <v>j ɪ r </v>
      </c>
    </row>
    <row r="139">
      <c r="A139" s="1" t="s">
        <v>142</v>
      </c>
      <c r="B139" s="1" t="s">
        <v>5</v>
      </c>
      <c r="C139" s="2">
        <f>IFERROR(__xludf.DUMMYFUNCTION("IFERROR(VLOOKUP(A139, IMPORTRANGE(""https://docs.google.com/spreadsheets/d/1AVX9GT0dgogEBStecCXMMQ29tWz3gBrtNB8yIromXbY/edit?gid=741673867"", ""out1g!A:B""), 2, FALSE), 0)"),156.0)</f>
        <v>156</v>
      </c>
      <c r="D139" s="2" t="str">
        <f>IFERROR(__xludf.DUMMYFUNCTION("IFERROR(VLOOKUP(A139, IMPORTRANGE(""https://docs.google.com/spreadsheets/d/1-3Vjw2Cyy-mry5gbC8ypIR3YVGFfEpyFESummAta6sg/edit"", ""Sheet1!B:D""), 2, FALSE), ""Not Found"")"),"həb")</f>
        <v>həb</v>
      </c>
      <c r="E139" s="2" t="str">
        <f>IFERROR(__xludf.DUMMYFUNCTION("IFERROR(VLOOKUP(A139, IMPORTRANGE(""https://docs.google.com/spreadsheets/d/1-3Vjw2Cyy-mry5gbC8ypIR3YVGFfEpyFESummAta6sg/edit"", ""Sheet1!B:D""), 3, FALSE), ""Not Found"")"),"h ə b ")</f>
        <v>h ə b </v>
      </c>
    </row>
    <row r="140">
      <c r="A140" s="1" t="s">
        <v>143</v>
      </c>
      <c r="B140" s="1" t="s">
        <v>5</v>
      </c>
      <c r="C140" s="2">
        <f>IFERROR(__xludf.DUMMYFUNCTION("IFERROR(VLOOKUP(A140, IMPORTRANGE(""https://docs.google.com/spreadsheets/d/1AVX9GT0dgogEBStecCXMMQ29tWz3gBrtNB8yIromXbY/edit?gid=741673867"", ""out1g!A:B""), 2, FALSE), 0)"),79.0)</f>
        <v>79</v>
      </c>
      <c r="D140" s="2" t="str">
        <f>IFERROR(__xludf.DUMMYFUNCTION("IFERROR(VLOOKUP(A140, IMPORTRANGE(""https://docs.google.com/spreadsheets/d/1-3Vjw2Cyy-mry5gbC8ypIR3YVGFfEpyFESummAta6sg/edit"", ""Sheet1!B:D""), 2, FALSE), ""Not Found"")"),"blɑndz")</f>
        <v>blɑndz</v>
      </c>
      <c r="E140" s="2" t="str">
        <f>IFERROR(__xludf.DUMMYFUNCTION("IFERROR(VLOOKUP(A140, IMPORTRANGE(""https://docs.google.com/spreadsheets/d/1-3Vjw2Cyy-mry5gbC8ypIR3YVGFfEpyFESummAta6sg/edit"", ""Sheet1!B:D""), 3, FALSE), ""Not Found"")"),"b l ɑ n d z ")</f>
        <v>b l ɑ n d z </v>
      </c>
    </row>
    <row r="141">
      <c r="A141" s="1" t="s">
        <v>144</v>
      </c>
      <c r="B141" s="1" t="s">
        <v>5</v>
      </c>
      <c r="C141" s="2">
        <f>IFERROR(__xludf.DUMMYFUNCTION("IFERROR(VLOOKUP(A141, IMPORTRANGE(""https://docs.google.com/spreadsheets/d/1AVX9GT0dgogEBStecCXMMQ29tWz3gBrtNB8yIromXbY/edit?gid=741673867"", ""out1g!A:B""), 2, FALSE), 0)"),263.0)</f>
        <v>263</v>
      </c>
      <c r="D141" s="2" t="str">
        <f>IFERROR(__xludf.DUMMYFUNCTION("IFERROR(VLOOKUP(A141, IMPORTRANGE(""https://docs.google.com/spreadsheets/d/1-3Vjw2Cyy-mry5gbC8ypIR3YVGFfEpyFESummAta6sg/edit"", ""Sheet1!B:D""), 2, FALSE), ""Not Found"")"),"kɔʃən")</f>
        <v>kɔʃən</v>
      </c>
      <c r="E141" s="2" t="str">
        <f>IFERROR(__xludf.DUMMYFUNCTION("IFERROR(VLOOKUP(A141, IMPORTRANGE(""https://docs.google.com/spreadsheets/d/1-3Vjw2Cyy-mry5gbC8ypIR3YVGFfEpyFESummAta6sg/edit"", ""Sheet1!B:D""), 3, FALSE), ""Not Found"")"),"k ɔ ʃ ə n ")</f>
        <v>k ɔ ʃ ə n </v>
      </c>
    </row>
    <row r="142">
      <c r="A142" s="1" t="s">
        <v>145</v>
      </c>
      <c r="B142" s="1" t="s">
        <v>5</v>
      </c>
      <c r="C142" s="2">
        <f>IFERROR(__xludf.DUMMYFUNCTION("IFERROR(VLOOKUP(A142, IMPORTRANGE(""https://docs.google.com/spreadsheets/d/1AVX9GT0dgogEBStecCXMMQ29tWz3gBrtNB8yIromXbY/edit?gid=741673867"", ""out1g!A:B""), 2, FALSE), 0)"),173.0)</f>
        <v>173</v>
      </c>
      <c r="D142" s="2" t="str">
        <f>IFERROR(__xludf.DUMMYFUNCTION("IFERROR(VLOOKUP(A142, IMPORTRANGE(""https://docs.google.com/spreadsheets/d/1-3Vjw2Cyy-mry5gbC8ypIR3YVGFfEpyFESummAta6sg/edit"", ""Sheet1!B:D""), 2, FALSE), ""Not Found"")"),"lɛtəs")</f>
        <v>lɛtəs</v>
      </c>
      <c r="E142" s="2" t="str">
        <f>IFERROR(__xludf.DUMMYFUNCTION("IFERROR(VLOOKUP(A142, IMPORTRANGE(""https://docs.google.com/spreadsheets/d/1-3Vjw2Cyy-mry5gbC8ypIR3YVGFfEpyFESummAta6sg/edit"", ""Sheet1!B:D""), 3, FALSE), ""Not Found"")"),"l ɛ t ə s ")</f>
        <v>l ɛ t ə s </v>
      </c>
    </row>
    <row r="143">
      <c r="A143" s="1" t="s">
        <v>146</v>
      </c>
      <c r="B143" s="1" t="s">
        <v>5</v>
      </c>
      <c r="C143" s="2">
        <f>IFERROR(__xludf.DUMMYFUNCTION("IFERROR(VLOOKUP(A143, IMPORTRANGE(""https://docs.google.com/spreadsheets/d/1AVX9GT0dgogEBStecCXMMQ29tWz3gBrtNB8yIromXbY/edit?gid=741673867"", ""out1g!A:B""), 2, FALSE), 0)"),71.0)</f>
        <v>71</v>
      </c>
      <c r="D143" s="2" t="str">
        <f>IFERROR(__xludf.DUMMYFUNCTION("IFERROR(VLOOKUP(A143, IMPORTRANGE(""https://docs.google.com/spreadsheets/d/1-3Vjw2Cyy-mry5gbC8ypIR3YVGFfEpyFESummAta6sg/edit"", ""Sheet1!B:D""), 2, FALSE), ""Not Found"")"),"rʊk")</f>
        <v>rʊk</v>
      </c>
      <c r="E143" s="2" t="str">
        <f>IFERROR(__xludf.DUMMYFUNCTION("IFERROR(VLOOKUP(A143, IMPORTRANGE(""https://docs.google.com/spreadsheets/d/1-3Vjw2Cyy-mry5gbC8ypIR3YVGFfEpyFESummAta6sg/edit"", ""Sheet1!B:D""), 3, FALSE), ""Not Found"")"),"r ʊ k ")</f>
        <v>r ʊ k </v>
      </c>
    </row>
    <row r="144">
      <c r="A144" s="1" t="s">
        <v>147</v>
      </c>
      <c r="B144" s="1" t="s">
        <v>5</v>
      </c>
      <c r="C144" s="2">
        <f>IFERROR(__xludf.DUMMYFUNCTION("IFERROR(VLOOKUP(A144, IMPORTRANGE(""https://docs.google.com/spreadsheets/d/1AVX9GT0dgogEBStecCXMMQ29tWz3gBrtNB8yIromXbY/edit?gid=741673867"", ""out1g!A:B""), 2, FALSE), 0)"),1186.0)</f>
        <v>1186</v>
      </c>
      <c r="D144" s="2" t="str">
        <f>IFERROR(__xludf.DUMMYFUNCTION("IFERROR(VLOOKUP(A144, IMPORTRANGE(""https://docs.google.com/spreadsheets/d/1-3Vjw2Cyy-mry5gbC8ypIR3YVGFfEpyFESummAta6sg/edit"", ""Sheet1!B:D""), 2, FALSE), ""Not Found"")"),"fraɪtənd")</f>
        <v>fraɪtənd</v>
      </c>
      <c r="E144" s="2" t="str">
        <f>IFERROR(__xludf.DUMMYFUNCTION("IFERROR(VLOOKUP(A144, IMPORTRANGE(""https://docs.google.com/spreadsheets/d/1-3Vjw2Cyy-mry5gbC8ypIR3YVGFfEpyFESummAta6sg/edit"", ""Sheet1!B:D""), 3, FALSE), ""Not Found"")"),"f r a ɪ t ə n d ")</f>
        <v>f r a ɪ t ə n d </v>
      </c>
    </row>
    <row r="145">
      <c r="A145" s="1" t="s">
        <v>148</v>
      </c>
      <c r="B145" s="1" t="s">
        <v>5</v>
      </c>
      <c r="C145" s="2">
        <f>IFERROR(__xludf.DUMMYFUNCTION("IFERROR(VLOOKUP(A145, IMPORTRANGE(""https://docs.google.com/spreadsheets/d/1AVX9GT0dgogEBStecCXMMQ29tWz3gBrtNB8yIromXbY/edit?gid=741673867"", ""out1g!A:B""), 2, FALSE), 0)"),176.0)</f>
        <v>176</v>
      </c>
      <c r="D145" s="2" t="str">
        <f>IFERROR(__xludf.DUMMYFUNCTION("IFERROR(VLOOKUP(A145, IMPORTRANGE(""https://docs.google.com/spreadsheets/d/1-3Vjw2Cyy-mry5gbC8ypIR3YVGFfEpyFESummAta6sg/edit"", ""Sheet1!B:D""), 2, FALSE), ""Not Found"")"),"təks")</f>
        <v>təks</v>
      </c>
      <c r="E145" s="2" t="str">
        <f>IFERROR(__xludf.DUMMYFUNCTION("IFERROR(VLOOKUP(A145, IMPORTRANGE(""https://docs.google.com/spreadsheets/d/1-3Vjw2Cyy-mry5gbC8ypIR3YVGFfEpyFESummAta6sg/edit"", ""Sheet1!B:D""), 3, FALSE), ""Not Found"")"),"t ə k s ")</f>
        <v>t ə k s </v>
      </c>
    </row>
    <row r="146">
      <c r="A146" s="1" t="s">
        <v>149</v>
      </c>
      <c r="B146" s="1" t="s">
        <v>5</v>
      </c>
      <c r="C146" s="2">
        <f>IFERROR(__xludf.DUMMYFUNCTION("IFERROR(VLOOKUP(A146, IMPORTRANGE(""https://docs.google.com/spreadsheets/d/1AVX9GT0dgogEBStecCXMMQ29tWz3gBrtNB8yIromXbY/edit?gid=741673867"", ""out1g!A:B""), 2, FALSE), 0)"),74.0)</f>
        <v>74</v>
      </c>
      <c r="D146" s="2" t="str">
        <f>IFERROR(__xludf.DUMMYFUNCTION("IFERROR(VLOOKUP(A146, IMPORTRANGE(""https://docs.google.com/spreadsheets/d/1-3Vjw2Cyy-mry5gbC8ypIR3YVGFfEpyFESummAta6sg/edit"", ""Sheet1!B:D""), 2, FALSE), ""Not Found"")"),"renz")</f>
        <v>renz</v>
      </c>
      <c r="E146" s="2" t="str">
        <f>IFERROR(__xludf.DUMMYFUNCTION("IFERROR(VLOOKUP(A146, IMPORTRANGE(""https://docs.google.com/spreadsheets/d/1-3Vjw2Cyy-mry5gbC8ypIR3YVGFfEpyFESummAta6sg/edit"", ""Sheet1!B:D""), 3, FALSE), ""Not Found"")"),"r e n z ")</f>
        <v>r e n z </v>
      </c>
    </row>
    <row r="147">
      <c r="A147" s="1" t="s">
        <v>150</v>
      </c>
      <c r="B147" s="1" t="s">
        <v>5</v>
      </c>
      <c r="C147" s="2">
        <f>IFERROR(__xludf.DUMMYFUNCTION("IFERROR(VLOOKUP(A147, IMPORTRANGE(""https://docs.google.com/spreadsheets/d/1AVX9GT0dgogEBStecCXMMQ29tWz3gBrtNB8yIromXbY/edit?gid=741673867"", ""out1g!A:B""), 2, FALSE), 0)"),109.0)</f>
        <v>109</v>
      </c>
      <c r="D147" s="2" t="str">
        <f>IFERROR(__xludf.DUMMYFUNCTION("IFERROR(VLOOKUP(A147, IMPORTRANGE(""https://docs.google.com/spreadsheets/d/1-3Vjw2Cyy-mry5gbC8ypIR3YVGFfEpyFESummAta6sg/edit"", ""Sheet1!B:D""), 2, FALSE), ""Not Found"")"),"pænz")</f>
        <v>pænz</v>
      </c>
      <c r="E147" s="2" t="str">
        <f>IFERROR(__xludf.DUMMYFUNCTION("IFERROR(VLOOKUP(A147, IMPORTRANGE(""https://docs.google.com/spreadsheets/d/1-3Vjw2Cyy-mry5gbC8ypIR3YVGFfEpyFESummAta6sg/edit"", ""Sheet1!B:D""), 3, FALSE), ""Not Found"")"),"p æ n z ")</f>
        <v>p æ n z </v>
      </c>
    </row>
    <row r="148">
      <c r="A148" s="1" t="s">
        <v>151</v>
      </c>
      <c r="B148" s="1" t="s">
        <v>5</v>
      </c>
      <c r="C148" s="2">
        <f>IFERROR(__xludf.DUMMYFUNCTION("IFERROR(VLOOKUP(A148, IMPORTRANGE(""https://docs.google.com/spreadsheets/d/1AVX9GT0dgogEBStecCXMMQ29tWz3gBrtNB8yIromXbY/edit?gid=741673867"", ""out1g!A:B""), 2, FALSE), 0)"),124.0)</f>
        <v>124</v>
      </c>
      <c r="D148" s="2" t="str">
        <f>IFERROR(__xludf.DUMMYFUNCTION("IFERROR(VLOOKUP(A148, IMPORTRANGE(""https://docs.google.com/spreadsheets/d/1-3Vjw2Cyy-mry5gbC8ypIR3YVGFfEpyFESummAta6sg/edit"", ""Sheet1!B:D""), 2, FALSE), ""Not Found"")"),"oʊle")</f>
        <v>oʊle</v>
      </c>
      <c r="E148" s="2" t="str">
        <f>IFERROR(__xludf.DUMMYFUNCTION("IFERROR(VLOOKUP(A148, IMPORTRANGE(""https://docs.google.com/spreadsheets/d/1-3Vjw2Cyy-mry5gbC8ypIR3YVGFfEpyFESummAta6sg/edit"", ""Sheet1!B:D""), 3, FALSE), ""Not Found"")"),"o ʊ l e ")</f>
        <v>o ʊ l e </v>
      </c>
    </row>
    <row r="149">
      <c r="A149" s="1" t="s">
        <v>152</v>
      </c>
      <c r="B149" s="1" t="s">
        <v>5</v>
      </c>
      <c r="C149" s="2">
        <f>IFERROR(__xludf.DUMMYFUNCTION("IFERROR(VLOOKUP(A149, IMPORTRANGE(""https://docs.google.com/spreadsheets/d/1AVX9GT0dgogEBStecCXMMQ29tWz3gBrtNB8yIromXbY/edit?gid=741673867"", ""out1g!A:B""), 2, FALSE), 0)"),3696.0)</f>
        <v>3696</v>
      </c>
      <c r="D149" s="2" t="str">
        <f>IFERROR(__xludf.DUMMYFUNCTION("IFERROR(VLOOKUP(A149, IMPORTRANGE(""https://docs.google.com/spreadsheets/d/1-3Vjw2Cyy-mry5gbC8ypIR3YVGFfEpyFESummAta6sg/edit"", ""Sheet1!B:D""), 2, FALSE), ""Not Found"")"),"grin")</f>
        <v>grin</v>
      </c>
      <c r="E149" s="2" t="str">
        <f>IFERROR(__xludf.DUMMYFUNCTION("IFERROR(VLOOKUP(A149, IMPORTRANGE(""https://docs.google.com/spreadsheets/d/1-3Vjw2Cyy-mry5gbC8ypIR3YVGFfEpyFESummAta6sg/edit"", ""Sheet1!B:D""), 3, FALSE), ""Not Found"")"),"g r i n ")</f>
        <v>g r i n </v>
      </c>
    </row>
    <row r="150">
      <c r="A150" s="1" t="s">
        <v>153</v>
      </c>
      <c r="B150" s="1" t="s">
        <v>5</v>
      </c>
      <c r="C150" s="2">
        <f>IFERROR(__xludf.DUMMYFUNCTION("IFERROR(VLOOKUP(A150, IMPORTRANGE(""https://docs.google.com/spreadsheets/d/1AVX9GT0dgogEBStecCXMMQ29tWz3gBrtNB8yIromXbY/edit?gid=741673867"", ""out1g!A:B""), 2, FALSE), 0)"),119.0)</f>
        <v>119</v>
      </c>
      <c r="D150" s="2" t="str">
        <f>IFERROR(__xludf.DUMMYFUNCTION("IFERROR(VLOOKUP(A150, IMPORTRANGE(""https://docs.google.com/spreadsheets/d/1-3Vjw2Cyy-mry5gbC8ypIR3YVGFfEpyFESummAta6sg/edit"", ""Sheet1!B:D""), 2, FALSE), ""Not Found"")"),"rɛdz")</f>
        <v>rɛdz</v>
      </c>
      <c r="E150" s="2" t="str">
        <f>IFERROR(__xludf.DUMMYFUNCTION("IFERROR(VLOOKUP(A150, IMPORTRANGE(""https://docs.google.com/spreadsheets/d/1-3Vjw2Cyy-mry5gbC8ypIR3YVGFfEpyFESummAta6sg/edit"", ""Sheet1!B:D""), 3, FALSE), ""Not Found"")"),"r ɛ d z ")</f>
        <v>r ɛ d z </v>
      </c>
    </row>
    <row r="151">
      <c r="A151" s="1" t="s">
        <v>154</v>
      </c>
      <c r="B151" s="1" t="s">
        <v>5</v>
      </c>
      <c r="C151" s="2">
        <f>IFERROR(__xludf.DUMMYFUNCTION("IFERROR(VLOOKUP(A151, IMPORTRANGE(""https://docs.google.com/spreadsheets/d/1AVX9GT0dgogEBStecCXMMQ29tWz3gBrtNB8yIromXbY/edit?gid=741673867"", ""out1g!A:B""), 2, FALSE), 0)"),219.0)</f>
        <v>219</v>
      </c>
      <c r="D151" s="2" t="str">
        <f>IFERROR(__xludf.DUMMYFUNCTION("IFERROR(VLOOKUP(A151, IMPORTRANGE(""https://docs.google.com/spreadsheets/d/1-3Vjw2Cyy-mry5gbC8ypIR3YVGFfEpyFESummAta6sg/edit"", ""Sheet1!B:D""), 2, FALSE), ""Not Found"")"),"kɔɪnz")</f>
        <v>kɔɪnz</v>
      </c>
      <c r="E151" s="2" t="str">
        <f>IFERROR(__xludf.DUMMYFUNCTION("IFERROR(VLOOKUP(A151, IMPORTRANGE(""https://docs.google.com/spreadsheets/d/1-3Vjw2Cyy-mry5gbC8ypIR3YVGFfEpyFESummAta6sg/edit"", ""Sheet1!B:D""), 3, FALSE), ""Not Found"")"),"k ɔ ɪ n z ")</f>
        <v>k ɔ ɪ n z </v>
      </c>
    </row>
    <row r="152">
      <c r="A152" s="1" t="s">
        <v>155</v>
      </c>
      <c r="B152" s="1" t="s">
        <v>5</v>
      </c>
      <c r="C152" s="2">
        <f>IFERROR(__xludf.DUMMYFUNCTION("IFERROR(VLOOKUP(A152, IMPORTRANGE(""https://docs.google.com/spreadsheets/d/1AVX9GT0dgogEBStecCXMMQ29tWz3gBrtNB8yIromXbY/edit?gid=741673867"", ""out1g!A:B""), 2, FALSE), 0)"),86.0)</f>
        <v>86</v>
      </c>
      <c r="D152" s="2" t="str">
        <f>IFERROR(__xludf.DUMMYFUNCTION("IFERROR(VLOOKUP(A152, IMPORTRANGE(""https://docs.google.com/spreadsheets/d/1-3Vjw2Cyy-mry5gbC8ypIR3YVGFfEpyFESummAta6sg/edit"", ""Sheet1!B:D""), 2, FALSE), ""Not Found"")"),"ɛstim")</f>
        <v>ɛstim</v>
      </c>
      <c r="E152" s="2" t="str">
        <f>IFERROR(__xludf.DUMMYFUNCTION("IFERROR(VLOOKUP(A152, IMPORTRANGE(""https://docs.google.com/spreadsheets/d/1-3Vjw2Cyy-mry5gbC8ypIR3YVGFfEpyFESummAta6sg/edit"", ""Sheet1!B:D""), 3, FALSE), ""Not Found"")"),"ɛ s t i m ")</f>
        <v>ɛ s t i m </v>
      </c>
    </row>
    <row r="153">
      <c r="A153" s="1" t="s">
        <v>156</v>
      </c>
      <c r="B153" s="1" t="s">
        <v>5</v>
      </c>
      <c r="C153" s="2">
        <f>IFERROR(__xludf.DUMMYFUNCTION("IFERROR(VLOOKUP(A153, IMPORTRANGE(""https://docs.google.com/spreadsheets/d/1AVX9GT0dgogEBStecCXMMQ29tWz3gBrtNB8yIromXbY/edit?gid=741673867"", ""out1g!A:B""), 2, FALSE), 0)"),74.0)</f>
        <v>74</v>
      </c>
      <c r="D153" s="2" t="str">
        <f>IFERROR(__xludf.DUMMYFUNCTION("IFERROR(VLOOKUP(A153, IMPORTRANGE(""https://docs.google.com/spreadsheets/d/1-3Vjw2Cyy-mry5gbC8ypIR3YVGFfEpyFESummAta6sg/edit"", ""Sheet1!B:D""), 2, FALSE), ""Not Found"")"),"raɪld")</f>
        <v>raɪld</v>
      </c>
      <c r="E153" s="2" t="str">
        <f>IFERROR(__xludf.DUMMYFUNCTION("IFERROR(VLOOKUP(A153, IMPORTRANGE(""https://docs.google.com/spreadsheets/d/1-3Vjw2Cyy-mry5gbC8ypIR3YVGFfEpyFESummAta6sg/edit"", ""Sheet1!B:D""), 3, FALSE), ""Not Found"")"),"r a ɪ l d ")</f>
        <v>r a ɪ l d </v>
      </c>
    </row>
    <row r="154">
      <c r="A154" s="1" t="s">
        <v>157</v>
      </c>
      <c r="B154" s="1" t="s">
        <v>5</v>
      </c>
      <c r="C154" s="2">
        <f>IFERROR(__xludf.DUMMYFUNCTION("IFERROR(VLOOKUP(A154, IMPORTRANGE(""https://docs.google.com/spreadsheets/d/1AVX9GT0dgogEBStecCXMMQ29tWz3gBrtNB8yIromXbY/edit?gid=741673867"", ""out1g!A:B""), 2, FALSE), 0)"),698.0)</f>
        <v>698</v>
      </c>
      <c r="D154" s="2" t="str">
        <f>IFERROR(__xludf.DUMMYFUNCTION("IFERROR(VLOOKUP(A154, IMPORTRANGE(""https://docs.google.com/spreadsheets/d/1-3Vjw2Cyy-mry5gbC8ypIR3YVGFfEpyFESummAta6sg/edit"", ""Sheet1!B:D""), 2, FALSE), ""Not Found"")"),"pækɪŋ")</f>
        <v>pækɪŋ</v>
      </c>
      <c r="E154" s="2" t="str">
        <f>IFERROR(__xludf.DUMMYFUNCTION("IFERROR(VLOOKUP(A154, IMPORTRANGE(""https://docs.google.com/spreadsheets/d/1-3Vjw2Cyy-mry5gbC8ypIR3YVGFfEpyFESummAta6sg/edit"", ""Sheet1!B:D""), 3, FALSE), ""Not Found"")"),"p æ k ɪ ŋ ")</f>
        <v>p æ k ɪ ŋ </v>
      </c>
    </row>
    <row r="155">
      <c r="A155" s="1" t="s">
        <v>158</v>
      </c>
      <c r="B155" s="1" t="s">
        <v>5</v>
      </c>
      <c r="C155" s="2">
        <f>IFERROR(__xludf.DUMMYFUNCTION("IFERROR(VLOOKUP(A155, IMPORTRANGE(""https://docs.google.com/spreadsheets/d/1AVX9GT0dgogEBStecCXMMQ29tWz3gBrtNB8yIromXbY/edit?gid=741673867"", ""out1g!A:B""), 2, FALSE), 0)"),72.0)</f>
        <v>72</v>
      </c>
      <c r="D155" s="2" t="str">
        <f>IFERROR(__xludf.DUMMYFUNCTION("IFERROR(VLOOKUP(A155, IMPORTRANGE(""https://docs.google.com/spreadsheets/d/1-3Vjw2Cyy-mry5gbC8ypIR3YVGFfEpyFESummAta6sg/edit"", ""Sheet1!B:D""), 2, FALSE), ""Not Found"")"),"hɔld")</f>
        <v>hɔld</v>
      </c>
      <c r="E155" s="2" t="str">
        <f>IFERROR(__xludf.DUMMYFUNCTION("IFERROR(VLOOKUP(A155, IMPORTRANGE(""https://docs.google.com/spreadsheets/d/1-3Vjw2Cyy-mry5gbC8ypIR3YVGFfEpyFESummAta6sg/edit"", ""Sheet1!B:D""), 3, FALSE), ""Not Found"")"),"h ɔ l d ")</f>
        <v>h ɔ l d </v>
      </c>
    </row>
    <row r="156">
      <c r="A156" s="1" t="s">
        <v>159</v>
      </c>
      <c r="B156" s="1" t="s">
        <v>5</v>
      </c>
      <c r="C156" s="2">
        <f>IFERROR(__xludf.DUMMYFUNCTION("IFERROR(VLOOKUP(A156, IMPORTRANGE(""https://docs.google.com/spreadsheets/d/1AVX9GT0dgogEBStecCXMMQ29tWz3gBrtNB8yIromXbY/edit?gid=741673867"", ""out1g!A:B""), 2, FALSE), 0)"),55.0)</f>
        <v>55</v>
      </c>
      <c r="D156" s="2" t="str">
        <f>IFERROR(__xludf.DUMMYFUNCTION("IFERROR(VLOOKUP(A156, IMPORTRANGE(""https://docs.google.com/spreadsheets/d/1-3Vjw2Cyy-mry5gbC8ypIR3YVGFfEpyFESummAta6sg/edit"", ""Sheet1!B:D""), 2, FALSE), ""Not Found"")"),"twɪʧɪŋ")</f>
        <v>twɪʧɪŋ</v>
      </c>
      <c r="E156" s="2" t="str">
        <f>IFERROR(__xludf.DUMMYFUNCTION("IFERROR(VLOOKUP(A156, IMPORTRANGE(""https://docs.google.com/spreadsheets/d/1-3Vjw2Cyy-mry5gbC8ypIR3YVGFfEpyFESummAta6sg/edit"", ""Sheet1!B:D""), 3, FALSE), ""Not Found"")"),"t w ɪ ʧ ɪ ŋ ")</f>
        <v>t w ɪ ʧ ɪ ŋ </v>
      </c>
    </row>
    <row r="157">
      <c r="A157" s="1" t="s">
        <v>160</v>
      </c>
      <c r="B157" s="1" t="s">
        <v>5</v>
      </c>
      <c r="C157" s="2">
        <f>IFERROR(__xludf.DUMMYFUNCTION("IFERROR(VLOOKUP(A157, IMPORTRANGE(""https://docs.google.com/spreadsheets/d/1AVX9GT0dgogEBStecCXMMQ29tWz3gBrtNB8yIromXbY/edit?gid=741673867"", ""out1g!A:B""), 2, FALSE), 0)"),657.0)</f>
        <v>657</v>
      </c>
      <c r="D157" s="2" t="str">
        <f>IFERROR(__xludf.DUMMYFUNCTION("IFERROR(VLOOKUP(A157, IMPORTRANGE(""https://docs.google.com/spreadsheets/d/1-3Vjw2Cyy-mry5gbC8ypIR3YVGFfEpyFESummAta6sg/edit"", ""Sheet1!B:D""), 2, FALSE), ""Not Found"")"),"əwɔrd")</f>
        <v>əwɔrd</v>
      </c>
      <c r="E157" s="2" t="str">
        <f>IFERROR(__xludf.DUMMYFUNCTION("IFERROR(VLOOKUP(A157, IMPORTRANGE(""https://docs.google.com/spreadsheets/d/1-3Vjw2Cyy-mry5gbC8ypIR3YVGFfEpyFESummAta6sg/edit"", ""Sheet1!B:D""), 3, FALSE), ""Not Found"")"),"ə w ɔ r d ")</f>
        <v>ə w ɔ r d </v>
      </c>
    </row>
    <row r="158">
      <c r="A158" s="1" t="s">
        <v>161</v>
      </c>
      <c r="B158" s="1" t="s">
        <v>5</v>
      </c>
      <c r="C158" s="2">
        <f>IFERROR(__xludf.DUMMYFUNCTION("IFERROR(VLOOKUP(A158, IMPORTRANGE(""https://docs.google.com/spreadsheets/d/1AVX9GT0dgogEBStecCXMMQ29tWz3gBrtNB8yIromXbY/edit?gid=741673867"", ""out1g!A:B""), 2, FALSE), 0)"),52.0)</f>
        <v>52</v>
      </c>
      <c r="D158" s="2" t="str">
        <f>IFERROR(__xludf.DUMMYFUNCTION("IFERROR(VLOOKUP(A158, IMPORTRANGE(""https://docs.google.com/spreadsheets/d/1-3Vjw2Cyy-mry5gbC8ypIR3YVGFfEpyFESummAta6sg/edit"", ""Sheet1!B:D""), 2, FALSE), ""Not Found"")"),"raʊdi")</f>
        <v>raʊdi</v>
      </c>
      <c r="E158" s="2" t="str">
        <f>IFERROR(__xludf.DUMMYFUNCTION("IFERROR(VLOOKUP(A158, IMPORTRANGE(""https://docs.google.com/spreadsheets/d/1-3Vjw2Cyy-mry5gbC8ypIR3YVGFfEpyFESummAta6sg/edit"", ""Sheet1!B:D""), 3, FALSE), ""Not Found"")"),"r a ʊ d i ")</f>
        <v>r a ʊ d i </v>
      </c>
    </row>
    <row r="159">
      <c r="A159" s="1" t="s">
        <v>162</v>
      </c>
      <c r="B159" s="1" t="s">
        <v>5</v>
      </c>
      <c r="C159" s="2">
        <f>IFERROR(__xludf.DUMMYFUNCTION("IFERROR(VLOOKUP(A159, IMPORTRANGE(""https://docs.google.com/spreadsheets/d/1AVX9GT0dgogEBStecCXMMQ29tWz3gBrtNB8yIromXbY/edit?gid=741673867"", ""out1g!A:B""), 2, FALSE), 0)"),433.0)</f>
        <v>433</v>
      </c>
      <c r="D159" s="2" t="str">
        <f>IFERROR(__xludf.DUMMYFUNCTION("IFERROR(VLOOKUP(A159, IMPORTRANGE(""https://docs.google.com/spreadsheets/d/1-3Vjw2Cyy-mry5gbC8ypIR3YVGFfEpyFESummAta6sg/edit"", ""Sheet1!B:D""), 2, FALSE), ""Not Found"")"),"wʊdi")</f>
        <v>wʊdi</v>
      </c>
      <c r="E159" s="2" t="str">
        <f>IFERROR(__xludf.DUMMYFUNCTION("IFERROR(VLOOKUP(A159, IMPORTRANGE(""https://docs.google.com/spreadsheets/d/1-3Vjw2Cyy-mry5gbC8ypIR3YVGFfEpyFESummAta6sg/edit"", ""Sheet1!B:D""), 3, FALSE), ""Not Found"")"),"w ʊ d i ")</f>
        <v>w ʊ d i </v>
      </c>
    </row>
    <row r="160">
      <c r="A160" s="1" t="s">
        <v>163</v>
      </c>
      <c r="B160" s="1" t="s">
        <v>5</v>
      </c>
      <c r="C160" s="2">
        <f>IFERROR(__xludf.DUMMYFUNCTION("IFERROR(VLOOKUP(A160, IMPORTRANGE(""https://docs.google.com/spreadsheets/d/1AVX9GT0dgogEBStecCXMMQ29tWz3gBrtNB8yIromXbY/edit?gid=741673867"", ""out1g!A:B""), 2, FALSE), 0)"),183.0)</f>
        <v>183</v>
      </c>
      <c r="D160" s="2" t="str">
        <f>IFERROR(__xludf.DUMMYFUNCTION("IFERROR(VLOOKUP(A160, IMPORTRANGE(""https://docs.google.com/spreadsheets/d/1-3Vjw2Cyy-mry5gbC8ypIR3YVGFfEpyFESummAta6sg/edit"", ""Sheet1!B:D""), 2, FALSE), ""Not Found"")"),"loʊdz")</f>
        <v>loʊdz</v>
      </c>
      <c r="E160" s="2" t="str">
        <f>IFERROR(__xludf.DUMMYFUNCTION("IFERROR(VLOOKUP(A160, IMPORTRANGE(""https://docs.google.com/spreadsheets/d/1-3Vjw2Cyy-mry5gbC8ypIR3YVGFfEpyFESummAta6sg/edit"", ""Sheet1!B:D""), 3, FALSE), ""Not Found"")"),"l o ʊ d z ")</f>
        <v>l o ʊ d z </v>
      </c>
    </row>
    <row r="161">
      <c r="A161" s="1" t="s">
        <v>164</v>
      </c>
      <c r="B161" s="1" t="s">
        <v>5</v>
      </c>
      <c r="C161" s="2">
        <f>IFERROR(__xludf.DUMMYFUNCTION("IFERROR(VLOOKUP(A161, IMPORTRANGE(""https://docs.google.com/spreadsheets/d/1AVX9GT0dgogEBStecCXMMQ29tWz3gBrtNB8yIromXbY/edit?gid=741673867"", ""out1g!A:B""), 2, FALSE), 0)"),464.0)</f>
        <v>464</v>
      </c>
      <c r="D161" s="2" t="str">
        <f>IFERROR(__xludf.DUMMYFUNCTION("IFERROR(VLOOKUP(A161, IMPORTRANGE(""https://docs.google.com/spreadsheets/d/1-3Vjw2Cyy-mry5gbC8ypIR3YVGFfEpyFESummAta6sg/edit"", ""Sheet1!B:D""), 2, FALSE), ""Not Found"")"),"rid")</f>
        <v>rid</v>
      </c>
      <c r="E161" s="2" t="str">
        <f>IFERROR(__xludf.DUMMYFUNCTION("IFERROR(VLOOKUP(A161, IMPORTRANGE(""https://docs.google.com/spreadsheets/d/1-3Vjw2Cyy-mry5gbC8ypIR3YVGFfEpyFESummAta6sg/edit"", ""Sheet1!B:D""), 3, FALSE), ""Not Found"")"),"r i d ")</f>
        <v>r i d </v>
      </c>
    </row>
    <row r="162">
      <c r="A162" s="1" t="s">
        <v>165</v>
      </c>
      <c r="B162" s="1" t="s">
        <v>5</v>
      </c>
      <c r="C162" s="2">
        <f>IFERROR(__xludf.DUMMYFUNCTION("IFERROR(VLOOKUP(A162, IMPORTRANGE(""https://docs.google.com/spreadsheets/d/1AVX9GT0dgogEBStecCXMMQ29tWz3gBrtNB8yIromXbY/edit?gid=741673867"", ""out1g!A:B""), 2, FALSE), 0)"),51.0)</f>
        <v>51</v>
      </c>
      <c r="D162" s="2" t="str">
        <f>IFERROR(__xludf.DUMMYFUNCTION("IFERROR(VLOOKUP(A162, IMPORTRANGE(""https://docs.google.com/spreadsheets/d/1-3Vjw2Cyy-mry5gbC8ypIR3YVGFfEpyFESummAta6sg/edit"", ""Sheet1!B:D""), 2, FALSE), ""Not Found"")"),"məflər")</f>
        <v>məflər</v>
      </c>
      <c r="E162" s="2" t="str">
        <f>IFERROR(__xludf.DUMMYFUNCTION("IFERROR(VLOOKUP(A162, IMPORTRANGE(""https://docs.google.com/spreadsheets/d/1-3Vjw2Cyy-mry5gbC8ypIR3YVGFfEpyFESummAta6sg/edit"", ""Sheet1!B:D""), 3, FALSE), ""Not Found"")"),"m ə f l ə r ")</f>
        <v>m ə f l ə r </v>
      </c>
    </row>
    <row r="163">
      <c r="A163" s="1" t="s">
        <v>166</v>
      </c>
      <c r="B163" s="1" t="s">
        <v>5</v>
      </c>
      <c r="C163" s="2">
        <f>IFERROR(__xludf.DUMMYFUNCTION("IFERROR(VLOOKUP(A163, IMPORTRANGE(""https://docs.google.com/spreadsheets/d/1AVX9GT0dgogEBStecCXMMQ29tWz3gBrtNB8yIromXbY/edit?gid=741673867"", ""out1g!A:B""), 2, FALSE), 0)"),4213.0)</f>
        <v>4213</v>
      </c>
      <c r="D163" s="2" t="str">
        <f>IFERROR(__xludf.DUMMYFUNCTION("IFERROR(VLOOKUP(A163, IMPORTRANGE(""https://docs.google.com/spreadsheets/d/1-3Vjw2Cyy-mry5gbC8ypIR3YVGFfEpyFESummAta6sg/edit"", ""Sheet1!B:D""), 2, FALSE), ""Not Found"")"),"lɛtər")</f>
        <v>lɛtər</v>
      </c>
      <c r="E163" s="2" t="str">
        <f>IFERROR(__xludf.DUMMYFUNCTION("IFERROR(VLOOKUP(A163, IMPORTRANGE(""https://docs.google.com/spreadsheets/d/1-3Vjw2Cyy-mry5gbC8ypIR3YVGFfEpyFESummAta6sg/edit"", ""Sheet1!B:D""), 3, FALSE), ""Not Found"")"),"l ɛ t ə r ")</f>
        <v>l ɛ t ə r </v>
      </c>
    </row>
    <row r="164">
      <c r="A164" s="1" t="s">
        <v>167</v>
      </c>
      <c r="B164" s="1" t="s">
        <v>5</v>
      </c>
      <c r="C164" s="2">
        <f>IFERROR(__xludf.DUMMYFUNCTION("IFERROR(VLOOKUP(A164, IMPORTRANGE(""https://docs.google.com/spreadsheets/d/1AVX9GT0dgogEBStecCXMMQ29tWz3gBrtNB8yIromXbY/edit?gid=741673867"", ""out1g!A:B""), 2, FALSE), 0)"),67.0)</f>
        <v>67</v>
      </c>
      <c r="D164" s="2" t="str">
        <f>IFERROR(__xludf.DUMMYFUNCTION("IFERROR(VLOOKUP(A164, IMPORTRANGE(""https://docs.google.com/spreadsheets/d/1-3Vjw2Cyy-mry5gbC8ypIR3YVGFfEpyFESummAta6sg/edit"", ""Sheet1!B:D""), 2, FALSE), ""Not Found"")"),"rəbz")</f>
        <v>rəbz</v>
      </c>
      <c r="E164" s="2" t="str">
        <f>IFERROR(__xludf.DUMMYFUNCTION("IFERROR(VLOOKUP(A164, IMPORTRANGE(""https://docs.google.com/spreadsheets/d/1-3Vjw2Cyy-mry5gbC8ypIR3YVGFfEpyFESummAta6sg/edit"", ""Sheet1!B:D""), 3, FALSE), ""Not Found"")"),"r ə b z ")</f>
        <v>r ə b z </v>
      </c>
    </row>
    <row r="165">
      <c r="A165" s="1" t="s">
        <v>168</v>
      </c>
      <c r="B165" s="1" t="s">
        <v>5</v>
      </c>
      <c r="C165" s="2">
        <f>IFERROR(__xludf.DUMMYFUNCTION("IFERROR(VLOOKUP(A165, IMPORTRANGE(""https://docs.google.com/spreadsheets/d/1AVX9GT0dgogEBStecCXMMQ29tWz3gBrtNB8yIromXbY/edit?gid=741673867"", ""out1g!A:B""), 2, FALSE), 0)"),2169.0)</f>
        <v>2169</v>
      </c>
      <c r="D165" s="2" t="str">
        <f>IFERROR(__xludf.DUMMYFUNCTION("IFERROR(VLOOKUP(A165, IMPORTRANGE(""https://docs.google.com/spreadsheets/d/1-3Vjw2Cyy-mry5gbC8ypIR3YVGFfEpyFESummAta6sg/edit"", ""Sheet1!B:D""), 2, FALSE), ""Not Found"")"),"mɪlk")</f>
        <v>mɪlk</v>
      </c>
      <c r="E165" s="2" t="str">
        <f>IFERROR(__xludf.DUMMYFUNCTION("IFERROR(VLOOKUP(A165, IMPORTRANGE(""https://docs.google.com/spreadsheets/d/1-3Vjw2Cyy-mry5gbC8ypIR3YVGFfEpyFESummAta6sg/edit"", ""Sheet1!B:D""), 3, FALSE), ""Not Found"")"),"m ɪ l k ")</f>
        <v>m ɪ l k </v>
      </c>
    </row>
    <row r="166">
      <c r="A166" s="1" t="s">
        <v>169</v>
      </c>
      <c r="B166" s="1" t="s">
        <v>5</v>
      </c>
      <c r="C166" s="2">
        <f>IFERROR(__xludf.DUMMYFUNCTION("IFERROR(VLOOKUP(A166, IMPORTRANGE(""https://docs.google.com/spreadsheets/d/1AVX9GT0dgogEBStecCXMMQ29tWz3gBrtNB8yIromXbY/edit?gid=741673867"", ""out1g!A:B""), 2, FALSE), 0)"),149.0)</f>
        <v>149</v>
      </c>
      <c r="D166" s="2" t="str">
        <f>IFERROR(__xludf.DUMMYFUNCTION("IFERROR(VLOOKUP(A166, IMPORTRANGE(""https://docs.google.com/spreadsheets/d/1-3Vjw2Cyy-mry5gbC8ypIR3YVGFfEpyFESummAta6sg/edit"", ""Sheet1!B:D""), 2, FALSE), ""Not Found"")"),"aɪbɔlz")</f>
        <v>aɪbɔlz</v>
      </c>
      <c r="E166" s="2" t="str">
        <f>IFERROR(__xludf.DUMMYFUNCTION("IFERROR(VLOOKUP(A166, IMPORTRANGE(""https://docs.google.com/spreadsheets/d/1-3Vjw2Cyy-mry5gbC8ypIR3YVGFfEpyFESummAta6sg/edit"", ""Sheet1!B:D""), 3, FALSE), ""Not Found"")"),"a ɪ b ɔ l z ")</f>
        <v>a ɪ b ɔ l z </v>
      </c>
    </row>
    <row r="167">
      <c r="A167" s="1" t="s">
        <v>170</v>
      </c>
      <c r="B167" s="1" t="s">
        <v>5</v>
      </c>
      <c r="C167" s="2">
        <f>IFERROR(__xludf.DUMMYFUNCTION("IFERROR(VLOOKUP(A167, IMPORTRANGE(""https://docs.google.com/spreadsheets/d/1AVX9GT0dgogEBStecCXMMQ29tWz3gBrtNB8yIromXbY/edit?gid=741673867"", ""out1g!A:B""), 2, FALSE), 0)"),242.0)</f>
        <v>242</v>
      </c>
      <c r="D167" s="2" t="str">
        <f>IFERROR(__xludf.DUMMYFUNCTION("IFERROR(VLOOKUP(A167, IMPORTRANGE(""https://docs.google.com/spreadsheets/d/1-3Vjw2Cyy-mry5gbC8ypIR3YVGFfEpyFESummAta6sg/edit"", ""Sheet1!B:D""), 2, FALSE), ""Not Found"")"),"bɛriəl")</f>
        <v>bɛriəl</v>
      </c>
      <c r="E167" s="2" t="str">
        <f>IFERROR(__xludf.DUMMYFUNCTION("IFERROR(VLOOKUP(A167, IMPORTRANGE(""https://docs.google.com/spreadsheets/d/1-3Vjw2Cyy-mry5gbC8ypIR3YVGFfEpyFESummAta6sg/edit"", ""Sheet1!B:D""), 3, FALSE), ""Not Found"")"),"b ɛ r i ə l ")</f>
        <v>b ɛ r i ə l </v>
      </c>
    </row>
    <row r="168">
      <c r="A168" s="1" t="s">
        <v>171</v>
      </c>
      <c r="B168" s="1" t="s">
        <v>5</v>
      </c>
      <c r="C168" s="2">
        <f>IFERROR(__xludf.DUMMYFUNCTION("IFERROR(VLOOKUP(A168, IMPORTRANGE(""https://docs.google.com/spreadsheets/d/1AVX9GT0dgogEBStecCXMMQ29tWz3gBrtNB8yIromXbY/edit?gid=741673867"", ""out1g!A:B""), 2, FALSE), 0)"),652.0)</f>
        <v>652</v>
      </c>
      <c r="D168" s="2" t="str">
        <f>IFERROR(__xludf.DUMMYFUNCTION("IFERROR(VLOOKUP(A168, IMPORTRANGE(""https://docs.google.com/spreadsheets/d/1-3Vjw2Cyy-mry5gbC8ypIR3YVGFfEpyFESummAta6sg/edit"", ""Sheet1!B:D""), 2, FALSE), ""Not Found"")"),"faɪtər")</f>
        <v>faɪtər</v>
      </c>
      <c r="E168" s="2" t="str">
        <f>IFERROR(__xludf.DUMMYFUNCTION("IFERROR(VLOOKUP(A168, IMPORTRANGE(""https://docs.google.com/spreadsheets/d/1-3Vjw2Cyy-mry5gbC8ypIR3YVGFfEpyFESummAta6sg/edit"", ""Sheet1!B:D""), 3, FALSE), ""Not Found"")"),"f a ɪ t ə r ")</f>
        <v>f a ɪ t ə r </v>
      </c>
    </row>
    <row r="169">
      <c r="A169" s="1" t="s">
        <v>172</v>
      </c>
      <c r="B169" s="1" t="s">
        <v>5</v>
      </c>
      <c r="C169" s="2">
        <f>IFERROR(__xludf.DUMMYFUNCTION("IFERROR(VLOOKUP(A169, IMPORTRANGE(""https://docs.google.com/spreadsheets/d/1AVX9GT0dgogEBStecCXMMQ29tWz3gBrtNB8yIromXbY/edit?gid=741673867"", ""out1g!A:B""), 2, FALSE), 0)"),204.0)</f>
        <v>204</v>
      </c>
      <c r="D169" s="2" t="str">
        <f>IFERROR(__xludf.DUMMYFUNCTION("IFERROR(VLOOKUP(A169, IMPORTRANGE(""https://docs.google.com/spreadsheets/d/1-3Vjw2Cyy-mry5gbC8ypIR3YVGFfEpyFESummAta6sg/edit"", ""Sheet1!B:D""), 2, FALSE), ""Not Found"")"),"ɛrənd")</f>
        <v>ɛrənd</v>
      </c>
      <c r="E169" s="2" t="str">
        <f>IFERROR(__xludf.DUMMYFUNCTION("IFERROR(VLOOKUP(A169, IMPORTRANGE(""https://docs.google.com/spreadsheets/d/1-3Vjw2Cyy-mry5gbC8ypIR3YVGFfEpyFESummAta6sg/edit"", ""Sheet1!B:D""), 3, FALSE), ""Not Found"")"),"ɛ r ə n d ")</f>
        <v>ɛ r ə n d </v>
      </c>
    </row>
    <row r="170">
      <c r="A170" s="1" t="s">
        <v>173</v>
      </c>
      <c r="B170" s="1" t="s">
        <v>5</v>
      </c>
      <c r="C170" s="2">
        <f>IFERROR(__xludf.DUMMYFUNCTION("IFERROR(VLOOKUP(A170, IMPORTRANGE(""https://docs.google.com/spreadsheets/d/1AVX9GT0dgogEBStecCXMMQ29tWz3gBrtNB8yIromXbY/edit?gid=741673867"", ""out1g!A:B""), 2, FALSE), 0)"),414.0)</f>
        <v>414</v>
      </c>
      <c r="D170" s="2" t="str">
        <f>IFERROR(__xludf.DUMMYFUNCTION("IFERROR(VLOOKUP(A170, IMPORTRANGE(""https://docs.google.com/spreadsheets/d/1-3Vjw2Cyy-mry5gbC8ypIR3YVGFfEpyFESummAta6sg/edit"", ""Sheet1!B:D""), 2, FALSE), ""Not Found"")"),"slevz")</f>
        <v>slevz</v>
      </c>
      <c r="E170" s="2" t="str">
        <f>IFERROR(__xludf.DUMMYFUNCTION("IFERROR(VLOOKUP(A170, IMPORTRANGE(""https://docs.google.com/spreadsheets/d/1-3Vjw2Cyy-mry5gbC8ypIR3YVGFfEpyFESummAta6sg/edit"", ""Sheet1!B:D""), 3, FALSE), ""Not Found"")"),"s l e v z ")</f>
        <v>s l e v z </v>
      </c>
    </row>
    <row r="171">
      <c r="A171" s="1" t="s">
        <v>174</v>
      </c>
      <c r="B171" s="1" t="s">
        <v>5</v>
      </c>
      <c r="C171" s="2">
        <f>IFERROR(__xludf.DUMMYFUNCTION("IFERROR(VLOOKUP(A171, IMPORTRANGE(""https://docs.google.com/spreadsheets/d/1AVX9GT0dgogEBStecCXMMQ29tWz3gBrtNB8yIromXbY/edit?gid=741673867"", ""out1g!A:B""), 2, FALSE), 0)"),230.0)</f>
        <v>230</v>
      </c>
      <c r="D171" s="2" t="str">
        <f>IFERROR(__xludf.DUMMYFUNCTION("IFERROR(VLOOKUP(A171, IMPORTRANGE(""https://docs.google.com/spreadsheets/d/1-3Vjw2Cyy-mry5gbC8ypIR3YVGFfEpyFESummAta6sg/edit"", ""Sheet1!B:D""), 2, FALSE), ""Not Found"")"),"ʤudəs")</f>
        <v>ʤudəs</v>
      </c>
      <c r="E171" s="2" t="str">
        <f>IFERROR(__xludf.DUMMYFUNCTION("IFERROR(VLOOKUP(A171, IMPORTRANGE(""https://docs.google.com/spreadsheets/d/1-3Vjw2Cyy-mry5gbC8ypIR3YVGFfEpyFESummAta6sg/edit"", ""Sheet1!B:D""), 3, FALSE), ""Not Found"")"),"ʤ u d ə s ")</f>
        <v>ʤ u d ə s </v>
      </c>
    </row>
    <row r="172">
      <c r="A172" s="1" t="s">
        <v>175</v>
      </c>
      <c r="B172" s="1" t="s">
        <v>5</v>
      </c>
      <c r="C172" s="2">
        <f>IFERROR(__xludf.DUMMYFUNCTION("IFERROR(VLOOKUP(A172, IMPORTRANGE(""https://docs.google.com/spreadsheets/d/1AVX9GT0dgogEBStecCXMMQ29tWz3gBrtNB8yIromXbY/edit?gid=741673867"", ""out1g!A:B""), 2, FALSE), 0)"),109.0)</f>
        <v>109</v>
      </c>
      <c r="D172" s="2" t="str">
        <f>IFERROR(__xludf.DUMMYFUNCTION("IFERROR(VLOOKUP(A172, IMPORTRANGE(""https://docs.google.com/spreadsheets/d/1-3Vjw2Cyy-mry5gbC8ypIR3YVGFfEpyFESummAta6sg/edit"", ""Sheet1!B:D""), 2, FALSE), ""Not Found"")"),"smaɪli")</f>
        <v>smaɪli</v>
      </c>
      <c r="E172" s="2" t="str">
        <f>IFERROR(__xludf.DUMMYFUNCTION("IFERROR(VLOOKUP(A172, IMPORTRANGE(""https://docs.google.com/spreadsheets/d/1-3Vjw2Cyy-mry5gbC8ypIR3YVGFfEpyFESummAta6sg/edit"", ""Sheet1!B:D""), 3, FALSE), ""Not Found"")"),"s m a ɪ l i ")</f>
        <v>s m a ɪ l i </v>
      </c>
    </row>
    <row r="173">
      <c r="A173" s="1" t="s">
        <v>176</v>
      </c>
      <c r="B173" s="1" t="s">
        <v>5</v>
      </c>
      <c r="C173" s="2">
        <f>IFERROR(__xludf.DUMMYFUNCTION("IFERROR(VLOOKUP(A173, IMPORTRANGE(""https://docs.google.com/spreadsheets/d/1AVX9GT0dgogEBStecCXMMQ29tWz3gBrtNB8yIromXbY/edit?gid=741673867"", ""out1g!A:B""), 2, FALSE), 0)"),5985.0)</f>
        <v>5985</v>
      </c>
      <c r="D173" s="2" t="str">
        <f>IFERROR(__xludf.DUMMYFUNCTION("IFERROR(VLOOKUP(A173, IMPORTRANGE(""https://docs.google.com/spreadsheets/d/1-3Vjw2Cyy-mry5gbC8ypIR3YVGFfEpyFESummAta6sg/edit"", ""Sheet1!B:D""), 2, FALSE), ""Not Found"")"),"klæs")</f>
        <v>klæs</v>
      </c>
      <c r="E173" s="2" t="str">
        <f>IFERROR(__xludf.DUMMYFUNCTION("IFERROR(VLOOKUP(A173, IMPORTRANGE(""https://docs.google.com/spreadsheets/d/1-3Vjw2Cyy-mry5gbC8ypIR3YVGFfEpyFESummAta6sg/edit"", ""Sheet1!B:D""), 3, FALSE), ""Not Found"")"),"k l æ s ")</f>
        <v>k l æ s </v>
      </c>
    </row>
    <row r="174">
      <c r="A174" s="1" t="s">
        <v>177</v>
      </c>
      <c r="B174" s="1" t="s">
        <v>5</v>
      </c>
      <c r="C174" s="2">
        <f>IFERROR(__xludf.DUMMYFUNCTION("IFERROR(VLOOKUP(A174, IMPORTRANGE(""https://docs.google.com/spreadsheets/d/1AVX9GT0dgogEBStecCXMMQ29tWz3gBrtNB8yIromXbY/edit?gid=741673867"", ""out1g!A:B""), 2, FALSE), 0)"),3022.0)</f>
        <v>3022</v>
      </c>
      <c r="D174" s="2" t="str">
        <f>IFERROR(__xludf.DUMMYFUNCTION("IFERROR(VLOOKUP(A174, IMPORTRANGE(""https://docs.google.com/spreadsheets/d/1-3Vjw2Cyy-mry5gbC8ypIR3YVGFfEpyFESummAta6sg/edit"", ""Sheet1!B:D""), 2, FALSE), ""Not Found"")"),"noʊtɪs")</f>
        <v>noʊtɪs</v>
      </c>
      <c r="E174" s="2" t="str">
        <f>IFERROR(__xludf.DUMMYFUNCTION("IFERROR(VLOOKUP(A174, IMPORTRANGE(""https://docs.google.com/spreadsheets/d/1-3Vjw2Cyy-mry5gbC8ypIR3YVGFfEpyFESummAta6sg/edit"", ""Sheet1!B:D""), 3, FALSE), ""Not Found"")"),"n o ʊ t ɪ s ")</f>
        <v>n o ʊ t ɪ s </v>
      </c>
    </row>
    <row r="175">
      <c r="A175" s="1" t="s">
        <v>178</v>
      </c>
      <c r="B175" s="1" t="s">
        <v>5</v>
      </c>
      <c r="C175" s="2">
        <f>IFERROR(__xludf.DUMMYFUNCTION("IFERROR(VLOOKUP(A175, IMPORTRANGE(""https://docs.google.com/spreadsheets/d/1AVX9GT0dgogEBStecCXMMQ29tWz3gBrtNB8yIromXbY/edit?gid=741673867"", ""out1g!A:B""), 2, FALSE), 0)"),603.0)</f>
        <v>603</v>
      </c>
      <c r="D175" s="2" t="str">
        <f>IFERROR(__xludf.DUMMYFUNCTION("IFERROR(VLOOKUP(A175, IMPORTRANGE(""https://docs.google.com/spreadsheets/d/1-3Vjw2Cyy-mry5gbC8ypIR3YVGFfEpyFESummAta6sg/edit"", ""Sheet1!B:D""), 2, FALSE), ""Not Found"")"),"frɑg")</f>
        <v>frɑg</v>
      </c>
      <c r="E175" s="2" t="str">
        <f>IFERROR(__xludf.DUMMYFUNCTION("IFERROR(VLOOKUP(A175, IMPORTRANGE(""https://docs.google.com/spreadsheets/d/1-3Vjw2Cyy-mry5gbC8ypIR3YVGFfEpyFESummAta6sg/edit"", ""Sheet1!B:D""), 3, FALSE), ""Not Found"")"),"f r ɑ g ")</f>
        <v>f r ɑ g </v>
      </c>
    </row>
    <row r="176">
      <c r="A176" s="1" t="s">
        <v>179</v>
      </c>
      <c r="B176" s="1" t="s">
        <v>5</v>
      </c>
      <c r="C176" s="2">
        <f>IFERROR(__xludf.DUMMYFUNCTION("IFERROR(VLOOKUP(A176, IMPORTRANGE(""https://docs.google.com/spreadsheets/d/1AVX9GT0dgogEBStecCXMMQ29tWz3gBrtNB8yIromXbY/edit?gid=741673867"", ""out1g!A:B""), 2, FALSE), 0)"),20527.0)</f>
        <v>20527</v>
      </c>
      <c r="D176" s="2" t="str">
        <f>IFERROR(__xludf.DUMMYFUNCTION("IFERROR(VLOOKUP(A176, IMPORTRANGE(""https://docs.google.com/spreadsheets/d/1-3Vjw2Cyy-mry5gbC8ypIR3YVGFfEpyFESummAta6sg/edit"", ""Sheet1!B:D""), 2, FALSE), ""Not Found"")"),"sɔ")</f>
        <v>sɔ</v>
      </c>
      <c r="E176" s="2" t="str">
        <f>IFERROR(__xludf.DUMMYFUNCTION("IFERROR(VLOOKUP(A176, IMPORTRANGE(""https://docs.google.com/spreadsheets/d/1-3Vjw2Cyy-mry5gbC8ypIR3YVGFfEpyFESummAta6sg/edit"", ""Sheet1!B:D""), 3, FALSE), ""Not Found"")"),"s ɔ ")</f>
        <v>s ɔ </v>
      </c>
    </row>
    <row r="177">
      <c r="A177" s="1" t="s">
        <v>180</v>
      </c>
      <c r="B177" s="1" t="s">
        <v>5</v>
      </c>
      <c r="C177" s="2">
        <f>IFERROR(__xludf.DUMMYFUNCTION("IFERROR(VLOOKUP(A177, IMPORTRANGE(""https://docs.google.com/spreadsheets/d/1AVX9GT0dgogEBStecCXMMQ29tWz3gBrtNB8yIromXbY/edit?gid=741673867"", ""out1g!A:B""), 2, FALSE), 0)"),9026.0)</f>
        <v>9026</v>
      </c>
      <c r="D177" s="2" t="str">
        <f>IFERROR(__xludf.DUMMYFUNCTION("IFERROR(VLOOKUP(A177, IMPORTRANGE(""https://docs.google.com/spreadsheets/d/1-3Vjw2Cyy-mry5gbC8ypIR3YVGFfEpyFESummAta6sg/edit"", ""Sheet1!B:D""), 2, FALSE), ""Not Found"")"),"bʊk")</f>
        <v>bʊk</v>
      </c>
      <c r="E177" s="2" t="str">
        <f>IFERROR(__xludf.DUMMYFUNCTION("IFERROR(VLOOKUP(A177, IMPORTRANGE(""https://docs.google.com/spreadsheets/d/1-3Vjw2Cyy-mry5gbC8ypIR3YVGFfEpyFESummAta6sg/edit"", ""Sheet1!B:D""), 3, FALSE), ""Not Found"")"),"b ʊ k ")</f>
        <v>b ʊ k </v>
      </c>
    </row>
    <row r="178">
      <c r="A178" s="1" t="s">
        <v>181</v>
      </c>
      <c r="B178" s="1" t="s">
        <v>5</v>
      </c>
      <c r="C178" s="2">
        <f>IFERROR(__xludf.DUMMYFUNCTION("IFERROR(VLOOKUP(A178, IMPORTRANGE(""https://docs.google.com/spreadsheets/d/1AVX9GT0dgogEBStecCXMMQ29tWz3gBrtNB8yIromXbY/edit?gid=741673867"", ""out1g!A:B""), 2, FALSE), 0)"),158.0)</f>
        <v>158</v>
      </c>
      <c r="D178" s="2" t="str">
        <f>IFERROR(__xludf.DUMMYFUNCTION("IFERROR(VLOOKUP(A178, IMPORTRANGE(""https://docs.google.com/spreadsheets/d/1-3Vjw2Cyy-mry5gbC8ypIR3YVGFfEpyFESummAta6sg/edit"", ""Sheet1!B:D""), 2, FALSE), ""Not Found"")"),"nɔʃəs")</f>
        <v>nɔʃəs</v>
      </c>
      <c r="E178" s="2" t="str">
        <f>IFERROR(__xludf.DUMMYFUNCTION("IFERROR(VLOOKUP(A178, IMPORTRANGE(""https://docs.google.com/spreadsheets/d/1-3Vjw2Cyy-mry5gbC8ypIR3YVGFfEpyFESummAta6sg/edit"", ""Sheet1!B:D""), 3, FALSE), ""Not Found"")"),"n ɔ ʃ ə s ")</f>
        <v>n ɔ ʃ ə s </v>
      </c>
    </row>
    <row r="179">
      <c r="A179" s="1" t="s">
        <v>182</v>
      </c>
      <c r="B179" s="1" t="s">
        <v>5</v>
      </c>
      <c r="C179" s="2">
        <f>IFERROR(__xludf.DUMMYFUNCTION("IFERROR(VLOOKUP(A179, IMPORTRANGE(""https://docs.google.com/spreadsheets/d/1AVX9GT0dgogEBStecCXMMQ29tWz3gBrtNB8yIromXbY/edit?gid=741673867"", ""out1g!A:B""), 2, FALSE), 0)"),23.0)</f>
        <v>23</v>
      </c>
      <c r="D179" s="2" t="str">
        <f>IFERROR(__xludf.DUMMYFUNCTION("IFERROR(VLOOKUP(A179, IMPORTRANGE(""https://docs.google.com/spreadsheets/d/1-3Vjw2Cyy-mry5gbC8ypIR3YVGFfEpyFESummAta6sg/edit"", ""Sheet1!B:D""), 2, FALSE), ""Not Found"")"),"hætər")</f>
        <v>hætər</v>
      </c>
      <c r="E179" s="2" t="str">
        <f>IFERROR(__xludf.DUMMYFUNCTION("IFERROR(VLOOKUP(A179, IMPORTRANGE(""https://docs.google.com/spreadsheets/d/1-3Vjw2Cyy-mry5gbC8ypIR3YVGFfEpyFESummAta6sg/edit"", ""Sheet1!B:D""), 3, FALSE), ""Not Found"")"),"h æ t ə r ")</f>
        <v>h æ t ə r </v>
      </c>
    </row>
    <row r="180">
      <c r="A180" s="1" t="s">
        <v>183</v>
      </c>
      <c r="B180" s="1" t="s">
        <v>5</v>
      </c>
      <c r="C180" s="2">
        <f>IFERROR(__xludf.DUMMYFUNCTION("IFERROR(VLOOKUP(A180, IMPORTRANGE(""https://docs.google.com/spreadsheets/d/1AVX9GT0dgogEBStecCXMMQ29tWz3gBrtNB8yIromXbY/edit?gid=741673867"", ""out1g!A:B""), 2, FALSE), 0)"),298.0)</f>
        <v>298</v>
      </c>
      <c r="D180" s="2" t="str">
        <f>IFERROR(__xludf.DUMMYFUNCTION("IFERROR(VLOOKUP(A180, IMPORTRANGE(""https://docs.google.com/spreadsheets/d/1-3Vjw2Cyy-mry5gbC8ypIR3YVGFfEpyFESummAta6sg/edit"", ""Sheet1!B:D""), 2, FALSE), ""Not Found"")"),"fiʧər")</f>
        <v>fiʧər</v>
      </c>
      <c r="E180" s="2" t="str">
        <f>IFERROR(__xludf.DUMMYFUNCTION("IFERROR(VLOOKUP(A180, IMPORTRANGE(""https://docs.google.com/spreadsheets/d/1-3Vjw2Cyy-mry5gbC8ypIR3YVGFfEpyFESummAta6sg/edit"", ""Sheet1!B:D""), 3, FALSE), ""Not Found"")"),"f i ʧ ə r ")</f>
        <v>f i ʧ ə r </v>
      </c>
    </row>
    <row r="181">
      <c r="A181" s="1" t="s">
        <v>184</v>
      </c>
      <c r="B181" s="1" t="s">
        <v>5</v>
      </c>
      <c r="C181" s="2">
        <f>IFERROR(__xludf.DUMMYFUNCTION("IFERROR(VLOOKUP(A181, IMPORTRANGE(""https://docs.google.com/spreadsheets/d/1AVX9GT0dgogEBStecCXMMQ29tWz3gBrtNB8yIromXbY/edit?gid=741673867"", ""out1g!A:B""), 2, FALSE), 0)"),328.0)</f>
        <v>328</v>
      </c>
      <c r="D181" s="2" t="str">
        <f>IFERROR(__xludf.DUMMYFUNCTION("IFERROR(VLOOKUP(A181, IMPORTRANGE(""https://docs.google.com/spreadsheets/d/1-3Vjw2Cyy-mry5gbC8ypIR3YVGFfEpyFESummAta6sg/edit"", ""Sheet1!B:D""), 2, FALSE), ""Not Found"")"),"stu")</f>
        <v>stu</v>
      </c>
      <c r="E181" s="2" t="str">
        <f>IFERROR(__xludf.DUMMYFUNCTION("IFERROR(VLOOKUP(A181, IMPORTRANGE(""https://docs.google.com/spreadsheets/d/1-3Vjw2Cyy-mry5gbC8ypIR3YVGFfEpyFESummAta6sg/edit"", ""Sheet1!B:D""), 3, FALSE), ""Not Found"")"),"s t u ")</f>
        <v>s t u </v>
      </c>
    </row>
    <row r="182">
      <c r="A182" s="1" t="s">
        <v>185</v>
      </c>
      <c r="B182" s="1" t="s">
        <v>5</v>
      </c>
      <c r="C182" s="2">
        <f>IFERROR(__xludf.DUMMYFUNCTION("IFERROR(VLOOKUP(A182, IMPORTRANGE(""https://docs.google.com/spreadsheets/d/1AVX9GT0dgogEBStecCXMMQ29tWz3gBrtNB8yIromXbY/edit?gid=741673867"", ""out1g!A:B""), 2, FALSE), 0)"),113.0)</f>
        <v>113</v>
      </c>
      <c r="D182" s="2" t="str">
        <f>IFERROR(__xludf.DUMMYFUNCTION("IFERROR(VLOOKUP(A182, IMPORTRANGE(""https://docs.google.com/spreadsheets/d/1-3Vjw2Cyy-mry5gbC8ypIR3YVGFfEpyFESummAta6sg/edit"", ""Sheet1!B:D""), 2, FALSE), ""Not Found"")"),"pɪkɪt")</f>
        <v>pɪkɪt</v>
      </c>
      <c r="E182" s="2" t="str">
        <f>IFERROR(__xludf.DUMMYFUNCTION("IFERROR(VLOOKUP(A182, IMPORTRANGE(""https://docs.google.com/spreadsheets/d/1-3Vjw2Cyy-mry5gbC8ypIR3YVGFfEpyFESummAta6sg/edit"", ""Sheet1!B:D""), 3, FALSE), ""Not Found"")"),"p ɪ k ɪ t ")</f>
        <v>p ɪ k ɪ t </v>
      </c>
    </row>
    <row r="183">
      <c r="A183" s="1" t="s">
        <v>186</v>
      </c>
      <c r="B183" s="1" t="s">
        <v>5</v>
      </c>
      <c r="C183" s="2">
        <f>IFERROR(__xludf.DUMMYFUNCTION("IFERROR(VLOOKUP(A183, IMPORTRANGE(""https://docs.google.com/spreadsheets/d/1AVX9GT0dgogEBStecCXMMQ29tWz3gBrtNB8yIromXbY/edit?gid=741673867"", ""out1g!A:B""), 2, FALSE), 0)"),549.0)</f>
        <v>549</v>
      </c>
      <c r="D183" s="2" t="str">
        <f>IFERROR(__xludf.DUMMYFUNCTION("IFERROR(VLOOKUP(A183, IMPORTRANGE(""https://docs.google.com/spreadsheets/d/1-3Vjw2Cyy-mry5gbC8ypIR3YVGFfEpyFESummAta6sg/edit"", ""Sheet1!B:D""), 2, FALSE), ""Not Found"")"),"pruvd")</f>
        <v>pruvd</v>
      </c>
      <c r="E183" s="2" t="str">
        <f>IFERROR(__xludf.DUMMYFUNCTION("IFERROR(VLOOKUP(A183, IMPORTRANGE(""https://docs.google.com/spreadsheets/d/1-3Vjw2Cyy-mry5gbC8ypIR3YVGFfEpyFESummAta6sg/edit"", ""Sheet1!B:D""), 3, FALSE), ""Not Found"")"),"p r u v d ")</f>
        <v>p r u v d </v>
      </c>
    </row>
    <row r="184">
      <c r="A184" s="1" t="s">
        <v>187</v>
      </c>
      <c r="B184" s="1" t="s">
        <v>5</v>
      </c>
      <c r="C184" s="2">
        <f>IFERROR(__xludf.DUMMYFUNCTION("IFERROR(VLOOKUP(A184, IMPORTRANGE(""https://docs.google.com/spreadsheets/d/1AVX9GT0dgogEBStecCXMMQ29tWz3gBrtNB8yIromXbY/edit?gid=741673867"", ""out1g!A:B""), 2, FALSE), 0)"),190.0)</f>
        <v>190</v>
      </c>
      <c r="D184" s="2" t="str">
        <f>IFERROR(__xludf.DUMMYFUNCTION("IFERROR(VLOOKUP(A184, IMPORTRANGE(""https://docs.google.com/spreadsheets/d/1-3Vjw2Cyy-mry5gbC8ypIR3YVGFfEpyFESummAta6sg/edit"", ""Sheet1!B:D""), 2, FALSE), ""Not Found"")"),"əbten")</f>
        <v>əbten</v>
      </c>
      <c r="E184" s="2" t="str">
        <f>IFERROR(__xludf.DUMMYFUNCTION("IFERROR(VLOOKUP(A184, IMPORTRANGE(""https://docs.google.com/spreadsheets/d/1-3Vjw2Cyy-mry5gbC8ypIR3YVGFfEpyFESummAta6sg/edit"", ""Sheet1!B:D""), 3, FALSE), ""Not Found"")"),"ə b t e n ")</f>
        <v>ə b t e n </v>
      </c>
    </row>
    <row r="185">
      <c r="A185" s="1" t="s">
        <v>188</v>
      </c>
      <c r="B185" s="1" t="s">
        <v>5</v>
      </c>
      <c r="C185" s="2">
        <f>IFERROR(__xludf.DUMMYFUNCTION("IFERROR(VLOOKUP(A185, IMPORTRANGE(""https://docs.google.com/spreadsheets/d/1AVX9GT0dgogEBStecCXMMQ29tWz3gBrtNB8yIromXbY/edit?gid=741673867"", ""out1g!A:B""), 2, FALSE), 0)"),485.0)</f>
        <v>485</v>
      </c>
      <c r="D185" s="2" t="str">
        <f>IFERROR(__xludf.DUMMYFUNCTION("IFERROR(VLOOKUP(A185, IMPORTRANGE(""https://docs.google.com/spreadsheets/d/1-3Vjw2Cyy-mry5gbC8ypIR3YVGFfEpyFESummAta6sg/edit"", ""Sheet1!B:D""), 2, FALSE), ""Not Found"")"),"swip")</f>
        <v>swip</v>
      </c>
      <c r="E185" s="2" t="str">
        <f>IFERROR(__xludf.DUMMYFUNCTION("IFERROR(VLOOKUP(A185, IMPORTRANGE(""https://docs.google.com/spreadsheets/d/1-3Vjw2Cyy-mry5gbC8ypIR3YVGFfEpyFESummAta6sg/edit"", ""Sheet1!B:D""), 3, FALSE), ""Not Found"")"),"s w i p ")</f>
        <v>s w i p </v>
      </c>
    </row>
    <row r="186">
      <c r="A186" s="1" t="s">
        <v>189</v>
      </c>
      <c r="B186" s="1" t="s">
        <v>5</v>
      </c>
      <c r="C186" s="2">
        <f>IFERROR(__xludf.DUMMYFUNCTION("IFERROR(VLOOKUP(A186, IMPORTRANGE(""https://docs.google.com/spreadsheets/d/1AVX9GT0dgogEBStecCXMMQ29tWz3gBrtNB8yIromXbY/edit?gid=741673867"", ""out1g!A:B""), 2, FALSE), 0)"),48.0)</f>
        <v>48</v>
      </c>
      <c r="D186" s="2" t="str">
        <f>IFERROR(__xludf.DUMMYFUNCTION("IFERROR(VLOOKUP(A186, IMPORTRANGE(""https://docs.google.com/spreadsheets/d/1-3Vjw2Cyy-mry5gbC8ypIR3YVGFfEpyFESummAta6sg/edit"", ""Sheet1!B:D""), 2, FALSE), ""Not Found"")"),"ʃɑkər")</f>
        <v>ʃɑkər</v>
      </c>
      <c r="E186" s="2" t="str">
        <f>IFERROR(__xludf.DUMMYFUNCTION("IFERROR(VLOOKUP(A186, IMPORTRANGE(""https://docs.google.com/spreadsheets/d/1-3Vjw2Cyy-mry5gbC8ypIR3YVGFfEpyFESummAta6sg/edit"", ""Sheet1!B:D""), 3, FALSE), ""Not Found"")"),"ʃ ɑ k ə r ")</f>
        <v>ʃ ɑ k ə r </v>
      </c>
    </row>
    <row r="187">
      <c r="A187" s="1" t="s">
        <v>190</v>
      </c>
      <c r="B187" s="1" t="s">
        <v>5</v>
      </c>
      <c r="C187" s="2">
        <f>IFERROR(__xludf.DUMMYFUNCTION("IFERROR(VLOOKUP(A187, IMPORTRANGE(""https://docs.google.com/spreadsheets/d/1AVX9GT0dgogEBStecCXMMQ29tWz3gBrtNB8yIromXbY/edit?gid=741673867"", ""out1g!A:B""), 2, FALSE), 0)"),135.0)</f>
        <v>135</v>
      </c>
      <c r="D187" s="2" t="str">
        <f>IFERROR(__xludf.DUMMYFUNCTION("IFERROR(VLOOKUP(A187, IMPORTRANGE(""https://docs.google.com/spreadsheets/d/1-3Vjw2Cyy-mry5gbC8ypIR3YVGFfEpyFESummAta6sg/edit"", ""Sheet1!B:D""), 2, FALSE), ""Not Found"")"),"məru")</f>
        <v>məru</v>
      </c>
      <c r="E187" s="2" t="str">
        <f>IFERROR(__xludf.DUMMYFUNCTION("IFERROR(VLOOKUP(A187, IMPORTRANGE(""https://docs.google.com/spreadsheets/d/1-3Vjw2Cyy-mry5gbC8ypIR3YVGFfEpyFESummAta6sg/edit"", ""Sheet1!B:D""), 3, FALSE), ""Not Found"")"),"m ə r u ")</f>
        <v>m ə r u </v>
      </c>
    </row>
    <row r="188">
      <c r="A188" s="1" t="s">
        <v>191</v>
      </c>
      <c r="B188" s="1" t="s">
        <v>5</v>
      </c>
      <c r="C188" s="2">
        <f>IFERROR(__xludf.DUMMYFUNCTION("IFERROR(VLOOKUP(A188, IMPORTRANGE(""https://docs.google.com/spreadsheets/d/1AVX9GT0dgogEBStecCXMMQ29tWz3gBrtNB8yIromXbY/edit?gid=741673867"", ""out1g!A:B""), 2, FALSE), 0)"),109.0)</f>
        <v>109</v>
      </c>
      <c r="D188" s="2" t="str">
        <f>IFERROR(__xludf.DUMMYFUNCTION("IFERROR(VLOOKUP(A188, IMPORTRANGE(""https://docs.google.com/spreadsheets/d/1-3Vjw2Cyy-mry5gbC8ypIR3YVGFfEpyFESummAta6sg/edit"", ""Sheet1!B:D""), 2, FALSE), ""Not Found"")"),"rɪdən")</f>
        <v>rɪdən</v>
      </c>
      <c r="E188" s="2" t="str">
        <f>IFERROR(__xludf.DUMMYFUNCTION("IFERROR(VLOOKUP(A188, IMPORTRANGE(""https://docs.google.com/spreadsheets/d/1-3Vjw2Cyy-mry5gbC8ypIR3YVGFfEpyFESummAta6sg/edit"", ""Sheet1!B:D""), 3, FALSE), ""Not Found"")"),"r ɪ d ə n ")</f>
        <v>r ɪ d ə n </v>
      </c>
    </row>
    <row r="189">
      <c r="A189" s="1" t="s">
        <v>192</v>
      </c>
      <c r="B189" s="1" t="s">
        <v>5</v>
      </c>
      <c r="C189" s="2">
        <f>IFERROR(__xludf.DUMMYFUNCTION("IFERROR(VLOOKUP(A189, IMPORTRANGE(""https://docs.google.com/spreadsheets/d/1AVX9GT0dgogEBStecCXMMQ29tWz3gBrtNB8yIromXbY/edit?gid=741673867"", ""out1g!A:B""), 2, FALSE), 0)"),36579.0)</f>
        <v>36579</v>
      </c>
      <c r="D189" s="2" t="str">
        <f>IFERROR(__xludf.DUMMYFUNCTION("IFERROR(VLOOKUP(A189, IMPORTRANGE(""https://docs.google.com/spreadsheets/d/1-3Vjw2Cyy-mry5gbC8ypIR3YVGFfEpyFESummAta6sg/edit"", ""Sheet1!B:D""), 2, FALSE), ""Not Found"")"),"ə")</f>
        <v>ə</v>
      </c>
      <c r="E189" s="2" t="str">
        <f>IFERROR(__xludf.DUMMYFUNCTION("IFERROR(VLOOKUP(A189, IMPORTRANGE(""https://docs.google.com/spreadsheets/d/1-3Vjw2Cyy-mry5gbC8ypIR3YVGFfEpyFESummAta6sg/edit"", ""Sheet1!B:D""), 3, FALSE), ""Not Found"")"),"ə ")</f>
        <v>ə </v>
      </c>
    </row>
    <row r="190">
      <c r="A190" s="1" t="s">
        <v>193</v>
      </c>
      <c r="B190" s="1" t="s">
        <v>5</v>
      </c>
      <c r="C190" s="2">
        <f>IFERROR(__xludf.DUMMYFUNCTION("IFERROR(VLOOKUP(A190, IMPORTRANGE(""https://docs.google.com/spreadsheets/d/1AVX9GT0dgogEBStecCXMMQ29tWz3gBrtNB8yIromXbY/edit?gid=741673867"", ""out1g!A:B""), 2, FALSE), 0)"),59.0)</f>
        <v>59</v>
      </c>
      <c r="D190" s="2" t="str">
        <f>IFERROR(__xludf.DUMMYFUNCTION("IFERROR(VLOOKUP(A190, IMPORTRANGE(""https://docs.google.com/spreadsheets/d/1-3Vjw2Cyy-mry5gbC8ypIR3YVGFfEpyFESummAta6sg/edit"", ""Sheet1!B:D""), 2, FALSE), ""Not Found"")"),"flis")</f>
        <v>flis</v>
      </c>
      <c r="E190" s="2" t="str">
        <f>IFERROR(__xludf.DUMMYFUNCTION("IFERROR(VLOOKUP(A190, IMPORTRANGE(""https://docs.google.com/spreadsheets/d/1-3Vjw2Cyy-mry5gbC8ypIR3YVGFfEpyFESummAta6sg/edit"", ""Sheet1!B:D""), 3, FALSE), ""Not Found"")"),"f l i s ")</f>
        <v>f l i s </v>
      </c>
    </row>
    <row r="191">
      <c r="A191" s="1" t="s">
        <v>194</v>
      </c>
      <c r="B191" s="1" t="s">
        <v>5</v>
      </c>
      <c r="C191" s="2">
        <f>IFERROR(__xludf.DUMMYFUNCTION("IFERROR(VLOOKUP(A191, IMPORTRANGE(""https://docs.google.com/spreadsheets/d/1AVX9GT0dgogEBStecCXMMQ29tWz3gBrtNB8yIromXbY/edit?gid=741673867"", ""out1g!A:B""), 2, FALSE), 0)"),65.0)</f>
        <v>65</v>
      </c>
      <c r="D191" s="2" t="str">
        <f>IFERROR(__xludf.DUMMYFUNCTION("IFERROR(VLOOKUP(A191, IMPORTRANGE(""https://docs.google.com/spreadsheets/d/1-3Vjw2Cyy-mry5gbC8ypIR3YVGFfEpyFESummAta6sg/edit"", ""Sheet1!B:D""), 2, FALSE), ""Not Found"")"),"kuld")</f>
        <v>kuld</v>
      </c>
      <c r="E191" s="2" t="str">
        <f>IFERROR(__xludf.DUMMYFUNCTION("IFERROR(VLOOKUP(A191, IMPORTRANGE(""https://docs.google.com/spreadsheets/d/1-3Vjw2Cyy-mry5gbC8ypIR3YVGFfEpyFESummAta6sg/edit"", ""Sheet1!B:D""), 3, FALSE), ""Not Found"")"),"k u l d ")</f>
        <v>k u l d </v>
      </c>
    </row>
    <row r="192">
      <c r="A192" s="1" t="s">
        <v>195</v>
      </c>
      <c r="B192" s="1" t="s">
        <v>5</v>
      </c>
      <c r="C192" s="2">
        <f>IFERROR(__xludf.DUMMYFUNCTION("IFERROR(VLOOKUP(A192, IMPORTRANGE(""https://docs.google.com/spreadsheets/d/1AVX9GT0dgogEBStecCXMMQ29tWz3gBrtNB8yIromXbY/edit?gid=741673867"", ""out1g!A:B""), 2, FALSE), 0)"),2294.0)</f>
        <v>2294</v>
      </c>
      <c r="D192" s="2" t="str">
        <f>IFERROR(__xludf.DUMMYFUNCTION("IFERROR(VLOOKUP(A192, IMPORTRANGE(""https://docs.google.com/spreadsheets/d/1-3Vjw2Cyy-mry5gbC8ypIR3YVGFfEpyFESummAta6sg/edit"", ""Sheet1!B:D""), 2, FALSE), ""Not Found"")"),"nərs")</f>
        <v>nərs</v>
      </c>
      <c r="E192" s="2" t="str">
        <f>IFERROR(__xludf.DUMMYFUNCTION("IFERROR(VLOOKUP(A192, IMPORTRANGE(""https://docs.google.com/spreadsheets/d/1-3Vjw2Cyy-mry5gbC8ypIR3YVGFfEpyFESummAta6sg/edit"", ""Sheet1!B:D""), 3, FALSE), ""Not Found"")"),"n ə r s ")</f>
        <v>n ə r s </v>
      </c>
    </row>
    <row r="193">
      <c r="A193" s="1" t="s">
        <v>196</v>
      </c>
      <c r="B193" s="1" t="s">
        <v>5</v>
      </c>
      <c r="C193" s="2">
        <f>IFERROR(__xludf.DUMMYFUNCTION("IFERROR(VLOOKUP(A193, IMPORTRANGE(""https://docs.google.com/spreadsheets/d/1AVX9GT0dgogEBStecCXMMQ29tWz3gBrtNB8yIromXbY/edit?gid=741673867"", ""out1g!A:B""), 2, FALSE), 0)"),643.0)</f>
        <v>643</v>
      </c>
      <c r="D193" s="2" t="str">
        <f>IFERROR(__xludf.DUMMYFUNCTION("IFERROR(VLOOKUP(A193, IMPORTRANGE(""https://docs.google.com/spreadsheets/d/1-3Vjw2Cyy-mry5gbC8ypIR3YVGFfEpyFESummAta6sg/edit"", ""Sheet1!B:D""), 2, FALSE), ""Not Found"")"),"twɪst")</f>
        <v>twɪst</v>
      </c>
      <c r="E193" s="2" t="str">
        <f>IFERROR(__xludf.DUMMYFUNCTION("IFERROR(VLOOKUP(A193, IMPORTRANGE(""https://docs.google.com/spreadsheets/d/1-3Vjw2Cyy-mry5gbC8ypIR3YVGFfEpyFESummAta6sg/edit"", ""Sheet1!B:D""), 3, FALSE), ""Not Found"")"),"t w ɪ s t ")</f>
        <v>t w ɪ s t </v>
      </c>
    </row>
    <row r="194">
      <c r="A194" s="1" t="s">
        <v>197</v>
      </c>
      <c r="B194" s="1" t="s">
        <v>5</v>
      </c>
      <c r="C194" s="2">
        <f>IFERROR(__xludf.DUMMYFUNCTION("IFERROR(VLOOKUP(A194, IMPORTRANGE(""https://docs.google.com/spreadsheets/d/1AVX9GT0dgogEBStecCXMMQ29tWz3gBrtNB8yIromXbY/edit?gid=741673867"", ""out1g!A:B""), 2, FALSE), 0)"),1007.0)</f>
        <v>1007</v>
      </c>
      <c r="D194" s="2" t="str">
        <f>IFERROR(__xludf.DUMMYFUNCTION("IFERROR(VLOOKUP(A194, IMPORTRANGE(""https://docs.google.com/spreadsheets/d/1-3Vjw2Cyy-mry5gbC8ypIR3YVGFfEpyFESummAta6sg/edit"", ""Sheet1!B:D""), 2, FALSE), ""Not Found"")"),"sɛθ")</f>
        <v>sɛθ</v>
      </c>
      <c r="E194" s="2" t="str">
        <f>IFERROR(__xludf.DUMMYFUNCTION("IFERROR(VLOOKUP(A194, IMPORTRANGE(""https://docs.google.com/spreadsheets/d/1-3Vjw2Cyy-mry5gbC8ypIR3YVGFfEpyFESummAta6sg/edit"", ""Sheet1!B:D""), 3, FALSE), ""Not Found"")"),"s ɛ θ ")</f>
        <v>s ɛ θ </v>
      </c>
    </row>
    <row r="195">
      <c r="A195" s="1" t="s">
        <v>198</v>
      </c>
      <c r="B195" s="1" t="s">
        <v>5</v>
      </c>
      <c r="C195" s="2">
        <f>IFERROR(__xludf.DUMMYFUNCTION("IFERROR(VLOOKUP(A195, IMPORTRANGE(""https://docs.google.com/spreadsheets/d/1AVX9GT0dgogEBStecCXMMQ29tWz3gBrtNB8yIromXbY/edit?gid=741673867"", ""out1g!A:B""), 2, FALSE), 0)"),212.0)</f>
        <v>212</v>
      </c>
      <c r="D195" s="2" t="str">
        <f>IFERROR(__xludf.DUMMYFUNCTION("IFERROR(VLOOKUP(A195, IMPORTRANGE(""https://docs.google.com/spreadsheets/d/1-3Vjw2Cyy-mry5gbC8ypIR3YVGFfEpyFESummAta6sg/edit"", ""Sheet1!B:D""), 2, FALSE), ""Not Found"")"),"lɑkɪŋ")</f>
        <v>lɑkɪŋ</v>
      </c>
      <c r="E195" s="2" t="str">
        <f>IFERROR(__xludf.DUMMYFUNCTION("IFERROR(VLOOKUP(A195, IMPORTRANGE(""https://docs.google.com/spreadsheets/d/1-3Vjw2Cyy-mry5gbC8ypIR3YVGFfEpyFESummAta6sg/edit"", ""Sheet1!B:D""), 3, FALSE), ""Not Found"")"),"l ɑ k ɪ ŋ ")</f>
        <v>l ɑ k ɪ ŋ </v>
      </c>
    </row>
    <row r="196">
      <c r="A196" s="1" t="s">
        <v>199</v>
      </c>
      <c r="B196" s="1" t="s">
        <v>5</v>
      </c>
      <c r="C196" s="2">
        <f>IFERROR(__xludf.DUMMYFUNCTION("IFERROR(VLOOKUP(A196, IMPORTRANGE(""https://docs.google.com/spreadsheets/d/1AVX9GT0dgogEBStecCXMMQ29tWz3gBrtNB8yIromXbY/edit?gid=741673867"", ""out1g!A:B""), 2, FALSE), 0)"),123.0)</f>
        <v>123</v>
      </c>
      <c r="D196" s="2" t="str">
        <f>IFERROR(__xludf.DUMMYFUNCTION("IFERROR(VLOOKUP(A196, IMPORTRANGE(""https://docs.google.com/spreadsheets/d/1-3Vjw2Cyy-mry5gbC8ypIR3YVGFfEpyFESummAta6sg/edit"", ""Sheet1!B:D""), 2, FALSE), ""Not Found"")"),"hoʊks")</f>
        <v>hoʊks</v>
      </c>
      <c r="E196" s="2" t="str">
        <f>IFERROR(__xludf.DUMMYFUNCTION("IFERROR(VLOOKUP(A196, IMPORTRANGE(""https://docs.google.com/spreadsheets/d/1-3Vjw2Cyy-mry5gbC8ypIR3YVGFfEpyFESummAta6sg/edit"", ""Sheet1!B:D""), 3, FALSE), ""Not Found"")"),"h o ʊ k s ")</f>
        <v>h o ʊ k s </v>
      </c>
    </row>
    <row r="197">
      <c r="A197" s="1" t="s">
        <v>200</v>
      </c>
      <c r="B197" s="1" t="s">
        <v>5</v>
      </c>
      <c r="C197" s="2">
        <f>IFERROR(__xludf.DUMMYFUNCTION("IFERROR(VLOOKUP(A197, IMPORTRANGE(""https://docs.google.com/spreadsheets/d/1AVX9GT0dgogEBStecCXMMQ29tWz3gBrtNB8yIromXbY/edit?gid=741673867"", ""out1g!A:B""), 2, FALSE), 0)"),54.0)</f>
        <v>54</v>
      </c>
      <c r="D197" s="2" t="str">
        <f>IFERROR(__xludf.DUMMYFUNCTION("IFERROR(VLOOKUP(A197, IMPORTRANGE(""https://docs.google.com/spreadsheets/d/1-3Vjw2Cyy-mry5gbC8ypIR3YVGFfEpyFESummAta6sg/edit"", ""Sheet1!B:D""), 2, FALSE), ""Not Found"")"),"træʃi")</f>
        <v>træʃi</v>
      </c>
      <c r="E197" s="2" t="str">
        <f>IFERROR(__xludf.DUMMYFUNCTION("IFERROR(VLOOKUP(A197, IMPORTRANGE(""https://docs.google.com/spreadsheets/d/1-3Vjw2Cyy-mry5gbC8ypIR3YVGFfEpyFESummAta6sg/edit"", ""Sheet1!B:D""), 3, FALSE), ""Not Found"")"),"t r æ ʃ i ")</f>
        <v>t r æ ʃ i </v>
      </c>
    </row>
    <row r="198">
      <c r="A198" s="1" t="s">
        <v>201</v>
      </c>
      <c r="B198" s="1" t="s">
        <v>5</v>
      </c>
      <c r="C198" s="2">
        <f>IFERROR(__xludf.DUMMYFUNCTION("IFERROR(VLOOKUP(A198, IMPORTRANGE(""https://docs.google.com/spreadsheets/d/1AVX9GT0dgogEBStecCXMMQ29tWz3gBrtNB8yIromXbY/edit?gid=741673867"", ""out1g!A:B""), 2, FALSE), 0)"),63.0)</f>
        <v>63</v>
      </c>
      <c r="D198" s="2" t="str">
        <f>IFERROR(__xludf.DUMMYFUNCTION("IFERROR(VLOOKUP(A198, IMPORTRANGE(""https://docs.google.com/spreadsheets/d/1-3Vjw2Cyy-mry5gbC8ypIR3YVGFfEpyFESummAta6sg/edit"", ""Sheet1!B:D""), 2, FALSE), ""Not Found"")"),"plaɪt")</f>
        <v>plaɪt</v>
      </c>
      <c r="E198" s="2" t="str">
        <f>IFERROR(__xludf.DUMMYFUNCTION("IFERROR(VLOOKUP(A198, IMPORTRANGE(""https://docs.google.com/spreadsheets/d/1-3Vjw2Cyy-mry5gbC8ypIR3YVGFfEpyFESummAta6sg/edit"", ""Sheet1!B:D""), 3, FALSE), ""Not Found"")"),"p l a ɪ t ")</f>
        <v>p l a ɪ t </v>
      </c>
    </row>
    <row r="199">
      <c r="A199" s="1" t="s">
        <v>202</v>
      </c>
      <c r="B199" s="1" t="s">
        <v>5</v>
      </c>
      <c r="C199" s="2">
        <f>IFERROR(__xludf.DUMMYFUNCTION("IFERROR(VLOOKUP(A199, IMPORTRANGE(""https://docs.google.com/spreadsheets/d/1AVX9GT0dgogEBStecCXMMQ29tWz3gBrtNB8yIromXbY/edit?gid=741673867"", ""out1g!A:B""), 2, FALSE), 0)"),227.0)</f>
        <v>227</v>
      </c>
      <c r="D199" s="2" t="str">
        <f>IFERROR(__xludf.DUMMYFUNCTION("IFERROR(VLOOKUP(A199, IMPORTRANGE(""https://docs.google.com/spreadsheets/d/1-3Vjw2Cyy-mry5gbC8ypIR3YVGFfEpyFESummAta6sg/edit"", ""Sheet1!B:D""), 2, FALSE), ""Not Found"")"),"kroʊ")</f>
        <v>kroʊ</v>
      </c>
      <c r="E199" s="2" t="str">
        <f>IFERROR(__xludf.DUMMYFUNCTION("IFERROR(VLOOKUP(A199, IMPORTRANGE(""https://docs.google.com/spreadsheets/d/1-3Vjw2Cyy-mry5gbC8ypIR3YVGFfEpyFESummAta6sg/edit"", ""Sheet1!B:D""), 3, FALSE), ""Not Found"")"),"k r o ʊ ")</f>
        <v>k r o ʊ </v>
      </c>
    </row>
    <row r="200">
      <c r="A200" s="1" t="s">
        <v>203</v>
      </c>
      <c r="B200" s="1" t="s">
        <v>5</v>
      </c>
      <c r="C200" s="2">
        <f>IFERROR(__xludf.DUMMYFUNCTION("IFERROR(VLOOKUP(A200, IMPORTRANGE(""https://docs.google.com/spreadsheets/d/1AVX9GT0dgogEBStecCXMMQ29tWz3gBrtNB8yIromXbY/edit?gid=741673867"", ""out1g!A:B""), 2, FALSE), 0)"),11191.0)</f>
        <v>11191</v>
      </c>
      <c r="D200" s="2" t="str">
        <f>IFERROR(__xludf.DUMMYFUNCTION("IFERROR(VLOOKUP(A200, IMPORTRANGE(""https://docs.google.com/spreadsheets/d/1-3Vjw2Cyy-mry5gbC8ypIR3YVGFfEpyFESummAta6sg/edit"", ""Sheet1!B:D""), 2, FALSE), ""Not Found"")"),"kloʊz")</f>
        <v>kloʊz</v>
      </c>
      <c r="E200" s="2" t="str">
        <f>IFERROR(__xludf.DUMMYFUNCTION("IFERROR(VLOOKUP(A200, IMPORTRANGE(""https://docs.google.com/spreadsheets/d/1-3Vjw2Cyy-mry5gbC8ypIR3YVGFfEpyFESummAta6sg/edit"", ""Sheet1!B:D""), 3, FALSE), ""Not Found"")"),"k l o ʊ z ")</f>
        <v>k l o ʊ z </v>
      </c>
    </row>
    <row r="201">
      <c r="A201" s="1" t="s">
        <v>204</v>
      </c>
      <c r="B201" s="1" t="s">
        <v>5</v>
      </c>
      <c r="C201" s="2">
        <f>IFERROR(__xludf.DUMMYFUNCTION("IFERROR(VLOOKUP(A201, IMPORTRANGE(""https://docs.google.com/spreadsheets/d/1AVX9GT0dgogEBStecCXMMQ29tWz3gBrtNB8yIromXbY/edit?gid=741673867"", ""out1g!A:B""), 2, FALSE), 0)"),166.0)</f>
        <v>166</v>
      </c>
      <c r="D201" s="2" t="str">
        <f>IFERROR(__xludf.DUMMYFUNCTION("IFERROR(VLOOKUP(A201, IMPORTRANGE(""https://docs.google.com/spreadsheets/d/1-3Vjw2Cyy-mry5gbC8ypIR3YVGFfEpyFESummAta6sg/edit"", ""Sheet1!B:D""), 2, FALSE), ""Not Found"")"),"meoʊ")</f>
        <v>meoʊ</v>
      </c>
      <c r="E201" s="2" t="str">
        <f>IFERROR(__xludf.DUMMYFUNCTION("IFERROR(VLOOKUP(A201, IMPORTRANGE(""https://docs.google.com/spreadsheets/d/1-3Vjw2Cyy-mry5gbC8ypIR3YVGFfEpyFESummAta6sg/edit"", ""Sheet1!B:D""), 3, FALSE), ""Not Found"")"),"m e o ʊ ")</f>
        <v>m e o ʊ </v>
      </c>
    </row>
    <row r="202">
      <c r="A202" s="1" t="s">
        <v>205</v>
      </c>
      <c r="B202" s="1" t="s">
        <v>5</v>
      </c>
      <c r="C202" s="2">
        <f>IFERROR(__xludf.DUMMYFUNCTION("IFERROR(VLOOKUP(A202, IMPORTRANGE(""https://docs.google.com/spreadsheets/d/1AVX9GT0dgogEBStecCXMMQ29tWz3gBrtNB8yIromXbY/edit?gid=741673867"", ""out1g!A:B""), 2, FALSE), 0)"),25978.0)</f>
        <v>25978</v>
      </c>
      <c r="D202" s="2" t="str">
        <f>IFERROR(__xludf.DUMMYFUNCTION("IFERROR(VLOOKUP(A202, IMPORTRANGE(""https://docs.google.com/spreadsheets/d/1-3Vjw2Cyy-mry5gbC8ypIR3YVGFfEpyFESummAta6sg/edit"", ""Sheet1!B:D""), 2, FALSE), ""Not Found"")"),"bebi")</f>
        <v>bebi</v>
      </c>
      <c r="E202" s="2" t="str">
        <f>IFERROR(__xludf.DUMMYFUNCTION("IFERROR(VLOOKUP(A202, IMPORTRANGE(""https://docs.google.com/spreadsheets/d/1-3Vjw2Cyy-mry5gbC8ypIR3YVGFfEpyFESummAta6sg/edit"", ""Sheet1!B:D""), 3, FALSE), ""Not Found"")"),"b e b i ")</f>
        <v>b e b i </v>
      </c>
    </row>
    <row r="203">
      <c r="A203" s="1" t="s">
        <v>206</v>
      </c>
      <c r="B203" s="1" t="s">
        <v>5</v>
      </c>
      <c r="C203" s="2">
        <f>IFERROR(__xludf.DUMMYFUNCTION("IFERROR(VLOOKUP(A203, IMPORTRANGE(""https://docs.google.com/spreadsheets/d/1AVX9GT0dgogEBStecCXMMQ29tWz3gBrtNB8yIromXbY/edit?gid=741673867"", ""out1g!A:B""), 2, FALSE), 0)"),344.0)</f>
        <v>344</v>
      </c>
      <c r="D203" s="2" t="str">
        <f>IFERROR(__xludf.DUMMYFUNCTION("IFERROR(VLOOKUP(A203, IMPORTRANGE(""https://docs.google.com/spreadsheets/d/1-3Vjw2Cyy-mry5gbC8ypIR3YVGFfEpyFESummAta6sg/edit"", ""Sheet1!B:D""), 2, FALSE), ""Not Found"")"),"lɑtəri")</f>
        <v>lɑtəri</v>
      </c>
      <c r="E203" s="2" t="str">
        <f>IFERROR(__xludf.DUMMYFUNCTION("IFERROR(VLOOKUP(A203, IMPORTRANGE(""https://docs.google.com/spreadsheets/d/1-3Vjw2Cyy-mry5gbC8ypIR3YVGFfEpyFESummAta6sg/edit"", ""Sheet1!B:D""), 3, FALSE), ""Not Found"")"),"l ɑ t ə r i ")</f>
        <v>l ɑ t ə r i </v>
      </c>
    </row>
    <row r="204">
      <c r="A204" s="1" t="s">
        <v>207</v>
      </c>
      <c r="B204" s="1" t="s">
        <v>5</v>
      </c>
      <c r="C204" s="2">
        <f>IFERROR(__xludf.DUMMYFUNCTION("IFERROR(VLOOKUP(A204, IMPORTRANGE(""https://docs.google.com/spreadsheets/d/1AVX9GT0dgogEBStecCXMMQ29tWz3gBrtNB8yIromXbY/edit?gid=741673867"", ""out1g!A:B""), 2, FALSE), 0)"),90162.0)</f>
        <v>90162</v>
      </c>
      <c r="D204" s="2" t="str">
        <f>IFERROR(__xludf.DUMMYFUNCTION("IFERROR(VLOOKUP(A204, IMPORTRANGE(""https://docs.google.com/spreadsheets/d/1-3Vjw2Cyy-mry5gbC8ypIR3YVGFfEpyFESummAta6sg/edit"", ""Sheet1!B:D""), 2, FALSE), ""Not Found"")"),"wʊd")</f>
        <v>wʊd</v>
      </c>
      <c r="E204" s="2" t="str">
        <f>IFERROR(__xludf.DUMMYFUNCTION("IFERROR(VLOOKUP(A204, IMPORTRANGE(""https://docs.google.com/spreadsheets/d/1-3Vjw2Cyy-mry5gbC8ypIR3YVGFfEpyFESummAta6sg/edit"", ""Sheet1!B:D""), 3, FALSE), ""Not Found"")"),"w ʊ d ")</f>
        <v>w ʊ d </v>
      </c>
    </row>
    <row r="205">
      <c r="A205" s="1" t="s">
        <v>208</v>
      </c>
      <c r="B205" s="1" t="s">
        <v>5</v>
      </c>
      <c r="C205" s="2">
        <f>IFERROR(__xludf.DUMMYFUNCTION("IFERROR(VLOOKUP(A205, IMPORTRANGE(""https://docs.google.com/spreadsheets/d/1AVX9GT0dgogEBStecCXMMQ29tWz3gBrtNB8yIromXbY/edit?gid=741673867"", ""out1g!A:B""), 2, FALSE), 0)"),137.0)</f>
        <v>137</v>
      </c>
      <c r="D205" s="2" t="str">
        <f>IFERROR(__xludf.DUMMYFUNCTION("IFERROR(VLOOKUP(A205, IMPORTRANGE(""https://docs.google.com/spreadsheets/d/1-3Vjw2Cyy-mry5gbC8ypIR3YVGFfEpyFESummAta6sg/edit"", ""Sheet1!B:D""), 2, FALSE), ""Not Found"")"),"nɛs")</f>
        <v>nɛs</v>
      </c>
      <c r="E205" s="2" t="str">
        <f>IFERROR(__xludf.DUMMYFUNCTION("IFERROR(VLOOKUP(A205, IMPORTRANGE(""https://docs.google.com/spreadsheets/d/1-3Vjw2Cyy-mry5gbC8ypIR3YVGFfEpyFESummAta6sg/edit"", ""Sheet1!B:D""), 3, FALSE), ""Not Found"")"),"n ɛ s ")</f>
        <v>n ɛ s </v>
      </c>
    </row>
    <row r="206">
      <c r="A206" s="1" t="s">
        <v>209</v>
      </c>
      <c r="B206" s="1" t="s">
        <v>5</v>
      </c>
      <c r="C206" s="2">
        <f>IFERROR(__xludf.DUMMYFUNCTION("IFERROR(VLOOKUP(A206, IMPORTRANGE(""https://docs.google.com/spreadsheets/d/1AVX9GT0dgogEBStecCXMMQ29tWz3gBrtNB8yIromXbY/edit?gid=741673867"", ""out1g!A:B""), 2, FALSE), 0)"),548.0)</f>
        <v>548</v>
      </c>
      <c r="D206" s="2" t="str">
        <f>IFERROR(__xludf.DUMMYFUNCTION("IFERROR(VLOOKUP(A206, IMPORTRANGE(""https://docs.google.com/spreadsheets/d/1-3Vjw2Cyy-mry5gbC8ypIR3YVGFfEpyFESummAta6sg/edit"", ""Sheet1!B:D""), 2, FALSE), ""Not Found"")"),"hɑli")</f>
        <v>hɑli</v>
      </c>
      <c r="E206" s="2" t="str">
        <f>IFERROR(__xludf.DUMMYFUNCTION("IFERROR(VLOOKUP(A206, IMPORTRANGE(""https://docs.google.com/spreadsheets/d/1-3Vjw2Cyy-mry5gbC8ypIR3YVGFfEpyFESummAta6sg/edit"", ""Sheet1!B:D""), 3, FALSE), ""Not Found"")"),"h ɑ l i ")</f>
        <v>h ɑ l i </v>
      </c>
    </row>
    <row r="207">
      <c r="A207" s="1" t="s">
        <v>210</v>
      </c>
      <c r="B207" s="1" t="s">
        <v>5</v>
      </c>
      <c r="C207" s="2">
        <f>IFERROR(__xludf.DUMMYFUNCTION("IFERROR(VLOOKUP(A207, IMPORTRANGE(""https://docs.google.com/spreadsheets/d/1AVX9GT0dgogEBStecCXMMQ29tWz3gBrtNB8yIromXbY/edit?gid=741673867"", ""out1g!A:B""), 2, FALSE), 0)"),2061.0)</f>
        <v>2061</v>
      </c>
      <c r="D207" s="2" t="str">
        <f>IFERROR(__xludf.DUMMYFUNCTION("IFERROR(VLOOKUP(A207, IMPORTRANGE(""https://docs.google.com/spreadsheets/d/1-3Vjw2Cyy-mry5gbC8ypIR3YVGFfEpyFESummAta6sg/edit"", ""Sheet1!B:D""), 2, FALSE), ""Not Found"")"),"drɔ")</f>
        <v>drɔ</v>
      </c>
      <c r="E207" s="2" t="str">
        <f>IFERROR(__xludf.DUMMYFUNCTION("IFERROR(VLOOKUP(A207, IMPORTRANGE(""https://docs.google.com/spreadsheets/d/1-3Vjw2Cyy-mry5gbC8ypIR3YVGFfEpyFESummAta6sg/edit"", ""Sheet1!B:D""), 3, FALSE), ""Not Found"")"),"d r ɔ ")</f>
        <v>d r ɔ </v>
      </c>
    </row>
    <row r="208">
      <c r="A208" s="1" t="s">
        <v>211</v>
      </c>
      <c r="B208" s="1" t="s">
        <v>5</v>
      </c>
      <c r="C208" s="2">
        <f>IFERROR(__xludf.DUMMYFUNCTION("IFERROR(VLOOKUP(A208, IMPORTRANGE(""https://docs.google.com/spreadsheets/d/1AVX9GT0dgogEBStecCXMMQ29tWz3gBrtNB8yIromXbY/edit?gid=741673867"", ""out1g!A:B""), 2, FALSE), 0)"),73.0)</f>
        <v>73</v>
      </c>
      <c r="D208" s="2" t="str">
        <f>IFERROR(__xludf.DUMMYFUNCTION("IFERROR(VLOOKUP(A208, IMPORTRANGE(""https://docs.google.com/spreadsheets/d/1-3Vjw2Cyy-mry5gbC8ypIR3YVGFfEpyFESummAta6sg/edit"", ""Sheet1!B:D""), 2, FALSE), ""Not Found"")"),"ædər")</f>
        <v>ædər</v>
      </c>
      <c r="E208" s="2" t="str">
        <f>IFERROR(__xludf.DUMMYFUNCTION("IFERROR(VLOOKUP(A208, IMPORTRANGE(""https://docs.google.com/spreadsheets/d/1-3Vjw2Cyy-mry5gbC8ypIR3YVGFfEpyFESummAta6sg/edit"", ""Sheet1!B:D""), 3, FALSE), ""Not Found"")"),"æ d ə r ")</f>
        <v>æ d ə r </v>
      </c>
    </row>
    <row r="209">
      <c r="A209" s="1" t="s">
        <v>212</v>
      </c>
      <c r="B209" s="1" t="s">
        <v>5</v>
      </c>
      <c r="C209" s="2">
        <f>IFERROR(__xludf.DUMMYFUNCTION("IFERROR(VLOOKUP(A209, IMPORTRANGE(""https://docs.google.com/spreadsheets/d/1AVX9GT0dgogEBStecCXMMQ29tWz3gBrtNB8yIromXbY/edit?gid=741673867"", ""out1g!A:B""), 2, FALSE), 0)"),17.0)</f>
        <v>17</v>
      </c>
      <c r="D209" s="2" t="str">
        <f>IFERROR(__xludf.DUMMYFUNCTION("IFERROR(VLOOKUP(A209, IMPORTRANGE(""https://docs.google.com/spreadsheets/d/1-3Vjw2Cyy-mry5gbC8ypIR3YVGFfEpyFESummAta6sg/edit"", ""Sheet1!B:D""), 2, FALSE), ""Not Found"")"),"gɪrd")</f>
        <v>gɪrd</v>
      </c>
      <c r="E209" s="2" t="str">
        <f>IFERROR(__xludf.DUMMYFUNCTION("IFERROR(VLOOKUP(A209, IMPORTRANGE(""https://docs.google.com/spreadsheets/d/1-3Vjw2Cyy-mry5gbC8ypIR3YVGFfEpyFESummAta6sg/edit"", ""Sheet1!B:D""), 3, FALSE), ""Not Found"")"),"g ɪ r d ")</f>
        <v>g ɪ r d </v>
      </c>
    </row>
    <row r="210">
      <c r="A210" s="1" t="s">
        <v>213</v>
      </c>
      <c r="B210" s="1" t="s">
        <v>5</v>
      </c>
      <c r="C210" s="2">
        <f>IFERROR(__xludf.DUMMYFUNCTION("IFERROR(VLOOKUP(A210, IMPORTRANGE(""https://docs.google.com/spreadsheets/d/1AVX9GT0dgogEBStecCXMMQ29tWz3gBrtNB8yIromXbY/edit?gid=741673867"", ""out1g!A:B""), 2, FALSE), 0)"),296.0)</f>
        <v>296</v>
      </c>
      <c r="D210" s="2" t="str">
        <f>IFERROR(__xludf.DUMMYFUNCTION("IFERROR(VLOOKUP(A210, IMPORTRANGE(""https://docs.google.com/spreadsheets/d/1-3Vjw2Cyy-mry5gbC8ypIR3YVGFfEpyFESummAta6sg/edit"", ""Sheet1!B:D""), 2, FALSE), ""Not Found"")"),"slæm")</f>
        <v>slæm</v>
      </c>
      <c r="E210" s="2" t="str">
        <f>IFERROR(__xludf.DUMMYFUNCTION("IFERROR(VLOOKUP(A210, IMPORTRANGE(""https://docs.google.com/spreadsheets/d/1-3Vjw2Cyy-mry5gbC8ypIR3YVGFfEpyFESummAta6sg/edit"", ""Sheet1!B:D""), 3, FALSE), ""Not Found"")"),"s l æ m ")</f>
        <v>s l æ m </v>
      </c>
    </row>
    <row r="211">
      <c r="A211" s="1" t="s">
        <v>214</v>
      </c>
      <c r="B211" s="1" t="s">
        <v>5</v>
      </c>
      <c r="C211" s="2">
        <f>IFERROR(__xludf.DUMMYFUNCTION("IFERROR(VLOOKUP(A211, IMPORTRANGE(""https://docs.google.com/spreadsheets/d/1AVX9GT0dgogEBStecCXMMQ29tWz3gBrtNB8yIromXbY/edit?gid=741673867"", ""out1g!A:B""), 2, FALSE), 0)"),1291.0)</f>
        <v>1291</v>
      </c>
      <c r="D211" s="2" t="str">
        <f>IFERROR(__xludf.DUMMYFUNCTION("IFERROR(VLOOKUP(A211, IMPORTRANGE(""https://docs.google.com/spreadsheets/d/1-3Vjw2Cyy-mry5gbC8ypIR3YVGFfEpyFESummAta6sg/edit"", ""Sheet1!B:D""), 2, FALSE), ""Not Found"")"),"mərsi")</f>
        <v>mərsi</v>
      </c>
      <c r="E211" s="2" t="str">
        <f>IFERROR(__xludf.DUMMYFUNCTION("IFERROR(VLOOKUP(A211, IMPORTRANGE(""https://docs.google.com/spreadsheets/d/1-3Vjw2Cyy-mry5gbC8ypIR3YVGFfEpyFESummAta6sg/edit"", ""Sheet1!B:D""), 3, FALSE), ""Not Found"")"),"m ə r s i ")</f>
        <v>m ə r s i </v>
      </c>
    </row>
    <row r="212">
      <c r="A212" s="1" t="s">
        <v>215</v>
      </c>
      <c r="B212" s="1" t="s">
        <v>5</v>
      </c>
      <c r="C212" s="2">
        <f>IFERROR(__xludf.DUMMYFUNCTION("IFERROR(VLOOKUP(A212, IMPORTRANGE(""https://docs.google.com/spreadsheets/d/1AVX9GT0dgogEBStecCXMMQ29tWz3gBrtNB8yIromXbY/edit?gid=741673867"", ""out1g!A:B""), 2, FALSE), 0)"),200.0)</f>
        <v>200</v>
      </c>
      <c r="D212" s="2" t="str">
        <f>IFERROR(__xludf.DUMMYFUNCTION("IFERROR(VLOOKUP(A212, IMPORTRANGE(""https://docs.google.com/spreadsheets/d/1-3Vjw2Cyy-mry5gbC8ypIR3YVGFfEpyFESummAta6sg/edit"", ""Sheet1!B:D""), 2, FALSE), ""Not Found"")"),"flætər")</f>
        <v>flætər</v>
      </c>
      <c r="E212" s="2" t="str">
        <f>IFERROR(__xludf.DUMMYFUNCTION("IFERROR(VLOOKUP(A212, IMPORTRANGE(""https://docs.google.com/spreadsheets/d/1-3Vjw2Cyy-mry5gbC8ypIR3YVGFfEpyFESummAta6sg/edit"", ""Sheet1!B:D""), 3, FALSE), ""Not Found"")"),"f l æ t ə r ")</f>
        <v>f l æ t ə r </v>
      </c>
    </row>
    <row r="213">
      <c r="A213" s="1" t="s">
        <v>216</v>
      </c>
      <c r="B213" s="1" t="s">
        <v>5</v>
      </c>
      <c r="C213" s="2">
        <f>IFERROR(__xludf.DUMMYFUNCTION("IFERROR(VLOOKUP(A213, IMPORTRANGE(""https://docs.google.com/spreadsheets/d/1AVX9GT0dgogEBStecCXMMQ29tWz3gBrtNB8yIromXbY/edit?gid=741673867"", ""out1g!A:B""), 2, FALSE), 0)"),251.0)</f>
        <v>251</v>
      </c>
      <c r="D213" s="2" t="str">
        <f>IFERROR(__xludf.DUMMYFUNCTION("IFERROR(VLOOKUP(A213, IMPORTRANGE(""https://docs.google.com/spreadsheets/d/1-3Vjw2Cyy-mry5gbC8ypIR3YVGFfEpyFESummAta6sg/edit"", ""Sheet1!B:D""), 2, FALSE), ""Not Found"")"),"həmɪŋ")</f>
        <v>həmɪŋ</v>
      </c>
      <c r="E213" s="2" t="str">
        <f>IFERROR(__xludf.DUMMYFUNCTION("IFERROR(VLOOKUP(A213, IMPORTRANGE(""https://docs.google.com/spreadsheets/d/1-3Vjw2Cyy-mry5gbC8ypIR3YVGFfEpyFESummAta6sg/edit"", ""Sheet1!B:D""), 3, FALSE), ""Not Found"")"),"h ə m ɪ ŋ ")</f>
        <v>h ə m ɪ ŋ </v>
      </c>
    </row>
    <row r="214">
      <c r="A214" s="1" t="s">
        <v>217</v>
      </c>
      <c r="B214" s="1" t="s">
        <v>5</v>
      </c>
      <c r="C214" s="2">
        <f>IFERROR(__xludf.DUMMYFUNCTION("IFERROR(VLOOKUP(A214, IMPORTRANGE(""https://docs.google.com/spreadsheets/d/1AVX9GT0dgogEBStecCXMMQ29tWz3gBrtNB8yIromXbY/edit?gid=741673867"", ""out1g!A:B""), 2, FALSE), 0)"),101.0)</f>
        <v>101</v>
      </c>
      <c r="D214" s="2" t="str">
        <f>IFERROR(__xludf.DUMMYFUNCTION("IFERROR(VLOOKUP(A214, IMPORTRANGE(""https://docs.google.com/spreadsheets/d/1-3Vjw2Cyy-mry5gbC8ypIR3YVGFfEpyFESummAta6sg/edit"", ""Sheet1!B:D""), 2, FALSE), ""Not Found"")"),"sgɪz")</f>
        <v>sgɪz</v>
      </c>
      <c r="E214" s="2" t="str">
        <f>IFERROR(__xludf.DUMMYFUNCTION("IFERROR(VLOOKUP(A214, IMPORTRANGE(""https://docs.google.com/spreadsheets/d/1-3Vjw2Cyy-mry5gbC8ypIR3YVGFfEpyFESummAta6sg/edit"", ""Sheet1!B:D""), 3, FALSE), ""Not Found"")"),"s g ɪ z ")</f>
        <v>s g ɪ z </v>
      </c>
    </row>
    <row r="215">
      <c r="A215" s="1" t="s">
        <v>218</v>
      </c>
      <c r="B215" s="1" t="s">
        <v>5</v>
      </c>
      <c r="C215" s="2">
        <f>IFERROR(__xludf.DUMMYFUNCTION("IFERROR(VLOOKUP(A215, IMPORTRANGE(""https://docs.google.com/spreadsheets/d/1AVX9GT0dgogEBStecCXMMQ29tWz3gBrtNB8yIromXbY/edit?gid=741673867"", ""out1g!A:B""), 2, FALSE), 0)"),33.0)</f>
        <v>33</v>
      </c>
      <c r="D215" s="2" t="str">
        <f>IFERROR(__xludf.DUMMYFUNCTION("IFERROR(VLOOKUP(A215, IMPORTRANGE(""https://docs.google.com/spreadsheets/d/1-3Vjw2Cyy-mry5gbC8ypIR3YVGFfEpyFESummAta6sg/edit"", ""Sheet1!B:D""), 2, FALSE), ""Not Found"")"),"tɪpsi")</f>
        <v>tɪpsi</v>
      </c>
      <c r="E215" s="2" t="str">
        <f>IFERROR(__xludf.DUMMYFUNCTION("IFERROR(VLOOKUP(A215, IMPORTRANGE(""https://docs.google.com/spreadsheets/d/1-3Vjw2Cyy-mry5gbC8ypIR3YVGFfEpyFESummAta6sg/edit"", ""Sheet1!B:D""), 3, FALSE), ""Not Found"")"),"t ɪ p s i ")</f>
        <v>t ɪ p s i </v>
      </c>
    </row>
    <row r="216">
      <c r="A216" s="1" t="s">
        <v>219</v>
      </c>
      <c r="B216" s="1" t="s">
        <v>5</v>
      </c>
      <c r="C216" s="2">
        <f>IFERROR(__xludf.DUMMYFUNCTION("IFERROR(VLOOKUP(A216, IMPORTRANGE(""https://docs.google.com/spreadsheets/d/1AVX9GT0dgogEBStecCXMMQ29tWz3gBrtNB8yIromXbY/edit?gid=741673867"", ""out1g!A:B""), 2, FALSE), 0)"),67.0)</f>
        <v>67</v>
      </c>
      <c r="D216" s="2" t="str">
        <f>IFERROR(__xludf.DUMMYFUNCTION("IFERROR(VLOOKUP(A216, IMPORTRANGE(""https://docs.google.com/spreadsheets/d/1-3Vjw2Cyy-mry5gbC8ypIR3YVGFfEpyFESummAta6sg/edit"", ""Sheet1!B:D""), 2, FALSE), ""Not Found"")"),"skɑrd")</f>
        <v>skɑrd</v>
      </c>
      <c r="E216" s="2" t="str">
        <f>IFERROR(__xludf.DUMMYFUNCTION("IFERROR(VLOOKUP(A216, IMPORTRANGE(""https://docs.google.com/spreadsheets/d/1-3Vjw2Cyy-mry5gbC8ypIR3YVGFfEpyFESummAta6sg/edit"", ""Sheet1!B:D""), 3, FALSE), ""Not Found"")"),"s k ɑ r d ")</f>
        <v>s k ɑ r d </v>
      </c>
    </row>
    <row r="217">
      <c r="A217" s="1" t="s">
        <v>220</v>
      </c>
      <c r="B217" s="1" t="s">
        <v>5</v>
      </c>
      <c r="C217" s="2">
        <f>IFERROR(__xludf.DUMMYFUNCTION("IFERROR(VLOOKUP(A217, IMPORTRANGE(""https://docs.google.com/spreadsheets/d/1AVX9GT0dgogEBStecCXMMQ29tWz3gBrtNB8yIromXbY/edit?gid=741673867"", ""out1g!A:B""), 2, FALSE), 0)"),2266.0)</f>
        <v>2266</v>
      </c>
      <c r="D217" s="2" t="str">
        <f>IFERROR(__xludf.DUMMYFUNCTION("IFERROR(VLOOKUP(A217, IMPORTRANGE(""https://docs.google.com/spreadsheets/d/1-3Vjw2Cyy-mry5gbC8ypIR3YVGFfEpyFESummAta6sg/edit"", ""Sheet1!B:D""), 2, FALSE), ""Not Found"")"),"əfɔrd")</f>
        <v>əfɔrd</v>
      </c>
      <c r="E217" s="2" t="str">
        <f>IFERROR(__xludf.DUMMYFUNCTION("IFERROR(VLOOKUP(A217, IMPORTRANGE(""https://docs.google.com/spreadsheets/d/1-3Vjw2Cyy-mry5gbC8ypIR3YVGFfEpyFESummAta6sg/edit"", ""Sheet1!B:D""), 3, FALSE), ""Not Found"")"),"ə f ɔ r d ")</f>
        <v>ə f ɔ r d </v>
      </c>
    </row>
    <row r="218">
      <c r="A218" s="1" t="s">
        <v>221</v>
      </c>
      <c r="B218" s="1" t="s">
        <v>5</v>
      </c>
      <c r="C218" s="2">
        <f>IFERROR(__xludf.DUMMYFUNCTION("IFERROR(VLOOKUP(A218, IMPORTRANGE(""https://docs.google.com/spreadsheets/d/1AVX9GT0dgogEBStecCXMMQ29tWz3gBrtNB8yIromXbY/edit?gid=741673867"", ""out1g!A:B""), 2, FALSE), 0)"),5353.0)</f>
        <v>5353</v>
      </c>
      <c r="D218" s="2" t="str">
        <f>IFERROR(__xludf.DUMMYFUNCTION("IFERROR(VLOOKUP(A218, IMPORTRANGE(""https://docs.google.com/spreadsheets/d/1-3Vjw2Cyy-mry5gbC8ypIR3YVGFfEpyFESummAta6sg/edit"", ""Sheet1!B:D""), 2, FALSE), ""Not Found"")"),"bɔl")</f>
        <v>bɔl</v>
      </c>
      <c r="E218" s="2" t="str">
        <f>IFERROR(__xludf.DUMMYFUNCTION("IFERROR(VLOOKUP(A218, IMPORTRANGE(""https://docs.google.com/spreadsheets/d/1-3Vjw2Cyy-mry5gbC8ypIR3YVGFfEpyFESummAta6sg/edit"", ""Sheet1!B:D""), 3, FALSE), ""Not Found"")"),"b ɔ l ")</f>
        <v>b ɔ l </v>
      </c>
    </row>
    <row r="219">
      <c r="A219" s="1" t="s">
        <v>222</v>
      </c>
      <c r="B219" s="1" t="s">
        <v>5</v>
      </c>
      <c r="C219" s="2">
        <f>IFERROR(__xludf.DUMMYFUNCTION("IFERROR(VLOOKUP(A219, IMPORTRANGE(""https://docs.google.com/spreadsheets/d/1AVX9GT0dgogEBStecCXMMQ29tWz3gBrtNB8yIromXbY/edit?gid=741673867"", ""out1g!A:B""), 2, FALSE), 0)"),60.0)</f>
        <v>60</v>
      </c>
      <c r="D219" s="2" t="str">
        <f>IFERROR(__xludf.DUMMYFUNCTION("IFERROR(VLOOKUP(A219, IMPORTRANGE(""https://docs.google.com/spreadsheets/d/1-3Vjw2Cyy-mry5gbC8ypIR3YVGFfEpyFESummAta6sg/edit"", ""Sheet1!B:D""), 2, FALSE), ""Not Found"")"),"krɑk")</f>
        <v>krɑk</v>
      </c>
      <c r="E219" s="2" t="str">
        <f>IFERROR(__xludf.DUMMYFUNCTION("IFERROR(VLOOKUP(A219, IMPORTRANGE(""https://docs.google.com/spreadsheets/d/1-3Vjw2Cyy-mry5gbC8ypIR3YVGFfEpyFESummAta6sg/edit"", ""Sheet1!B:D""), 3, FALSE), ""Not Found"")"),"k r ɑ k ")</f>
        <v>k r ɑ k </v>
      </c>
    </row>
    <row r="220">
      <c r="A220" s="1" t="s">
        <v>223</v>
      </c>
      <c r="B220" s="1" t="s">
        <v>5</v>
      </c>
      <c r="C220" s="2">
        <f>IFERROR(__xludf.DUMMYFUNCTION("IFERROR(VLOOKUP(A220, IMPORTRANGE(""https://docs.google.com/spreadsheets/d/1AVX9GT0dgogEBStecCXMMQ29tWz3gBrtNB8yIromXbY/edit?gid=741673867"", ""out1g!A:B""), 2, FALSE), 0)"),227.0)</f>
        <v>227</v>
      </c>
      <c r="D220" s="2" t="str">
        <f>IFERROR(__xludf.DUMMYFUNCTION("IFERROR(VLOOKUP(A220, IMPORTRANGE(""https://docs.google.com/spreadsheets/d/1-3Vjw2Cyy-mry5gbC8ypIR3YVGFfEpyFESummAta6sg/edit"", ""Sheet1!B:D""), 2, FALSE), ""Not Found"")"),"grɪl")</f>
        <v>grɪl</v>
      </c>
      <c r="E220" s="2" t="str">
        <f>IFERROR(__xludf.DUMMYFUNCTION("IFERROR(VLOOKUP(A220, IMPORTRANGE(""https://docs.google.com/spreadsheets/d/1-3Vjw2Cyy-mry5gbC8ypIR3YVGFfEpyFESummAta6sg/edit"", ""Sheet1!B:D""), 3, FALSE), ""Not Found"")"),"g r ɪ l ")</f>
        <v>g r ɪ l </v>
      </c>
    </row>
    <row r="221">
      <c r="A221" s="1" t="s">
        <v>224</v>
      </c>
      <c r="B221" s="1" t="s">
        <v>5</v>
      </c>
      <c r="C221" s="2">
        <f>IFERROR(__xludf.DUMMYFUNCTION("IFERROR(VLOOKUP(A221, IMPORTRANGE(""https://docs.google.com/spreadsheets/d/1AVX9GT0dgogEBStecCXMMQ29tWz3gBrtNB8yIromXbY/edit?gid=741673867"", ""out1g!A:B""), 2, FALSE), 0)"),1034.0)</f>
        <v>1034</v>
      </c>
      <c r="D221" s="2" t="str">
        <f>IFERROR(__xludf.DUMMYFUNCTION("IFERROR(VLOOKUP(A221, IMPORTRANGE(""https://docs.google.com/spreadsheets/d/1-3Vjw2Cyy-mry5gbC8ypIR3YVGFfEpyFESummAta6sg/edit"", ""Sheet1!B:D""), 2, FALSE), ""Not Found"")"),"wʊlf")</f>
        <v>wʊlf</v>
      </c>
      <c r="E221" s="2" t="str">
        <f>IFERROR(__xludf.DUMMYFUNCTION("IFERROR(VLOOKUP(A221, IMPORTRANGE(""https://docs.google.com/spreadsheets/d/1-3Vjw2Cyy-mry5gbC8ypIR3YVGFfEpyFESummAta6sg/edit"", ""Sheet1!B:D""), 3, FALSE), ""Not Found"")"),"w ʊ l f ")</f>
        <v>w ʊ l f </v>
      </c>
    </row>
    <row r="222">
      <c r="A222" s="1" t="s">
        <v>225</v>
      </c>
      <c r="B222" s="1" t="s">
        <v>5</v>
      </c>
      <c r="C222" s="2">
        <f>IFERROR(__xludf.DUMMYFUNCTION("IFERROR(VLOOKUP(A222, IMPORTRANGE(""https://docs.google.com/spreadsheets/d/1AVX9GT0dgogEBStecCXMMQ29tWz3gBrtNB8yIromXbY/edit?gid=741673867"", ""out1g!A:B""), 2, FALSE), 0)"),400.0)</f>
        <v>400</v>
      </c>
      <c r="D222" s="2" t="str">
        <f>IFERROR(__xludf.DUMMYFUNCTION("IFERROR(VLOOKUP(A222, IMPORTRANGE(""https://docs.google.com/spreadsheets/d/1-3Vjw2Cyy-mry5gbC8ypIR3YVGFfEpyFESummAta6sg/edit"", ""Sheet1!B:D""), 2, FALSE), ""Not Found"")"),"voʊts")</f>
        <v>voʊts</v>
      </c>
      <c r="E222" s="2" t="str">
        <f>IFERROR(__xludf.DUMMYFUNCTION("IFERROR(VLOOKUP(A222, IMPORTRANGE(""https://docs.google.com/spreadsheets/d/1-3Vjw2Cyy-mry5gbC8ypIR3YVGFfEpyFESummAta6sg/edit"", ""Sheet1!B:D""), 3, FALSE), ""Not Found"")"),"v o ʊ t s ")</f>
        <v>v o ʊ t s </v>
      </c>
    </row>
    <row r="223">
      <c r="A223" s="1" t="s">
        <v>226</v>
      </c>
      <c r="B223" s="1" t="s">
        <v>5</v>
      </c>
      <c r="C223" s="2">
        <f>IFERROR(__xludf.DUMMYFUNCTION("IFERROR(VLOOKUP(A223, IMPORTRANGE(""https://docs.google.com/spreadsheets/d/1AVX9GT0dgogEBStecCXMMQ29tWz3gBrtNB8yIromXbY/edit?gid=741673867"", ""out1g!A:B""), 2, FALSE), 0)"),208.0)</f>
        <v>208</v>
      </c>
      <c r="D223" s="2" t="str">
        <f>IFERROR(__xludf.DUMMYFUNCTION("IFERROR(VLOOKUP(A223, IMPORTRANGE(""https://docs.google.com/spreadsheets/d/1-3Vjw2Cyy-mry5gbC8ypIR3YVGFfEpyFESummAta6sg/edit"", ""Sheet1!B:D""), 2, FALSE), ""Not Found"")"),"hɪʧ")</f>
        <v>hɪʧ</v>
      </c>
      <c r="E223" s="2" t="str">
        <f>IFERROR(__xludf.DUMMYFUNCTION("IFERROR(VLOOKUP(A223, IMPORTRANGE(""https://docs.google.com/spreadsheets/d/1-3Vjw2Cyy-mry5gbC8ypIR3YVGFfEpyFESummAta6sg/edit"", ""Sheet1!B:D""), 3, FALSE), ""Not Found"")"),"h ɪ ʧ ")</f>
        <v>h ɪ ʧ </v>
      </c>
    </row>
    <row r="224">
      <c r="A224" s="1" t="s">
        <v>227</v>
      </c>
      <c r="B224" s="1" t="s">
        <v>5</v>
      </c>
      <c r="C224" s="2">
        <f>IFERROR(__xludf.DUMMYFUNCTION("IFERROR(VLOOKUP(A224, IMPORTRANGE(""https://docs.google.com/spreadsheets/d/1AVX9GT0dgogEBStecCXMMQ29tWz3gBrtNB8yIromXbY/edit?gid=741673867"", ""out1g!A:B""), 2, FALSE), 0)"),80.0)</f>
        <v>80</v>
      </c>
      <c r="D224" s="2" t="str">
        <f>IFERROR(__xludf.DUMMYFUNCTION("IFERROR(VLOOKUP(A224, IMPORTRANGE(""https://docs.google.com/spreadsheets/d/1-3Vjw2Cyy-mry5gbC8ypIR3YVGFfEpyFESummAta6sg/edit"", ""Sheet1!B:D""), 2, FALSE), ""Not Found"")"),"tɑ")</f>
        <v>tɑ</v>
      </c>
      <c r="E224" s="2" t="str">
        <f>IFERROR(__xludf.DUMMYFUNCTION("IFERROR(VLOOKUP(A224, IMPORTRANGE(""https://docs.google.com/spreadsheets/d/1-3Vjw2Cyy-mry5gbC8ypIR3YVGFfEpyFESummAta6sg/edit"", ""Sheet1!B:D""), 3, FALSE), ""Not Found"")"),"t ɑ ")</f>
        <v>t ɑ </v>
      </c>
    </row>
    <row r="225">
      <c r="A225" s="1" t="s">
        <v>228</v>
      </c>
      <c r="B225" s="1" t="s">
        <v>5</v>
      </c>
      <c r="C225" s="2">
        <f>IFERROR(__xludf.DUMMYFUNCTION("IFERROR(VLOOKUP(A225, IMPORTRANGE(""https://docs.google.com/spreadsheets/d/1AVX9GT0dgogEBStecCXMMQ29tWz3gBrtNB8yIromXbY/edit?gid=741673867"", ""out1g!A:B""), 2, FALSE), 0)"),83.0)</f>
        <v>83</v>
      </c>
      <c r="D225" s="2" t="str">
        <f>IFERROR(__xludf.DUMMYFUNCTION("IFERROR(VLOOKUP(A225, IMPORTRANGE(""https://docs.google.com/spreadsheets/d/1-3Vjw2Cyy-mry5gbC8ypIR3YVGFfEpyFESummAta6sg/edit"", ""Sheet1!B:D""), 2, FALSE), ""Not Found"")"),"ʤɛl")</f>
        <v>ʤɛl</v>
      </c>
      <c r="E225" s="2" t="str">
        <f>IFERROR(__xludf.DUMMYFUNCTION("IFERROR(VLOOKUP(A225, IMPORTRANGE(""https://docs.google.com/spreadsheets/d/1-3Vjw2Cyy-mry5gbC8ypIR3YVGFfEpyFESummAta6sg/edit"", ""Sheet1!B:D""), 3, FALSE), ""Not Found"")"),"ʤ ɛ l ")</f>
        <v>ʤ ɛ l </v>
      </c>
    </row>
    <row r="226">
      <c r="A226" s="1" t="s">
        <v>229</v>
      </c>
      <c r="B226" s="1" t="s">
        <v>5</v>
      </c>
      <c r="C226" s="2">
        <f>IFERROR(__xludf.DUMMYFUNCTION("IFERROR(VLOOKUP(A226, IMPORTRANGE(""https://docs.google.com/spreadsheets/d/1AVX9GT0dgogEBStecCXMMQ29tWz3gBrtNB8yIromXbY/edit?gid=741673867"", ""out1g!A:B""), 2, FALSE), 0)"),108.0)</f>
        <v>108</v>
      </c>
      <c r="D226" s="2" t="str">
        <f>IFERROR(__xludf.DUMMYFUNCTION("IFERROR(VLOOKUP(A226, IMPORTRANGE(""https://docs.google.com/spreadsheets/d/1-3Vjw2Cyy-mry5gbC8ypIR3YVGFfEpyFESummAta6sg/edit"", ""Sheet1!B:D""), 2, FALSE), ""Not Found"")"),"faʊndər")</f>
        <v>faʊndər</v>
      </c>
      <c r="E226" s="2" t="str">
        <f>IFERROR(__xludf.DUMMYFUNCTION("IFERROR(VLOOKUP(A226, IMPORTRANGE(""https://docs.google.com/spreadsheets/d/1-3Vjw2Cyy-mry5gbC8ypIR3YVGFfEpyFESummAta6sg/edit"", ""Sheet1!B:D""), 3, FALSE), ""Not Found"")"),"f a ʊ n d ə r ")</f>
        <v>f a ʊ n d ə r </v>
      </c>
    </row>
    <row r="227">
      <c r="A227" s="1" t="s">
        <v>230</v>
      </c>
      <c r="B227" s="1" t="s">
        <v>5</v>
      </c>
      <c r="C227" s="2">
        <f>IFERROR(__xludf.DUMMYFUNCTION("IFERROR(VLOOKUP(A227, IMPORTRANGE(""https://docs.google.com/spreadsheets/d/1AVX9GT0dgogEBStecCXMMQ29tWz3gBrtNB8yIromXbY/edit?gid=741673867"", ""out1g!A:B""), 2, FALSE), 0)"),222.0)</f>
        <v>222</v>
      </c>
      <c r="D227" s="2" t="str">
        <f>IFERROR(__xludf.DUMMYFUNCTION("IFERROR(VLOOKUP(A227, IMPORTRANGE(""https://docs.google.com/spreadsheets/d/1-3Vjw2Cyy-mry5gbC8ypIR3YVGFfEpyFESummAta6sg/edit"", ""Sheet1!B:D""), 2, FALSE), ""Not Found"")"),"tredɪd")</f>
        <v>tredɪd</v>
      </c>
      <c r="E227" s="2" t="str">
        <f>IFERROR(__xludf.DUMMYFUNCTION("IFERROR(VLOOKUP(A227, IMPORTRANGE(""https://docs.google.com/spreadsheets/d/1-3Vjw2Cyy-mry5gbC8ypIR3YVGFfEpyFESummAta6sg/edit"", ""Sheet1!B:D""), 3, FALSE), ""Not Found"")"),"t r e d ɪ d ")</f>
        <v>t r e d ɪ d </v>
      </c>
    </row>
    <row r="228">
      <c r="A228" s="1" t="s">
        <v>231</v>
      </c>
      <c r="B228" s="1" t="s">
        <v>5</v>
      </c>
      <c r="C228" s="2">
        <f>IFERROR(__xludf.DUMMYFUNCTION("IFERROR(VLOOKUP(A228, IMPORTRANGE(""https://docs.google.com/spreadsheets/d/1AVX9GT0dgogEBStecCXMMQ29tWz3gBrtNB8yIromXbY/edit?gid=741673867"", ""out1g!A:B""), 2, FALSE), 0)"),1202.0)</f>
        <v>1202</v>
      </c>
      <c r="D228" s="2" t="str">
        <f>IFERROR(__xludf.DUMMYFUNCTION("IFERROR(VLOOKUP(A228, IMPORTRANGE(""https://docs.google.com/spreadsheets/d/1-3Vjw2Cyy-mry5gbC8ypIR3YVGFfEpyFESummAta6sg/edit"", ""Sheet1!B:D""), 2, FALSE), ""Not Found"")"),"kɛrfəli")</f>
        <v>kɛrfəli</v>
      </c>
      <c r="E228" s="2" t="str">
        <f>IFERROR(__xludf.DUMMYFUNCTION("IFERROR(VLOOKUP(A228, IMPORTRANGE(""https://docs.google.com/spreadsheets/d/1-3Vjw2Cyy-mry5gbC8ypIR3YVGFfEpyFESummAta6sg/edit"", ""Sheet1!B:D""), 3, FALSE), ""Not Found"")"),"k ɛ r f ə l i ")</f>
        <v>k ɛ r f ə l i </v>
      </c>
    </row>
    <row r="229">
      <c r="A229" s="1" t="s">
        <v>232</v>
      </c>
      <c r="B229" s="1" t="s">
        <v>5</v>
      </c>
      <c r="C229" s="2">
        <f>IFERROR(__xludf.DUMMYFUNCTION("IFERROR(VLOOKUP(A229, IMPORTRANGE(""https://docs.google.com/spreadsheets/d/1AVX9GT0dgogEBStecCXMMQ29tWz3gBrtNB8yIromXbY/edit?gid=741673867"", ""out1g!A:B""), 2, FALSE), 0)"),226.0)</f>
        <v>226</v>
      </c>
      <c r="D229" s="2" t="str">
        <f>IFERROR(__xludf.DUMMYFUNCTION("IFERROR(VLOOKUP(A229, IMPORTRANGE(""https://docs.google.com/spreadsheets/d/1-3Vjw2Cyy-mry5gbC8ypIR3YVGFfEpyFESummAta6sg/edit"", ""Sheet1!B:D""), 2, FALSE), ""Not Found"")"),"trupər")</f>
        <v>trupər</v>
      </c>
      <c r="E229" s="2" t="str">
        <f>IFERROR(__xludf.DUMMYFUNCTION("IFERROR(VLOOKUP(A229, IMPORTRANGE(""https://docs.google.com/spreadsheets/d/1-3Vjw2Cyy-mry5gbC8ypIR3YVGFfEpyFESummAta6sg/edit"", ""Sheet1!B:D""), 3, FALSE), ""Not Found"")"),"t r u p ə r ")</f>
        <v>t r u p ə r </v>
      </c>
    </row>
    <row r="230">
      <c r="A230" s="1" t="s">
        <v>233</v>
      </c>
      <c r="B230" s="1" t="s">
        <v>5</v>
      </c>
      <c r="C230" s="2">
        <f>IFERROR(__xludf.DUMMYFUNCTION("IFERROR(VLOOKUP(A230, IMPORTRANGE(""https://docs.google.com/spreadsheets/d/1AVX9GT0dgogEBStecCXMMQ29tWz3gBrtNB8yIromXbY/edit?gid=741673867"", ""out1g!A:B""), 2, FALSE), 0)"),214.0)</f>
        <v>214</v>
      </c>
      <c r="D230" s="2" t="str">
        <f>IFERROR(__xludf.DUMMYFUNCTION("IFERROR(VLOOKUP(A230, IMPORTRANGE(""https://docs.google.com/spreadsheets/d/1-3Vjw2Cyy-mry5gbC8ypIR3YVGFfEpyFESummAta6sg/edit"", ""Sheet1!B:D""), 2, FALSE), ""Not Found"")"),"rub")</f>
        <v>rub</v>
      </c>
      <c r="E230" s="2" t="str">
        <f>IFERROR(__xludf.DUMMYFUNCTION("IFERROR(VLOOKUP(A230, IMPORTRANGE(""https://docs.google.com/spreadsheets/d/1-3Vjw2Cyy-mry5gbC8ypIR3YVGFfEpyFESummAta6sg/edit"", ""Sheet1!B:D""), 3, FALSE), ""Not Found"")"),"r u b ")</f>
        <v>r u b </v>
      </c>
    </row>
    <row r="231">
      <c r="A231" s="1" t="s">
        <v>234</v>
      </c>
      <c r="B231" s="1" t="s">
        <v>5</v>
      </c>
      <c r="C231" s="2">
        <f>IFERROR(__xludf.DUMMYFUNCTION("IFERROR(VLOOKUP(A231, IMPORTRANGE(""https://docs.google.com/spreadsheets/d/1AVX9GT0dgogEBStecCXMMQ29tWz3gBrtNB8yIromXbY/edit?gid=741673867"", ""out1g!A:B""), 2, FALSE), 0)"),50.0)</f>
        <v>50</v>
      </c>
      <c r="D231" s="2" t="str">
        <f>IFERROR(__xludf.DUMMYFUNCTION("IFERROR(VLOOKUP(A231, IMPORTRANGE(""https://docs.google.com/spreadsheets/d/1-3Vjw2Cyy-mry5gbC8ypIR3YVGFfEpyFESummAta6sg/edit"", ""Sheet1!B:D""), 2, FALSE), ""Not Found"")"),"stədz")</f>
        <v>stədz</v>
      </c>
      <c r="E231" s="2" t="str">
        <f>IFERROR(__xludf.DUMMYFUNCTION("IFERROR(VLOOKUP(A231, IMPORTRANGE(""https://docs.google.com/spreadsheets/d/1-3Vjw2Cyy-mry5gbC8ypIR3YVGFfEpyFESummAta6sg/edit"", ""Sheet1!B:D""), 3, FALSE), ""Not Found"")"),"s t ə d z ")</f>
        <v>s t ə d z </v>
      </c>
    </row>
    <row r="232">
      <c r="A232" s="1" t="s">
        <v>235</v>
      </c>
      <c r="B232" s="1" t="s">
        <v>5</v>
      </c>
      <c r="C232" s="2">
        <f>IFERROR(__xludf.DUMMYFUNCTION("IFERROR(VLOOKUP(A232, IMPORTRANGE(""https://docs.google.com/spreadsheets/d/1AVX9GT0dgogEBStecCXMMQ29tWz3gBrtNB8yIromXbY/edit?gid=741673867"", ""out1g!A:B""), 2, FALSE), 0)"),58.0)</f>
        <v>58</v>
      </c>
      <c r="D232" s="2" t="str">
        <f>IFERROR(__xludf.DUMMYFUNCTION("IFERROR(VLOOKUP(A232, IMPORTRANGE(""https://docs.google.com/spreadsheets/d/1-3Vjw2Cyy-mry5gbC8ypIR3YVGFfEpyFESummAta6sg/edit"", ""Sheet1!B:D""), 2, FALSE), ""Not Found"")"),"tt")</f>
        <v>tt</v>
      </c>
      <c r="E232" s="2" t="str">
        <f>IFERROR(__xludf.DUMMYFUNCTION("IFERROR(VLOOKUP(A232, IMPORTRANGE(""https://docs.google.com/spreadsheets/d/1-3Vjw2Cyy-mry5gbC8ypIR3YVGFfEpyFESummAta6sg/edit"", ""Sheet1!B:D""), 3, FALSE), ""Not Found"")"),"t t ")</f>
        <v>t t </v>
      </c>
    </row>
    <row r="233">
      <c r="A233" s="1" t="s">
        <v>236</v>
      </c>
      <c r="B233" s="1" t="s">
        <v>5</v>
      </c>
      <c r="C233" s="2">
        <f>IFERROR(__xludf.DUMMYFUNCTION("IFERROR(VLOOKUP(A233, IMPORTRANGE(""https://docs.google.com/spreadsheets/d/1AVX9GT0dgogEBStecCXMMQ29tWz3gBrtNB8yIromXbY/edit?gid=741673867"", ""out1g!A:B""), 2, FALSE), 0)"),3037.0)</f>
        <v>3037</v>
      </c>
      <c r="D233" s="2" t="str">
        <f>IFERROR(__xludf.DUMMYFUNCTION("IFERROR(VLOOKUP(A233, IMPORTRANGE(""https://docs.google.com/spreadsheets/d/1-3Vjw2Cyy-mry5gbC8ypIR3YVGFfEpyFESummAta6sg/edit"", ""Sheet1!B:D""), 2, FALSE), ""Not Found"")"),"ərɛst")</f>
        <v>ərɛst</v>
      </c>
      <c r="E233" s="2" t="str">
        <f>IFERROR(__xludf.DUMMYFUNCTION("IFERROR(VLOOKUP(A233, IMPORTRANGE(""https://docs.google.com/spreadsheets/d/1-3Vjw2Cyy-mry5gbC8ypIR3YVGFfEpyFESummAta6sg/edit"", ""Sheet1!B:D""), 3, FALSE), ""Not Found"")"),"ə r ɛ s t ")</f>
        <v>ə r ɛ s t </v>
      </c>
    </row>
    <row r="234">
      <c r="A234" s="1" t="s">
        <v>237</v>
      </c>
      <c r="B234" s="1" t="s">
        <v>5</v>
      </c>
      <c r="C234" s="2">
        <f>IFERROR(__xludf.DUMMYFUNCTION("IFERROR(VLOOKUP(A234, IMPORTRANGE(""https://docs.google.com/spreadsheets/d/1AVX9GT0dgogEBStecCXMMQ29tWz3gBrtNB8yIromXbY/edit?gid=741673867"", ""out1g!A:B""), 2, FALSE), 0)"),721.0)</f>
        <v>721</v>
      </c>
      <c r="D234" s="2" t="str">
        <f>IFERROR(__xludf.DUMMYFUNCTION("IFERROR(VLOOKUP(A234, IMPORTRANGE(""https://docs.google.com/spreadsheets/d/1-3Vjw2Cyy-mry5gbC8ypIR3YVGFfEpyFESummAta6sg/edit"", ""Sheet1!B:D""), 2, FALSE), ""Not Found"")"),"mərfi")</f>
        <v>mərfi</v>
      </c>
      <c r="E234" s="2" t="str">
        <f>IFERROR(__xludf.DUMMYFUNCTION("IFERROR(VLOOKUP(A234, IMPORTRANGE(""https://docs.google.com/spreadsheets/d/1-3Vjw2Cyy-mry5gbC8ypIR3YVGFfEpyFESummAta6sg/edit"", ""Sheet1!B:D""), 3, FALSE), ""Not Found"")"),"m ə r f i ")</f>
        <v>m ə r f i </v>
      </c>
    </row>
    <row r="235">
      <c r="A235" s="1" t="s">
        <v>238</v>
      </c>
      <c r="B235" s="1" t="s">
        <v>5</v>
      </c>
      <c r="C235" s="2">
        <f>IFERROR(__xludf.DUMMYFUNCTION("IFERROR(VLOOKUP(A235, IMPORTRANGE(""https://docs.google.com/spreadsheets/d/1AVX9GT0dgogEBStecCXMMQ29tWz3gBrtNB8yIromXbY/edit?gid=741673867"", ""out1g!A:B""), 2, FALSE), 0)"),239.0)</f>
        <v>239</v>
      </c>
      <c r="D235" s="2" t="str">
        <f>IFERROR(__xludf.DUMMYFUNCTION("IFERROR(VLOOKUP(A235, IMPORTRANGE(""https://docs.google.com/spreadsheets/d/1-3Vjw2Cyy-mry5gbC8ypIR3YVGFfEpyFESummAta6sg/edit"", ""Sheet1!B:D""), 2, FALSE), ""Not Found"")"),"spɑ")</f>
        <v>spɑ</v>
      </c>
      <c r="E235" s="2" t="str">
        <f>IFERROR(__xludf.DUMMYFUNCTION("IFERROR(VLOOKUP(A235, IMPORTRANGE(""https://docs.google.com/spreadsheets/d/1-3Vjw2Cyy-mry5gbC8ypIR3YVGFfEpyFESummAta6sg/edit"", ""Sheet1!B:D""), 3, FALSE), ""Not Found"")"),"s p ɑ ")</f>
        <v>s p ɑ </v>
      </c>
    </row>
    <row r="236">
      <c r="A236" s="1" t="s">
        <v>239</v>
      </c>
      <c r="B236" s="1" t="s">
        <v>5</v>
      </c>
      <c r="C236" s="2">
        <f>IFERROR(__xludf.DUMMYFUNCTION("IFERROR(VLOOKUP(A236, IMPORTRANGE(""https://docs.google.com/spreadsheets/d/1AVX9GT0dgogEBStecCXMMQ29tWz3gBrtNB8yIromXbY/edit?gid=741673867"", ""out1g!A:B""), 2, FALSE), 0)"),949.0)</f>
        <v>949</v>
      </c>
      <c r="D236" s="2" t="str">
        <f>IFERROR(__xludf.DUMMYFUNCTION("IFERROR(VLOOKUP(A236, IMPORTRANGE(""https://docs.google.com/spreadsheets/d/1-3Vjw2Cyy-mry5gbC8ypIR3YVGFfEpyFESummAta6sg/edit"", ""Sheet1!B:D""), 2, FALSE), ""Not Found"")"),"ʤoʊkɪŋ")</f>
        <v>ʤoʊkɪŋ</v>
      </c>
      <c r="E236" s="2" t="str">
        <f>IFERROR(__xludf.DUMMYFUNCTION("IFERROR(VLOOKUP(A236, IMPORTRANGE(""https://docs.google.com/spreadsheets/d/1-3Vjw2Cyy-mry5gbC8ypIR3YVGFfEpyFESummAta6sg/edit"", ""Sheet1!B:D""), 3, FALSE), ""Not Found"")"),"ʤ o ʊ k ɪ ŋ ")</f>
        <v>ʤ o ʊ k ɪ ŋ </v>
      </c>
    </row>
    <row r="237">
      <c r="A237" s="1" t="s">
        <v>240</v>
      </c>
      <c r="B237" s="1" t="s">
        <v>5</v>
      </c>
      <c r="C237" s="2">
        <f>IFERROR(__xludf.DUMMYFUNCTION("IFERROR(VLOOKUP(A237, IMPORTRANGE(""https://docs.google.com/spreadsheets/d/1AVX9GT0dgogEBStecCXMMQ29tWz3gBrtNB8yIromXbY/edit?gid=741673867"", ""out1g!A:B""), 2, FALSE), 0)"),72.0)</f>
        <v>72</v>
      </c>
      <c r="D237" s="2" t="str">
        <f>IFERROR(__xludf.DUMMYFUNCTION("IFERROR(VLOOKUP(A237, IMPORTRANGE(""https://docs.google.com/spreadsheets/d/1-3Vjw2Cyy-mry5gbC8ypIR3YVGFfEpyFESummAta6sg/edit"", ""Sheet1!B:D""), 2, FALSE), ""Not Found"")"),"doʊvər")</f>
        <v>doʊvər</v>
      </c>
      <c r="E237" s="2" t="str">
        <f>IFERROR(__xludf.DUMMYFUNCTION("IFERROR(VLOOKUP(A237, IMPORTRANGE(""https://docs.google.com/spreadsheets/d/1-3Vjw2Cyy-mry5gbC8ypIR3YVGFfEpyFESummAta6sg/edit"", ""Sheet1!B:D""), 3, FALSE), ""Not Found"")"),"d o ʊ v ə r ")</f>
        <v>d o ʊ v ə r </v>
      </c>
    </row>
    <row r="238">
      <c r="A238" s="1" t="s">
        <v>241</v>
      </c>
      <c r="B238" s="1" t="s">
        <v>5</v>
      </c>
      <c r="C238" s="2">
        <f>IFERROR(__xludf.DUMMYFUNCTION("IFERROR(VLOOKUP(A238, IMPORTRANGE(""https://docs.google.com/spreadsheets/d/1AVX9GT0dgogEBStecCXMMQ29tWz3gBrtNB8yIromXbY/edit?gid=741673867"", ""out1g!A:B""), 2, FALSE), 0)"),176.0)</f>
        <v>176</v>
      </c>
      <c r="D238" s="2" t="str">
        <f>IFERROR(__xludf.DUMMYFUNCTION("IFERROR(VLOOKUP(A238, IMPORTRANGE(""https://docs.google.com/spreadsheets/d/1-3Vjw2Cyy-mry5gbC8ypIR3YVGFfEpyFESummAta6sg/edit"", ""Sheet1!B:D""), 2, FALSE), ""Not Found"")"),"dɔŋg")</f>
        <v>dɔŋg</v>
      </c>
      <c r="E238" s="2" t="str">
        <f>IFERROR(__xludf.DUMMYFUNCTION("IFERROR(VLOOKUP(A238, IMPORTRANGE(""https://docs.google.com/spreadsheets/d/1-3Vjw2Cyy-mry5gbC8ypIR3YVGFfEpyFESummAta6sg/edit"", ""Sheet1!B:D""), 3, FALSE), ""Not Found"")"),"d ɔ ŋ g ")</f>
        <v>d ɔ ŋ g </v>
      </c>
    </row>
    <row r="239">
      <c r="A239" s="1" t="s">
        <v>242</v>
      </c>
      <c r="B239" s="1" t="s">
        <v>5</v>
      </c>
      <c r="C239" s="2">
        <f>IFERROR(__xludf.DUMMYFUNCTION("IFERROR(VLOOKUP(A239, IMPORTRANGE(""https://docs.google.com/spreadsheets/d/1AVX9GT0dgogEBStecCXMMQ29tWz3gBrtNB8yIromXbY/edit?gid=741673867"", ""out1g!A:B""), 2, FALSE), 0)"),8609.0)</f>
        <v>8609</v>
      </c>
      <c r="D239" s="2" t="str">
        <f>IFERROR(__xludf.DUMMYFUNCTION("IFERROR(VLOOKUP(A239, IMPORTRANGE(""https://docs.google.com/spreadsheets/d/1-3Vjw2Cyy-mry5gbC8ypIR3YVGFfEpyFESummAta6sg/edit"", ""Sheet1!B:D""), 2, FALSE), ""Not Found"")"),"bɪʧ")</f>
        <v>bɪʧ</v>
      </c>
      <c r="E239" s="2" t="str">
        <f>IFERROR(__xludf.DUMMYFUNCTION("IFERROR(VLOOKUP(A239, IMPORTRANGE(""https://docs.google.com/spreadsheets/d/1-3Vjw2Cyy-mry5gbC8ypIR3YVGFfEpyFESummAta6sg/edit"", ""Sheet1!B:D""), 3, FALSE), ""Not Found"")"),"b ɪ ʧ ")</f>
        <v>b ɪ ʧ </v>
      </c>
    </row>
    <row r="240">
      <c r="A240" s="1" t="s">
        <v>243</v>
      </c>
      <c r="B240" s="1" t="s">
        <v>5</v>
      </c>
      <c r="C240" s="2">
        <f>IFERROR(__xludf.DUMMYFUNCTION("IFERROR(VLOOKUP(A240, IMPORTRANGE(""https://docs.google.com/spreadsheets/d/1AVX9GT0dgogEBStecCXMMQ29tWz3gBrtNB8yIromXbY/edit?gid=741673867"", ""out1g!A:B""), 2, FALSE), 0)"),713.0)</f>
        <v>713</v>
      </c>
      <c r="D240" s="2" t="str">
        <f>IFERROR(__xludf.DUMMYFUNCTION("IFERROR(VLOOKUP(A240, IMPORTRANGE(""https://docs.google.com/spreadsheets/d/1-3Vjw2Cyy-mry5gbC8ypIR3YVGFfEpyFESummAta6sg/edit"", ""Sheet1!B:D""), 2, FALSE), ""Not Found"")"),"θɪk")</f>
        <v>θɪk</v>
      </c>
      <c r="E240" s="2" t="str">
        <f>IFERROR(__xludf.DUMMYFUNCTION("IFERROR(VLOOKUP(A240, IMPORTRANGE(""https://docs.google.com/spreadsheets/d/1-3Vjw2Cyy-mry5gbC8ypIR3YVGFfEpyFESummAta6sg/edit"", ""Sheet1!B:D""), 3, FALSE), ""Not Found"")"),"θ ɪ k ")</f>
        <v>θ ɪ k </v>
      </c>
    </row>
    <row r="241">
      <c r="A241" s="1" t="s">
        <v>244</v>
      </c>
      <c r="B241" s="1" t="s">
        <v>5</v>
      </c>
      <c r="C241" s="2">
        <f>IFERROR(__xludf.DUMMYFUNCTION("IFERROR(VLOOKUP(A241, IMPORTRANGE(""https://docs.google.com/spreadsheets/d/1AVX9GT0dgogEBStecCXMMQ29tWz3gBrtNB8yIromXbY/edit?gid=741673867"", ""out1g!A:B""), 2, FALSE), 0)"),242.0)</f>
        <v>242</v>
      </c>
      <c r="D241" s="2" t="str">
        <f>IFERROR(__xludf.DUMMYFUNCTION("IFERROR(VLOOKUP(A241, IMPORTRANGE(""https://docs.google.com/spreadsheets/d/1-3Vjw2Cyy-mry5gbC8ypIR3YVGFfEpyFESummAta6sg/edit"", ""Sheet1!B:D""), 2, FALSE), ""Not Found"")"),"mɑmz")</f>
        <v>mɑmz</v>
      </c>
      <c r="E241" s="2" t="str">
        <f>IFERROR(__xludf.DUMMYFUNCTION("IFERROR(VLOOKUP(A241, IMPORTRANGE(""https://docs.google.com/spreadsheets/d/1-3Vjw2Cyy-mry5gbC8ypIR3YVGFfEpyFESummAta6sg/edit"", ""Sheet1!B:D""), 3, FALSE), ""Not Found"")"),"m ɑ m z ")</f>
        <v>m ɑ m z </v>
      </c>
    </row>
    <row r="242">
      <c r="A242" s="1" t="s">
        <v>245</v>
      </c>
      <c r="B242" s="1" t="s">
        <v>5</v>
      </c>
      <c r="C242" s="2">
        <f>IFERROR(__xludf.DUMMYFUNCTION("IFERROR(VLOOKUP(A242, IMPORTRANGE(""https://docs.google.com/spreadsheets/d/1AVX9GT0dgogEBStecCXMMQ29tWz3gBrtNB8yIromXbY/edit?gid=741673867"", ""out1g!A:B""), 2, FALSE), 0)"),13337.0)</f>
        <v>13337</v>
      </c>
      <c r="D242" s="2" t="str">
        <f>IFERROR(__xludf.DUMMYFUNCTION("IFERROR(VLOOKUP(A242, IMPORTRANGE(""https://docs.google.com/spreadsheets/d/1-3Vjw2Cyy-mry5gbC8ypIR3YVGFfEpyFESummAta6sg/edit"", ""Sheet1!B:D""), 2, FALSE), ""Not Found"")"),"pɑrt")</f>
        <v>pɑrt</v>
      </c>
      <c r="E242" s="2" t="str">
        <f>IFERROR(__xludf.DUMMYFUNCTION("IFERROR(VLOOKUP(A242, IMPORTRANGE(""https://docs.google.com/spreadsheets/d/1-3Vjw2Cyy-mry5gbC8ypIR3YVGFfEpyFESummAta6sg/edit"", ""Sheet1!B:D""), 3, FALSE), ""Not Found"")"),"p ɑ r t ")</f>
        <v>p ɑ r t </v>
      </c>
    </row>
    <row r="243">
      <c r="A243" s="1" t="s">
        <v>246</v>
      </c>
      <c r="B243" s="1" t="s">
        <v>5</v>
      </c>
      <c r="C243" s="2">
        <f>IFERROR(__xludf.DUMMYFUNCTION("IFERROR(VLOOKUP(A243, IMPORTRANGE(""https://docs.google.com/spreadsheets/d/1AVX9GT0dgogEBStecCXMMQ29tWz3gBrtNB8yIromXbY/edit?gid=741673867"", ""out1g!A:B""), 2, FALSE), 0)"),86.0)</f>
        <v>86</v>
      </c>
      <c r="D243" s="2" t="str">
        <f>IFERROR(__xludf.DUMMYFUNCTION("IFERROR(VLOOKUP(A243, IMPORTRANGE(""https://docs.google.com/spreadsheets/d/1-3Vjw2Cyy-mry5gbC8ypIR3YVGFfEpyFESummAta6sg/edit"", ""Sheet1!B:D""), 2, FALSE), ""Not Found"")"),"pləm")</f>
        <v>pləm</v>
      </c>
      <c r="E243" s="2" t="str">
        <f>IFERROR(__xludf.DUMMYFUNCTION("IFERROR(VLOOKUP(A243, IMPORTRANGE(""https://docs.google.com/spreadsheets/d/1-3Vjw2Cyy-mry5gbC8ypIR3YVGFfEpyFESummAta6sg/edit"", ""Sheet1!B:D""), 3, FALSE), ""Not Found"")"),"p l ə m ")</f>
        <v>p l ə m </v>
      </c>
    </row>
    <row r="244">
      <c r="A244" s="1" t="s">
        <v>247</v>
      </c>
      <c r="B244" s="1" t="s">
        <v>5</v>
      </c>
      <c r="C244" s="2">
        <f>IFERROR(__xludf.DUMMYFUNCTION("IFERROR(VLOOKUP(A244, IMPORTRANGE(""https://docs.google.com/spreadsheets/d/1AVX9GT0dgogEBStecCXMMQ29tWz3gBrtNB8yIromXbY/edit?gid=741673867"", ""out1g!A:B""), 2, FALSE), 0)"),53.0)</f>
        <v>53</v>
      </c>
      <c r="D244" s="2" t="str">
        <f>IFERROR(__xludf.DUMMYFUNCTION("IFERROR(VLOOKUP(A244, IMPORTRANGE(""https://docs.google.com/spreadsheets/d/1-3Vjw2Cyy-mry5gbC8ypIR3YVGFfEpyFESummAta6sg/edit"", ""Sheet1!B:D""), 2, FALSE), ""Not Found"")"),"bænɪŋ")</f>
        <v>bænɪŋ</v>
      </c>
      <c r="E244" s="2" t="str">
        <f>IFERROR(__xludf.DUMMYFUNCTION("IFERROR(VLOOKUP(A244, IMPORTRANGE(""https://docs.google.com/spreadsheets/d/1-3Vjw2Cyy-mry5gbC8ypIR3YVGFfEpyFESummAta6sg/edit"", ""Sheet1!B:D""), 3, FALSE), ""Not Found"")"),"b æ n ɪ ŋ ")</f>
        <v>b æ n ɪ ŋ </v>
      </c>
    </row>
    <row r="245">
      <c r="A245" s="1" t="s">
        <v>248</v>
      </c>
      <c r="B245" s="1" t="s">
        <v>5</v>
      </c>
      <c r="C245" s="2">
        <f>IFERROR(__xludf.DUMMYFUNCTION("IFERROR(VLOOKUP(A245, IMPORTRANGE(""https://docs.google.com/spreadsheets/d/1AVX9GT0dgogEBStecCXMMQ29tWz3gBrtNB8yIromXbY/edit?gid=741673867"", ""out1g!A:B""), 2, FALSE), 0)"),81.0)</f>
        <v>81</v>
      </c>
      <c r="D245" s="2" t="str">
        <f>IFERROR(__xludf.DUMMYFUNCTION("IFERROR(VLOOKUP(A245, IMPORTRANGE(""https://docs.google.com/spreadsheets/d/1-3Vjw2Cyy-mry5gbC8ypIR3YVGFfEpyFESummAta6sg/edit"", ""Sheet1!B:D""), 2, FALSE), ""Not Found"")"),"telɪŋ")</f>
        <v>telɪŋ</v>
      </c>
      <c r="E245" s="2" t="str">
        <f>IFERROR(__xludf.DUMMYFUNCTION("IFERROR(VLOOKUP(A245, IMPORTRANGE(""https://docs.google.com/spreadsheets/d/1-3Vjw2Cyy-mry5gbC8ypIR3YVGFfEpyFESummAta6sg/edit"", ""Sheet1!B:D""), 3, FALSE), ""Not Found"")"),"t e l ɪ ŋ ")</f>
        <v>t e l ɪ ŋ </v>
      </c>
    </row>
    <row r="246">
      <c r="A246" s="1" t="s">
        <v>249</v>
      </c>
      <c r="B246" s="1" t="s">
        <v>5</v>
      </c>
      <c r="C246" s="2">
        <f>IFERROR(__xludf.DUMMYFUNCTION("IFERROR(VLOOKUP(A246, IMPORTRANGE(""https://docs.google.com/spreadsheets/d/1AVX9GT0dgogEBStecCXMMQ29tWz3gBrtNB8yIromXbY/edit?gid=741673867"", ""out1g!A:B""), 2, FALSE), 0)"),1071.0)</f>
        <v>1071</v>
      </c>
      <c r="D246" s="2" t="str">
        <f>IFERROR(__xludf.DUMMYFUNCTION("IFERROR(VLOOKUP(A246, IMPORTRANGE(""https://docs.google.com/spreadsheets/d/1-3Vjw2Cyy-mry5gbC8ypIR3YVGFfEpyFESummAta6sg/edit"", ""Sheet1!B:D""), 2, FALSE), ""Not Found"")"),"maɪl")</f>
        <v>maɪl</v>
      </c>
      <c r="E246" s="2" t="str">
        <f>IFERROR(__xludf.DUMMYFUNCTION("IFERROR(VLOOKUP(A246, IMPORTRANGE(""https://docs.google.com/spreadsheets/d/1-3Vjw2Cyy-mry5gbC8ypIR3YVGFfEpyFESummAta6sg/edit"", ""Sheet1!B:D""), 3, FALSE), ""Not Found"")"),"m a ɪ l ")</f>
        <v>m a ɪ l </v>
      </c>
    </row>
    <row r="247">
      <c r="A247" s="1" t="s">
        <v>250</v>
      </c>
      <c r="B247" s="1" t="s">
        <v>5</v>
      </c>
      <c r="C247" s="2">
        <f>IFERROR(__xludf.DUMMYFUNCTION("IFERROR(VLOOKUP(A247, IMPORTRANGE(""https://docs.google.com/spreadsheets/d/1AVX9GT0dgogEBStecCXMMQ29tWz3gBrtNB8yIromXbY/edit?gid=741673867"", ""out1g!A:B""), 2, FALSE), 0)"),135.0)</f>
        <v>135</v>
      </c>
      <c r="D247" s="2" t="str">
        <f>IFERROR(__xludf.DUMMYFUNCTION("IFERROR(VLOOKUP(A247, IMPORTRANGE(""https://docs.google.com/spreadsheets/d/1-3Vjw2Cyy-mry5gbC8ypIR3YVGFfEpyFESummAta6sg/edit"", ""Sheet1!B:D""), 2, FALSE), ""Not Found"")"),"lilə")</f>
        <v>lilə</v>
      </c>
      <c r="E247" s="2" t="str">
        <f>IFERROR(__xludf.DUMMYFUNCTION("IFERROR(VLOOKUP(A247, IMPORTRANGE(""https://docs.google.com/spreadsheets/d/1-3Vjw2Cyy-mry5gbC8ypIR3YVGFfEpyFESummAta6sg/edit"", ""Sheet1!B:D""), 3, FALSE), ""Not Found"")"),"l i l ə ")</f>
        <v>l i l ə </v>
      </c>
    </row>
    <row r="248">
      <c r="A248" s="1" t="s">
        <v>251</v>
      </c>
      <c r="B248" s="1" t="s">
        <v>5</v>
      </c>
      <c r="C248" s="2">
        <f>IFERROR(__xludf.DUMMYFUNCTION("IFERROR(VLOOKUP(A248, IMPORTRANGE(""https://docs.google.com/spreadsheets/d/1AVX9GT0dgogEBStecCXMMQ29tWz3gBrtNB8yIromXbY/edit?gid=741673867"", ""out1g!A:B""), 2, FALSE), 0)"),1028.0)</f>
        <v>1028</v>
      </c>
      <c r="D248" s="2" t="str">
        <f>IFERROR(__xludf.DUMMYFUNCTION("IFERROR(VLOOKUP(A248, IMPORTRANGE(""https://docs.google.com/spreadsheets/d/1-3Vjw2Cyy-mry5gbC8ypIR3YVGFfEpyFESummAta6sg/edit"", ""Sheet1!B:D""), 2, FALSE), ""Not Found"")"),"rɪp")</f>
        <v>rɪp</v>
      </c>
      <c r="E248" s="2" t="str">
        <f>IFERROR(__xludf.DUMMYFUNCTION("IFERROR(VLOOKUP(A248, IMPORTRANGE(""https://docs.google.com/spreadsheets/d/1-3Vjw2Cyy-mry5gbC8ypIR3YVGFfEpyFESummAta6sg/edit"", ""Sheet1!B:D""), 3, FALSE), ""Not Found"")"),"r ɪ p ")</f>
        <v>r ɪ p </v>
      </c>
    </row>
    <row r="249">
      <c r="A249" s="1" t="s">
        <v>252</v>
      </c>
      <c r="B249" s="1" t="s">
        <v>5</v>
      </c>
      <c r="C249" s="2">
        <f>IFERROR(__xludf.DUMMYFUNCTION("IFERROR(VLOOKUP(A249, IMPORTRANGE(""https://docs.google.com/spreadsheets/d/1AVX9GT0dgogEBStecCXMMQ29tWz3gBrtNB8yIromXbY/edit?gid=741673867"", ""out1g!A:B""), 2, FALSE), 0)"),339.0)</f>
        <v>339</v>
      </c>
      <c r="D249" s="2" t="str">
        <f>IFERROR(__xludf.DUMMYFUNCTION("IFERROR(VLOOKUP(A249, IMPORTRANGE(""https://docs.google.com/spreadsheets/d/1-3Vjw2Cyy-mry5gbC8ypIR3YVGFfEpyFESummAta6sg/edit"", ""Sheet1!B:D""), 2, FALSE), ""Not Found"")"),"di")</f>
        <v>di</v>
      </c>
      <c r="E249" s="2" t="str">
        <f>IFERROR(__xludf.DUMMYFUNCTION("IFERROR(VLOOKUP(A249, IMPORTRANGE(""https://docs.google.com/spreadsheets/d/1-3Vjw2Cyy-mry5gbC8ypIR3YVGFfEpyFESummAta6sg/edit"", ""Sheet1!B:D""), 3, FALSE), ""Not Found"")"),"d i ")</f>
        <v>d i </v>
      </c>
    </row>
    <row r="250">
      <c r="A250" s="1" t="s">
        <v>253</v>
      </c>
      <c r="B250" s="1" t="s">
        <v>5</v>
      </c>
      <c r="C250" s="2">
        <f>IFERROR(__xludf.DUMMYFUNCTION("IFERROR(VLOOKUP(A250, IMPORTRANGE(""https://docs.google.com/spreadsheets/d/1AVX9GT0dgogEBStecCXMMQ29tWz3gBrtNB8yIromXbY/edit?gid=741673867"", ""out1g!A:B""), 2, FALSE), 0)"),157.0)</f>
        <v>157</v>
      </c>
      <c r="D250" s="2" t="str">
        <f>IFERROR(__xludf.DUMMYFUNCTION("IFERROR(VLOOKUP(A250, IMPORTRANGE(""https://docs.google.com/spreadsheets/d/1-3Vjw2Cyy-mry5gbC8ypIR3YVGFfEpyFESummAta6sg/edit"", ""Sheet1!B:D""), 2, FALSE), ""Not Found"")"),"bərtən")</f>
        <v>bərtən</v>
      </c>
      <c r="E250" s="2" t="str">
        <f>IFERROR(__xludf.DUMMYFUNCTION("IFERROR(VLOOKUP(A250, IMPORTRANGE(""https://docs.google.com/spreadsheets/d/1-3Vjw2Cyy-mry5gbC8ypIR3YVGFfEpyFESummAta6sg/edit"", ""Sheet1!B:D""), 3, FALSE), ""Not Found"")"),"b ə r t ə n ")</f>
        <v>b ə r t ə n </v>
      </c>
    </row>
    <row r="251">
      <c r="A251" s="1" t="s">
        <v>254</v>
      </c>
      <c r="B251" s="1" t="s">
        <v>5</v>
      </c>
      <c r="C251" s="2">
        <f>IFERROR(__xludf.DUMMYFUNCTION("IFERROR(VLOOKUP(A251, IMPORTRANGE(""https://docs.google.com/spreadsheets/d/1AVX9GT0dgogEBStecCXMMQ29tWz3gBrtNB8yIromXbY/edit?gid=741673867"", ""out1g!A:B""), 2, FALSE), 0)"),46.0)</f>
        <v>46</v>
      </c>
      <c r="D251" s="2" t="str">
        <f>IFERROR(__xludf.DUMMYFUNCTION("IFERROR(VLOOKUP(A251, IMPORTRANGE(""https://docs.google.com/spreadsheets/d/1-3Vjw2Cyy-mry5gbC8ypIR3YVGFfEpyFESummAta6sg/edit"", ""Sheet1!B:D""), 2, FALSE), ""Not Found"")"),"bəroʊ")</f>
        <v>bəroʊ</v>
      </c>
      <c r="E251" s="2" t="str">
        <f>IFERROR(__xludf.DUMMYFUNCTION("IFERROR(VLOOKUP(A251, IMPORTRANGE(""https://docs.google.com/spreadsheets/d/1-3Vjw2Cyy-mry5gbC8ypIR3YVGFfEpyFESummAta6sg/edit"", ""Sheet1!B:D""), 3, FALSE), ""Not Found"")"),"b ə r o ʊ ")</f>
        <v>b ə r o ʊ </v>
      </c>
    </row>
    <row r="252">
      <c r="A252" s="1" t="s">
        <v>255</v>
      </c>
      <c r="B252" s="1" t="s">
        <v>5</v>
      </c>
      <c r="C252" s="2">
        <f>IFERROR(__xludf.DUMMYFUNCTION("IFERROR(VLOOKUP(A252, IMPORTRANGE(""https://docs.google.com/spreadsheets/d/1AVX9GT0dgogEBStecCXMMQ29tWz3gBrtNB8yIromXbY/edit?gid=741673867"", ""out1g!A:B""), 2, FALSE), 0)"),144.0)</f>
        <v>144</v>
      </c>
      <c r="D252" s="2" t="str">
        <f>IFERROR(__xludf.DUMMYFUNCTION("IFERROR(VLOOKUP(A252, IMPORTRANGE(""https://docs.google.com/spreadsheets/d/1-3Vjw2Cyy-mry5gbC8ypIR3YVGFfEpyFESummAta6sg/edit"", ""Sheet1!B:D""), 2, FALSE), ""Not Found"")"),"sleər")</f>
        <v>sleər</v>
      </c>
      <c r="E252" s="2" t="str">
        <f>IFERROR(__xludf.DUMMYFUNCTION("IFERROR(VLOOKUP(A252, IMPORTRANGE(""https://docs.google.com/spreadsheets/d/1-3Vjw2Cyy-mry5gbC8ypIR3YVGFfEpyFESummAta6sg/edit"", ""Sheet1!B:D""), 3, FALSE), ""Not Found"")"),"s l e ə r ")</f>
        <v>s l e ə r </v>
      </c>
    </row>
    <row r="253">
      <c r="A253" s="1" t="s">
        <v>256</v>
      </c>
      <c r="B253" s="1" t="s">
        <v>5</v>
      </c>
      <c r="C253" s="2">
        <f>IFERROR(__xludf.DUMMYFUNCTION("IFERROR(VLOOKUP(A253, IMPORTRANGE(""https://docs.google.com/spreadsheets/d/1AVX9GT0dgogEBStecCXMMQ29tWz3gBrtNB8yIromXbY/edit?gid=741673867"", ""out1g!A:B""), 2, FALSE), 0)"),51.0)</f>
        <v>51</v>
      </c>
      <c r="D253" s="2" t="str">
        <f>IFERROR(__xludf.DUMMYFUNCTION("IFERROR(VLOOKUP(A253, IMPORTRANGE(""https://docs.google.com/spreadsheets/d/1-3Vjw2Cyy-mry5gbC8ypIR3YVGFfEpyFESummAta6sg/edit"", ""Sheet1!B:D""), 2, FALSE), ""Not Found"")"),"ʧæti")</f>
        <v>ʧæti</v>
      </c>
      <c r="E253" s="2" t="str">
        <f>IFERROR(__xludf.DUMMYFUNCTION("IFERROR(VLOOKUP(A253, IMPORTRANGE(""https://docs.google.com/spreadsheets/d/1-3Vjw2Cyy-mry5gbC8ypIR3YVGFfEpyFESummAta6sg/edit"", ""Sheet1!B:D""), 3, FALSE), ""Not Found"")"),"ʧ æ t i ")</f>
        <v>ʧ æ t i </v>
      </c>
    </row>
    <row r="254">
      <c r="A254" s="1" t="s">
        <v>257</v>
      </c>
      <c r="B254" s="1" t="s">
        <v>5</v>
      </c>
      <c r="C254" s="2">
        <f>IFERROR(__xludf.DUMMYFUNCTION("IFERROR(VLOOKUP(A254, IMPORTRANGE(""https://docs.google.com/spreadsheets/d/1AVX9GT0dgogEBStecCXMMQ29tWz3gBrtNB8yIromXbY/edit?gid=741673867"", ""out1g!A:B""), 2, FALSE), 0)"),185.0)</f>
        <v>185</v>
      </c>
      <c r="D254" s="2" t="str">
        <f>IFERROR(__xludf.DUMMYFUNCTION("IFERROR(VLOOKUP(A254, IMPORTRANGE(""https://docs.google.com/spreadsheets/d/1-3Vjw2Cyy-mry5gbC8ypIR3YVGFfEpyFESummAta6sg/edit"", ""Sheet1!B:D""), 2, FALSE), ""Not Found"")"),"dɪks")</f>
        <v>dɪks</v>
      </c>
      <c r="E254" s="2" t="str">
        <f>IFERROR(__xludf.DUMMYFUNCTION("IFERROR(VLOOKUP(A254, IMPORTRANGE(""https://docs.google.com/spreadsheets/d/1-3Vjw2Cyy-mry5gbC8ypIR3YVGFfEpyFESummAta6sg/edit"", ""Sheet1!B:D""), 3, FALSE), ""Not Found"")"),"d ɪ k s ")</f>
        <v>d ɪ k s </v>
      </c>
    </row>
    <row r="255">
      <c r="A255" s="1" t="s">
        <v>258</v>
      </c>
      <c r="B255" s="1" t="s">
        <v>5</v>
      </c>
      <c r="C255" s="2">
        <f>IFERROR(__xludf.DUMMYFUNCTION("IFERROR(VLOOKUP(A255, IMPORTRANGE(""https://docs.google.com/spreadsheets/d/1AVX9GT0dgogEBStecCXMMQ29tWz3gBrtNB8yIromXbY/edit?gid=741673867"", ""out1g!A:B""), 2, FALSE), 0)"),56.0)</f>
        <v>56</v>
      </c>
      <c r="D255" s="2" t="str">
        <f>IFERROR(__xludf.DUMMYFUNCTION("IFERROR(VLOOKUP(A255, IMPORTRANGE(""https://docs.google.com/spreadsheets/d/1-3Vjw2Cyy-mry5gbC8ypIR3YVGFfEpyFESummAta6sg/edit"", ""Sheet1!B:D""), 2, FALSE), ""Not Found"")"),"koʊhoʊ")</f>
        <v>koʊhoʊ</v>
      </c>
      <c r="E255" s="2" t="str">
        <f>IFERROR(__xludf.DUMMYFUNCTION("IFERROR(VLOOKUP(A255, IMPORTRANGE(""https://docs.google.com/spreadsheets/d/1-3Vjw2Cyy-mry5gbC8ypIR3YVGFfEpyFESummAta6sg/edit"", ""Sheet1!B:D""), 3, FALSE), ""Not Found"")"),"k o ʊ h o ʊ ")</f>
        <v>k o ʊ h o ʊ </v>
      </c>
    </row>
    <row r="256">
      <c r="A256" s="1" t="s">
        <v>259</v>
      </c>
      <c r="B256" s="1" t="s">
        <v>5</v>
      </c>
      <c r="C256" s="2">
        <f>IFERROR(__xludf.DUMMYFUNCTION("IFERROR(VLOOKUP(A256, IMPORTRANGE(""https://docs.google.com/spreadsheets/d/1AVX9GT0dgogEBStecCXMMQ29tWz3gBrtNB8yIromXbY/edit?gid=741673867"", ""out1g!A:B""), 2, FALSE), 0)"),480.0)</f>
        <v>480</v>
      </c>
      <c r="D256" s="2" t="str">
        <f>IFERROR(__xludf.DUMMYFUNCTION("IFERROR(VLOOKUP(A256, IMPORTRANGE(""https://docs.google.com/spreadsheets/d/1-3Vjw2Cyy-mry5gbC8ypIR3YVGFfEpyFESummAta6sg/edit"", ""Sheet1!B:D""), 2, FALSE), ""Not Found"")"),"selɪŋ")</f>
        <v>selɪŋ</v>
      </c>
      <c r="E256" s="2" t="str">
        <f>IFERROR(__xludf.DUMMYFUNCTION("IFERROR(VLOOKUP(A256, IMPORTRANGE(""https://docs.google.com/spreadsheets/d/1-3Vjw2Cyy-mry5gbC8ypIR3YVGFfEpyFESummAta6sg/edit"", ""Sheet1!B:D""), 3, FALSE), ""Not Found"")"),"s e l ɪ ŋ ")</f>
        <v>s e l ɪ ŋ </v>
      </c>
    </row>
    <row r="257">
      <c r="A257" s="1" t="s">
        <v>260</v>
      </c>
      <c r="B257" s="1" t="s">
        <v>5</v>
      </c>
      <c r="C257" s="2">
        <f>IFERROR(__xludf.DUMMYFUNCTION("IFERROR(VLOOKUP(A257, IMPORTRANGE(""https://docs.google.com/spreadsheets/d/1AVX9GT0dgogEBStecCXMMQ29tWz3gBrtNB8yIromXbY/edit?gid=741673867"", ""out1g!A:B""), 2, FALSE), 0)"),301.0)</f>
        <v>301</v>
      </c>
      <c r="D257" s="2" t="str">
        <f>IFERROR(__xludf.DUMMYFUNCTION("IFERROR(VLOOKUP(A257, IMPORTRANGE(""https://docs.google.com/spreadsheets/d/1-3Vjw2Cyy-mry5gbC8ypIR3YVGFfEpyFESummAta6sg/edit"", ""Sheet1!B:D""), 2, FALSE), ""Not Found"")"),"pɪʤɪn")</f>
        <v>pɪʤɪn</v>
      </c>
      <c r="E257" s="2" t="str">
        <f>IFERROR(__xludf.DUMMYFUNCTION("IFERROR(VLOOKUP(A257, IMPORTRANGE(""https://docs.google.com/spreadsheets/d/1-3Vjw2Cyy-mry5gbC8ypIR3YVGFfEpyFESummAta6sg/edit"", ""Sheet1!B:D""), 3, FALSE), ""Not Found"")"),"p ɪ ʤ ɪ n ")</f>
        <v>p ɪ ʤ ɪ n </v>
      </c>
    </row>
    <row r="258">
      <c r="A258" s="1" t="s">
        <v>261</v>
      </c>
      <c r="B258" s="1" t="s">
        <v>5</v>
      </c>
      <c r="C258" s="2">
        <f>IFERROR(__xludf.DUMMYFUNCTION("IFERROR(VLOOKUP(A258, IMPORTRANGE(""https://docs.google.com/spreadsheets/d/1AVX9GT0dgogEBStecCXMMQ29tWz3gBrtNB8yIromXbY/edit?gid=741673867"", ""out1g!A:B""), 2, FALSE), 0)"),107.0)</f>
        <v>107</v>
      </c>
      <c r="D258" s="2" t="str">
        <f>IFERROR(__xludf.DUMMYFUNCTION("IFERROR(VLOOKUP(A258, IMPORTRANGE(""https://docs.google.com/spreadsheets/d/1-3Vjw2Cyy-mry5gbC8ypIR3YVGFfEpyFESummAta6sg/edit"", ""Sheet1!B:D""), 2, FALSE), ""Not Found"")"),"stɑr")</f>
        <v>stɑr</v>
      </c>
      <c r="E258" s="2" t="str">
        <f>IFERROR(__xludf.DUMMYFUNCTION("IFERROR(VLOOKUP(A258, IMPORTRANGE(""https://docs.google.com/spreadsheets/d/1-3Vjw2Cyy-mry5gbC8ypIR3YVGFfEpyFESummAta6sg/edit"", ""Sheet1!B:D""), 3, FALSE), ""Not Found"")"),"s t ɑ r ")</f>
        <v>s t ɑ r </v>
      </c>
    </row>
    <row r="259">
      <c r="A259" s="1" t="s">
        <v>262</v>
      </c>
      <c r="B259" s="1" t="s">
        <v>5</v>
      </c>
      <c r="C259" s="2">
        <f>IFERROR(__xludf.DUMMYFUNCTION("IFERROR(VLOOKUP(A259, IMPORTRANGE(""https://docs.google.com/spreadsheets/d/1AVX9GT0dgogEBStecCXMMQ29tWz3gBrtNB8yIromXbY/edit?gid=741673867"", ""out1g!A:B""), 2, FALSE), 0)"),17.0)</f>
        <v>17</v>
      </c>
      <c r="D259" s="2" t="str">
        <f>IFERROR(__xludf.DUMMYFUNCTION("IFERROR(VLOOKUP(A259, IMPORTRANGE(""https://docs.google.com/spreadsheets/d/1-3Vjw2Cyy-mry5gbC8ypIR3YVGFfEpyFESummAta6sg/edit"", ""Sheet1!B:D""), 2, FALSE), ""Not Found"")"),"rɪrz")</f>
        <v>rɪrz</v>
      </c>
      <c r="E259" s="2" t="str">
        <f>IFERROR(__xludf.DUMMYFUNCTION("IFERROR(VLOOKUP(A259, IMPORTRANGE(""https://docs.google.com/spreadsheets/d/1-3Vjw2Cyy-mry5gbC8ypIR3YVGFfEpyFESummAta6sg/edit"", ""Sheet1!B:D""), 3, FALSE), ""Not Found"")"),"r ɪ r z ")</f>
        <v>r ɪ r z </v>
      </c>
    </row>
    <row r="260">
      <c r="A260" s="1" t="s">
        <v>263</v>
      </c>
      <c r="B260" s="1" t="s">
        <v>5</v>
      </c>
      <c r="C260" s="2">
        <f>IFERROR(__xludf.DUMMYFUNCTION("IFERROR(VLOOKUP(A260, IMPORTRANGE(""https://docs.google.com/spreadsheets/d/1AVX9GT0dgogEBStecCXMMQ29tWz3gBrtNB8yIromXbY/edit?gid=741673867"", ""out1g!A:B""), 2, FALSE), 0)"),134.0)</f>
        <v>134</v>
      </c>
      <c r="D260" s="2" t="str">
        <f>IFERROR(__xludf.DUMMYFUNCTION("IFERROR(VLOOKUP(A260, IMPORTRANGE(""https://docs.google.com/spreadsheets/d/1-3Vjw2Cyy-mry5gbC8ypIR3YVGFfEpyFESummAta6sg/edit"", ""Sheet1!B:D""), 2, FALSE), ""Not Found"")"),"tæki")</f>
        <v>tæki</v>
      </c>
      <c r="E260" s="2" t="str">
        <f>IFERROR(__xludf.DUMMYFUNCTION("IFERROR(VLOOKUP(A260, IMPORTRANGE(""https://docs.google.com/spreadsheets/d/1-3Vjw2Cyy-mry5gbC8ypIR3YVGFfEpyFESummAta6sg/edit"", ""Sheet1!B:D""), 3, FALSE), ""Not Found"")"),"t æ k i ")</f>
        <v>t æ k i </v>
      </c>
    </row>
    <row r="261">
      <c r="A261" s="1" t="s">
        <v>264</v>
      </c>
      <c r="B261" s="1" t="s">
        <v>5</v>
      </c>
      <c r="C261" s="2">
        <f>IFERROR(__xludf.DUMMYFUNCTION("IFERROR(VLOOKUP(A261, IMPORTRANGE(""https://docs.google.com/spreadsheets/d/1AVX9GT0dgogEBStecCXMMQ29tWz3gBrtNB8yIromXbY/edit?gid=741673867"", ""out1g!A:B""), 2, FALSE), 0)"),48.0)</f>
        <v>48</v>
      </c>
      <c r="D261" s="2" t="str">
        <f>IFERROR(__xludf.DUMMYFUNCTION("IFERROR(VLOOKUP(A261, IMPORTRANGE(""https://docs.google.com/spreadsheets/d/1-3Vjw2Cyy-mry5gbC8ypIR3YVGFfEpyFESummAta6sg/edit"", ""Sheet1!B:D""), 2, FALSE), ""Not Found"")"),"breni")</f>
        <v>breni</v>
      </c>
      <c r="E261" s="2" t="str">
        <f>IFERROR(__xludf.DUMMYFUNCTION("IFERROR(VLOOKUP(A261, IMPORTRANGE(""https://docs.google.com/spreadsheets/d/1-3Vjw2Cyy-mry5gbC8ypIR3YVGFfEpyFESummAta6sg/edit"", ""Sheet1!B:D""), 3, FALSE), ""Not Found"")"),"b r e n i ")</f>
        <v>b r e n i </v>
      </c>
    </row>
    <row r="262">
      <c r="A262" s="1" t="s">
        <v>265</v>
      </c>
      <c r="B262" s="1" t="s">
        <v>5</v>
      </c>
      <c r="C262" s="2">
        <f>IFERROR(__xludf.DUMMYFUNCTION("IFERROR(VLOOKUP(A262, IMPORTRANGE(""https://docs.google.com/spreadsheets/d/1AVX9GT0dgogEBStecCXMMQ29tWz3gBrtNB8yIromXbY/edit?gid=741673867"", ""out1g!A:B""), 2, FALSE), 0)"),158.0)</f>
        <v>158</v>
      </c>
      <c r="D262" s="2" t="str">
        <f>IFERROR(__xludf.DUMMYFUNCTION("IFERROR(VLOOKUP(A262, IMPORTRANGE(""https://docs.google.com/spreadsheets/d/1-3Vjw2Cyy-mry5gbC8ypIR3YVGFfEpyFESummAta6sg/edit"", ""Sheet1!B:D""), 2, FALSE), ""Not Found"")"),"bɛriz")</f>
        <v>bɛriz</v>
      </c>
      <c r="E262" s="2" t="str">
        <f>IFERROR(__xludf.DUMMYFUNCTION("IFERROR(VLOOKUP(A262, IMPORTRANGE(""https://docs.google.com/spreadsheets/d/1-3Vjw2Cyy-mry5gbC8ypIR3YVGFfEpyFESummAta6sg/edit"", ""Sheet1!B:D""), 3, FALSE), ""Not Found"")"),"b ɛ r i z ")</f>
        <v>b ɛ r i z </v>
      </c>
    </row>
    <row r="263">
      <c r="A263" s="1" t="s">
        <v>266</v>
      </c>
      <c r="B263" s="1" t="s">
        <v>5</v>
      </c>
      <c r="C263" s="2">
        <f>IFERROR(__xludf.DUMMYFUNCTION("IFERROR(VLOOKUP(A263, IMPORTRANGE(""https://docs.google.com/spreadsheets/d/1AVX9GT0dgogEBStecCXMMQ29tWz3gBrtNB8yIromXbY/edit?gid=741673867"", ""out1g!A:B""), 2, FALSE), 0)"),35.0)</f>
        <v>35</v>
      </c>
      <c r="D263" s="2" t="str">
        <f>IFERROR(__xludf.DUMMYFUNCTION("IFERROR(VLOOKUP(A263, IMPORTRANGE(""https://docs.google.com/spreadsheets/d/1-3Vjw2Cyy-mry5gbC8ypIR3YVGFfEpyFESummAta6sg/edit"", ""Sheet1!B:D""), 2, FALSE), ""Not Found"")"),"prɑd")</f>
        <v>prɑd</v>
      </c>
      <c r="E263" s="2" t="str">
        <f>IFERROR(__xludf.DUMMYFUNCTION("IFERROR(VLOOKUP(A263, IMPORTRANGE(""https://docs.google.com/spreadsheets/d/1-3Vjw2Cyy-mry5gbC8ypIR3YVGFfEpyFESummAta6sg/edit"", ""Sheet1!B:D""), 3, FALSE), ""Not Found"")"),"p r ɑ d ")</f>
        <v>p r ɑ d </v>
      </c>
    </row>
    <row r="264">
      <c r="A264" s="1" t="s">
        <v>267</v>
      </c>
      <c r="B264" s="1" t="s">
        <v>5</v>
      </c>
      <c r="C264" s="2">
        <f>IFERROR(__xludf.DUMMYFUNCTION("IFERROR(VLOOKUP(A264, IMPORTRANGE(""https://docs.google.com/spreadsheets/d/1AVX9GT0dgogEBStecCXMMQ29tWz3gBrtNB8yIromXbY/edit?gid=741673867"", ""out1g!A:B""), 2, FALSE), 0)"),218.0)</f>
        <v>218</v>
      </c>
      <c r="D264" s="2" t="str">
        <f>IFERROR(__xludf.DUMMYFUNCTION("IFERROR(VLOOKUP(A264, IMPORTRANGE(""https://docs.google.com/spreadsheets/d/1-3Vjw2Cyy-mry5gbC8ypIR3YVGFfEpyFESummAta6sg/edit"", ""Sheet1!B:D""), 2, FALSE), ""Not Found"")"),"gæp")</f>
        <v>gæp</v>
      </c>
      <c r="E264" s="2" t="str">
        <f>IFERROR(__xludf.DUMMYFUNCTION("IFERROR(VLOOKUP(A264, IMPORTRANGE(""https://docs.google.com/spreadsheets/d/1-3Vjw2Cyy-mry5gbC8ypIR3YVGFfEpyFESummAta6sg/edit"", ""Sheet1!B:D""), 3, FALSE), ""Not Found"")"),"g æ p ")</f>
        <v>g æ p </v>
      </c>
    </row>
    <row r="265">
      <c r="A265" s="1" t="s">
        <v>268</v>
      </c>
      <c r="B265" s="1" t="s">
        <v>5</v>
      </c>
      <c r="C265" s="2">
        <f>IFERROR(__xludf.DUMMYFUNCTION("IFERROR(VLOOKUP(A265, IMPORTRANGE(""https://docs.google.com/spreadsheets/d/1AVX9GT0dgogEBStecCXMMQ29tWz3gBrtNB8yIromXbY/edit?gid=741673867"", ""out1g!A:B""), 2, FALSE), 0)"),2104.0)</f>
        <v>2104</v>
      </c>
      <c r="D265" s="2" t="str">
        <f>IFERROR(__xludf.DUMMYFUNCTION("IFERROR(VLOOKUP(A265, IMPORTRANGE(""https://docs.google.com/spreadsheets/d/1-3Vjw2Cyy-mry5gbC8ypIR3YVGFfEpyFESummAta6sg/edit"", ""Sheet1!B:D""), 2, FALSE), ""Not Found"")"),"spid")</f>
        <v>spid</v>
      </c>
      <c r="E265" s="2" t="str">
        <f>IFERROR(__xludf.DUMMYFUNCTION("IFERROR(VLOOKUP(A265, IMPORTRANGE(""https://docs.google.com/spreadsheets/d/1-3Vjw2Cyy-mry5gbC8ypIR3YVGFfEpyFESummAta6sg/edit"", ""Sheet1!B:D""), 3, FALSE), ""Not Found"")"),"s p i d ")</f>
        <v>s p i d </v>
      </c>
    </row>
    <row r="266">
      <c r="A266" s="1" t="s">
        <v>269</v>
      </c>
      <c r="B266" s="1" t="s">
        <v>5</v>
      </c>
      <c r="C266" s="2">
        <f>IFERROR(__xludf.DUMMYFUNCTION("IFERROR(VLOOKUP(A266, IMPORTRANGE(""https://docs.google.com/spreadsheets/d/1AVX9GT0dgogEBStecCXMMQ29tWz3gBrtNB8yIromXbY/edit?gid=741673867"", ""out1g!A:B""), 2, FALSE), 0)"),82.0)</f>
        <v>82</v>
      </c>
      <c r="D266" s="2" t="str">
        <f>IFERROR(__xludf.DUMMYFUNCTION("IFERROR(VLOOKUP(A266, IMPORTRANGE(""https://docs.google.com/spreadsheets/d/1-3Vjw2Cyy-mry5gbC8ypIR3YVGFfEpyFESummAta6sg/edit"", ""Sheet1!B:D""), 2, FALSE), ""Not Found"")"),"heloʊ")</f>
        <v>heloʊ</v>
      </c>
      <c r="E266" s="2" t="str">
        <f>IFERROR(__xludf.DUMMYFUNCTION("IFERROR(VLOOKUP(A266, IMPORTRANGE(""https://docs.google.com/spreadsheets/d/1-3Vjw2Cyy-mry5gbC8ypIR3YVGFfEpyFESummAta6sg/edit"", ""Sheet1!B:D""), 3, FALSE), ""Not Found"")"),"h e l o ʊ ")</f>
        <v>h e l o ʊ </v>
      </c>
    </row>
    <row r="267">
      <c r="A267" s="1" t="s">
        <v>270</v>
      </c>
      <c r="B267" s="1" t="s">
        <v>5</v>
      </c>
      <c r="C267" s="2">
        <f>IFERROR(__xludf.DUMMYFUNCTION("IFERROR(VLOOKUP(A267, IMPORTRANGE(""https://docs.google.com/spreadsheets/d/1AVX9GT0dgogEBStecCXMMQ29tWz3gBrtNB8yIromXbY/edit?gid=741673867"", ""out1g!A:B""), 2, FALSE), 0)"),151.0)</f>
        <v>151</v>
      </c>
      <c r="D267" s="2" t="str">
        <f>IFERROR(__xludf.DUMMYFUNCTION("IFERROR(VLOOKUP(A267, IMPORTRANGE(""https://docs.google.com/spreadsheets/d/1-3Vjw2Cyy-mry5gbC8ypIR3YVGFfEpyFESummAta6sg/edit"", ""Sheet1!B:D""), 2, FALSE), ""Not Found"")"),"voʊkəl")</f>
        <v>voʊkəl</v>
      </c>
      <c r="E267" s="2" t="str">
        <f>IFERROR(__xludf.DUMMYFUNCTION("IFERROR(VLOOKUP(A267, IMPORTRANGE(""https://docs.google.com/spreadsheets/d/1-3Vjw2Cyy-mry5gbC8ypIR3YVGFfEpyFESummAta6sg/edit"", ""Sheet1!B:D""), 3, FALSE), ""Not Found"")"),"v o ʊ k ə l ")</f>
        <v>v o ʊ k ə l </v>
      </c>
    </row>
    <row r="268">
      <c r="A268" s="1" t="s">
        <v>271</v>
      </c>
      <c r="B268" s="1" t="s">
        <v>5</v>
      </c>
      <c r="C268" s="2">
        <f>IFERROR(__xludf.DUMMYFUNCTION("IFERROR(VLOOKUP(A268, IMPORTRANGE(""https://docs.google.com/spreadsheets/d/1AVX9GT0dgogEBStecCXMMQ29tWz3gBrtNB8yIromXbY/edit?gid=741673867"", ""out1g!A:B""), 2, FALSE), 0)"),44.0)</f>
        <v>44</v>
      </c>
      <c r="D268" s="2" t="str">
        <f>IFERROR(__xludf.DUMMYFUNCTION("IFERROR(VLOOKUP(A268, IMPORTRANGE(""https://docs.google.com/spreadsheets/d/1-3Vjw2Cyy-mry5gbC8ypIR3YVGFfEpyFESummAta6sg/edit"", ""Sheet1!B:D""), 2, FALSE), ""Not Found"")"),"əpt")</f>
        <v>əpt</v>
      </c>
      <c r="E268" s="2" t="str">
        <f>IFERROR(__xludf.DUMMYFUNCTION("IFERROR(VLOOKUP(A268, IMPORTRANGE(""https://docs.google.com/spreadsheets/d/1-3Vjw2Cyy-mry5gbC8ypIR3YVGFfEpyFESummAta6sg/edit"", ""Sheet1!B:D""), 3, FALSE), ""Not Found"")"),"ə p t ")</f>
        <v>ə p t </v>
      </c>
    </row>
    <row r="269">
      <c r="A269" s="1" t="s">
        <v>272</v>
      </c>
      <c r="B269" s="1" t="s">
        <v>5</v>
      </c>
      <c r="C269" s="2">
        <f>IFERROR(__xludf.DUMMYFUNCTION("IFERROR(VLOOKUP(A269, IMPORTRANGE(""https://docs.google.com/spreadsheets/d/1AVX9GT0dgogEBStecCXMMQ29tWz3gBrtNB8yIromXbY/edit?gid=741673867"", ""out1g!A:B""), 2, FALSE), 0)"),62.0)</f>
        <v>62</v>
      </c>
      <c r="D269" s="2" t="str">
        <f>IFERROR(__xludf.DUMMYFUNCTION("IFERROR(VLOOKUP(A269, IMPORTRANGE(""https://docs.google.com/spreadsheets/d/1-3Vjw2Cyy-mry5gbC8ypIR3YVGFfEpyFESummAta6sg/edit"", ""Sheet1!B:D""), 2, FALSE), ""Not Found"")"),"ʧɪrd")</f>
        <v>ʧɪrd</v>
      </c>
      <c r="E269" s="2" t="str">
        <f>IFERROR(__xludf.DUMMYFUNCTION("IFERROR(VLOOKUP(A269, IMPORTRANGE(""https://docs.google.com/spreadsheets/d/1-3Vjw2Cyy-mry5gbC8ypIR3YVGFfEpyFESummAta6sg/edit"", ""Sheet1!B:D""), 3, FALSE), ""Not Found"")"),"ʧ ɪ r d ")</f>
        <v>ʧ ɪ r d </v>
      </c>
    </row>
    <row r="270">
      <c r="A270" s="1" t="s">
        <v>273</v>
      </c>
      <c r="B270" s="1" t="s">
        <v>5</v>
      </c>
      <c r="C270" s="2">
        <f>IFERROR(__xludf.DUMMYFUNCTION("IFERROR(VLOOKUP(A270, IMPORTRANGE(""https://docs.google.com/spreadsheets/d/1AVX9GT0dgogEBStecCXMMQ29tWz3gBrtNB8yIromXbY/edit?gid=741673867"", ""out1g!A:B""), 2, FALSE), 0)"),525.0)</f>
        <v>525</v>
      </c>
      <c r="D270" s="2" t="str">
        <f>IFERROR(__xludf.DUMMYFUNCTION("IFERROR(VLOOKUP(A270, IMPORTRANGE(""https://docs.google.com/spreadsheets/d/1-3Vjw2Cyy-mry5gbC8ypIR3YVGFfEpyFESummAta6sg/edit"", ""Sheet1!B:D""), 2, FALSE), ""Not Found"")"),"ken")</f>
        <v>ken</v>
      </c>
      <c r="E270" s="2" t="str">
        <f>IFERROR(__xludf.DUMMYFUNCTION("IFERROR(VLOOKUP(A270, IMPORTRANGE(""https://docs.google.com/spreadsheets/d/1-3Vjw2Cyy-mry5gbC8ypIR3YVGFfEpyFESummAta6sg/edit"", ""Sheet1!B:D""), 3, FALSE), ""Not Found"")"),"k e n ")</f>
        <v>k e n </v>
      </c>
    </row>
    <row r="271">
      <c r="A271" s="1" t="s">
        <v>274</v>
      </c>
      <c r="B271" s="1" t="s">
        <v>5</v>
      </c>
      <c r="C271" s="2">
        <f>IFERROR(__xludf.DUMMYFUNCTION("IFERROR(VLOOKUP(A271, IMPORTRANGE(""https://docs.google.com/spreadsheets/d/1AVX9GT0dgogEBStecCXMMQ29tWz3gBrtNB8yIromXbY/edit?gid=741673867"", ""out1g!A:B""), 2, FALSE), 0)"),1344.0)</f>
        <v>1344</v>
      </c>
      <c r="D271" s="2" t="str">
        <f>IFERROR(__xludf.DUMMYFUNCTION("IFERROR(VLOOKUP(A271, IMPORTRANGE(""https://docs.google.com/spreadsheets/d/1-3Vjw2Cyy-mry5gbC8ypIR3YVGFfEpyFESummAta6sg/edit"", ""Sheet1!B:D""), 2, FALSE), ""Not Found"")"),"woʊk")</f>
        <v>woʊk</v>
      </c>
      <c r="E271" s="2" t="str">
        <f>IFERROR(__xludf.DUMMYFUNCTION("IFERROR(VLOOKUP(A271, IMPORTRANGE(""https://docs.google.com/spreadsheets/d/1-3Vjw2Cyy-mry5gbC8ypIR3YVGFfEpyFESummAta6sg/edit"", ""Sheet1!B:D""), 3, FALSE), ""Not Found"")"),"w o ʊ k ")</f>
        <v>w o ʊ k </v>
      </c>
    </row>
    <row r="272">
      <c r="A272" s="1" t="s">
        <v>275</v>
      </c>
      <c r="B272" s="1" t="s">
        <v>5</v>
      </c>
      <c r="C272" s="2">
        <f>IFERROR(__xludf.DUMMYFUNCTION("IFERROR(VLOOKUP(A272, IMPORTRANGE(""https://docs.google.com/spreadsheets/d/1AVX9GT0dgogEBStecCXMMQ29tWz3gBrtNB8yIromXbY/edit?gid=741673867"", ""out1g!A:B""), 2, FALSE), 0)"),91.0)</f>
        <v>91</v>
      </c>
      <c r="D272" s="2" t="str">
        <f>IFERROR(__xludf.DUMMYFUNCTION("IFERROR(VLOOKUP(A272, IMPORTRANGE(""https://docs.google.com/spreadsheets/d/1-3Vjw2Cyy-mry5gbC8ypIR3YVGFfEpyFESummAta6sg/edit"", ""Sheet1!B:D""), 2, FALSE), ""Not Found"")"),"brɪstəl")</f>
        <v>brɪstəl</v>
      </c>
      <c r="E272" s="2" t="str">
        <f>IFERROR(__xludf.DUMMYFUNCTION("IFERROR(VLOOKUP(A272, IMPORTRANGE(""https://docs.google.com/spreadsheets/d/1-3Vjw2Cyy-mry5gbC8ypIR3YVGFfEpyFESummAta6sg/edit"", ""Sheet1!B:D""), 3, FALSE), ""Not Found"")"),"b r ɪ s t ə l ")</f>
        <v>b r ɪ s t ə l </v>
      </c>
    </row>
    <row r="273">
      <c r="A273" s="1" t="s">
        <v>276</v>
      </c>
      <c r="B273" s="1" t="s">
        <v>5</v>
      </c>
      <c r="C273" s="2">
        <f>IFERROR(__xludf.DUMMYFUNCTION("IFERROR(VLOOKUP(A273, IMPORTRANGE(""https://docs.google.com/spreadsheets/d/1AVX9GT0dgogEBStecCXMMQ29tWz3gBrtNB8yIromXbY/edit?gid=741673867"", ""out1g!A:B""), 2, FALSE), 0)"),617.0)</f>
        <v>617</v>
      </c>
      <c r="D273" s="2" t="str">
        <f>IFERROR(__xludf.DUMMYFUNCTION("IFERROR(VLOOKUP(A273, IMPORTRANGE(""https://docs.google.com/spreadsheets/d/1-3Vjw2Cyy-mry5gbC8ypIR3YVGFfEpyFESummAta6sg/edit"", ""Sheet1!B:D""), 2, FALSE), ""Not Found"")"),"wɪdoʊ")</f>
        <v>wɪdoʊ</v>
      </c>
      <c r="E273" s="2" t="str">
        <f>IFERROR(__xludf.DUMMYFUNCTION("IFERROR(VLOOKUP(A273, IMPORTRANGE(""https://docs.google.com/spreadsheets/d/1-3Vjw2Cyy-mry5gbC8ypIR3YVGFfEpyFESummAta6sg/edit"", ""Sheet1!B:D""), 3, FALSE), ""Not Found"")"),"w ɪ d o ʊ ")</f>
        <v>w ɪ d o ʊ </v>
      </c>
    </row>
    <row r="274">
      <c r="A274" s="1" t="s">
        <v>277</v>
      </c>
      <c r="B274" s="1" t="s">
        <v>5</v>
      </c>
      <c r="C274" s="2">
        <f>IFERROR(__xludf.DUMMYFUNCTION("IFERROR(VLOOKUP(A274, IMPORTRANGE(""https://docs.google.com/spreadsheets/d/1AVX9GT0dgogEBStecCXMMQ29tWz3gBrtNB8yIromXbY/edit?gid=741673867"", ""out1g!A:B""), 2, FALSE), 0)"),52.0)</f>
        <v>52</v>
      </c>
      <c r="D274" s="2" t="str">
        <f>IFERROR(__xludf.DUMMYFUNCTION("IFERROR(VLOOKUP(A274, IMPORTRANGE(""https://docs.google.com/spreadsheets/d/1-3Vjw2Cyy-mry5gbC8ypIR3YVGFfEpyFESummAta6sg/edit"", ""Sheet1!B:D""), 2, FALSE), ""Not Found"")"),"ətɑp")</f>
        <v>ətɑp</v>
      </c>
      <c r="E274" s="2" t="str">
        <f>IFERROR(__xludf.DUMMYFUNCTION("IFERROR(VLOOKUP(A274, IMPORTRANGE(""https://docs.google.com/spreadsheets/d/1-3Vjw2Cyy-mry5gbC8ypIR3YVGFfEpyFESummAta6sg/edit"", ""Sheet1!B:D""), 3, FALSE), ""Not Found"")"),"ə t ɑ p ")</f>
        <v>ə t ɑ p </v>
      </c>
    </row>
    <row r="275">
      <c r="A275" s="1" t="s">
        <v>278</v>
      </c>
      <c r="B275" s="1" t="s">
        <v>5</v>
      </c>
      <c r="C275" s="2">
        <f>IFERROR(__xludf.DUMMYFUNCTION("IFERROR(VLOOKUP(A275, IMPORTRANGE(""https://docs.google.com/spreadsheets/d/1AVX9GT0dgogEBStecCXMMQ29tWz3gBrtNB8yIromXbY/edit?gid=741673867"", ""out1g!A:B""), 2, FALSE), 0)"),750.0)</f>
        <v>750</v>
      </c>
      <c r="D275" s="2" t="str">
        <f>IFERROR(__xludf.DUMMYFUNCTION("IFERROR(VLOOKUP(A275, IMPORTRANGE(""https://docs.google.com/spreadsheets/d/1-3Vjw2Cyy-mry5gbC8ypIR3YVGFfEpyFESummAta6sg/edit"", ""Sheet1!B:D""), 2, FALSE), ""Not Found"")"),"stætəs")</f>
        <v>stætəs</v>
      </c>
      <c r="E275" s="2" t="str">
        <f>IFERROR(__xludf.DUMMYFUNCTION("IFERROR(VLOOKUP(A275, IMPORTRANGE(""https://docs.google.com/spreadsheets/d/1-3Vjw2Cyy-mry5gbC8ypIR3YVGFfEpyFESummAta6sg/edit"", ""Sheet1!B:D""), 3, FALSE), ""Not Found"")"),"s t æ t ə s ")</f>
        <v>s t æ t ə s </v>
      </c>
    </row>
    <row r="276">
      <c r="A276" s="1" t="s">
        <v>279</v>
      </c>
      <c r="B276" s="1" t="s">
        <v>5</v>
      </c>
      <c r="C276" s="2">
        <f>IFERROR(__xludf.DUMMYFUNCTION("IFERROR(VLOOKUP(A276, IMPORTRANGE(""https://docs.google.com/spreadsheets/d/1AVX9GT0dgogEBStecCXMMQ29tWz3gBrtNB8yIromXbY/edit?gid=741673867"", ""out1g!A:B""), 2, FALSE), 0)"),3896.0)</f>
        <v>3896</v>
      </c>
      <c r="D276" s="2" t="str">
        <f>IFERROR(__xludf.DUMMYFUNCTION("IFERROR(VLOOKUP(A276, IMPORTRANGE(""https://docs.google.com/spreadsheets/d/1-3Vjw2Cyy-mry5gbC8ypIR3YVGFfEpyFESummAta6sg/edit"", ""Sheet1!B:D""), 2, FALSE), ""Not Found"")"),"dip")</f>
        <v>dip</v>
      </c>
      <c r="E276" s="2" t="str">
        <f>IFERROR(__xludf.DUMMYFUNCTION("IFERROR(VLOOKUP(A276, IMPORTRANGE(""https://docs.google.com/spreadsheets/d/1-3Vjw2Cyy-mry5gbC8ypIR3YVGFfEpyFESummAta6sg/edit"", ""Sheet1!B:D""), 3, FALSE), ""Not Found"")"),"d i p ")</f>
        <v>d i p </v>
      </c>
    </row>
    <row r="277">
      <c r="A277" s="1" t="s">
        <v>280</v>
      </c>
      <c r="B277" s="1" t="s">
        <v>5</v>
      </c>
      <c r="C277" s="2">
        <f>IFERROR(__xludf.DUMMYFUNCTION("IFERROR(VLOOKUP(A277, IMPORTRANGE(""https://docs.google.com/spreadsheets/d/1AVX9GT0dgogEBStecCXMMQ29tWz3gBrtNB8yIromXbY/edit?gid=741673867"", ""out1g!A:B""), 2, FALSE), 0)"),838.0)</f>
        <v>838</v>
      </c>
      <c r="D277" s="2" t="str">
        <f>IFERROR(__xludf.DUMMYFUNCTION("IFERROR(VLOOKUP(A277, IMPORTRANGE(""https://docs.google.com/spreadsheets/d/1-3Vjw2Cyy-mry5gbC8ypIR3YVGFfEpyFESummAta6sg/edit"", ""Sheet1!B:D""), 2, FALSE), ""Not Found"")"),"tub")</f>
        <v>tub</v>
      </c>
      <c r="E277" s="2" t="str">
        <f>IFERROR(__xludf.DUMMYFUNCTION("IFERROR(VLOOKUP(A277, IMPORTRANGE(""https://docs.google.com/spreadsheets/d/1-3Vjw2Cyy-mry5gbC8ypIR3YVGFfEpyFESummAta6sg/edit"", ""Sheet1!B:D""), 3, FALSE), ""Not Found"")"),"t u b ")</f>
        <v>t u b </v>
      </c>
    </row>
    <row r="278">
      <c r="A278" s="1" t="s">
        <v>281</v>
      </c>
      <c r="B278" s="1" t="s">
        <v>5</v>
      </c>
      <c r="C278" s="2">
        <f>IFERROR(__xludf.DUMMYFUNCTION("IFERROR(VLOOKUP(A278, IMPORTRANGE(""https://docs.google.com/spreadsheets/d/1AVX9GT0dgogEBStecCXMMQ29tWz3gBrtNB8yIromXbY/edit?gid=741673867"", ""out1g!A:B""), 2, FALSE), 0)"),8763.0)</f>
        <v>8763</v>
      </c>
      <c r="D278" s="2" t="str">
        <f>IFERROR(__xludf.DUMMYFUNCTION("IFERROR(VLOOKUP(A278, IMPORTRANGE(""https://docs.google.com/spreadsheets/d/1-3Vjw2Cyy-mry5gbC8ypIR3YVGFfEpyFESummAta6sg/edit"", ""Sheet1!B:D""), 2, FALSE), ""Not Found"")"),"bɛt")</f>
        <v>bɛt</v>
      </c>
      <c r="E278" s="2" t="str">
        <f>IFERROR(__xludf.DUMMYFUNCTION("IFERROR(VLOOKUP(A278, IMPORTRANGE(""https://docs.google.com/spreadsheets/d/1-3Vjw2Cyy-mry5gbC8ypIR3YVGFfEpyFESummAta6sg/edit"", ""Sheet1!B:D""), 3, FALSE), ""Not Found"")"),"b ɛ t ")</f>
        <v>b ɛ t </v>
      </c>
    </row>
    <row r="279">
      <c r="A279" s="1" t="s">
        <v>282</v>
      </c>
      <c r="B279" s="1" t="s">
        <v>5</v>
      </c>
      <c r="C279" s="2">
        <f>IFERROR(__xludf.DUMMYFUNCTION("IFERROR(VLOOKUP(A279, IMPORTRANGE(""https://docs.google.com/spreadsheets/d/1AVX9GT0dgogEBStecCXMMQ29tWz3gBrtNB8yIromXbY/edit?gid=741673867"", ""out1g!A:B""), 2, FALSE), 0)"),30.0)</f>
        <v>30</v>
      </c>
      <c r="D279" s="2" t="str">
        <f>IFERROR(__xludf.DUMMYFUNCTION("IFERROR(VLOOKUP(A279, IMPORTRANGE(""https://docs.google.com/spreadsheets/d/1-3Vjw2Cyy-mry5gbC8ypIR3YVGFfEpyFESummAta6sg/edit"", ""Sheet1!B:D""), 2, FALSE), ""Not Found"")"),"izɪŋ")</f>
        <v>izɪŋ</v>
      </c>
      <c r="E279" s="2" t="str">
        <f>IFERROR(__xludf.DUMMYFUNCTION("IFERROR(VLOOKUP(A279, IMPORTRANGE(""https://docs.google.com/spreadsheets/d/1-3Vjw2Cyy-mry5gbC8ypIR3YVGFfEpyFESummAta6sg/edit"", ""Sheet1!B:D""), 3, FALSE), ""Not Found"")"),"i z ɪ ŋ ")</f>
        <v>i z ɪ ŋ </v>
      </c>
    </row>
    <row r="280">
      <c r="A280" s="1" t="s">
        <v>283</v>
      </c>
      <c r="B280" s="1" t="s">
        <v>5</v>
      </c>
      <c r="C280" s="2">
        <f>IFERROR(__xludf.DUMMYFUNCTION("IFERROR(VLOOKUP(A280, IMPORTRANGE(""https://docs.google.com/spreadsheets/d/1AVX9GT0dgogEBStecCXMMQ29tWz3gBrtNB8yIromXbY/edit?gid=741673867"", ""out1g!A:B""), 2, FALSE), 0)"),1535.0)</f>
        <v>1535</v>
      </c>
      <c r="D280" s="2" t="str">
        <f>IFERROR(__xludf.DUMMYFUNCTION("IFERROR(VLOOKUP(A280, IMPORTRANGE(""https://docs.google.com/spreadsheets/d/1-3Vjw2Cyy-mry5gbC8ypIR3YVGFfEpyFESummAta6sg/edit"", ""Sheet1!B:D""), 2, FALSE), ""Not Found"")"),"kɔs")</f>
        <v>kɔs</v>
      </c>
      <c r="E280" s="2" t="str">
        <f>IFERROR(__xludf.DUMMYFUNCTION("IFERROR(VLOOKUP(A280, IMPORTRANGE(""https://docs.google.com/spreadsheets/d/1-3Vjw2Cyy-mry5gbC8ypIR3YVGFfEpyFESummAta6sg/edit"", ""Sheet1!B:D""), 3, FALSE), ""Not Found"")"),"k ɔ s ")</f>
        <v>k ɔ s </v>
      </c>
    </row>
    <row r="281">
      <c r="A281" s="1" t="s">
        <v>284</v>
      </c>
      <c r="B281" s="1" t="s">
        <v>5</v>
      </c>
      <c r="C281" s="2">
        <f>IFERROR(__xludf.DUMMYFUNCTION("IFERROR(VLOOKUP(A281, IMPORTRANGE(""https://docs.google.com/spreadsheets/d/1AVX9GT0dgogEBStecCXMMQ29tWz3gBrtNB8yIromXbY/edit?gid=741673867"", ""out1g!A:B""), 2, FALSE), 0)"),1167.0)</f>
        <v>1167</v>
      </c>
      <c r="D281" s="2" t="str">
        <f>IFERROR(__xludf.DUMMYFUNCTION("IFERROR(VLOOKUP(A281, IMPORTRANGE(""https://docs.google.com/spreadsheets/d/1-3Vjw2Cyy-mry5gbC8ypIR3YVGFfEpyFESummAta6sg/edit"", ""Sheet1!B:D""), 2, FALSE), ""Not Found"")"),"rɑks")</f>
        <v>rɑks</v>
      </c>
      <c r="E281" s="2" t="str">
        <f>IFERROR(__xludf.DUMMYFUNCTION("IFERROR(VLOOKUP(A281, IMPORTRANGE(""https://docs.google.com/spreadsheets/d/1-3Vjw2Cyy-mry5gbC8ypIR3YVGFfEpyFESummAta6sg/edit"", ""Sheet1!B:D""), 3, FALSE), ""Not Found"")"),"r ɑ k s ")</f>
        <v>r ɑ k s </v>
      </c>
    </row>
    <row r="282">
      <c r="A282" s="1" t="s">
        <v>285</v>
      </c>
      <c r="B282" s="1" t="s">
        <v>5</v>
      </c>
      <c r="C282" s="2">
        <f>IFERROR(__xludf.DUMMYFUNCTION("IFERROR(VLOOKUP(A282, IMPORTRANGE(""https://docs.google.com/spreadsheets/d/1AVX9GT0dgogEBStecCXMMQ29tWz3gBrtNB8yIromXbY/edit?gid=741673867"", ""out1g!A:B""), 2, FALSE), 0)"),440.0)</f>
        <v>440</v>
      </c>
      <c r="D282" s="2" t="str">
        <f>IFERROR(__xludf.DUMMYFUNCTION("IFERROR(VLOOKUP(A282, IMPORTRANGE(""https://docs.google.com/spreadsheets/d/1-3Vjw2Cyy-mry5gbC8ypIR3YVGFfEpyFESummAta6sg/edit"", ""Sheet1!B:D""), 2, FALSE), ""Not Found"")"),"dren")</f>
        <v>dren</v>
      </c>
      <c r="E282" s="2" t="str">
        <f>IFERROR(__xludf.DUMMYFUNCTION("IFERROR(VLOOKUP(A282, IMPORTRANGE(""https://docs.google.com/spreadsheets/d/1-3Vjw2Cyy-mry5gbC8ypIR3YVGFfEpyFESummAta6sg/edit"", ""Sheet1!B:D""), 3, FALSE), ""Not Found"")"),"d r e n ")</f>
        <v>d r e n </v>
      </c>
    </row>
    <row r="283">
      <c r="A283" s="1" t="s">
        <v>286</v>
      </c>
      <c r="B283" s="1" t="s">
        <v>5</v>
      </c>
      <c r="C283" s="2">
        <f>IFERROR(__xludf.DUMMYFUNCTION("IFERROR(VLOOKUP(A283, IMPORTRANGE(""https://docs.google.com/spreadsheets/d/1AVX9GT0dgogEBStecCXMMQ29tWz3gBrtNB8yIromXbY/edit?gid=741673867"", ""out1g!A:B""), 2, FALSE), 0)"),66.0)</f>
        <v>66</v>
      </c>
      <c r="D283" s="2" t="str">
        <f>IFERROR(__xludf.DUMMYFUNCTION("IFERROR(VLOOKUP(A283, IMPORTRANGE(""https://docs.google.com/spreadsheets/d/1-3Vjw2Cyy-mry5gbC8ypIR3YVGFfEpyFESummAta6sg/edit"", ""Sheet1!B:D""), 2, FALSE), ""Not Found"")"),"hɛks")</f>
        <v>hɛks</v>
      </c>
      <c r="E283" s="2" t="str">
        <f>IFERROR(__xludf.DUMMYFUNCTION("IFERROR(VLOOKUP(A283, IMPORTRANGE(""https://docs.google.com/spreadsheets/d/1-3Vjw2Cyy-mry5gbC8ypIR3YVGFfEpyFESummAta6sg/edit"", ""Sheet1!B:D""), 3, FALSE), ""Not Found"")"),"h ɛ k s ")</f>
        <v>h ɛ k s </v>
      </c>
    </row>
    <row r="284">
      <c r="A284" s="1" t="s">
        <v>287</v>
      </c>
      <c r="B284" s="1" t="s">
        <v>5</v>
      </c>
      <c r="C284" s="2">
        <f>IFERROR(__xludf.DUMMYFUNCTION("IFERROR(VLOOKUP(A284, IMPORTRANGE(""https://docs.google.com/spreadsheets/d/1AVX9GT0dgogEBStecCXMMQ29tWz3gBrtNB8yIromXbY/edit?gid=741673867"", ""out1g!A:B""), 2, FALSE), 0)"),13.0)</f>
        <v>13</v>
      </c>
      <c r="D284" s="2" t="str">
        <f>IFERROR(__xludf.DUMMYFUNCTION("IFERROR(VLOOKUP(A284, IMPORTRANGE(""https://docs.google.com/spreadsheets/d/1-3Vjw2Cyy-mry5gbC8ypIR3YVGFfEpyFESummAta6sg/edit"", ""Sheet1!B:D""), 2, FALSE), ""Not Found"")"),"pik")</f>
        <v>pik</v>
      </c>
      <c r="E284" s="2" t="str">
        <f>IFERROR(__xludf.DUMMYFUNCTION("IFERROR(VLOOKUP(A284, IMPORTRANGE(""https://docs.google.com/spreadsheets/d/1-3Vjw2Cyy-mry5gbC8ypIR3YVGFfEpyFESummAta6sg/edit"", ""Sheet1!B:D""), 3, FALSE), ""Not Found"")"),"p i k ")</f>
        <v>p i k </v>
      </c>
    </row>
    <row r="285">
      <c r="A285" s="1" t="s">
        <v>288</v>
      </c>
      <c r="B285" s="1" t="s">
        <v>5</v>
      </c>
      <c r="C285" s="2">
        <f>IFERROR(__xludf.DUMMYFUNCTION("IFERROR(VLOOKUP(A285, IMPORTRANGE(""https://docs.google.com/spreadsheets/d/1AVX9GT0dgogEBStecCXMMQ29tWz3gBrtNB8yIromXbY/edit?gid=741673867"", ""out1g!A:B""), 2, FALSE), 0)"),179.0)</f>
        <v>179</v>
      </c>
      <c r="D285" s="2" t="str">
        <f>IFERROR(__xludf.DUMMYFUNCTION("IFERROR(VLOOKUP(A285, IMPORTRANGE(""https://docs.google.com/spreadsheets/d/1-3Vjw2Cyy-mry5gbC8ypIR3YVGFfEpyFESummAta6sg/edit"", ""Sheet1!B:D""), 2, FALSE), ""Not Found"")"),"stul")</f>
        <v>stul</v>
      </c>
      <c r="E285" s="2" t="str">
        <f>IFERROR(__xludf.DUMMYFUNCTION("IFERROR(VLOOKUP(A285, IMPORTRANGE(""https://docs.google.com/spreadsheets/d/1-3Vjw2Cyy-mry5gbC8ypIR3YVGFfEpyFESummAta6sg/edit"", ""Sheet1!B:D""), 3, FALSE), ""Not Found"")"),"s t u l ")</f>
        <v>s t u l </v>
      </c>
    </row>
    <row r="286">
      <c r="A286" s="1" t="s">
        <v>289</v>
      </c>
      <c r="B286" s="1" t="s">
        <v>5</v>
      </c>
      <c r="C286" s="2">
        <f>IFERROR(__xludf.DUMMYFUNCTION("IFERROR(VLOOKUP(A286, IMPORTRANGE(""https://docs.google.com/spreadsheets/d/1AVX9GT0dgogEBStecCXMMQ29tWz3gBrtNB8yIromXbY/edit?gid=741673867"", ""out1g!A:B""), 2, FALSE), 0)"),231.0)</f>
        <v>231</v>
      </c>
      <c r="D286" s="2" t="str">
        <f>IFERROR(__xludf.DUMMYFUNCTION("IFERROR(VLOOKUP(A286, IMPORTRANGE(""https://docs.google.com/spreadsheets/d/1-3Vjw2Cyy-mry5gbC8ypIR3YVGFfEpyFESummAta6sg/edit"", ""Sheet1!B:D""), 2, FALSE), ""Not Found"")"),"pɪnd")</f>
        <v>pɪnd</v>
      </c>
      <c r="E286" s="2" t="str">
        <f>IFERROR(__xludf.DUMMYFUNCTION("IFERROR(VLOOKUP(A286, IMPORTRANGE(""https://docs.google.com/spreadsheets/d/1-3Vjw2Cyy-mry5gbC8ypIR3YVGFfEpyFESummAta6sg/edit"", ""Sheet1!B:D""), 3, FALSE), ""Not Found"")"),"p ɪ n d ")</f>
        <v>p ɪ n d </v>
      </c>
    </row>
    <row r="287">
      <c r="A287" s="1" t="s">
        <v>290</v>
      </c>
      <c r="B287" s="1" t="s">
        <v>5</v>
      </c>
      <c r="C287" s="2">
        <f>IFERROR(__xludf.DUMMYFUNCTION("IFERROR(VLOOKUP(A287, IMPORTRANGE(""https://docs.google.com/spreadsheets/d/1AVX9GT0dgogEBStecCXMMQ29tWz3gBrtNB8yIromXbY/edit?gid=741673867"", ""out1g!A:B""), 2, FALSE), 0)"),55.0)</f>
        <v>55</v>
      </c>
      <c r="D287" s="2" t="str">
        <f>IFERROR(__xludf.DUMMYFUNCTION("IFERROR(VLOOKUP(A287, IMPORTRANGE(""https://docs.google.com/spreadsheets/d/1-3Vjw2Cyy-mry5gbC8ypIR3YVGFfEpyFESummAta6sg/edit"", ""Sheet1!B:D""), 2, FALSE), ""Not Found"")"),"smɑg")</f>
        <v>smɑg</v>
      </c>
      <c r="E287" s="2" t="str">
        <f>IFERROR(__xludf.DUMMYFUNCTION("IFERROR(VLOOKUP(A287, IMPORTRANGE(""https://docs.google.com/spreadsheets/d/1-3Vjw2Cyy-mry5gbC8ypIR3YVGFfEpyFESummAta6sg/edit"", ""Sheet1!B:D""), 3, FALSE), ""Not Found"")"),"s m ɑ g ")</f>
        <v>s m ɑ g </v>
      </c>
    </row>
    <row r="288">
      <c r="A288" s="1" t="s">
        <v>291</v>
      </c>
      <c r="B288" s="1" t="s">
        <v>5</v>
      </c>
      <c r="C288" s="2">
        <f>IFERROR(__xludf.DUMMYFUNCTION("IFERROR(VLOOKUP(A288, IMPORTRANGE(""https://docs.google.com/spreadsheets/d/1AVX9GT0dgogEBStecCXMMQ29tWz3gBrtNB8yIromXbY/edit?gid=741673867"", ""out1g!A:B""), 2, FALSE), 0)"),83.0)</f>
        <v>83</v>
      </c>
      <c r="D288" s="2" t="str">
        <f>IFERROR(__xludf.DUMMYFUNCTION("IFERROR(VLOOKUP(A288, IMPORTRANGE(""https://docs.google.com/spreadsheets/d/1-3Vjw2Cyy-mry5gbC8ypIR3YVGFfEpyFESummAta6sg/edit"", ""Sheet1!B:D""), 2, FALSE), ""Not Found"")"),"lɑrk")</f>
        <v>lɑrk</v>
      </c>
      <c r="E288" s="2" t="str">
        <f>IFERROR(__xludf.DUMMYFUNCTION("IFERROR(VLOOKUP(A288, IMPORTRANGE(""https://docs.google.com/spreadsheets/d/1-3Vjw2Cyy-mry5gbC8ypIR3YVGFfEpyFESummAta6sg/edit"", ""Sheet1!B:D""), 3, FALSE), ""Not Found"")"),"l ɑ r k ")</f>
        <v>l ɑ r k </v>
      </c>
    </row>
    <row r="289">
      <c r="A289" s="1" t="s">
        <v>292</v>
      </c>
      <c r="B289" s="1" t="s">
        <v>5</v>
      </c>
      <c r="C289" s="2">
        <f>IFERROR(__xludf.DUMMYFUNCTION("IFERROR(VLOOKUP(A289, IMPORTRANGE(""https://docs.google.com/spreadsheets/d/1AVX9GT0dgogEBStecCXMMQ29tWz3gBrtNB8yIromXbY/edit?gid=741673867"", ""out1g!A:B""), 2, FALSE), 0)"),309.0)</f>
        <v>309</v>
      </c>
      <c r="D289" s="2" t="str">
        <f>IFERROR(__xludf.DUMMYFUNCTION("IFERROR(VLOOKUP(A289, IMPORTRANGE(""https://docs.google.com/spreadsheets/d/1-3Vjw2Cyy-mry5gbC8ypIR3YVGFfEpyFESummAta6sg/edit"", ""Sheet1!B:D""), 2, FALSE), ""Not Found"")"),"hɪps")</f>
        <v>hɪps</v>
      </c>
      <c r="E289" s="2" t="str">
        <f>IFERROR(__xludf.DUMMYFUNCTION("IFERROR(VLOOKUP(A289, IMPORTRANGE(""https://docs.google.com/spreadsheets/d/1-3Vjw2Cyy-mry5gbC8ypIR3YVGFfEpyFESummAta6sg/edit"", ""Sheet1!B:D""), 3, FALSE), ""Not Found"")"),"h ɪ p s ")</f>
        <v>h ɪ p s </v>
      </c>
    </row>
    <row r="290">
      <c r="A290" s="1" t="s">
        <v>293</v>
      </c>
      <c r="B290" s="1" t="s">
        <v>5</v>
      </c>
      <c r="C290" s="2">
        <f>IFERROR(__xludf.DUMMYFUNCTION("IFERROR(VLOOKUP(A290, IMPORTRANGE(""https://docs.google.com/spreadsheets/d/1AVX9GT0dgogEBStecCXMMQ29tWz3gBrtNB8yIromXbY/edit?gid=741673867"", ""out1g!A:B""), 2, FALSE), 0)"),69.0)</f>
        <v>69</v>
      </c>
      <c r="D290" s="2" t="str">
        <f>IFERROR(__xludf.DUMMYFUNCTION("IFERROR(VLOOKUP(A290, IMPORTRANGE(""https://docs.google.com/spreadsheets/d/1-3Vjw2Cyy-mry5gbC8ypIR3YVGFfEpyFESummAta6sg/edit"", ""Sheet1!B:D""), 2, FALSE), ""Not Found"")"),"ɑtər")</f>
        <v>ɑtər</v>
      </c>
      <c r="E290" s="2" t="str">
        <f>IFERROR(__xludf.DUMMYFUNCTION("IFERROR(VLOOKUP(A290, IMPORTRANGE(""https://docs.google.com/spreadsheets/d/1-3Vjw2Cyy-mry5gbC8ypIR3YVGFfEpyFESummAta6sg/edit"", ""Sheet1!B:D""), 3, FALSE), ""Not Found"")"),"ɑ t ə r ")</f>
        <v>ɑ t ə r </v>
      </c>
    </row>
    <row r="291">
      <c r="A291" s="1" t="s">
        <v>294</v>
      </c>
      <c r="B291" s="1" t="s">
        <v>5</v>
      </c>
      <c r="C291" s="2">
        <f>IFERROR(__xludf.DUMMYFUNCTION("IFERROR(VLOOKUP(A291, IMPORTRANGE(""https://docs.google.com/spreadsheets/d/1AVX9GT0dgogEBStecCXMMQ29tWz3gBrtNB8yIromXbY/edit?gid=741673867"", ""out1g!A:B""), 2, FALSE), 0)"),82.0)</f>
        <v>82</v>
      </c>
      <c r="D291" s="2" t="str">
        <f>IFERROR(__xludf.DUMMYFUNCTION("IFERROR(VLOOKUP(A291, IMPORTRANGE(""https://docs.google.com/spreadsheets/d/1-3Vjw2Cyy-mry5gbC8ypIR3YVGFfEpyFESummAta6sg/edit"", ""Sheet1!B:D""), 2, FALSE), ""Not Found"")"),"kævz")</f>
        <v>kævz</v>
      </c>
      <c r="E291" s="2" t="str">
        <f>IFERROR(__xludf.DUMMYFUNCTION("IFERROR(VLOOKUP(A291, IMPORTRANGE(""https://docs.google.com/spreadsheets/d/1-3Vjw2Cyy-mry5gbC8ypIR3YVGFfEpyFESummAta6sg/edit"", ""Sheet1!B:D""), 3, FALSE), ""Not Found"")"),"k æ v z ")</f>
        <v>k æ v z </v>
      </c>
    </row>
    <row r="292">
      <c r="A292" s="1" t="s">
        <v>295</v>
      </c>
      <c r="B292" s="1" t="s">
        <v>5</v>
      </c>
      <c r="C292" s="2">
        <f>IFERROR(__xludf.DUMMYFUNCTION("IFERROR(VLOOKUP(A292, IMPORTRANGE(""https://docs.google.com/spreadsheets/d/1AVX9GT0dgogEBStecCXMMQ29tWz3gBrtNB8yIromXbY/edit?gid=741673867"", ""out1g!A:B""), 2, FALSE), 0)"),347.0)</f>
        <v>347</v>
      </c>
      <c r="D292" s="2" t="str">
        <f>IFERROR(__xludf.DUMMYFUNCTION("IFERROR(VLOOKUP(A292, IMPORTRANGE(""https://docs.google.com/spreadsheets/d/1-3Vjw2Cyy-mry5gbC8ypIR3YVGFfEpyFESummAta6sg/edit"", ""Sheet1!B:D""), 2, FALSE), ""Not Found"")"),"poʊz")</f>
        <v>poʊz</v>
      </c>
      <c r="E292" s="2" t="str">
        <f>IFERROR(__xludf.DUMMYFUNCTION("IFERROR(VLOOKUP(A292, IMPORTRANGE(""https://docs.google.com/spreadsheets/d/1-3Vjw2Cyy-mry5gbC8ypIR3YVGFfEpyFESummAta6sg/edit"", ""Sheet1!B:D""), 3, FALSE), ""Not Found"")"),"p o ʊ z ")</f>
        <v>p o ʊ z </v>
      </c>
    </row>
    <row r="293">
      <c r="A293" s="1" t="s">
        <v>296</v>
      </c>
      <c r="B293" s="1" t="s">
        <v>5</v>
      </c>
      <c r="C293" s="2">
        <f>IFERROR(__xludf.DUMMYFUNCTION("IFERROR(VLOOKUP(A293, IMPORTRANGE(""https://docs.google.com/spreadsheets/d/1AVX9GT0dgogEBStecCXMMQ29tWz3gBrtNB8yIromXbY/edit?gid=741673867"", ""out1g!A:B""), 2, FALSE), 0)"),1175.0)</f>
        <v>1175</v>
      </c>
      <c r="D293" s="2" t="str">
        <f>IFERROR(__xludf.DUMMYFUNCTION("IFERROR(VLOOKUP(A293, IMPORTRANGE(""https://docs.google.com/spreadsheets/d/1-3Vjw2Cyy-mry5gbC8ypIR3YVGFfEpyFESummAta6sg/edit"", ""Sheet1!B:D""), 2, FALSE), ""Not Found"")"),"rɑbəri")</f>
        <v>rɑbəri</v>
      </c>
      <c r="E293" s="2" t="str">
        <f>IFERROR(__xludf.DUMMYFUNCTION("IFERROR(VLOOKUP(A293, IMPORTRANGE(""https://docs.google.com/spreadsheets/d/1-3Vjw2Cyy-mry5gbC8ypIR3YVGFfEpyFESummAta6sg/edit"", ""Sheet1!B:D""), 3, FALSE), ""Not Found"")"),"r ɑ b ə r i ")</f>
        <v>r ɑ b ə r i </v>
      </c>
    </row>
    <row r="294">
      <c r="A294" s="1" t="s">
        <v>297</v>
      </c>
      <c r="B294" s="1" t="s">
        <v>5</v>
      </c>
      <c r="C294" s="2">
        <f>IFERROR(__xludf.DUMMYFUNCTION("IFERROR(VLOOKUP(A294, IMPORTRANGE(""https://docs.google.com/spreadsheets/d/1AVX9GT0dgogEBStecCXMMQ29tWz3gBrtNB8yIromXbY/edit?gid=741673867"", ""out1g!A:B""), 2, FALSE), 0)"),82.0)</f>
        <v>82</v>
      </c>
      <c r="D294" s="2" t="str">
        <f>IFERROR(__xludf.DUMMYFUNCTION("IFERROR(VLOOKUP(A294, IMPORTRANGE(""https://docs.google.com/spreadsheets/d/1-3Vjw2Cyy-mry5gbC8ypIR3YVGFfEpyFESummAta6sg/edit"", ""Sheet1!B:D""), 2, FALSE), ""Not Found"")"),"lup")</f>
        <v>lup</v>
      </c>
      <c r="E294" s="2" t="str">
        <f>IFERROR(__xludf.DUMMYFUNCTION("IFERROR(VLOOKUP(A294, IMPORTRANGE(""https://docs.google.com/spreadsheets/d/1-3Vjw2Cyy-mry5gbC8ypIR3YVGFfEpyFESummAta6sg/edit"", ""Sheet1!B:D""), 3, FALSE), ""Not Found"")"),"l u p ")</f>
        <v>l u p </v>
      </c>
    </row>
    <row r="295">
      <c r="A295" s="1" t="s">
        <v>298</v>
      </c>
      <c r="B295" s="1" t="s">
        <v>5</v>
      </c>
      <c r="C295" s="2">
        <f>IFERROR(__xludf.DUMMYFUNCTION("IFERROR(VLOOKUP(A295, IMPORTRANGE(""https://docs.google.com/spreadsheets/d/1AVX9GT0dgogEBStecCXMMQ29tWz3gBrtNB8yIromXbY/edit?gid=741673867"", ""out1g!A:B""), 2, FALSE), 0)"),370.0)</f>
        <v>370</v>
      </c>
      <c r="D295" s="2" t="str">
        <f>IFERROR(__xludf.DUMMYFUNCTION("IFERROR(VLOOKUP(A295, IMPORTRANGE(""https://docs.google.com/spreadsheets/d/1-3Vjw2Cyy-mry5gbC8ypIR3YVGFfEpyFESummAta6sg/edit"", ""Sheet1!B:D""), 2, FALSE), ""Not Found"")"),"ɔrgən")</f>
        <v>ɔrgən</v>
      </c>
      <c r="E295" s="2" t="str">
        <f>IFERROR(__xludf.DUMMYFUNCTION("IFERROR(VLOOKUP(A295, IMPORTRANGE(""https://docs.google.com/spreadsheets/d/1-3Vjw2Cyy-mry5gbC8ypIR3YVGFfEpyFESummAta6sg/edit"", ""Sheet1!B:D""), 3, FALSE), ""Not Found"")"),"ɔ r g ə n ")</f>
        <v>ɔ r g ə n </v>
      </c>
    </row>
    <row r="296">
      <c r="A296" s="1" t="s">
        <v>299</v>
      </c>
      <c r="B296" s="1" t="s">
        <v>5</v>
      </c>
      <c r="C296" s="2">
        <f>IFERROR(__xludf.DUMMYFUNCTION("IFERROR(VLOOKUP(A296, IMPORTRANGE(""https://docs.google.com/spreadsheets/d/1AVX9GT0dgogEBStecCXMMQ29tWz3gBrtNB8yIromXbY/edit?gid=741673867"", ""out1g!A:B""), 2, FALSE), 0)"),3368.0)</f>
        <v>3368</v>
      </c>
      <c r="D296" s="2" t="str">
        <f>IFERROR(__xludf.DUMMYFUNCTION("IFERROR(VLOOKUP(A296, IMPORTRANGE(""https://docs.google.com/spreadsheets/d/1-3Vjw2Cyy-mry5gbC8ypIR3YVGFfEpyFESummAta6sg/edit"", ""Sheet1!B:D""), 2, FALSE), ""Not Found"")"),"lɪvd")</f>
        <v>lɪvd</v>
      </c>
      <c r="E296" s="2" t="str">
        <f>IFERROR(__xludf.DUMMYFUNCTION("IFERROR(VLOOKUP(A296, IMPORTRANGE(""https://docs.google.com/spreadsheets/d/1-3Vjw2Cyy-mry5gbC8ypIR3YVGFfEpyFESummAta6sg/edit"", ""Sheet1!B:D""), 3, FALSE), ""Not Found"")"),"l ɪ v d ")</f>
        <v>l ɪ v d </v>
      </c>
    </row>
    <row r="297">
      <c r="A297" s="1" t="s">
        <v>300</v>
      </c>
      <c r="B297" s="1" t="s">
        <v>5</v>
      </c>
      <c r="C297" s="2">
        <f>IFERROR(__xludf.DUMMYFUNCTION("IFERROR(VLOOKUP(A297, IMPORTRANGE(""https://docs.google.com/spreadsheets/d/1AVX9GT0dgogEBStecCXMMQ29tWz3gBrtNB8yIromXbY/edit?gid=741673867"", ""out1g!A:B""), 2, FALSE), 0)"),7131.0)</f>
        <v>7131</v>
      </c>
      <c r="D297" s="2" t="str">
        <f>IFERROR(__xludf.DUMMYFUNCTION("IFERROR(VLOOKUP(A297, IMPORTRANGE(""https://docs.google.com/spreadsheets/d/1-3Vjw2Cyy-mry5gbC8ypIR3YVGFfEpyFESummAta6sg/edit"", ""Sheet1!B:D""), 2, FALSE), ""Not Found"")"),"sim")</f>
        <v>sim</v>
      </c>
      <c r="E297" s="2" t="str">
        <f>IFERROR(__xludf.DUMMYFUNCTION("IFERROR(VLOOKUP(A297, IMPORTRANGE(""https://docs.google.com/spreadsheets/d/1-3Vjw2Cyy-mry5gbC8ypIR3YVGFfEpyFESummAta6sg/edit"", ""Sheet1!B:D""), 3, FALSE), ""Not Found"")"),"s i m ")</f>
        <v>s i m </v>
      </c>
    </row>
    <row r="298">
      <c r="A298" s="1" t="s">
        <v>301</v>
      </c>
      <c r="B298" s="1" t="s">
        <v>5</v>
      </c>
      <c r="C298" s="2">
        <f>IFERROR(__xludf.DUMMYFUNCTION("IFERROR(VLOOKUP(A298, IMPORTRANGE(""https://docs.google.com/spreadsheets/d/1AVX9GT0dgogEBStecCXMMQ29tWz3gBrtNB8yIromXbY/edit?gid=741673867"", ""out1g!A:B""), 2, FALSE), 0)"),385.0)</f>
        <v>385</v>
      </c>
      <c r="D298" s="2" t="str">
        <f>IFERROR(__xludf.DUMMYFUNCTION("IFERROR(VLOOKUP(A298, IMPORTRANGE(""https://docs.google.com/spreadsheets/d/1-3Vjw2Cyy-mry5gbC8ypIR3YVGFfEpyFESummAta6sg/edit"", ""Sheet1!B:D""), 2, FALSE), ""Not Found"")"),"riækt")</f>
        <v>riækt</v>
      </c>
      <c r="E298" s="2" t="str">
        <f>IFERROR(__xludf.DUMMYFUNCTION("IFERROR(VLOOKUP(A298, IMPORTRANGE(""https://docs.google.com/spreadsheets/d/1-3Vjw2Cyy-mry5gbC8ypIR3YVGFfEpyFESummAta6sg/edit"", ""Sheet1!B:D""), 3, FALSE), ""Not Found"")"),"r i æ k t ")</f>
        <v>r i æ k t </v>
      </c>
    </row>
    <row r="299">
      <c r="A299" s="1" t="s">
        <v>302</v>
      </c>
      <c r="B299" s="1" t="s">
        <v>5</v>
      </c>
      <c r="C299" s="2">
        <f>IFERROR(__xludf.DUMMYFUNCTION("IFERROR(VLOOKUP(A299, IMPORTRANGE(""https://docs.google.com/spreadsheets/d/1AVX9GT0dgogEBStecCXMMQ29tWz3gBrtNB8yIromXbY/edit?gid=741673867"", ""out1g!A:B""), 2, FALSE), 0)"),128.0)</f>
        <v>128</v>
      </c>
      <c r="D299" s="2" t="str">
        <f>IFERROR(__xludf.DUMMYFUNCTION("IFERROR(VLOOKUP(A299, IMPORTRANGE(""https://docs.google.com/spreadsheets/d/1-3Vjw2Cyy-mry5gbC8ypIR3YVGFfEpyFESummAta6sg/edit"", ""Sheet1!B:D""), 2, FALSE), ""Not Found"")"),"pipɪŋ")</f>
        <v>pipɪŋ</v>
      </c>
      <c r="E299" s="2" t="str">
        <f>IFERROR(__xludf.DUMMYFUNCTION("IFERROR(VLOOKUP(A299, IMPORTRANGE(""https://docs.google.com/spreadsheets/d/1-3Vjw2Cyy-mry5gbC8ypIR3YVGFfEpyFESummAta6sg/edit"", ""Sheet1!B:D""), 3, FALSE), ""Not Found"")"),"p i p ɪ ŋ ")</f>
        <v>p i p ɪ ŋ </v>
      </c>
    </row>
    <row r="300">
      <c r="A300" s="1" t="s">
        <v>303</v>
      </c>
      <c r="B300" s="1" t="s">
        <v>5</v>
      </c>
      <c r="C300" s="2">
        <f>IFERROR(__xludf.DUMMYFUNCTION("IFERROR(VLOOKUP(A300, IMPORTRANGE(""https://docs.google.com/spreadsheets/d/1AVX9GT0dgogEBStecCXMMQ29tWz3gBrtNB8yIromXbY/edit?gid=741673867"", ""out1g!A:B""), 2, FALSE), 0)"),131.0)</f>
        <v>131</v>
      </c>
      <c r="D300" s="2" t="str">
        <f>IFERROR(__xludf.DUMMYFUNCTION("IFERROR(VLOOKUP(A300, IMPORTRANGE(""https://docs.google.com/spreadsheets/d/1-3Vjw2Cyy-mry5gbC8ypIR3YVGFfEpyFESummAta6sg/edit"", ""Sheet1!B:D""), 2, FALSE), ""Not Found"")"),"sprəŋ")</f>
        <v>sprəŋ</v>
      </c>
      <c r="E300" s="2" t="str">
        <f>IFERROR(__xludf.DUMMYFUNCTION("IFERROR(VLOOKUP(A300, IMPORTRANGE(""https://docs.google.com/spreadsheets/d/1-3Vjw2Cyy-mry5gbC8ypIR3YVGFfEpyFESummAta6sg/edit"", ""Sheet1!B:D""), 3, FALSE), ""Not Found"")"),"s p r ə ŋ ")</f>
        <v>s p r ə ŋ </v>
      </c>
    </row>
    <row r="301">
      <c r="A301" s="1" t="s">
        <v>304</v>
      </c>
      <c r="B301" s="1" t="s">
        <v>5</v>
      </c>
      <c r="C301" s="2">
        <f>IFERROR(__xludf.DUMMYFUNCTION("IFERROR(VLOOKUP(A301, IMPORTRANGE(""https://docs.google.com/spreadsheets/d/1AVX9GT0dgogEBStecCXMMQ29tWz3gBrtNB8yIromXbY/edit?gid=741673867"", ""out1g!A:B""), 2, FALSE), 0)"),4177.0)</f>
        <v>4177</v>
      </c>
      <c r="D301" s="2" t="str">
        <f>IFERROR(__xludf.DUMMYFUNCTION("IFERROR(VLOOKUP(A301, IMPORTRANGE(""https://docs.google.com/spreadsheets/d/1-3Vjw2Cyy-mry5gbC8ypIR3YVGFfEpyFESummAta6sg/edit"", ""Sheet1!B:D""), 2, FALSE), ""Not Found"")"),"joʊ")</f>
        <v>joʊ</v>
      </c>
      <c r="E301" s="2" t="str">
        <f>IFERROR(__xludf.DUMMYFUNCTION("IFERROR(VLOOKUP(A301, IMPORTRANGE(""https://docs.google.com/spreadsheets/d/1-3Vjw2Cyy-mry5gbC8ypIR3YVGFfEpyFESummAta6sg/edit"", ""Sheet1!B:D""), 3, FALSE), ""Not Found"")"),"j o ʊ ")</f>
        <v>j o ʊ </v>
      </c>
    </row>
    <row r="302">
      <c r="A302" s="1" t="s">
        <v>305</v>
      </c>
      <c r="B302" s="1" t="s">
        <v>5</v>
      </c>
      <c r="C302" s="2">
        <f>IFERROR(__xludf.DUMMYFUNCTION("IFERROR(VLOOKUP(A302, IMPORTRANGE(""https://docs.google.com/spreadsheets/d/1AVX9GT0dgogEBStecCXMMQ29tWz3gBrtNB8yIromXbY/edit?gid=741673867"", ""out1g!A:B""), 2, FALSE), 0)"),283.0)</f>
        <v>283</v>
      </c>
      <c r="D302" s="2" t="str">
        <f>IFERROR(__xludf.DUMMYFUNCTION("IFERROR(VLOOKUP(A302, IMPORTRANGE(""https://docs.google.com/spreadsheets/d/1-3Vjw2Cyy-mry5gbC8ypIR3YVGFfEpyFESummAta6sg/edit"", ""Sheet1!B:D""), 2, FALSE), ""Not Found"")"),"miə")</f>
        <v>miə</v>
      </c>
      <c r="E302" s="2" t="str">
        <f>IFERROR(__xludf.DUMMYFUNCTION("IFERROR(VLOOKUP(A302, IMPORTRANGE(""https://docs.google.com/spreadsheets/d/1-3Vjw2Cyy-mry5gbC8ypIR3YVGFfEpyFESummAta6sg/edit"", ""Sheet1!B:D""), 3, FALSE), ""Not Found"")"),"m i ə ")</f>
        <v>m i ə </v>
      </c>
    </row>
    <row r="303">
      <c r="A303" s="1" t="s">
        <v>306</v>
      </c>
      <c r="B303" s="1" t="s">
        <v>5</v>
      </c>
      <c r="C303" s="2">
        <f>IFERROR(__xludf.DUMMYFUNCTION("IFERROR(VLOOKUP(A303, IMPORTRANGE(""https://docs.google.com/spreadsheets/d/1AVX9GT0dgogEBStecCXMMQ29tWz3gBrtNB8yIromXbY/edit?gid=741673867"", ""out1g!A:B""), 2, FALSE), 0)"),194.0)</f>
        <v>194</v>
      </c>
      <c r="D303" s="2" t="str">
        <f>IFERROR(__xludf.DUMMYFUNCTION("IFERROR(VLOOKUP(A303, IMPORTRANGE(""https://docs.google.com/spreadsheets/d/1-3Vjw2Cyy-mry5gbC8ypIR3YVGFfEpyFESummAta6sg/edit"", ""Sheet1!B:D""), 2, FALSE), ""Not Found"")"),"ənlɑkt")</f>
        <v>ənlɑkt</v>
      </c>
      <c r="E303" s="2" t="str">
        <f>IFERROR(__xludf.DUMMYFUNCTION("IFERROR(VLOOKUP(A303, IMPORTRANGE(""https://docs.google.com/spreadsheets/d/1-3Vjw2Cyy-mry5gbC8ypIR3YVGFfEpyFESummAta6sg/edit"", ""Sheet1!B:D""), 3, FALSE), ""Not Found"")"),"ə n l ɑ k t ")</f>
        <v>ə n l ɑ k t </v>
      </c>
    </row>
    <row r="304">
      <c r="A304" s="1" t="s">
        <v>307</v>
      </c>
      <c r="B304" s="1" t="s">
        <v>5</v>
      </c>
      <c r="C304" s="2">
        <f>IFERROR(__xludf.DUMMYFUNCTION("IFERROR(VLOOKUP(A304, IMPORTRANGE(""https://docs.google.com/spreadsheets/d/1AVX9GT0dgogEBStecCXMMQ29tWz3gBrtNB8yIromXbY/edit?gid=741673867"", ""out1g!A:B""), 2, FALSE), 0)"),54.0)</f>
        <v>54</v>
      </c>
      <c r="D304" s="2" t="str">
        <f>IFERROR(__xludf.DUMMYFUNCTION("IFERROR(VLOOKUP(A304, IMPORTRANGE(""https://docs.google.com/spreadsheets/d/1-3Vjw2Cyy-mry5gbC8ypIR3YVGFfEpyFESummAta6sg/edit"", ""Sheet1!B:D""), 2, FALSE), ""Not Found"")"),"nʊk")</f>
        <v>nʊk</v>
      </c>
      <c r="E304" s="2" t="str">
        <f>IFERROR(__xludf.DUMMYFUNCTION("IFERROR(VLOOKUP(A304, IMPORTRANGE(""https://docs.google.com/spreadsheets/d/1-3Vjw2Cyy-mry5gbC8ypIR3YVGFfEpyFESummAta6sg/edit"", ""Sheet1!B:D""), 3, FALSE), ""Not Found"")"),"n ʊ k ")</f>
        <v>n ʊ k </v>
      </c>
    </row>
    <row r="305">
      <c r="A305" s="1" t="s">
        <v>308</v>
      </c>
      <c r="B305" s="1" t="s">
        <v>5</v>
      </c>
      <c r="C305" s="2">
        <f>IFERROR(__xludf.DUMMYFUNCTION("IFERROR(VLOOKUP(A305, IMPORTRANGE(""https://docs.google.com/spreadsheets/d/1AVX9GT0dgogEBStecCXMMQ29tWz3gBrtNB8yIromXbY/edit?gid=741673867"", ""out1g!A:B""), 2, FALSE), 0)"),523.0)</f>
        <v>523</v>
      </c>
      <c r="D305" s="2" t="str">
        <f>IFERROR(__xludf.DUMMYFUNCTION("IFERROR(VLOOKUP(A305, IMPORTRANGE(""https://docs.google.com/spreadsheets/d/1-3Vjw2Cyy-mry5gbC8ypIR3YVGFfEpyFESummAta6sg/edit"", ""Sheet1!B:D""), 2, FALSE), ""Not Found"")"),"skɪpər")</f>
        <v>skɪpər</v>
      </c>
      <c r="E305" s="2" t="str">
        <f>IFERROR(__xludf.DUMMYFUNCTION("IFERROR(VLOOKUP(A305, IMPORTRANGE(""https://docs.google.com/spreadsheets/d/1-3Vjw2Cyy-mry5gbC8ypIR3YVGFfEpyFESummAta6sg/edit"", ""Sheet1!B:D""), 3, FALSE), ""Not Found"")"),"s k ɪ p ə r ")</f>
        <v>s k ɪ p ə r </v>
      </c>
    </row>
    <row r="306">
      <c r="A306" s="1" t="s">
        <v>309</v>
      </c>
      <c r="B306" s="1" t="s">
        <v>5</v>
      </c>
      <c r="C306" s="2">
        <f>IFERROR(__xludf.DUMMYFUNCTION("IFERROR(VLOOKUP(A306, IMPORTRANGE(""https://docs.google.com/spreadsheets/d/1AVX9GT0dgogEBStecCXMMQ29tWz3gBrtNB8yIromXbY/edit?gid=741673867"", ""out1g!A:B""), 2, FALSE), 0)"),2206.0)</f>
        <v>2206</v>
      </c>
      <c r="D306" s="2" t="str">
        <f>IFERROR(__xludf.DUMMYFUNCTION("IFERROR(VLOOKUP(A306, IMPORTRANGE(""https://docs.google.com/spreadsheets/d/1-3Vjw2Cyy-mry5gbC8ypIR3YVGFfEpyFESummAta6sg/edit"", ""Sheet1!B:D""), 2, FALSE), ""Not Found"")"),"səndi")</f>
        <v>səndi</v>
      </c>
      <c r="E306" s="2" t="str">
        <f>IFERROR(__xludf.DUMMYFUNCTION("IFERROR(VLOOKUP(A306, IMPORTRANGE(""https://docs.google.com/spreadsheets/d/1-3Vjw2Cyy-mry5gbC8ypIR3YVGFfEpyFESummAta6sg/edit"", ""Sheet1!B:D""), 3, FALSE), ""Not Found"")"),"s ə n d i ")</f>
        <v>s ə n d i </v>
      </c>
    </row>
    <row r="307">
      <c r="A307" s="1" t="s">
        <v>310</v>
      </c>
      <c r="B307" s="1" t="s">
        <v>5</v>
      </c>
      <c r="C307" s="2">
        <f>IFERROR(__xludf.DUMMYFUNCTION("IFERROR(VLOOKUP(A307, IMPORTRANGE(""https://docs.google.com/spreadsheets/d/1AVX9GT0dgogEBStecCXMMQ29tWz3gBrtNB8yIromXbY/edit?gid=741673867"", ""out1g!A:B""), 2, FALSE), 0)"),1123.0)</f>
        <v>1123</v>
      </c>
      <c r="D307" s="2" t="str">
        <f>IFERROR(__xludf.DUMMYFUNCTION("IFERROR(VLOOKUP(A307, IMPORTRANGE(""https://docs.google.com/spreadsheets/d/1-3Vjw2Cyy-mry5gbC8ypIR3YVGFfEpyFESummAta6sg/edit"", ""Sheet1!B:D""), 2, FALSE), ""Not Found"")"),"kəmɪti")</f>
        <v>kəmɪti</v>
      </c>
      <c r="E307" s="2" t="str">
        <f>IFERROR(__xludf.DUMMYFUNCTION("IFERROR(VLOOKUP(A307, IMPORTRANGE(""https://docs.google.com/spreadsheets/d/1-3Vjw2Cyy-mry5gbC8ypIR3YVGFfEpyFESummAta6sg/edit"", ""Sheet1!B:D""), 3, FALSE), ""Not Found"")"),"k ə m ɪ t i ")</f>
        <v>k ə m ɪ t i </v>
      </c>
    </row>
    <row r="308">
      <c r="A308" s="1" t="s">
        <v>311</v>
      </c>
      <c r="B308" s="1" t="s">
        <v>5</v>
      </c>
      <c r="C308" s="2">
        <f>IFERROR(__xludf.DUMMYFUNCTION("IFERROR(VLOOKUP(A308, IMPORTRANGE(""https://docs.google.com/spreadsheets/d/1AVX9GT0dgogEBStecCXMMQ29tWz3gBrtNB8yIromXbY/edit?gid=741673867"", ""out1g!A:B""), 2, FALSE), 0)"),12164.0)</f>
        <v>12164</v>
      </c>
      <c r="D308" s="2" t="str">
        <f>IFERROR(__xludf.DUMMYFUNCTION("IFERROR(VLOOKUP(A308, IMPORTRANGE(""https://docs.google.com/spreadsheets/d/1-3Vjw2Cyy-mry5gbC8ypIR3YVGFfEpyFESummAta6sg/edit"", ""Sheet1!B:D""), 2, FALSE), ""Not Found"")"),"wik")</f>
        <v>wik</v>
      </c>
      <c r="E308" s="2" t="str">
        <f>IFERROR(__xludf.DUMMYFUNCTION("IFERROR(VLOOKUP(A308, IMPORTRANGE(""https://docs.google.com/spreadsheets/d/1-3Vjw2Cyy-mry5gbC8ypIR3YVGFfEpyFESummAta6sg/edit"", ""Sheet1!B:D""), 3, FALSE), ""Not Found"")"),"w i k ")</f>
        <v>w i k </v>
      </c>
    </row>
    <row r="309">
      <c r="A309" s="1" t="s">
        <v>312</v>
      </c>
      <c r="B309" s="1" t="s">
        <v>5</v>
      </c>
      <c r="C309" s="2">
        <f>IFERROR(__xludf.DUMMYFUNCTION("IFERROR(VLOOKUP(A309, IMPORTRANGE(""https://docs.google.com/spreadsheets/d/1AVX9GT0dgogEBStecCXMMQ29tWz3gBrtNB8yIromXbY/edit?gid=741673867"", ""out1g!A:B""), 2, FALSE), 0)"),318.0)</f>
        <v>318</v>
      </c>
      <c r="D309" s="2" t="str">
        <f>IFERROR(__xludf.DUMMYFUNCTION("IFERROR(VLOOKUP(A309, IMPORTRANGE(""https://docs.google.com/spreadsheets/d/1-3Vjw2Cyy-mry5gbC8ypIR3YVGFfEpyFESummAta6sg/edit"", ""Sheet1!B:D""), 2, FALSE), ""Not Found"")"),"strɔ")</f>
        <v>strɔ</v>
      </c>
      <c r="E309" s="2" t="str">
        <f>IFERROR(__xludf.DUMMYFUNCTION("IFERROR(VLOOKUP(A309, IMPORTRANGE(""https://docs.google.com/spreadsheets/d/1-3Vjw2Cyy-mry5gbC8ypIR3YVGFfEpyFESummAta6sg/edit"", ""Sheet1!B:D""), 3, FALSE), ""Not Found"")"),"s t r ɔ ")</f>
        <v>s t r ɔ </v>
      </c>
    </row>
    <row r="310">
      <c r="A310" s="1" t="s">
        <v>313</v>
      </c>
      <c r="B310" s="1" t="s">
        <v>5</v>
      </c>
      <c r="C310" s="2">
        <f>IFERROR(__xludf.DUMMYFUNCTION("IFERROR(VLOOKUP(A310, IMPORTRANGE(""https://docs.google.com/spreadsheets/d/1AVX9GT0dgogEBStecCXMMQ29tWz3gBrtNB8yIromXbY/edit?gid=741673867"", ""out1g!A:B""), 2, FALSE), 0)"),33.0)</f>
        <v>33</v>
      </c>
      <c r="D310" s="2" t="str">
        <f>IFERROR(__xludf.DUMMYFUNCTION("IFERROR(VLOOKUP(A310, IMPORTRANGE(""https://docs.google.com/spreadsheets/d/1-3Vjw2Cyy-mry5gbC8ypIR3YVGFfEpyFESummAta6sg/edit"", ""Sheet1!B:D""), 2, FALSE), ""Not Found"")"),"kəlts")</f>
        <v>kəlts</v>
      </c>
      <c r="E310" s="2" t="str">
        <f>IFERROR(__xludf.DUMMYFUNCTION("IFERROR(VLOOKUP(A310, IMPORTRANGE(""https://docs.google.com/spreadsheets/d/1-3Vjw2Cyy-mry5gbC8ypIR3YVGFfEpyFESummAta6sg/edit"", ""Sheet1!B:D""), 3, FALSE), ""Not Found"")"),"k ə l t s ")</f>
        <v>k ə l t s </v>
      </c>
    </row>
    <row r="311">
      <c r="A311" s="1" t="s">
        <v>314</v>
      </c>
      <c r="B311" s="1" t="s">
        <v>5</v>
      </c>
      <c r="C311" s="2">
        <f>IFERROR(__xludf.DUMMYFUNCTION("IFERROR(VLOOKUP(A311, IMPORTRANGE(""https://docs.google.com/spreadsheets/d/1AVX9GT0dgogEBStecCXMMQ29tWz3gBrtNB8yIromXbY/edit?gid=741673867"", ""out1g!A:B""), 2, FALSE), 0)"),704.0)</f>
        <v>704</v>
      </c>
      <c r="D311" s="2" t="str">
        <f>IFERROR(__xludf.DUMMYFUNCTION("IFERROR(VLOOKUP(A311, IMPORTRANGE(""https://docs.google.com/spreadsheets/d/1-3Vjw2Cyy-mry5gbC8ypIR3YVGFfEpyFESummAta6sg/edit"", ""Sheet1!B:D""), 2, FALSE), ""Not Found"")"),"blɛst")</f>
        <v>blɛst</v>
      </c>
      <c r="E311" s="2" t="str">
        <f>IFERROR(__xludf.DUMMYFUNCTION("IFERROR(VLOOKUP(A311, IMPORTRANGE(""https://docs.google.com/spreadsheets/d/1-3Vjw2Cyy-mry5gbC8ypIR3YVGFfEpyFESummAta6sg/edit"", ""Sheet1!B:D""), 3, FALSE), ""Not Found"")"),"b l ɛ s t ")</f>
        <v>b l ɛ s t </v>
      </c>
    </row>
    <row r="312">
      <c r="A312" s="1" t="s">
        <v>315</v>
      </c>
      <c r="B312" s="1" t="s">
        <v>5</v>
      </c>
      <c r="C312" s="2">
        <f>IFERROR(__xludf.DUMMYFUNCTION("IFERROR(VLOOKUP(A312, IMPORTRANGE(""https://docs.google.com/spreadsheets/d/1AVX9GT0dgogEBStecCXMMQ29tWz3gBrtNB8yIromXbY/edit?gid=741673867"", ""out1g!A:B""), 2, FALSE), 0)"),135.0)</f>
        <v>135</v>
      </c>
      <c r="D312" s="2" t="str">
        <f>IFERROR(__xludf.DUMMYFUNCTION("IFERROR(VLOOKUP(A312, IMPORTRANGE(""https://docs.google.com/spreadsheets/d/1-3Vjw2Cyy-mry5gbC8ypIR3YVGFfEpyFESummAta6sg/edit"", ""Sheet1!B:D""), 2, FALSE), ""Not Found"")"),"əkwaɪər")</f>
        <v>əkwaɪər</v>
      </c>
      <c r="E312" s="2" t="str">
        <f>IFERROR(__xludf.DUMMYFUNCTION("IFERROR(VLOOKUP(A312, IMPORTRANGE(""https://docs.google.com/spreadsheets/d/1-3Vjw2Cyy-mry5gbC8ypIR3YVGFfEpyFESummAta6sg/edit"", ""Sheet1!B:D""), 3, FALSE), ""Not Found"")"),"ə k w a ɪ ə r ")</f>
        <v>ə k w a ɪ ə r </v>
      </c>
    </row>
    <row r="313">
      <c r="A313" s="1" t="s">
        <v>316</v>
      </c>
      <c r="B313" s="1" t="s">
        <v>5</v>
      </c>
      <c r="C313" s="2">
        <f>IFERROR(__xludf.DUMMYFUNCTION("IFERROR(VLOOKUP(A313, IMPORTRANGE(""https://docs.google.com/spreadsheets/d/1AVX9GT0dgogEBStecCXMMQ29tWz3gBrtNB8yIromXbY/edit?gid=741673867"", ""out1g!A:B""), 2, FALSE), 0)"),422.0)</f>
        <v>422</v>
      </c>
      <c r="D313" s="2" t="str">
        <f>IFERROR(__xludf.DUMMYFUNCTION("IFERROR(VLOOKUP(A313, IMPORTRANGE(""https://docs.google.com/spreadsheets/d/1-3Vjw2Cyy-mry5gbC8ypIR3YVGFfEpyFESummAta6sg/edit"", ""Sheet1!B:D""), 2, FALSE), ""Not Found"")"),"ʃilə")</f>
        <v>ʃilə</v>
      </c>
      <c r="E313" s="2" t="str">
        <f>IFERROR(__xludf.DUMMYFUNCTION("IFERROR(VLOOKUP(A313, IMPORTRANGE(""https://docs.google.com/spreadsheets/d/1-3Vjw2Cyy-mry5gbC8ypIR3YVGFfEpyFESummAta6sg/edit"", ""Sheet1!B:D""), 3, FALSE), ""Not Found"")"),"ʃ i l ə ")</f>
        <v>ʃ i l ə </v>
      </c>
    </row>
    <row r="314">
      <c r="A314" s="1" t="s">
        <v>317</v>
      </c>
      <c r="B314" s="1" t="s">
        <v>5</v>
      </c>
      <c r="C314" s="2">
        <f>IFERROR(__xludf.DUMMYFUNCTION("IFERROR(VLOOKUP(A314, IMPORTRANGE(""https://docs.google.com/spreadsheets/d/1AVX9GT0dgogEBStecCXMMQ29tWz3gBrtNB8yIromXbY/edit?gid=741673867"", ""out1g!A:B""), 2, FALSE), 0)"),53.0)</f>
        <v>53</v>
      </c>
      <c r="D314" s="2" t="str">
        <f>IFERROR(__xludf.DUMMYFUNCTION("IFERROR(VLOOKUP(A314, IMPORTRANGE(""https://docs.google.com/spreadsheets/d/1-3Vjw2Cyy-mry5gbC8ypIR3YVGFfEpyFESummAta6sg/edit"", ""Sheet1!B:D""), 2, FALSE), ""Not Found"")"),"fɔrtinθ")</f>
        <v>fɔrtinθ</v>
      </c>
      <c r="E314" s="2" t="str">
        <f>IFERROR(__xludf.DUMMYFUNCTION("IFERROR(VLOOKUP(A314, IMPORTRANGE(""https://docs.google.com/spreadsheets/d/1-3Vjw2Cyy-mry5gbC8ypIR3YVGFfEpyFESummAta6sg/edit"", ""Sheet1!B:D""), 3, FALSE), ""Not Found"")"),"f ɔ r t i n θ ")</f>
        <v>f ɔ r t i n θ </v>
      </c>
    </row>
    <row r="315">
      <c r="A315" s="1" t="s">
        <v>318</v>
      </c>
      <c r="B315" s="1" t="s">
        <v>5</v>
      </c>
      <c r="C315" s="2">
        <f>IFERROR(__xludf.DUMMYFUNCTION("IFERROR(VLOOKUP(A315, IMPORTRANGE(""https://docs.google.com/spreadsheets/d/1AVX9GT0dgogEBStecCXMMQ29tWz3gBrtNB8yIromXbY/edit?gid=741673867"", ""out1g!A:B""), 2, FALSE), 0)"),371.0)</f>
        <v>371</v>
      </c>
      <c r="D315" s="2" t="str">
        <f>IFERROR(__xludf.DUMMYFUNCTION("IFERROR(VLOOKUP(A315, IMPORTRANGE(""https://docs.google.com/spreadsheets/d/1-3Vjw2Cyy-mry5gbC8ypIR3YVGFfEpyFESummAta6sg/edit"", ""Sheet1!B:D""), 2, FALSE), ""Not Found"")"),"dræft")</f>
        <v>dræft</v>
      </c>
      <c r="E315" s="2" t="str">
        <f>IFERROR(__xludf.DUMMYFUNCTION("IFERROR(VLOOKUP(A315, IMPORTRANGE(""https://docs.google.com/spreadsheets/d/1-3Vjw2Cyy-mry5gbC8ypIR3YVGFfEpyFESummAta6sg/edit"", ""Sheet1!B:D""), 3, FALSE), ""Not Found"")"),"d r æ f t ")</f>
        <v>d r æ f t </v>
      </c>
    </row>
    <row r="316">
      <c r="A316" s="1" t="s">
        <v>319</v>
      </c>
      <c r="B316" s="1" t="s">
        <v>5</v>
      </c>
      <c r="C316" s="2">
        <f>IFERROR(__xludf.DUMMYFUNCTION("IFERROR(VLOOKUP(A316, IMPORTRANGE(""https://docs.google.com/spreadsheets/d/1AVX9GT0dgogEBStecCXMMQ29tWz3gBrtNB8yIromXbY/edit?gid=741673867"", ""out1g!A:B""), 2, FALSE), 0)"),267.0)</f>
        <v>267</v>
      </c>
      <c r="D316" s="2" t="str">
        <f>IFERROR(__xludf.DUMMYFUNCTION("IFERROR(VLOOKUP(A316, IMPORTRANGE(""https://docs.google.com/spreadsheets/d/1-3Vjw2Cyy-mry5gbC8ypIR3YVGFfEpyFESummAta6sg/edit"", ""Sheet1!B:D""), 2, FALSE), ""Not Found"")"),"kɔrt")</f>
        <v>kɔrt</v>
      </c>
      <c r="E316" s="2" t="str">
        <f>IFERROR(__xludf.DUMMYFUNCTION("IFERROR(VLOOKUP(A316, IMPORTRANGE(""https://docs.google.com/spreadsheets/d/1-3Vjw2Cyy-mry5gbC8ypIR3YVGFfEpyFESummAta6sg/edit"", ""Sheet1!B:D""), 3, FALSE), ""Not Found"")"),"k ɔ r t ")</f>
        <v>k ɔ r t </v>
      </c>
    </row>
    <row r="317">
      <c r="A317" s="1" t="s">
        <v>320</v>
      </c>
      <c r="B317" s="1" t="s">
        <v>5</v>
      </c>
      <c r="C317" s="2">
        <f>IFERROR(__xludf.DUMMYFUNCTION("IFERROR(VLOOKUP(A317, IMPORTRANGE(""https://docs.google.com/spreadsheets/d/1AVX9GT0dgogEBStecCXMMQ29tWz3gBrtNB8yIromXbY/edit?gid=741673867"", ""out1g!A:B""), 2, FALSE), 0)"),613.0)</f>
        <v>613</v>
      </c>
      <c r="D317" s="2" t="str">
        <f>IFERROR(__xludf.DUMMYFUNCTION("IFERROR(VLOOKUP(A317, IMPORTRANGE(""https://docs.google.com/spreadsheets/d/1-3Vjw2Cyy-mry5gbC8ypIR3YVGFfEpyFESummAta6sg/edit"", ""Sheet1!B:D""), 2, FALSE), ""Not Found"")"),"fɑstər")</f>
        <v>fɑstər</v>
      </c>
      <c r="E317" s="2" t="str">
        <f>IFERROR(__xludf.DUMMYFUNCTION("IFERROR(VLOOKUP(A317, IMPORTRANGE(""https://docs.google.com/spreadsheets/d/1-3Vjw2Cyy-mry5gbC8ypIR3YVGFfEpyFESummAta6sg/edit"", ""Sheet1!B:D""), 3, FALSE), ""Not Found"")"),"f ɑ s t ə r ")</f>
        <v>f ɑ s t ə r </v>
      </c>
    </row>
    <row r="318">
      <c r="A318" s="1" t="s">
        <v>321</v>
      </c>
      <c r="B318" s="1" t="s">
        <v>5</v>
      </c>
      <c r="C318" s="2">
        <f>IFERROR(__xludf.DUMMYFUNCTION("IFERROR(VLOOKUP(A318, IMPORTRANGE(""https://docs.google.com/spreadsheets/d/1AVX9GT0dgogEBStecCXMMQ29tWz3gBrtNB8yIromXbY/edit?gid=741673867"", ""out1g!A:B""), 2, FALSE), 0)"),483.0)</f>
        <v>483</v>
      </c>
      <c r="D318" s="2" t="str">
        <f>IFERROR(__xludf.DUMMYFUNCTION("IFERROR(VLOOKUP(A318, IMPORTRANGE(""https://docs.google.com/spreadsheets/d/1-3Vjw2Cyy-mry5gbC8ypIR3YVGFfEpyFESummAta6sg/edit"", ""Sheet1!B:D""), 2, FALSE), ""Not Found"")"),"əwaɪl")</f>
        <v>əwaɪl</v>
      </c>
      <c r="E318" s="2" t="str">
        <f>IFERROR(__xludf.DUMMYFUNCTION("IFERROR(VLOOKUP(A318, IMPORTRANGE(""https://docs.google.com/spreadsheets/d/1-3Vjw2Cyy-mry5gbC8ypIR3YVGFfEpyFESummAta6sg/edit"", ""Sheet1!B:D""), 3, FALSE), ""Not Found"")"),"ə w a ɪ l ")</f>
        <v>ə w a ɪ l </v>
      </c>
    </row>
    <row r="319">
      <c r="A319" s="1" t="s">
        <v>322</v>
      </c>
      <c r="B319" s="1" t="s">
        <v>5</v>
      </c>
      <c r="C319" s="2">
        <f>IFERROR(__xludf.DUMMYFUNCTION("IFERROR(VLOOKUP(A319, IMPORTRANGE(""https://docs.google.com/spreadsheets/d/1AVX9GT0dgogEBStecCXMMQ29tWz3gBrtNB8yIromXbY/edit?gid=741673867"", ""out1g!A:B""), 2, FALSE), 0)"),180.0)</f>
        <v>180</v>
      </c>
      <c r="D319" s="2" t="str">
        <f>IFERROR(__xludf.DUMMYFUNCTION("IFERROR(VLOOKUP(A319, IMPORTRANGE(""https://docs.google.com/spreadsheets/d/1-3Vjw2Cyy-mry5gbC8ypIR3YVGFfEpyFESummAta6sg/edit"", ""Sheet1!B:D""), 2, FALSE), ""Not Found"")"),"braʊni")</f>
        <v>braʊni</v>
      </c>
      <c r="E319" s="2" t="str">
        <f>IFERROR(__xludf.DUMMYFUNCTION("IFERROR(VLOOKUP(A319, IMPORTRANGE(""https://docs.google.com/spreadsheets/d/1-3Vjw2Cyy-mry5gbC8ypIR3YVGFfEpyFESummAta6sg/edit"", ""Sheet1!B:D""), 3, FALSE), ""Not Found"")"),"b r a ʊ n i ")</f>
        <v>b r a ʊ n i </v>
      </c>
    </row>
    <row r="320">
      <c r="A320" s="1" t="s">
        <v>323</v>
      </c>
      <c r="B320" s="1" t="s">
        <v>5</v>
      </c>
      <c r="C320" s="2">
        <f>IFERROR(__xludf.DUMMYFUNCTION("IFERROR(VLOOKUP(A320, IMPORTRANGE(""https://docs.google.com/spreadsheets/d/1AVX9GT0dgogEBStecCXMMQ29tWz3gBrtNB8yIromXbY/edit?gid=741673867"", ""out1g!A:B""), 2, FALSE), 0)"),135.0)</f>
        <v>135</v>
      </c>
      <c r="D320" s="2" t="str">
        <f>IFERROR(__xludf.DUMMYFUNCTION("IFERROR(VLOOKUP(A320, IMPORTRANGE(""https://docs.google.com/spreadsheets/d/1-3Vjw2Cyy-mry5gbC8ypIR3YVGFfEpyFESummAta6sg/edit"", ""Sheet1!B:D""), 2, FALSE), ""Not Found"")"),"aɪsi")</f>
        <v>aɪsi</v>
      </c>
      <c r="E320" s="2" t="str">
        <f>IFERROR(__xludf.DUMMYFUNCTION("IFERROR(VLOOKUP(A320, IMPORTRANGE(""https://docs.google.com/spreadsheets/d/1-3Vjw2Cyy-mry5gbC8ypIR3YVGFfEpyFESummAta6sg/edit"", ""Sheet1!B:D""), 3, FALSE), ""Not Found"")"),"a ɪ s i ")</f>
        <v>a ɪ s i </v>
      </c>
    </row>
    <row r="321">
      <c r="A321" s="1" t="s">
        <v>324</v>
      </c>
      <c r="B321" s="1" t="s">
        <v>5</v>
      </c>
      <c r="C321" s="2">
        <f>IFERROR(__xludf.DUMMYFUNCTION("IFERROR(VLOOKUP(A321, IMPORTRANGE(""https://docs.google.com/spreadsheets/d/1AVX9GT0dgogEBStecCXMMQ29tWz3gBrtNB8yIromXbY/edit?gid=741673867"", ""out1g!A:B""), 2, FALSE), 0)"),4994.0)</f>
        <v>4994</v>
      </c>
      <c r="D321" s="2" t="str">
        <f>IFERROR(__xludf.DUMMYFUNCTION("IFERROR(VLOOKUP(A321, IMPORTRANGE(""https://docs.google.com/spreadsheets/d/1-3Vjw2Cyy-mry5gbC8ypIR3YVGFfEpyFESummAta6sg/edit"", ""Sheet1!B:D""), 2, FALSE), ""Not Found"")"),"bɛn")</f>
        <v>bɛn</v>
      </c>
      <c r="E321" s="2" t="str">
        <f>IFERROR(__xludf.DUMMYFUNCTION("IFERROR(VLOOKUP(A321, IMPORTRANGE(""https://docs.google.com/spreadsheets/d/1-3Vjw2Cyy-mry5gbC8ypIR3YVGFfEpyFESummAta6sg/edit"", ""Sheet1!B:D""), 3, FALSE), ""Not Found"")"),"b ɛ n ")</f>
        <v>b ɛ n </v>
      </c>
    </row>
    <row r="322">
      <c r="A322" s="1" t="s">
        <v>325</v>
      </c>
      <c r="B322" s="1" t="s">
        <v>5</v>
      </c>
      <c r="C322" s="2">
        <f>IFERROR(__xludf.DUMMYFUNCTION("IFERROR(VLOOKUP(A322, IMPORTRANGE(""https://docs.google.com/spreadsheets/d/1AVX9GT0dgogEBStecCXMMQ29tWz3gBrtNB8yIromXbY/edit?gid=741673867"", ""out1g!A:B""), 2, FALSE), 0)"),80.0)</f>
        <v>80</v>
      </c>
      <c r="D322" s="2" t="str">
        <f>IFERROR(__xludf.DUMMYFUNCTION("IFERROR(VLOOKUP(A322, IMPORTRANGE(""https://docs.google.com/spreadsheets/d/1-3Vjw2Cyy-mry5gbC8ypIR3YVGFfEpyFESummAta6sg/edit"", ""Sheet1!B:D""), 2, FALSE), ""Not Found"")"),"sɛvər")</f>
        <v>sɛvər</v>
      </c>
      <c r="E322" s="2" t="str">
        <f>IFERROR(__xludf.DUMMYFUNCTION("IFERROR(VLOOKUP(A322, IMPORTRANGE(""https://docs.google.com/spreadsheets/d/1-3Vjw2Cyy-mry5gbC8ypIR3YVGFfEpyFESummAta6sg/edit"", ""Sheet1!B:D""), 3, FALSE), ""Not Found"")"),"s ɛ v ə r ")</f>
        <v>s ɛ v ə r </v>
      </c>
    </row>
    <row r="323">
      <c r="A323" s="1" t="s">
        <v>326</v>
      </c>
      <c r="B323" s="1" t="s">
        <v>5</v>
      </c>
      <c r="C323" s="2">
        <f>IFERROR(__xludf.DUMMYFUNCTION("IFERROR(VLOOKUP(A323, IMPORTRANGE(""https://docs.google.com/spreadsheets/d/1AVX9GT0dgogEBStecCXMMQ29tWz3gBrtNB8yIromXbY/edit?gid=741673867"", ""out1g!A:B""), 2, FALSE), 0)"),176.0)</f>
        <v>176</v>
      </c>
      <c r="D323" s="2" t="str">
        <f>IFERROR(__xludf.DUMMYFUNCTION("IFERROR(VLOOKUP(A323, IMPORTRANGE(""https://docs.google.com/spreadsheets/d/1-3Vjw2Cyy-mry5gbC8ypIR3YVGFfEpyFESummAta6sg/edit"", ""Sheet1!B:D""), 2, FALSE), ""Not Found"")"),"bəki")</f>
        <v>bəki</v>
      </c>
      <c r="E323" s="2" t="str">
        <f>IFERROR(__xludf.DUMMYFUNCTION("IFERROR(VLOOKUP(A323, IMPORTRANGE(""https://docs.google.com/spreadsheets/d/1-3Vjw2Cyy-mry5gbC8ypIR3YVGFfEpyFESummAta6sg/edit"", ""Sheet1!B:D""), 3, FALSE), ""Not Found"")"),"b ə k i ")</f>
        <v>b ə k i </v>
      </c>
    </row>
    <row r="324">
      <c r="A324" s="1" t="s">
        <v>327</v>
      </c>
      <c r="B324" s="1" t="s">
        <v>5</v>
      </c>
      <c r="C324" s="2">
        <f>IFERROR(__xludf.DUMMYFUNCTION("IFERROR(VLOOKUP(A324, IMPORTRANGE(""https://docs.google.com/spreadsheets/d/1AVX9GT0dgogEBStecCXMMQ29tWz3gBrtNB8yIromXbY/edit?gid=741673867"", ""out1g!A:B""), 2, FALSE), 0)"),51.0)</f>
        <v>51</v>
      </c>
      <c r="D324" s="2" t="str">
        <f>IFERROR(__xludf.DUMMYFUNCTION("IFERROR(VLOOKUP(A324, IMPORTRANGE(""https://docs.google.com/spreadsheets/d/1-3Vjw2Cyy-mry5gbC8ypIR3YVGFfEpyFESummAta6sg/edit"", ""Sheet1!B:D""), 2, FALSE), ""Not Found"")"),"tɪli")</f>
        <v>tɪli</v>
      </c>
      <c r="E324" s="2" t="str">
        <f>IFERROR(__xludf.DUMMYFUNCTION("IFERROR(VLOOKUP(A324, IMPORTRANGE(""https://docs.google.com/spreadsheets/d/1-3Vjw2Cyy-mry5gbC8ypIR3YVGFfEpyFESummAta6sg/edit"", ""Sheet1!B:D""), 3, FALSE), ""Not Found"")"),"t ɪ l i ")</f>
        <v>t ɪ l i </v>
      </c>
    </row>
    <row r="325">
      <c r="A325" s="1" t="s">
        <v>328</v>
      </c>
      <c r="B325" s="1" t="s">
        <v>5</v>
      </c>
      <c r="C325" s="2">
        <f>IFERROR(__xludf.DUMMYFUNCTION("IFERROR(VLOOKUP(A325, IMPORTRANGE(""https://docs.google.com/spreadsheets/d/1AVX9GT0dgogEBStecCXMMQ29tWz3gBrtNB8yIromXbY/edit?gid=741673867"", ""out1g!A:B""), 2, FALSE), 0)"),89.0)</f>
        <v>89</v>
      </c>
      <c r="D325" s="2" t="str">
        <f>IFERROR(__xludf.DUMMYFUNCTION("IFERROR(VLOOKUP(A325, IMPORTRANGE(""https://docs.google.com/spreadsheets/d/1-3Vjw2Cyy-mry5gbC8ypIR3YVGFfEpyFESummAta6sg/edit"", ""Sheet1!B:D""), 2, FALSE), ""Not Found"")"),"ʃɪftɪŋ")</f>
        <v>ʃɪftɪŋ</v>
      </c>
      <c r="E325" s="2" t="str">
        <f>IFERROR(__xludf.DUMMYFUNCTION("IFERROR(VLOOKUP(A325, IMPORTRANGE(""https://docs.google.com/spreadsheets/d/1-3Vjw2Cyy-mry5gbC8ypIR3YVGFfEpyFESummAta6sg/edit"", ""Sheet1!B:D""), 3, FALSE), ""Not Found"")"),"ʃ ɪ f t ɪ ŋ ")</f>
        <v>ʃ ɪ f t ɪ ŋ </v>
      </c>
    </row>
    <row r="326">
      <c r="A326" s="1" t="s">
        <v>329</v>
      </c>
      <c r="B326" s="1" t="s">
        <v>5</v>
      </c>
      <c r="C326" s="2">
        <f>IFERROR(__xludf.DUMMYFUNCTION("IFERROR(VLOOKUP(A326, IMPORTRANGE(""https://docs.google.com/spreadsheets/d/1AVX9GT0dgogEBStecCXMMQ29tWz3gBrtNB8yIromXbY/edit?gid=741673867"", ""out1g!A:B""), 2, FALSE), 0)"),253.0)</f>
        <v>253</v>
      </c>
      <c r="D326" s="2" t="str">
        <f>IFERROR(__xludf.DUMMYFUNCTION("IFERROR(VLOOKUP(A326, IMPORTRANGE(""https://docs.google.com/spreadsheets/d/1-3Vjw2Cyy-mry5gbC8ypIR3YVGFfEpyFESummAta6sg/edit"", ""Sheet1!B:D""), 2, FALSE), ""Not Found"")"),"kræpi")</f>
        <v>kræpi</v>
      </c>
      <c r="E326" s="2" t="str">
        <f>IFERROR(__xludf.DUMMYFUNCTION("IFERROR(VLOOKUP(A326, IMPORTRANGE(""https://docs.google.com/spreadsheets/d/1-3Vjw2Cyy-mry5gbC8ypIR3YVGFfEpyFESummAta6sg/edit"", ""Sheet1!B:D""), 3, FALSE), ""Not Found"")"),"k r æ p i ")</f>
        <v>k r æ p i </v>
      </c>
    </row>
    <row r="327">
      <c r="A327" s="1" t="s">
        <v>330</v>
      </c>
      <c r="B327" s="1" t="s">
        <v>5</v>
      </c>
      <c r="C327" s="2">
        <f>IFERROR(__xludf.DUMMYFUNCTION("IFERROR(VLOOKUP(A327, IMPORTRANGE(""https://docs.google.com/spreadsheets/d/1AVX9GT0dgogEBStecCXMMQ29tWz3gBrtNB8yIromXbY/edit?gid=741673867"", ""out1g!A:B""), 2, FALSE), 0)"),499.0)</f>
        <v>499</v>
      </c>
      <c r="D327" s="2" t="str">
        <f>IFERROR(__xludf.DUMMYFUNCTION("IFERROR(VLOOKUP(A327, IMPORTRANGE(""https://docs.google.com/spreadsheets/d/1-3Vjw2Cyy-mry5gbC8ypIR3YVGFfEpyFESummAta6sg/edit"", ""Sheet1!B:D""), 2, FALSE), ""Not Found"")"),"sɪlk")</f>
        <v>sɪlk</v>
      </c>
      <c r="E327" s="2" t="str">
        <f>IFERROR(__xludf.DUMMYFUNCTION("IFERROR(VLOOKUP(A327, IMPORTRANGE(""https://docs.google.com/spreadsheets/d/1-3Vjw2Cyy-mry5gbC8ypIR3YVGFfEpyFESummAta6sg/edit"", ""Sheet1!B:D""), 3, FALSE), ""Not Found"")"),"s ɪ l k ")</f>
        <v>s ɪ l k </v>
      </c>
    </row>
    <row r="328">
      <c r="A328" s="1" t="s">
        <v>331</v>
      </c>
      <c r="B328" s="1" t="s">
        <v>5</v>
      </c>
      <c r="C328" s="2">
        <f>IFERROR(__xludf.DUMMYFUNCTION("IFERROR(VLOOKUP(A328, IMPORTRANGE(""https://docs.google.com/spreadsheets/d/1AVX9GT0dgogEBStecCXMMQ29tWz3gBrtNB8yIromXbY/edit?gid=741673867"", ""out1g!A:B""), 2, FALSE), 0)"),2079.0)</f>
        <v>2079</v>
      </c>
      <c r="D328" s="2" t="str">
        <f>IFERROR(__xludf.DUMMYFUNCTION("IFERROR(VLOOKUP(A328, IMPORTRANGE(""https://docs.google.com/spreadsheets/d/1-3Vjw2Cyy-mry5gbC8ypIR3YVGFfEpyFESummAta6sg/edit"", ""Sheet1!B:D""), 2, FALSE), ""Not Found"")"),"ɔ")</f>
        <v>ɔ</v>
      </c>
      <c r="E328" s="2" t="str">
        <f>IFERROR(__xludf.DUMMYFUNCTION("IFERROR(VLOOKUP(A328, IMPORTRANGE(""https://docs.google.com/spreadsheets/d/1-3Vjw2Cyy-mry5gbC8ypIR3YVGFfEpyFESummAta6sg/edit"", ""Sheet1!B:D""), 3, FALSE), ""Not Found"")"),"ɔ ")</f>
        <v>ɔ </v>
      </c>
    </row>
    <row r="329">
      <c r="A329" s="1" t="s">
        <v>332</v>
      </c>
      <c r="B329" s="1" t="s">
        <v>5</v>
      </c>
      <c r="C329" s="2">
        <f>IFERROR(__xludf.DUMMYFUNCTION("IFERROR(VLOOKUP(A329, IMPORTRANGE(""https://docs.google.com/spreadsheets/d/1AVX9GT0dgogEBStecCXMMQ29tWz3gBrtNB8yIromXbY/edit?gid=741673867"", ""out1g!A:B""), 2, FALSE), 0)"),57.0)</f>
        <v>57</v>
      </c>
      <c r="D329" s="2" t="str">
        <f>IFERROR(__xludf.DUMMYFUNCTION("IFERROR(VLOOKUP(A329, IMPORTRANGE(""https://docs.google.com/spreadsheets/d/1-3Vjw2Cyy-mry5gbC8ypIR3YVGFfEpyFESummAta6sg/edit"", ""Sheet1!B:D""), 2, FALSE), ""Not Found"")"),"kəkun")</f>
        <v>kəkun</v>
      </c>
      <c r="E329" s="2" t="str">
        <f>IFERROR(__xludf.DUMMYFUNCTION("IFERROR(VLOOKUP(A329, IMPORTRANGE(""https://docs.google.com/spreadsheets/d/1-3Vjw2Cyy-mry5gbC8ypIR3YVGFfEpyFESummAta6sg/edit"", ""Sheet1!B:D""), 3, FALSE), ""Not Found"")"),"k ə k u n ")</f>
        <v>k ə k u n </v>
      </c>
    </row>
    <row r="330">
      <c r="A330" s="1" t="s">
        <v>333</v>
      </c>
      <c r="B330" s="1" t="s">
        <v>5</v>
      </c>
      <c r="C330" s="2">
        <f>IFERROR(__xludf.DUMMYFUNCTION("IFERROR(VLOOKUP(A330, IMPORTRANGE(""https://docs.google.com/spreadsheets/d/1AVX9GT0dgogEBStecCXMMQ29tWz3gBrtNB8yIromXbY/edit?gid=741673867"", ""out1g!A:B""), 2, FALSE), 0)"),4975.0)</f>
        <v>4975</v>
      </c>
      <c r="D330" s="2" t="str">
        <f>IFERROR(__xludf.DUMMYFUNCTION("IFERROR(VLOOKUP(A330, IMPORTRANGE(""https://docs.google.com/spreadsheets/d/1-3Vjw2Cyy-mry5gbC8ypIR3YVGFfEpyFESummAta6sg/edit"", ""Sheet1!B:D""), 2, FALSE), ""Not Found"")"),"ʧɔɪs")</f>
        <v>ʧɔɪs</v>
      </c>
      <c r="E330" s="2" t="str">
        <f>IFERROR(__xludf.DUMMYFUNCTION("IFERROR(VLOOKUP(A330, IMPORTRANGE(""https://docs.google.com/spreadsheets/d/1-3Vjw2Cyy-mry5gbC8ypIR3YVGFfEpyFESummAta6sg/edit"", ""Sheet1!B:D""), 3, FALSE), ""Not Found"")"),"ʧ ɔ ɪ s ")</f>
        <v>ʧ ɔ ɪ s </v>
      </c>
    </row>
    <row r="331">
      <c r="A331" s="1" t="s">
        <v>334</v>
      </c>
      <c r="B331" s="1" t="s">
        <v>5</v>
      </c>
      <c r="C331" s="2">
        <f>IFERROR(__xludf.DUMMYFUNCTION("IFERROR(VLOOKUP(A331, IMPORTRANGE(""https://docs.google.com/spreadsheets/d/1AVX9GT0dgogEBStecCXMMQ29tWz3gBrtNB8yIromXbY/edit?gid=741673867"", ""out1g!A:B""), 2, FALSE), 0)"),1707.0)</f>
        <v>1707</v>
      </c>
      <c r="D331" s="2" t="str">
        <f>IFERROR(__xludf.DUMMYFUNCTION("IFERROR(VLOOKUP(A331, IMPORTRANGE(""https://docs.google.com/spreadsheets/d/1-3Vjw2Cyy-mry5gbC8ypIR3YVGFfEpyFESummAta6sg/edit"", ""Sheet1!B:D""), 2, FALSE), ""Not Found"")"),"hɛdɪŋ")</f>
        <v>hɛdɪŋ</v>
      </c>
      <c r="E331" s="2" t="str">
        <f>IFERROR(__xludf.DUMMYFUNCTION("IFERROR(VLOOKUP(A331, IMPORTRANGE(""https://docs.google.com/spreadsheets/d/1-3Vjw2Cyy-mry5gbC8ypIR3YVGFfEpyFESummAta6sg/edit"", ""Sheet1!B:D""), 3, FALSE), ""Not Found"")"),"h ɛ d ɪ ŋ ")</f>
        <v>h ɛ d ɪ ŋ </v>
      </c>
    </row>
    <row r="332">
      <c r="A332" s="1" t="s">
        <v>335</v>
      </c>
      <c r="B332" s="1" t="s">
        <v>5</v>
      </c>
      <c r="C332" s="2">
        <f>IFERROR(__xludf.DUMMYFUNCTION("IFERROR(VLOOKUP(A332, IMPORTRANGE(""https://docs.google.com/spreadsheets/d/1AVX9GT0dgogEBStecCXMMQ29tWz3gBrtNB8yIromXbY/edit?gid=741673867"", ""out1g!A:B""), 2, FALSE), 0)"),155867.0)</f>
        <v>155867</v>
      </c>
      <c r="D332" s="2" t="str">
        <f>IFERROR(__xludf.DUMMYFUNCTION("IFERROR(VLOOKUP(A332, IMPORTRANGE(""https://docs.google.com/spreadsheets/d/1-3Vjw2Cyy-mry5gbC8ypIR3YVGFfEpyFESummAta6sg/edit"", ""Sheet1!B:D""), 2, FALSE), ""Not Found"")"),"haʊ")</f>
        <v>haʊ</v>
      </c>
      <c r="E332" s="2" t="str">
        <f>IFERROR(__xludf.DUMMYFUNCTION("IFERROR(VLOOKUP(A332, IMPORTRANGE(""https://docs.google.com/spreadsheets/d/1-3Vjw2Cyy-mry5gbC8ypIR3YVGFfEpyFESummAta6sg/edit"", ""Sheet1!B:D""), 3, FALSE), ""Not Found"")"),"h a ʊ ")</f>
        <v>h a ʊ </v>
      </c>
    </row>
    <row r="333">
      <c r="A333" s="1" t="s">
        <v>336</v>
      </c>
      <c r="B333" s="1" t="s">
        <v>5</v>
      </c>
      <c r="C333" s="2">
        <f>IFERROR(__xludf.DUMMYFUNCTION("IFERROR(VLOOKUP(A333, IMPORTRANGE(""https://docs.google.com/spreadsheets/d/1AVX9GT0dgogEBStecCXMMQ29tWz3gBrtNB8yIromXbY/edit?gid=741673867"", ""out1g!A:B""), 2, FALSE), 0)"),1907.0)</f>
        <v>1907</v>
      </c>
      <c r="D333" s="2" t="str">
        <f>IFERROR(__xludf.DUMMYFUNCTION("IFERROR(VLOOKUP(A333, IMPORTRANGE(""https://docs.google.com/spreadsheets/d/1-3Vjw2Cyy-mry5gbC8ypIR3YVGFfEpyFESummAta6sg/edit"", ""Sheet1!B:D""), 2, FALSE), ""Not Found"")"),"rəf")</f>
        <v>rəf</v>
      </c>
      <c r="E333" s="2" t="str">
        <f>IFERROR(__xludf.DUMMYFUNCTION("IFERROR(VLOOKUP(A333, IMPORTRANGE(""https://docs.google.com/spreadsheets/d/1-3Vjw2Cyy-mry5gbC8ypIR3YVGFfEpyFESummAta6sg/edit"", ""Sheet1!B:D""), 3, FALSE), ""Not Found"")"),"r ə f ")</f>
        <v>r ə f </v>
      </c>
    </row>
    <row r="334">
      <c r="A334" s="1" t="s">
        <v>337</v>
      </c>
      <c r="B334" s="1" t="s">
        <v>5</v>
      </c>
      <c r="C334" s="2">
        <f>IFERROR(__xludf.DUMMYFUNCTION("IFERROR(VLOOKUP(A334, IMPORTRANGE(""https://docs.google.com/spreadsheets/d/1AVX9GT0dgogEBStecCXMMQ29tWz3gBrtNB8yIromXbY/edit?gid=741673867"", ""out1g!A:B""), 2, FALSE), 0)"),76.0)</f>
        <v>76</v>
      </c>
      <c r="D334" s="2" t="str">
        <f>IFERROR(__xludf.DUMMYFUNCTION("IFERROR(VLOOKUP(A334, IMPORTRANGE(""https://docs.google.com/spreadsheets/d/1-3Vjw2Cyy-mry5gbC8ypIR3YVGFfEpyFESummAta6sg/edit"", ""Sheet1!B:D""), 2, FALSE), ""Not Found"")"),"dɑs")</f>
        <v>dɑs</v>
      </c>
      <c r="E334" s="2" t="str">
        <f>IFERROR(__xludf.DUMMYFUNCTION("IFERROR(VLOOKUP(A334, IMPORTRANGE(""https://docs.google.com/spreadsheets/d/1-3Vjw2Cyy-mry5gbC8ypIR3YVGFfEpyFESummAta6sg/edit"", ""Sheet1!B:D""), 3, FALSE), ""Not Found"")"),"d ɑ s ")</f>
        <v>d ɑ s </v>
      </c>
    </row>
    <row r="335">
      <c r="A335" s="1" t="s">
        <v>338</v>
      </c>
      <c r="B335" s="1" t="s">
        <v>5</v>
      </c>
      <c r="C335" s="2">
        <f>IFERROR(__xludf.DUMMYFUNCTION("IFERROR(VLOOKUP(A335, IMPORTRANGE(""https://docs.google.com/spreadsheets/d/1AVX9GT0dgogEBStecCXMMQ29tWz3gBrtNB8yIromXbY/edit?gid=741673867"", ""out1g!A:B""), 2, FALSE), 0)"),52.0)</f>
        <v>52</v>
      </c>
      <c r="D335" s="2" t="str">
        <f>IFERROR(__xludf.DUMMYFUNCTION("IFERROR(VLOOKUP(A335, IMPORTRANGE(""https://docs.google.com/spreadsheets/d/1-3Vjw2Cyy-mry5gbC8ypIR3YVGFfEpyFESummAta6sg/edit"", ""Sheet1!B:D""), 2, FALSE), ""Not Found"")"),"klaɪmz")</f>
        <v>klaɪmz</v>
      </c>
      <c r="E335" s="2" t="str">
        <f>IFERROR(__xludf.DUMMYFUNCTION("IFERROR(VLOOKUP(A335, IMPORTRANGE(""https://docs.google.com/spreadsheets/d/1-3Vjw2Cyy-mry5gbC8ypIR3YVGFfEpyFESummAta6sg/edit"", ""Sheet1!B:D""), 3, FALSE), ""Not Found"")"),"k l a ɪ m z ")</f>
        <v>k l a ɪ m z </v>
      </c>
    </row>
    <row r="336">
      <c r="A336" s="1" t="s">
        <v>339</v>
      </c>
      <c r="B336" s="1" t="s">
        <v>5</v>
      </c>
      <c r="C336" s="2">
        <f>IFERROR(__xludf.DUMMYFUNCTION("IFERROR(VLOOKUP(A336, IMPORTRANGE(""https://docs.google.com/spreadsheets/d/1AVX9GT0dgogEBStecCXMMQ29tWz3gBrtNB8yIromXbY/edit?gid=741673867"", ""out1g!A:B""), 2, FALSE), 0)"),274.0)</f>
        <v>274</v>
      </c>
      <c r="D336" s="2" t="str">
        <f>IFERROR(__xludf.DUMMYFUNCTION("IFERROR(VLOOKUP(A336, IMPORTRANGE(""https://docs.google.com/spreadsheets/d/1-3Vjw2Cyy-mry5gbC8ypIR3YVGFfEpyFESummAta6sg/edit"", ""Sheet1!B:D""), 2, FALSE), ""Not Found"")"),"bɪn")</f>
        <v>bɪn</v>
      </c>
      <c r="E336" s="2" t="str">
        <f>IFERROR(__xludf.DUMMYFUNCTION("IFERROR(VLOOKUP(A336, IMPORTRANGE(""https://docs.google.com/spreadsheets/d/1-3Vjw2Cyy-mry5gbC8ypIR3YVGFfEpyFESummAta6sg/edit"", ""Sheet1!B:D""), 3, FALSE), ""Not Found"")"),"b ɪ n ")</f>
        <v>b ɪ n </v>
      </c>
    </row>
    <row r="337">
      <c r="A337" s="1" t="s">
        <v>340</v>
      </c>
      <c r="B337" s="1" t="s">
        <v>5</v>
      </c>
      <c r="C337" s="2">
        <f>IFERROR(__xludf.DUMMYFUNCTION("IFERROR(VLOOKUP(A337, IMPORTRANGE(""https://docs.google.com/spreadsheets/d/1AVX9GT0dgogEBStecCXMMQ29tWz3gBrtNB8yIromXbY/edit?gid=741673867"", ""out1g!A:B""), 2, FALSE), 0)"),106.0)</f>
        <v>106</v>
      </c>
      <c r="D337" s="2" t="str">
        <f>IFERROR(__xludf.DUMMYFUNCTION("IFERROR(VLOOKUP(A337, IMPORTRANGE(""https://docs.google.com/spreadsheets/d/1-3Vjw2Cyy-mry5gbC8ypIR3YVGFfEpyFESummAta6sg/edit"", ""Sheet1!B:D""), 2, FALSE), ""Not Found"")"),"krev")</f>
        <v>krev</v>
      </c>
      <c r="E337" s="2" t="str">
        <f>IFERROR(__xludf.DUMMYFUNCTION("IFERROR(VLOOKUP(A337, IMPORTRANGE(""https://docs.google.com/spreadsheets/d/1-3Vjw2Cyy-mry5gbC8ypIR3YVGFfEpyFESummAta6sg/edit"", ""Sheet1!B:D""), 3, FALSE), ""Not Found"")"),"k r e v ")</f>
        <v>k r e v </v>
      </c>
    </row>
    <row r="338">
      <c r="A338" s="1" t="s">
        <v>341</v>
      </c>
      <c r="B338" s="1" t="s">
        <v>5</v>
      </c>
      <c r="C338" s="2">
        <f>IFERROR(__xludf.DUMMYFUNCTION("IFERROR(VLOOKUP(A338, IMPORTRANGE(""https://docs.google.com/spreadsheets/d/1AVX9GT0dgogEBStecCXMMQ29tWz3gBrtNB8yIromXbY/edit?gid=741673867"", ""out1g!A:B""), 2, FALSE), 0)"),54.0)</f>
        <v>54</v>
      </c>
      <c r="D338" s="2" t="str">
        <f>IFERROR(__xludf.DUMMYFUNCTION("IFERROR(VLOOKUP(A338, IMPORTRANGE(""https://docs.google.com/spreadsheets/d/1-3Vjw2Cyy-mry5gbC8ypIR3YVGFfEpyFESummAta6sg/edit"", ""Sheet1!B:D""), 2, FALSE), ""Not Found"")"),"lɪks")</f>
        <v>lɪks</v>
      </c>
      <c r="E338" s="2" t="str">
        <f>IFERROR(__xludf.DUMMYFUNCTION("IFERROR(VLOOKUP(A338, IMPORTRANGE(""https://docs.google.com/spreadsheets/d/1-3Vjw2Cyy-mry5gbC8ypIR3YVGFfEpyFESummAta6sg/edit"", ""Sheet1!B:D""), 3, FALSE), ""Not Found"")"),"l ɪ k s ")</f>
        <v>l ɪ k s </v>
      </c>
    </row>
    <row r="339">
      <c r="A339" s="1" t="s">
        <v>342</v>
      </c>
      <c r="B339" s="1" t="s">
        <v>5</v>
      </c>
      <c r="C339" s="2">
        <f>IFERROR(__xludf.DUMMYFUNCTION("IFERROR(VLOOKUP(A339, IMPORTRANGE(""https://docs.google.com/spreadsheets/d/1AVX9GT0dgogEBStecCXMMQ29tWz3gBrtNB8yIromXbY/edit?gid=741673867"", ""out1g!A:B""), 2, FALSE), 0)"),120.0)</f>
        <v>120</v>
      </c>
      <c r="D339" s="2" t="str">
        <f>IFERROR(__xludf.DUMMYFUNCTION("IFERROR(VLOOKUP(A339, IMPORTRANGE(""https://docs.google.com/spreadsheets/d/1-3Vjw2Cyy-mry5gbC8ypIR3YVGFfEpyFESummAta6sg/edit"", ""Sheet1!B:D""), 2, FALSE), ""Not Found"")"),"ʃedi")</f>
        <v>ʃedi</v>
      </c>
      <c r="E339" s="2" t="str">
        <f>IFERROR(__xludf.DUMMYFUNCTION("IFERROR(VLOOKUP(A339, IMPORTRANGE(""https://docs.google.com/spreadsheets/d/1-3Vjw2Cyy-mry5gbC8ypIR3YVGFfEpyFESummAta6sg/edit"", ""Sheet1!B:D""), 3, FALSE), ""Not Found"")"),"ʃ e d i ")</f>
        <v>ʃ e d i </v>
      </c>
    </row>
    <row r="340">
      <c r="A340" s="1" t="s">
        <v>343</v>
      </c>
      <c r="B340" s="1" t="s">
        <v>5</v>
      </c>
      <c r="C340" s="2">
        <f>IFERROR(__xludf.DUMMYFUNCTION("IFERROR(VLOOKUP(A340, IMPORTRANGE(""https://docs.google.com/spreadsheets/d/1AVX9GT0dgogEBStecCXMMQ29tWz3gBrtNB8yIromXbY/edit?gid=741673867"", ""out1g!A:B""), 2, FALSE), 0)"),134.0)</f>
        <v>134</v>
      </c>
      <c r="D340" s="2" t="str">
        <f>IFERROR(__xludf.DUMMYFUNCTION("IFERROR(VLOOKUP(A340, IMPORTRANGE(""https://docs.google.com/spreadsheets/d/1-3Vjw2Cyy-mry5gbC8ypIR3YVGFfEpyFESummAta6sg/edit"", ""Sheet1!B:D""), 2, FALSE), ""Not Found"")"),"plæstər")</f>
        <v>plæstər</v>
      </c>
      <c r="E340" s="2" t="str">
        <f>IFERROR(__xludf.DUMMYFUNCTION("IFERROR(VLOOKUP(A340, IMPORTRANGE(""https://docs.google.com/spreadsheets/d/1-3Vjw2Cyy-mry5gbC8ypIR3YVGFfEpyFESummAta6sg/edit"", ""Sheet1!B:D""), 3, FALSE), ""Not Found"")"),"p l æ s t ə r ")</f>
        <v>p l æ s t ə r </v>
      </c>
    </row>
    <row r="341">
      <c r="A341" s="1" t="s">
        <v>344</v>
      </c>
      <c r="B341" s="1" t="s">
        <v>5</v>
      </c>
      <c r="C341" s="2">
        <f>IFERROR(__xludf.DUMMYFUNCTION("IFERROR(VLOOKUP(A341, IMPORTRANGE(""https://docs.google.com/spreadsheets/d/1AVX9GT0dgogEBStecCXMMQ29tWz3gBrtNB8yIromXbY/edit?gid=741673867"", ""out1g!A:B""), 2, FALSE), 0)"),296.0)</f>
        <v>296</v>
      </c>
      <c r="D341" s="2" t="str">
        <f>IFERROR(__xludf.DUMMYFUNCTION("IFERROR(VLOOKUP(A341, IMPORTRANGE(""https://docs.google.com/spreadsheets/d/1-3Vjw2Cyy-mry5gbC8ypIR3YVGFfEpyFESummAta6sg/edit"", ""Sheet1!B:D""), 2, FALSE), ""Not Found"")"),"bɑn")</f>
        <v>bɑn</v>
      </c>
      <c r="E341" s="2" t="str">
        <f>IFERROR(__xludf.DUMMYFUNCTION("IFERROR(VLOOKUP(A341, IMPORTRANGE(""https://docs.google.com/spreadsheets/d/1-3Vjw2Cyy-mry5gbC8ypIR3YVGFfEpyFESummAta6sg/edit"", ""Sheet1!B:D""), 3, FALSE), ""Not Found"")"),"b ɑ n ")</f>
        <v>b ɑ n </v>
      </c>
    </row>
    <row r="342">
      <c r="A342" s="1" t="s">
        <v>345</v>
      </c>
      <c r="B342" s="1" t="s">
        <v>5</v>
      </c>
      <c r="C342" s="2">
        <f>IFERROR(__xludf.DUMMYFUNCTION("IFERROR(VLOOKUP(A342, IMPORTRANGE(""https://docs.google.com/spreadsheets/d/1AVX9GT0dgogEBStecCXMMQ29tWz3gBrtNB8yIromXbY/edit?gid=741673867"", ""out1g!A:B""), 2, FALSE), 0)"),468.0)</f>
        <v>468</v>
      </c>
      <c r="D342" s="2" t="str">
        <f>IFERROR(__xludf.DUMMYFUNCTION("IFERROR(VLOOKUP(A342, IMPORTRANGE(""https://docs.google.com/spreadsheets/d/1-3Vjw2Cyy-mry5gbC8ypIR3YVGFfEpyFESummAta6sg/edit"", ""Sheet1!B:D""), 2, FALSE), ""Not Found"")"),"fɛrli")</f>
        <v>fɛrli</v>
      </c>
      <c r="E342" s="2" t="str">
        <f>IFERROR(__xludf.DUMMYFUNCTION("IFERROR(VLOOKUP(A342, IMPORTRANGE(""https://docs.google.com/spreadsheets/d/1-3Vjw2Cyy-mry5gbC8ypIR3YVGFfEpyFESummAta6sg/edit"", ""Sheet1!B:D""), 3, FALSE), ""Not Found"")"),"f ɛ r l i ")</f>
        <v>f ɛ r l i </v>
      </c>
    </row>
    <row r="343">
      <c r="A343" s="1" t="s">
        <v>346</v>
      </c>
      <c r="B343" s="1" t="s">
        <v>5</v>
      </c>
      <c r="C343" s="2">
        <f>IFERROR(__xludf.DUMMYFUNCTION("IFERROR(VLOOKUP(A343, IMPORTRANGE(""https://docs.google.com/spreadsheets/d/1AVX9GT0dgogEBStecCXMMQ29tWz3gBrtNB8yIromXbY/edit?gid=741673867"", ""out1g!A:B""), 2, FALSE), 0)"),150.0)</f>
        <v>150</v>
      </c>
      <c r="D343" s="2" t="str">
        <f>IFERROR(__xludf.DUMMYFUNCTION("IFERROR(VLOOKUP(A343, IMPORTRANGE(""https://docs.google.com/spreadsheets/d/1-3Vjw2Cyy-mry5gbC8ypIR3YVGFfEpyFESummAta6sg/edit"", ""Sheet1!B:D""), 2, FALSE), ""Not Found"")"),"bɪf")</f>
        <v>bɪf</v>
      </c>
      <c r="E343" s="2" t="str">
        <f>IFERROR(__xludf.DUMMYFUNCTION("IFERROR(VLOOKUP(A343, IMPORTRANGE(""https://docs.google.com/spreadsheets/d/1-3Vjw2Cyy-mry5gbC8ypIR3YVGFfEpyFESummAta6sg/edit"", ""Sheet1!B:D""), 3, FALSE), ""Not Found"")"),"b ɪ f ")</f>
        <v>b ɪ f </v>
      </c>
    </row>
    <row r="344">
      <c r="A344" s="1" t="s">
        <v>347</v>
      </c>
      <c r="B344" s="1" t="s">
        <v>5</v>
      </c>
      <c r="C344" s="2">
        <f>IFERROR(__xludf.DUMMYFUNCTION("IFERROR(VLOOKUP(A344, IMPORTRANGE(""https://docs.google.com/spreadsheets/d/1AVX9GT0dgogEBStecCXMMQ29tWz3gBrtNB8yIromXbY/edit?gid=741673867"", ""out1g!A:B""), 2, FALSE), 0)"),124.0)</f>
        <v>124</v>
      </c>
      <c r="D344" s="2" t="str">
        <f>IFERROR(__xludf.DUMMYFUNCTION("IFERROR(VLOOKUP(A344, IMPORTRANGE(""https://docs.google.com/spreadsheets/d/1-3Vjw2Cyy-mry5gbC8ypIR3YVGFfEpyFESummAta6sg/edit"", ""Sheet1!B:D""), 2, FALSE), ""Not Found"")"),"ʧɪpt")</f>
        <v>ʧɪpt</v>
      </c>
      <c r="E344" s="2" t="str">
        <f>IFERROR(__xludf.DUMMYFUNCTION("IFERROR(VLOOKUP(A344, IMPORTRANGE(""https://docs.google.com/spreadsheets/d/1-3Vjw2Cyy-mry5gbC8ypIR3YVGFfEpyFESummAta6sg/edit"", ""Sheet1!B:D""), 3, FALSE), ""Not Found"")"),"ʧ ɪ p t ")</f>
        <v>ʧ ɪ p t </v>
      </c>
    </row>
    <row r="345">
      <c r="A345" s="1" t="s">
        <v>348</v>
      </c>
      <c r="B345" s="1" t="s">
        <v>5</v>
      </c>
      <c r="C345" s="2">
        <f>IFERROR(__xludf.DUMMYFUNCTION("IFERROR(VLOOKUP(A345, IMPORTRANGE(""https://docs.google.com/spreadsheets/d/1AVX9GT0dgogEBStecCXMMQ29tWz3gBrtNB8yIromXbY/edit?gid=741673867"", ""out1g!A:B""), 2, FALSE), 0)"),3724.0)</f>
        <v>3724</v>
      </c>
      <c r="D345" s="2" t="str">
        <f>IFERROR(__xludf.DUMMYFUNCTION("IFERROR(VLOOKUP(A345, IMPORTRANGE(""https://docs.google.com/spreadsheets/d/1-3Vjw2Cyy-mry5gbC8ypIR3YVGFfEpyFESummAta6sg/edit"", ""Sheet1!B:D""), 2, FALSE), ""Not Found"")"),"ʤoʊk")</f>
        <v>ʤoʊk</v>
      </c>
      <c r="E345" s="2" t="str">
        <f>IFERROR(__xludf.DUMMYFUNCTION("IFERROR(VLOOKUP(A345, IMPORTRANGE(""https://docs.google.com/spreadsheets/d/1-3Vjw2Cyy-mry5gbC8ypIR3YVGFfEpyFESummAta6sg/edit"", ""Sheet1!B:D""), 3, FALSE), ""Not Found"")"),"ʤ o ʊ k ")</f>
        <v>ʤ o ʊ k </v>
      </c>
    </row>
    <row r="346">
      <c r="A346" s="1" t="s">
        <v>349</v>
      </c>
      <c r="B346" s="1" t="s">
        <v>5</v>
      </c>
      <c r="C346" s="2">
        <f>IFERROR(__xludf.DUMMYFUNCTION("IFERROR(VLOOKUP(A346, IMPORTRANGE(""https://docs.google.com/spreadsheets/d/1AVX9GT0dgogEBStecCXMMQ29tWz3gBrtNB8yIromXbY/edit?gid=741673867"", ""out1g!A:B""), 2, FALSE), 0)"),2265.0)</f>
        <v>2265</v>
      </c>
      <c r="D346" s="2" t="str">
        <f>IFERROR(__xludf.DUMMYFUNCTION("IFERROR(VLOOKUP(A346, IMPORTRANGE(""https://docs.google.com/spreadsheets/d/1-3Vjw2Cyy-mry5gbC8ypIR3YVGFfEpyFESummAta6sg/edit"", ""Sheet1!B:D""), 2, FALSE), ""Not Found"")"),"braɪt")</f>
        <v>braɪt</v>
      </c>
      <c r="E346" s="2" t="str">
        <f>IFERROR(__xludf.DUMMYFUNCTION("IFERROR(VLOOKUP(A346, IMPORTRANGE(""https://docs.google.com/spreadsheets/d/1-3Vjw2Cyy-mry5gbC8ypIR3YVGFfEpyFESummAta6sg/edit"", ""Sheet1!B:D""), 3, FALSE), ""Not Found"")"),"b r a ɪ t ")</f>
        <v>b r a ɪ t </v>
      </c>
    </row>
    <row r="347">
      <c r="A347" s="1" t="s">
        <v>350</v>
      </c>
      <c r="B347" s="1" t="s">
        <v>5</v>
      </c>
      <c r="C347" s="2">
        <f>IFERROR(__xludf.DUMMYFUNCTION("IFERROR(VLOOKUP(A347, IMPORTRANGE(""https://docs.google.com/spreadsheets/d/1AVX9GT0dgogEBStecCXMMQ29tWz3gBrtNB8yIromXbY/edit?gid=741673867"", ""out1g!A:B""), 2, FALSE), 0)"),527.0)</f>
        <v>527</v>
      </c>
      <c r="D347" s="2" t="str">
        <f>IFERROR(__xludf.DUMMYFUNCTION("IFERROR(VLOOKUP(A347, IMPORTRANGE(""https://docs.google.com/spreadsheets/d/1-3Vjw2Cyy-mry5gbC8ypIR3YVGFfEpyFESummAta6sg/edit"", ""Sheet1!B:D""), 2, FALSE), ""Not Found"")"),"naɪd")</f>
        <v>naɪd</v>
      </c>
      <c r="E347" s="2" t="str">
        <f>IFERROR(__xludf.DUMMYFUNCTION("IFERROR(VLOOKUP(A347, IMPORTRANGE(""https://docs.google.com/spreadsheets/d/1-3Vjw2Cyy-mry5gbC8ypIR3YVGFfEpyFESummAta6sg/edit"", ""Sheet1!B:D""), 3, FALSE), ""Not Found"")"),"n a ɪ d ")</f>
        <v>n a ɪ d </v>
      </c>
    </row>
    <row r="348">
      <c r="A348" s="1" t="s">
        <v>351</v>
      </c>
      <c r="B348" s="1" t="s">
        <v>5</v>
      </c>
      <c r="C348" s="2">
        <f>IFERROR(__xludf.DUMMYFUNCTION("IFERROR(VLOOKUP(A348, IMPORTRANGE(""https://docs.google.com/spreadsheets/d/1AVX9GT0dgogEBStecCXMMQ29tWz3gBrtNB8yIromXbY/edit?gid=741673867"", ""out1g!A:B""), 2, FALSE), 0)"),143.0)</f>
        <v>143</v>
      </c>
      <c r="D348" s="2" t="str">
        <f>IFERROR(__xludf.DUMMYFUNCTION("IFERROR(VLOOKUP(A348, IMPORTRANGE(""https://docs.google.com/spreadsheets/d/1-3Vjw2Cyy-mry5gbC8ypIR3YVGFfEpyFESummAta6sg/edit"", ""Sheet1!B:D""), 2, FALSE), ""Not Found"")"),"fruts")</f>
        <v>fruts</v>
      </c>
      <c r="E348" s="2" t="str">
        <f>IFERROR(__xludf.DUMMYFUNCTION("IFERROR(VLOOKUP(A348, IMPORTRANGE(""https://docs.google.com/spreadsheets/d/1-3Vjw2Cyy-mry5gbC8ypIR3YVGFfEpyFESummAta6sg/edit"", ""Sheet1!B:D""), 3, FALSE), ""Not Found"")"),"f r u t s ")</f>
        <v>f r u t s </v>
      </c>
    </row>
    <row r="349">
      <c r="A349" s="1" t="s">
        <v>352</v>
      </c>
      <c r="B349" s="1" t="s">
        <v>5</v>
      </c>
      <c r="C349" s="2">
        <f>IFERROR(__xludf.DUMMYFUNCTION("IFERROR(VLOOKUP(A349, IMPORTRANGE(""https://docs.google.com/spreadsheets/d/1AVX9GT0dgogEBStecCXMMQ29tWz3gBrtNB8yIromXbY/edit?gid=741673867"", ""out1g!A:B""), 2, FALSE), 0)"),138.0)</f>
        <v>138</v>
      </c>
      <c r="D349" s="2" t="str">
        <f>IFERROR(__xludf.DUMMYFUNCTION("IFERROR(VLOOKUP(A349, IMPORTRANGE(""https://docs.google.com/spreadsheets/d/1-3Vjw2Cyy-mry5gbC8ypIR3YVGFfEpyFESummAta6sg/edit"", ""Sheet1!B:D""), 2, FALSE), ""Not Found"")"),"əbaɪd")</f>
        <v>əbaɪd</v>
      </c>
      <c r="E349" s="2" t="str">
        <f>IFERROR(__xludf.DUMMYFUNCTION("IFERROR(VLOOKUP(A349, IMPORTRANGE(""https://docs.google.com/spreadsheets/d/1-3Vjw2Cyy-mry5gbC8ypIR3YVGFfEpyFESummAta6sg/edit"", ""Sheet1!B:D""), 3, FALSE), ""Not Found"")"),"ə b a ɪ d ")</f>
        <v>ə b a ɪ d </v>
      </c>
    </row>
    <row r="350">
      <c r="A350" s="1" t="s">
        <v>353</v>
      </c>
      <c r="B350" s="1" t="s">
        <v>5</v>
      </c>
      <c r="C350" s="2">
        <f>IFERROR(__xludf.DUMMYFUNCTION("IFERROR(VLOOKUP(A350, IMPORTRANGE(""https://docs.google.com/spreadsheets/d/1AVX9GT0dgogEBStecCXMMQ29tWz3gBrtNB8yIromXbY/edit?gid=741673867"", ""out1g!A:B""), 2, FALSE), 0)"),13.0)</f>
        <v>13</v>
      </c>
      <c r="D350" s="2" t="str">
        <f>IFERROR(__xludf.DUMMYFUNCTION("IFERROR(VLOOKUP(A350, IMPORTRANGE(""https://docs.google.com/spreadsheets/d/1-3Vjw2Cyy-mry5gbC8ypIR3YVGFfEpyFESummAta6sg/edit"", ""Sheet1!B:D""), 2, FALSE), ""Not Found"")"),"ləgz")</f>
        <v>ləgz</v>
      </c>
      <c r="E350" s="2" t="str">
        <f>IFERROR(__xludf.DUMMYFUNCTION("IFERROR(VLOOKUP(A350, IMPORTRANGE(""https://docs.google.com/spreadsheets/d/1-3Vjw2Cyy-mry5gbC8ypIR3YVGFfEpyFESummAta6sg/edit"", ""Sheet1!B:D""), 3, FALSE), ""Not Found"")"),"l ə g z ")</f>
        <v>l ə g z </v>
      </c>
    </row>
    <row r="351">
      <c r="A351" s="1" t="s">
        <v>354</v>
      </c>
      <c r="B351" s="1" t="s">
        <v>5</v>
      </c>
      <c r="C351" s="2">
        <f>IFERROR(__xludf.DUMMYFUNCTION("IFERROR(VLOOKUP(A351, IMPORTRANGE(""https://docs.google.com/spreadsheets/d/1AVX9GT0dgogEBStecCXMMQ29tWz3gBrtNB8yIromXbY/edit?gid=741673867"", ""out1g!A:B""), 2, FALSE), 0)"),4357.0)</f>
        <v>4357</v>
      </c>
      <c r="D351" s="2" t="str">
        <f>IFERROR(__xludf.DUMMYFUNCTION("IFERROR(VLOOKUP(A351, IMPORTRANGE(""https://docs.google.com/spreadsheets/d/1-3Vjw2Cyy-mry5gbC8ypIR3YVGFfEpyFESummAta6sg/edit"", ""Sheet1!B:D""), 2, FALSE), ""Not Found"")"),"kɑrd")</f>
        <v>kɑrd</v>
      </c>
      <c r="E351" s="2" t="str">
        <f>IFERROR(__xludf.DUMMYFUNCTION("IFERROR(VLOOKUP(A351, IMPORTRANGE(""https://docs.google.com/spreadsheets/d/1-3Vjw2Cyy-mry5gbC8ypIR3YVGFfEpyFESummAta6sg/edit"", ""Sheet1!B:D""), 3, FALSE), ""Not Found"")"),"k ɑ r d ")</f>
        <v>k ɑ r d </v>
      </c>
    </row>
    <row r="352">
      <c r="A352" s="1" t="s">
        <v>355</v>
      </c>
      <c r="B352" s="1" t="s">
        <v>5</v>
      </c>
      <c r="C352" s="2">
        <f>IFERROR(__xludf.DUMMYFUNCTION("IFERROR(VLOOKUP(A352, IMPORTRANGE(""https://docs.google.com/spreadsheets/d/1AVX9GT0dgogEBStecCXMMQ29tWz3gBrtNB8yIromXbY/edit?gid=741673867"", ""out1g!A:B""), 2, FALSE), 0)"),55.0)</f>
        <v>55</v>
      </c>
      <c r="D352" s="2" t="str">
        <f>IFERROR(__xludf.DUMMYFUNCTION("IFERROR(VLOOKUP(A352, IMPORTRANGE(""https://docs.google.com/spreadsheets/d/1-3Vjw2Cyy-mry5gbC8ypIR3YVGFfEpyFESummAta6sg/edit"", ""Sheet1!B:D""), 2, FALSE), ""Not Found"")"),"fəsɪŋ")</f>
        <v>fəsɪŋ</v>
      </c>
      <c r="E352" s="2" t="str">
        <f>IFERROR(__xludf.DUMMYFUNCTION("IFERROR(VLOOKUP(A352, IMPORTRANGE(""https://docs.google.com/spreadsheets/d/1-3Vjw2Cyy-mry5gbC8ypIR3YVGFfEpyFESummAta6sg/edit"", ""Sheet1!B:D""), 3, FALSE), ""Not Found"")"),"f ə s ɪ ŋ ")</f>
        <v>f ə s ɪ ŋ </v>
      </c>
    </row>
    <row r="353">
      <c r="A353" s="1" t="s">
        <v>356</v>
      </c>
      <c r="B353" s="1" t="s">
        <v>5</v>
      </c>
      <c r="C353" s="2">
        <f>IFERROR(__xludf.DUMMYFUNCTION("IFERROR(VLOOKUP(A353, IMPORTRANGE(""https://docs.google.com/spreadsheets/d/1AVX9GT0dgogEBStecCXMMQ29tWz3gBrtNB8yIromXbY/edit?gid=741673867"", ""out1g!A:B""), 2, FALSE), 0)"),8278.0)</f>
        <v>8278</v>
      </c>
      <c r="D353" s="2" t="str">
        <f>IFERROR(__xludf.DUMMYFUNCTION("IFERROR(VLOOKUP(A353, IMPORTRANGE(""https://docs.google.com/spreadsheets/d/1-3Vjw2Cyy-mry5gbC8ypIR3YVGFfEpyFESummAta6sg/edit"", ""Sheet1!B:D""), 2, FALSE), ""Not Found"")"),"sev")</f>
        <v>sev</v>
      </c>
      <c r="E353" s="2" t="str">
        <f>IFERROR(__xludf.DUMMYFUNCTION("IFERROR(VLOOKUP(A353, IMPORTRANGE(""https://docs.google.com/spreadsheets/d/1-3Vjw2Cyy-mry5gbC8ypIR3YVGFfEpyFESummAta6sg/edit"", ""Sheet1!B:D""), 3, FALSE), ""Not Found"")"),"s e v ")</f>
        <v>s e v </v>
      </c>
    </row>
    <row r="354">
      <c r="A354" s="1" t="s">
        <v>357</v>
      </c>
      <c r="B354" s="1" t="s">
        <v>5</v>
      </c>
      <c r="C354" s="2">
        <f>IFERROR(__xludf.DUMMYFUNCTION("IFERROR(VLOOKUP(A354, IMPORTRANGE(""https://docs.google.com/spreadsheets/d/1AVX9GT0dgogEBStecCXMMQ29tWz3gBrtNB8yIromXbY/edit?gid=741673867"", ""out1g!A:B""), 2, FALSE), 0)"),110.0)</f>
        <v>110</v>
      </c>
      <c r="D354" s="2" t="str">
        <f>IFERROR(__xludf.DUMMYFUNCTION("IFERROR(VLOOKUP(A354, IMPORTRANGE(""https://docs.google.com/spreadsheets/d/1-3Vjw2Cyy-mry5gbC8ypIR3YVGFfEpyFESummAta6sg/edit"", ""Sheet1!B:D""), 2, FALSE), ""Not Found"")"),"koʊni")</f>
        <v>koʊni</v>
      </c>
      <c r="E354" s="2" t="str">
        <f>IFERROR(__xludf.DUMMYFUNCTION("IFERROR(VLOOKUP(A354, IMPORTRANGE(""https://docs.google.com/spreadsheets/d/1-3Vjw2Cyy-mry5gbC8ypIR3YVGFfEpyFESummAta6sg/edit"", ""Sheet1!B:D""), 3, FALSE), ""Not Found"")"),"k o ʊ n i ")</f>
        <v>k o ʊ n i </v>
      </c>
    </row>
    <row r="355">
      <c r="A355" s="1" t="s">
        <v>358</v>
      </c>
      <c r="B355" s="1" t="s">
        <v>5</v>
      </c>
      <c r="C355" s="2">
        <f>IFERROR(__xludf.DUMMYFUNCTION("IFERROR(VLOOKUP(A355, IMPORTRANGE(""https://docs.google.com/spreadsheets/d/1AVX9GT0dgogEBStecCXMMQ29tWz3gBrtNB8yIromXbY/edit?gid=741673867"", ""out1g!A:B""), 2, FALSE), 0)"),327.0)</f>
        <v>327</v>
      </c>
      <c r="D355" s="2" t="str">
        <f>IFERROR(__xludf.DUMMYFUNCTION("IFERROR(VLOOKUP(A355, IMPORTRANGE(""https://docs.google.com/spreadsheets/d/1-3Vjw2Cyy-mry5gbC8ypIR3YVGFfEpyFESummAta6sg/edit"", ""Sheet1!B:D""), 2, FALSE), ""Not Found"")"),"pərsu")</f>
        <v>pərsu</v>
      </c>
      <c r="E355" s="2" t="str">
        <f>IFERROR(__xludf.DUMMYFUNCTION("IFERROR(VLOOKUP(A355, IMPORTRANGE(""https://docs.google.com/spreadsheets/d/1-3Vjw2Cyy-mry5gbC8ypIR3YVGFfEpyFESummAta6sg/edit"", ""Sheet1!B:D""), 3, FALSE), ""Not Found"")"),"p ə r s u ")</f>
        <v>p ə r s u </v>
      </c>
    </row>
    <row r="356">
      <c r="A356" s="1" t="s">
        <v>359</v>
      </c>
      <c r="B356" s="1" t="s">
        <v>5</v>
      </c>
      <c r="C356" s="2">
        <f>IFERROR(__xludf.DUMMYFUNCTION("IFERROR(VLOOKUP(A356, IMPORTRANGE(""https://docs.google.com/spreadsheets/d/1AVX9GT0dgogEBStecCXMMQ29tWz3gBrtNB8yIromXbY/edit?gid=741673867"", ""out1g!A:B""), 2, FALSE), 0)"),357.0)</f>
        <v>357</v>
      </c>
      <c r="D356" s="2" t="str">
        <f>IFERROR(__xludf.DUMMYFUNCTION("IFERROR(VLOOKUP(A356, IMPORTRANGE(""https://docs.google.com/spreadsheets/d/1-3Vjw2Cyy-mry5gbC8ypIR3YVGFfEpyFESummAta6sg/edit"", ""Sheet1!B:D""), 2, FALSE), ""Not Found"")"),"rɛstɪŋ")</f>
        <v>rɛstɪŋ</v>
      </c>
      <c r="E356" s="2" t="str">
        <f>IFERROR(__xludf.DUMMYFUNCTION("IFERROR(VLOOKUP(A356, IMPORTRANGE(""https://docs.google.com/spreadsheets/d/1-3Vjw2Cyy-mry5gbC8ypIR3YVGFfEpyFESummAta6sg/edit"", ""Sheet1!B:D""), 3, FALSE), ""Not Found"")"),"r ɛ s t ɪ ŋ ")</f>
        <v>r ɛ s t ɪ ŋ </v>
      </c>
    </row>
    <row r="357">
      <c r="A357" s="1" t="s">
        <v>360</v>
      </c>
      <c r="B357" s="1" t="s">
        <v>5</v>
      </c>
      <c r="C357" s="2">
        <f>IFERROR(__xludf.DUMMYFUNCTION("IFERROR(VLOOKUP(A357, IMPORTRANGE(""https://docs.google.com/spreadsheets/d/1AVX9GT0dgogEBStecCXMMQ29tWz3gBrtNB8yIromXbY/edit?gid=741673867"", ""out1g!A:B""), 2, FALSE), 0)"),1596.0)</f>
        <v>1596</v>
      </c>
      <c r="D357" s="2" t="str">
        <f>IFERROR(__xludf.DUMMYFUNCTION("IFERROR(VLOOKUP(A357, IMPORTRANGE(""https://docs.google.com/spreadsheets/d/1-3Vjw2Cyy-mry5gbC8ypIR3YVGFfEpyFESummAta6sg/edit"", ""Sheet1!B:D""), 2, FALSE), ""Not Found"")"),"sprɛd")</f>
        <v>sprɛd</v>
      </c>
      <c r="E357" s="2" t="str">
        <f>IFERROR(__xludf.DUMMYFUNCTION("IFERROR(VLOOKUP(A357, IMPORTRANGE(""https://docs.google.com/spreadsheets/d/1-3Vjw2Cyy-mry5gbC8ypIR3YVGFfEpyFESummAta6sg/edit"", ""Sheet1!B:D""), 3, FALSE), ""Not Found"")"),"s p r ɛ d ")</f>
        <v>s p r ɛ d </v>
      </c>
    </row>
    <row r="358">
      <c r="A358" s="1" t="s">
        <v>361</v>
      </c>
      <c r="B358" s="1" t="s">
        <v>5</v>
      </c>
      <c r="C358" s="2">
        <f>IFERROR(__xludf.DUMMYFUNCTION("IFERROR(VLOOKUP(A358, IMPORTRANGE(""https://docs.google.com/spreadsheets/d/1AVX9GT0dgogEBStecCXMMQ29tWz3gBrtNB8yIromXbY/edit?gid=741673867"", ""out1g!A:B""), 2, FALSE), 0)"),76.0)</f>
        <v>76</v>
      </c>
      <c r="D358" s="2" t="str">
        <f>IFERROR(__xludf.DUMMYFUNCTION("IFERROR(VLOOKUP(A358, IMPORTRANGE(""https://docs.google.com/spreadsheets/d/1-3Vjw2Cyy-mry5gbC8ypIR3YVGFfEpyFESummAta6sg/edit"", ""Sheet1!B:D""), 2, FALSE), ""Not Found"")"),"paɪld")</f>
        <v>paɪld</v>
      </c>
      <c r="E358" s="2" t="str">
        <f>IFERROR(__xludf.DUMMYFUNCTION("IFERROR(VLOOKUP(A358, IMPORTRANGE(""https://docs.google.com/spreadsheets/d/1-3Vjw2Cyy-mry5gbC8ypIR3YVGFfEpyFESummAta6sg/edit"", ""Sheet1!B:D""), 3, FALSE), ""Not Found"")"),"p a ɪ l d ")</f>
        <v>p a ɪ l d </v>
      </c>
    </row>
    <row r="359">
      <c r="A359" s="1" t="s">
        <v>362</v>
      </c>
      <c r="B359" s="1" t="s">
        <v>5</v>
      </c>
      <c r="C359" s="2">
        <f>IFERROR(__xludf.DUMMYFUNCTION("IFERROR(VLOOKUP(A359, IMPORTRANGE(""https://docs.google.com/spreadsheets/d/1AVX9GT0dgogEBStecCXMMQ29tWz3gBrtNB8yIromXbY/edit?gid=741673867"", ""out1g!A:B""), 2, FALSE), 0)"),52.0)</f>
        <v>52</v>
      </c>
      <c r="D359" s="2" t="str">
        <f>IFERROR(__xludf.DUMMYFUNCTION("IFERROR(VLOOKUP(A359, IMPORTRANGE(""https://docs.google.com/spreadsheets/d/1-3Vjw2Cyy-mry5gbC8ypIR3YVGFfEpyFESummAta6sg/edit"", ""Sheet1!B:D""), 2, FALSE), ""Not Found"")"),"nt")</f>
        <v>nt</v>
      </c>
      <c r="E359" s="2" t="str">
        <f>IFERROR(__xludf.DUMMYFUNCTION("IFERROR(VLOOKUP(A359, IMPORTRANGE(""https://docs.google.com/spreadsheets/d/1-3Vjw2Cyy-mry5gbC8ypIR3YVGFfEpyFESummAta6sg/edit"", ""Sheet1!B:D""), 3, FALSE), ""Not Found"")"),"n t ")</f>
        <v>n t </v>
      </c>
    </row>
    <row r="360">
      <c r="A360" s="1" t="s">
        <v>363</v>
      </c>
      <c r="B360" s="1" t="s">
        <v>5</v>
      </c>
      <c r="C360" s="2">
        <f>IFERROR(__xludf.DUMMYFUNCTION("IFERROR(VLOOKUP(A360, IMPORTRANGE(""https://docs.google.com/spreadsheets/d/1AVX9GT0dgogEBStecCXMMQ29tWz3gBrtNB8yIromXbY/edit?gid=741673867"", ""out1g!A:B""), 2, FALSE), 0)"),221.0)</f>
        <v>221</v>
      </c>
      <c r="D360" s="2" t="str">
        <f>IFERROR(__xludf.DUMMYFUNCTION("IFERROR(VLOOKUP(A360, IMPORTRANGE(""https://docs.google.com/spreadsheets/d/1-3Vjw2Cyy-mry5gbC8ypIR3YVGFfEpyFESummAta6sg/edit"", ""Sheet1!B:D""), 2, FALSE), ""Not Found"")"),"kɑmɪks")</f>
        <v>kɑmɪks</v>
      </c>
      <c r="E360" s="2" t="str">
        <f>IFERROR(__xludf.DUMMYFUNCTION("IFERROR(VLOOKUP(A360, IMPORTRANGE(""https://docs.google.com/spreadsheets/d/1-3Vjw2Cyy-mry5gbC8ypIR3YVGFfEpyFESummAta6sg/edit"", ""Sheet1!B:D""), 3, FALSE), ""Not Found"")"),"k ɑ m ɪ k s ")</f>
        <v>k ɑ m ɪ k s </v>
      </c>
    </row>
    <row r="361">
      <c r="A361" s="1" t="s">
        <v>364</v>
      </c>
      <c r="B361" s="1" t="s">
        <v>5</v>
      </c>
      <c r="C361" s="2">
        <f>IFERROR(__xludf.DUMMYFUNCTION("IFERROR(VLOOKUP(A361, IMPORTRANGE(""https://docs.google.com/spreadsheets/d/1AVX9GT0dgogEBStecCXMMQ29tWz3gBrtNB8yIromXbY/edit?gid=741673867"", ""out1g!A:B""), 2, FALSE), 0)"),238.0)</f>
        <v>238</v>
      </c>
      <c r="D361" s="2" t="str">
        <f>IFERROR(__xludf.DUMMYFUNCTION("IFERROR(VLOOKUP(A361, IMPORTRANGE(""https://docs.google.com/spreadsheets/d/1-3Vjw2Cyy-mry5gbC8ypIR3YVGFfEpyFESummAta6sg/edit"", ""Sheet1!B:D""), 2, FALSE), ""Not Found"")"),"pred")</f>
        <v>pred</v>
      </c>
      <c r="E361" s="2" t="str">
        <f>IFERROR(__xludf.DUMMYFUNCTION("IFERROR(VLOOKUP(A361, IMPORTRANGE(""https://docs.google.com/spreadsheets/d/1-3Vjw2Cyy-mry5gbC8ypIR3YVGFfEpyFESummAta6sg/edit"", ""Sheet1!B:D""), 3, FALSE), ""Not Found"")"),"p r e d ")</f>
        <v>p r e d </v>
      </c>
    </row>
    <row r="362">
      <c r="A362" s="1" t="s">
        <v>365</v>
      </c>
      <c r="B362" s="1" t="s">
        <v>5</v>
      </c>
      <c r="C362" s="2">
        <f>IFERROR(__xludf.DUMMYFUNCTION("IFERROR(VLOOKUP(A362, IMPORTRANGE(""https://docs.google.com/spreadsheets/d/1AVX9GT0dgogEBStecCXMMQ29tWz3gBrtNB8yIromXbY/edit?gid=741673867"", ""out1g!A:B""), 2, FALSE), 0)"),86.0)</f>
        <v>86</v>
      </c>
      <c r="D362" s="2" t="str">
        <f>IFERROR(__xludf.DUMMYFUNCTION("IFERROR(VLOOKUP(A362, IMPORTRANGE(""https://docs.google.com/spreadsheets/d/1-3Vjw2Cyy-mry5gbC8ypIR3YVGFfEpyFESummAta6sg/edit"", ""Sheet1!B:D""), 2, FALSE), ""Not Found"")"),"roʊstɪd")</f>
        <v>roʊstɪd</v>
      </c>
      <c r="E362" s="2" t="str">
        <f>IFERROR(__xludf.DUMMYFUNCTION("IFERROR(VLOOKUP(A362, IMPORTRANGE(""https://docs.google.com/spreadsheets/d/1-3Vjw2Cyy-mry5gbC8ypIR3YVGFfEpyFESummAta6sg/edit"", ""Sheet1!B:D""), 3, FALSE), ""Not Found"")"),"r o ʊ s t ɪ d ")</f>
        <v>r o ʊ s t ɪ d </v>
      </c>
    </row>
    <row r="363">
      <c r="A363" s="1" t="s">
        <v>366</v>
      </c>
      <c r="B363" s="1" t="s">
        <v>5</v>
      </c>
      <c r="C363" s="2">
        <f>IFERROR(__xludf.DUMMYFUNCTION("IFERROR(VLOOKUP(A363, IMPORTRANGE(""https://docs.google.com/spreadsheets/d/1AVX9GT0dgogEBStecCXMMQ29tWz3gBrtNB8yIromXbY/edit?gid=741673867"", ""out1g!A:B""), 2, FALSE), 0)"),929.0)</f>
        <v>929</v>
      </c>
      <c r="D363" s="2" t="str">
        <f>IFERROR(__xludf.DUMMYFUNCTION("IFERROR(VLOOKUP(A363, IMPORTRANGE(""https://docs.google.com/spreadsheets/d/1-3Vjw2Cyy-mry5gbC8ypIR3YVGFfEpyFESummAta6sg/edit"", ""Sheet1!B:D""), 2, FALSE), ""Not Found"")"),"kərs")</f>
        <v>kərs</v>
      </c>
      <c r="E363" s="2" t="str">
        <f>IFERROR(__xludf.DUMMYFUNCTION("IFERROR(VLOOKUP(A363, IMPORTRANGE(""https://docs.google.com/spreadsheets/d/1-3Vjw2Cyy-mry5gbC8ypIR3YVGFfEpyFESummAta6sg/edit"", ""Sheet1!B:D""), 3, FALSE), ""Not Found"")"),"k ə r s ")</f>
        <v>k ə r s </v>
      </c>
    </row>
    <row r="364">
      <c r="A364" s="1" t="s">
        <v>367</v>
      </c>
      <c r="B364" s="1" t="s">
        <v>5</v>
      </c>
      <c r="C364" s="2">
        <f>IFERROR(__xludf.DUMMYFUNCTION("IFERROR(VLOOKUP(A364, IMPORTRANGE(""https://docs.google.com/spreadsheets/d/1AVX9GT0dgogEBStecCXMMQ29tWz3gBrtNB8yIromXbY/edit?gid=741673867"", ""out1g!A:B""), 2, FALSE), 0)"),3088.0)</f>
        <v>3088</v>
      </c>
      <c r="D364" s="2" t="str">
        <f>IFERROR(__xludf.DUMMYFUNCTION("IFERROR(VLOOKUP(A364, IMPORTRANGE(""https://docs.google.com/spreadsheets/d/1-3Vjw2Cyy-mry5gbC8ypIR3YVGFfEpyFESummAta6sg/edit"", ""Sheet1!B:D""), 2, FALSE), ""Not Found"")"),"wɛst")</f>
        <v>wɛst</v>
      </c>
      <c r="E364" s="2" t="str">
        <f>IFERROR(__xludf.DUMMYFUNCTION("IFERROR(VLOOKUP(A364, IMPORTRANGE(""https://docs.google.com/spreadsheets/d/1-3Vjw2Cyy-mry5gbC8ypIR3YVGFfEpyFESummAta6sg/edit"", ""Sheet1!B:D""), 3, FALSE), ""Not Found"")"),"w ɛ s t ")</f>
        <v>w ɛ s t </v>
      </c>
    </row>
    <row r="365">
      <c r="A365" s="1" t="s">
        <v>368</v>
      </c>
      <c r="B365" s="1" t="s">
        <v>5</v>
      </c>
      <c r="C365" s="2">
        <f>IFERROR(__xludf.DUMMYFUNCTION("IFERROR(VLOOKUP(A365, IMPORTRANGE(""https://docs.google.com/spreadsheets/d/1AVX9GT0dgogEBStecCXMMQ29tWz3gBrtNB8yIromXbY/edit?gid=741673867"", ""out1g!A:B""), 2, FALSE), 0)"),58.0)</f>
        <v>58</v>
      </c>
      <c r="D365" s="2" t="str">
        <f>IFERROR(__xludf.DUMMYFUNCTION("IFERROR(VLOOKUP(A365, IMPORTRANGE(""https://docs.google.com/spreadsheets/d/1-3Vjw2Cyy-mry5gbC8ypIR3YVGFfEpyFESummAta6sg/edit"", ""Sheet1!B:D""), 2, FALSE), ""Not Found"")"),"flɪnʧ")</f>
        <v>flɪnʧ</v>
      </c>
      <c r="E365" s="2" t="str">
        <f>IFERROR(__xludf.DUMMYFUNCTION("IFERROR(VLOOKUP(A365, IMPORTRANGE(""https://docs.google.com/spreadsheets/d/1-3Vjw2Cyy-mry5gbC8ypIR3YVGFfEpyFESummAta6sg/edit"", ""Sheet1!B:D""), 3, FALSE), ""Not Found"")"),"f l ɪ n ʧ ")</f>
        <v>f l ɪ n ʧ </v>
      </c>
    </row>
    <row r="366">
      <c r="A366" s="1" t="s">
        <v>369</v>
      </c>
      <c r="B366" s="1" t="s">
        <v>5</v>
      </c>
      <c r="C366" s="2">
        <f>IFERROR(__xludf.DUMMYFUNCTION("IFERROR(VLOOKUP(A366, IMPORTRANGE(""https://docs.google.com/spreadsheets/d/1AVX9GT0dgogEBStecCXMMQ29tWz3gBrtNB8yIromXbY/edit?gid=741673867"", ""out1g!A:B""), 2, FALSE), 0)"),334.0)</f>
        <v>334</v>
      </c>
      <c r="D366" s="2" t="str">
        <f>IFERROR(__xludf.DUMMYFUNCTION("IFERROR(VLOOKUP(A366, IMPORTRANGE(""https://docs.google.com/spreadsheets/d/1-3Vjw2Cyy-mry5gbC8ypIR3YVGFfEpyFESummAta6sg/edit"", ""Sheet1!B:D""), 2, FALSE), ""Not Found"")"),"sæmən")</f>
        <v>sæmən</v>
      </c>
      <c r="E366" s="2" t="str">
        <f>IFERROR(__xludf.DUMMYFUNCTION("IFERROR(VLOOKUP(A366, IMPORTRANGE(""https://docs.google.com/spreadsheets/d/1-3Vjw2Cyy-mry5gbC8ypIR3YVGFfEpyFESummAta6sg/edit"", ""Sheet1!B:D""), 3, FALSE), ""Not Found"")"),"s æ m ə n ")</f>
        <v>s æ m ə n </v>
      </c>
    </row>
    <row r="367">
      <c r="A367" s="1" t="s">
        <v>370</v>
      </c>
      <c r="B367" s="1" t="s">
        <v>5</v>
      </c>
      <c r="C367" s="2">
        <f>IFERROR(__xludf.DUMMYFUNCTION("IFERROR(VLOOKUP(A367, IMPORTRANGE(""https://docs.google.com/spreadsheets/d/1AVX9GT0dgogEBStecCXMMQ29tWz3gBrtNB8yIromXbY/edit?gid=741673867"", ""out1g!A:B""), 2, FALSE), 0)"),322.0)</f>
        <v>322</v>
      </c>
      <c r="D367" s="2" t="str">
        <f>IFERROR(__xludf.DUMMYFUNCTION("IFERROR(VLOOKUP(A367, IMPORTRANGE(""https://docs.google.com/spreadsheets/d/1-3Vjw2Cyy-mry5gbC8ypIR3YVGFfEpyFESummAta6sg/edit"", ""Sheet1!B:D""), 2, FALSE), ""Not Found"")"),"testi")</f>
        <v>testi</v>
      </c>
      <c r="E367" s="2" t="str">
        <f>IFERROR(__xludf.DUMMYFUNCTION("IFERROR(VLOOKUP(A367, IMPORTRANGE(""https://docs.google.com/spreadsheets/d/1-3Vjw2Cyy-mry5gbC8ypIR3YVGFfEpyFESummAta6sg/edit"", ""Sheet1!B:D""), 3, FALSE), ""Not Found"")"),"t e s t i ")</f>
        <v>t e s t i </v>
      </c>
    </row>
    <row r="368">
      <c r="A368" s="1" t="s">
        <v>371</v>
      </c>
      <c r="B368" s="1" t="s">
        <v>5</v>
      </c>
      <c r="C368" s="2">
        <f>IFERROR(__xludf.DUMMYFUNCTION("IFERROR(VLOOKUP(A368, IMPORTRANGE(""https://docs.google.com/spreadsheets/d/1AVX9GT0dgogEBStecCXMMQ29tWz3gBrtNB8yIromXbY/edit?gid=741673867"", ""out1g!A:B""), 2, FALSE), 0)"),65.0)</f>
        <v>65</v>
      </c>
      <c r="D368" s="2" t="str">
        <f>IFERROR(__xludf.DUMMYFUNCTION("IFERROR(VLOOKUP(A368, IMPORTRANGE(""https://docs.google.com/spreadsheets/d/1-3Vjw2Cyy-mry5gbC8ypIR3YVGFfEpyFESummAta6sg/edit"", ""Sheet1!B:D""), 2, FALSE), ""Not Found"")"),"wɔrf")</f>
        <v>wɔrf</v>
      </c>
      <c r="E368" s="2" t="str">
        <f>IFERROR(__xludf.DUMMYFUNCTION("IFERROR(VLOOKUP(A368, IMPORTRANGE(""https://docs.google.com/spreadsheets/d/1-3Vjw2Cyy-mry5gbC8ypIR3YVGFfEpyFESummAta6sg/edit"", ""Sheet1!B:D""), 3, FALSE), ""Not Found"")"),"w ɔ r f ")</f>
        <v>w ɔ r f </v>
      </c>
    </row>
    <row r="369">
      <c r="A369" s="1" t="s">
        <v>372</v>
      </c>
      <c r="B369" s="1" t="s">
        <v>5</v>
      </c>
      <c r="C369" s="2">
        <f>IFERROR(__xludf.DUMMYFUNCTION("IFERROR(VLOOKUP(A369, IMPORTRANGE(""https://docs.google.com/spreadsheets/d/1AVX9GT0dgogEBStecCXMMQ29tWz3gBrtNB8yIromXbY/edit?gid=741673867"", ""out1g!A:B""), 2, FALSE), 0)"),237.0)</f>
        <v>237</v>
      </c>
      <c r="D369" s="2" t="str">
        <f>IFERROR(__xludf.DUMMYFUNCTION("IFERROR(VLOOKUP(A369, IMPORTRANGE(""https://docs.google.com/spreadsheets/d/1-3Vjw2Cyy-mry5gbC8ypIR3YVGFfEpyFESummAta6sg/edit"", ""Sheet1!B:D""), 2, FALSE), ""Not Found"")"),"ərbən")</f>
        <v>ərbən</v>
      </c>
      <c r="E369" s="2" t="str">
        <f>IFERROR(__xludf.DUMMYFUNCTION("IFERROR(VLOOKUP(A369, IMPORTRANGE(""https://docs.google.com/spreadsheets/d/1-3Vjw2Cyy-mry5gbC8ypIR3YVGFfEpyFESummAta6sg/edit"", ""Sheet1!B:D""), 3, FALSE), ""Not Found"")"),"ə r b ə n ")</f>
        <v>ə r b ə n </v>
      </c>
    </row>
    <row r="370">
      <c r="A370" s="1" t="s">
        <v>373</v>
      </c>
      <c r="B370" s="1" t="s">
        <v>5</v>
      </c>
      <c r="C370" s="2">
        <f>IFERROR(__xludf.DUMMYFUNCTION("IFERROR(VLOOKUP(A370, IMPORTRANGE(""https://docs.google.com/spreadsheets/d/1AVX9GT0dgogEBStecCXMMQ29tWz3gBrtNB8yIromXbY/edit?gid=741673867"", ""out1g!A:B""), 2, FALSE), 0)"),27.0)</f>
        <v>27</v>
      </c>
      <c r="D370" s="2" t="str">
        <f>IFERROR(__xludf.DUMMYFUNCTION("IFERROR(VLOOKUP(A370, IMPORTRANGE(""https://docs.google.com/spreadsheets/d/1-3Vjw2Cyy-mry5gbC8ypIR3YVGFfEpyFESummAta6sg/edit"", ""Sheet1!B:D""), 2, FALSE), ""Not Found"")"),"pərʤd")</f>
        <v>pərʤd</v>
      </c>
      <c r="E370" s="2" t="str">
        <f>IFERROR(__xludf.DUMMYFUNCTION("IFERROR(VLOOKUP(A370, IMPORTRANGE(""https://docs.google.com/spreadsheets/d/1-3Vjw2Cyy-mry5gbC8ypIR3YVGFfEpyFESummAta6sg/edit"", ""Sheet1!B:D""), 3, FALSE), ""Not Found"")"),"p ə r ʤ d ")</f>
        <v>p ə r ʤ d </v>
      </c>
    </row>
    <row r="371">
      <c r="A371" s="1" t="s">
        <v>374</v>
      </c>
      <c r="B371" s="1" t="s">
        <v>5</v>
      </c>
      <c r="C371" s="2">
        <f>IFERROR(__xludf.DUMMYFUNCTION("IFERROR(VLOOKUP(A371, IMPORTRANGE(""https://docs.google.com/spreadsheets/d/1AVX9GT0dgogEBStecCXMMQ29tWz3gBrtNB8yIromXbY/edit?gid=741673867"", ""out1g!A:B""), 2, FALSE), 0)"),1600.0)</f>
        <v>1600</v>
      </c>
      <c r="D371" s="2" t="str">
        <f>IFERROR(__xludf.DUMMYFUNCTION("IFERROR(VLOOKUP(A371, IMPORTRANGE(""https://docs.google.com/spreadsheets/d/1-3Vjw2Cyy-mry5gbC8ypIR3YVGFfEpyFESummAta6sg/edit"", ""Sheet1!B:D""), 2, FALSE), ""Not Found"")"),"ɔsəm")</f>
        <v>ɔsəm</v>
      </c>
      <c r="E371" s="2" t="str">
        <f>IFERROR(__xludf.DUMMYFUNCTION("IFERROR(VLOOKUP(A371, IMPORTRANGE(""https://docs.google.com/spreadsheets/d/1-3Vjw2Cyy-mry5gbC8ypIR3YVGFfEpyFESummAta6sg/edit"", ""Sheet1!B:D""), 3, FALSE), ""Not Found"")"),"ɔ s ə m ")</f>
        <v>ɔ s ə m </v>
      </c>
    </row>
    <row r="372">
      <c r="A372" s="1" t="s">
        <v>375</v>
      </c>
      <c r="B372" s="1" t="s">
        <v>5</v>
      </c>
      <c r="C372" s="2">
        <f>IFERROR(__xludf.DUMMYFUNCTION("IFERROR(VLOOKUP(A372, IMPORTRANGE(""https://docs.google.com/spreadsheets/d/1AVX9GT0dgogEBStecCXMMQ29tWz3gBrtNB8yIromXbY/edit?gid=741673867"", ""out1g!A:B""), 2, FALSE), 0)"),94.0)</f>
        <v>94</v>
      </c>
      <c r="D372" s="2" t="str">
        <f>IFERROR(__xludf.DUMMYFUNCTION("IFERROR(VLOOKUP(A372, IMPORTRANGE(""https://docs.google.com/spreadsheets/d/1-3Vjw2Cyy-mry5gbC8ypIR3YVGFfEpyFESummAta6sg/edit"", ""Sheet1!B:D""), 2, FALSE), ""Not Found"")"),"testɪŋ")</f>
        <v>testɪŋ</v>
      </c>
      <c r="E372" s="2" t="str">
        <f>IFERROR(__xludf.DUMMYFUNCTION("IFERROR(VLOOKUP(A372, IMPORTRANGE(""https://docs.google.com/spreadsheets/d/1-3Vjw2Cyy-mry5gbC8ypIR3YVGFfEpyFESummAta6sg/edit"", ""Sheet1!B:D""), 3, FALSE), ""Not Found"")"),"t e s t ɪ ŋ ")</f>
        <v>t e s t ɪ ŋ </v>
      </c>
    </row>
    <row r="373">
      <c r="A373" s="1" t="s">
        <v>376</v>
      </c>
      <c r="B373" s="1" t="s">
        <v>5</v>
      </c>
      <c r="C373" s="2">
        <f>IFERROR(__xludf.DUMMYFUNCTION("IFERROR(VLOOKUP(A373, IMPORTRANGE(""https://docs.google.com/spreadsheets/d/1AVX9GT0dgogEBStecCXMMQ29tWz3gBrtNB8yIromXbY/edit?gid=741673867"", ""out1g!A:B""), 2, FALSE), 0)"),10.0)</f>
        <v>10</v>
      </c>
      <c r="D373" s="2" t="str">
        <f>IFERROR(__xludf.DUMMYFUNCTION("IFERROR(VLOOKUP(A373, IMPORTRANGE(""https://docs.google.com/spreadsheets/d/1-3Vjw2Cyy-mry5gbC8ypIR3YVGFfEpyFESummAta6sg/edit"", ""Sheet1!B:D""), 2, FALSE), ""Not Found"")"),"lɔɪəli")</f>
        <v>lɔɪəli</v>
      </c>
      <c r="E373" s="2" t="str">
        <f>IFERROR(__xludf.DUMMYFUNCTION("IFERROR(VLOOKUP(A373, IMPORTRANGE(""https://docs.google.com/spreadsheets/d/1-3Vjw2Cyy-mry5gbC8ypIR3YVGFfEpyFESummAta6sg/edit"", ""Sheet1!B:D""), 3, FALSE), ""Not Found"")"),"l ɔ ɪ ə l i ")</f>
        <v>l ɔ ɪ ə l i </v>
      </c>
    </row>
    <row r="374">
      <c r="A374" s="1" t="s">
        <v>377</v>
      </c>
      <c r="B374" s="1" t="s">
        <v>5</v>
      </c>
      <c r="C374" s="2">
        <f>IFERROR(__xludf.DUMMYFUNCTION("IFERROR(VLOOKUP(A374, IMPORTRANGE(""https://docs.google.com/spreadsheets/d/1AVX9GT0dgogEBStecCXMMQ29tWz3gBrtNB8yIromXbY/edit?gid=741673867"", ""out1g!A:B""), 2, FALSE), 0)"),2181.0)</f>
        <v>2181</v>
      </c>
      <c r="D374" s="2" t="str">
        <f>IFERROR(__xludf.DUMMYFUNCTION("IFERROR(VLOOKUP(A374, IMPORTRANGE(""https://docs.google.com/spreadsheets/d/1-3Vjw2Cyy-mry5gbC8ypIR3YVGFfEpyFESummAta6sg/edit"", ""Sheet1!B:D""), 2, FALSE), ""Not Found"")"),"ʤʊri")</f>
        <v>ʤʊri</v>
      </c>
      <c r="E374" s="2" t="str">
        <f>IFERROR(__xludf.DUMMYFUNCTION("IFERROR(VLOOKUP(A374, IMPORTRANGE(""https://docs.google.com/spreadsheets/d/1-3Vjw2Cyy-mry5gbC8ypIR3YVGFfEpyFESummAta6sg/edit"", ""Sheet1!B:D""), 3, FALSE), ""Not Found"")"),"ʤ ʊ r i ")</f>
        <v>ʤ ʊ r i </v>
      </c>
    </row>
    <row r="375">
      <c r="A375" s="1" t="s">
        <v>378</v>
      </c>
      <c r="B375" s="1" t="s">
        <v>5</v>
      </c>
      <c r="C375" s="2">
        <f>IFERROR(__xludf.DUMMYFUNCTION("IFERROR(VLOOKUP(A375, IMPORTRANGE(""https://docs.google.com/spreadsheets/d/1AVX9GT0dgogEBStecCXMMQ29tWz3gBrtNB8yIromXbY/edit?gid=741673867"", ""out1g!A:B""), 2, FALSE), 0)"),47.0)</f>
        <v>47</v>
      </c>
      <c r="D375" s="2" t="str">
        <f>IFERROR(__xludf.DUMMYFUNCTION("IFERROR(VLOOKUP(A375, IMPORTRANGE(""https://docs.google.com/spreadsheets/d/1-3Vjw2Cyy-mry5gbC8ypIR3YVGFfEpyFESummAta6sg/edit"", ""Sheet1!B:D""), 2, FALSE), ""Not Found"")"),"hɪpi")</f>
        <v>hɪpi</v>
      </c>
      <c r="E375" s="2" t="str">
        <f>IFERROR(__xludf.DUMMYFUNCTION("IFERROR(VLOOKUP(A375, IMPORTRANGE(""https://docs.google.com/spreadsheets/d/1-3Vjw2Cyy-mry5gbC8ypIR3YVGFfEpyFESummAta6sg/edit"", ""Sheet1!B:D""), 3, FALSE), ""Not Found"")"),"h ɪ p i ")</f>
        <v>h ɪ p i </v>
      </c>
    </row>
    <row r="376">
      <c r="A376" s="1" t="s">
        <v>379</v>
      </c>
      <c r="B376" s="1" t="s">
        <v>5</v>
      </c>
      <c r="C376" s="2">
        <f>IFERROR(__xludf.DUMMYFUNCTION("IFERROR(VLOOKUP(A376, IMPORTRANGE(""https://docs.google.com/spreadsheets/d/1AVX9GT0dgogEBStecCXMMQ29tWz3gBrtNB8yIromXbY/edit?gid=741673867"", ""out1g!A:B""), 2, FALSE), 0)"),2114.0)</f>
        <v>2114</v>
      </c>
      <c r="D376" s="2" t="str">
        <f>IFERROR(__xludf.DUMMYFUNCTION("IFERROR(VLOOKUP(A376, IMPORTRANGE(""https://docs.google.com/spreadsheets/d/1-3Vjw2Cyy-mry5gbC8ypIR3YVGFfEpyFESummAta6sg/edit"", ""Sheet1!B:D""), 2, FALSE), ""Not Found"")"),"lɑrʤ")</f>
        <v>lɑrʤ</v>
      </c>
      <c r="E376" s="2" t="str">
        <f>IFERROR(__xludf.DUMMYFUNCTION("IFERROR(VLOOKUP(A376, IMPORTRANGE(""https://docs.google.com/spreadsheets/d/1-3Vjw2Cyy-mry5gbC8ypIR3YVGFfEpyFESummAta6sg/edit"", ""Sheet1!B:D""), 3, FALSE), ""Not Found"")"),"l ɑ r ʤ ")</f>
        <v>l ɑ r ʤ </v>
      </c>
    </row>
    <row r="377">
      <c r="A377" s="1" t="s">
        <v>380</v>
      </c>
      <c r="B377" s="1" t="s">
        <v>5</v>
      </c>
      <c r="C377" s="2">
        <f>IFERROR(__xludf.DUMMYFUNCTION("IFERROR(VLOOKUP(A377, IMPORTRANGE(""https://docs.google.com/spreadsheets/d/1AVX9GT0dgogEBStecCXMMQ29tWz3gBrtNB8yIromXbY/edit?gid=741673867"", ""out1g!A:B""), 2, FALSE), 0)"),144.0)</f>
        <v>144</v>
      </c>
      <c r="D377" s="2" t="str">
        <f>IFERROR(__xludf.DUMMYFUNCTION("IFERROR(VLOOKUP(A377, IMPORTRANGE(""https://docs.google.com/spreadsheets/d/1-3Vjw2Cyy-mry5gbC8ypIR3YVGFfEpyFESummAta6sg/edit"", ""Sheet1!B:D""), 2, FALSE), ""Not Found"")"),"bɔɪlər")</f>
        <v>bɔɪlər</v>
      </c>
      <c r="E377" s="2" t="str">
        <f>IFERROR(__xludf.DUMMYFUNCTION("IFERROR(VLOOKUP(A377, IMPORTRANGE(""https://docs.google.com/spreadsheets/d/1-3Vjw2Cyy-mry5gbC8ypIR3YVGFfEpyFESummAta6sg/edit"", ""Sheet1!B:D""), 3, FALSE), ""Not Found"")"),"b ɔ ɪ l ə r ")</f>
        <v>b ɔ ɪ l ə r </v>
      </c>
    </row>
    <row r="378">
      <c r="A378" s="1" t="s">
        <v>381</v>
      </c>
      <c r="B378" s="1" t="s">
        <v>5</v>
      </c>
      <c r="C378" s="2">
        <f>IFERROR(__xludf.DUMMYFUNCTION("IFERROR(VLOOKUP(A378, IMPORTRANGE(""https://docs.google.com/spreadsheets/d/1AVX9GT0dgogEBStecCXMMQ29tWz3gBrtNB8yIromXbY/edit?gid=741673867"", ""out1g!A:B""), 2, FALSE), 0)"),25.0)</f>
        <v>25</v>
      </c>
      <c r="D378" s="2" t="str">
        <f>IFERROR(__xludf.DUMMYFUNCTION("IFERROR(VLOOKUP(A378, IMPORTRANGE(""https://docs.google.com/spreadsheets/d/1-3Vjw2Cyy-mry5gbC8ypIR3YVGFfEpyFESummAta6sg/edit"", ""Sheet1!B:D""), 2, FALSE), ""Not Found"")"),"ʃiθ")</f>
        <v>ʃiθ</v>
      </c>
      <c r="E378" s="2" t="str">
        <f>IFERROR(__xludf.DUMMYFUNCTION("IFERROR(VLOOKUP(A378, IMPORTRANGE(""https://docs.google.com/spreadsheets/d/1-3Vjw2Cyy-mry5gbC8ypIR3YVGFfEpyFESummAta6sg/edit"", ""Sheet1!B:D""), 3, FALSE), ""Not Found"")"),"ʃ i θ ")</f>
        <v>ʃ i θ </v>
      </c>
    </row>
    <row r="379">
      <c r="A379" s="1" t="s">
        <v>382</v>
      </c>
      <c r="B379" s="1" t="s">
        <v>5</v>
      </c>
      <c r="C379" s="2">
        <f>IFERROR(__xludf.DUMMYFUNCTION("IFERROR(VLOOKUP(A379, IMPORTRANGE(""https://docs.google.com/spreadsheets/d/1AVX9GT0dgogEBStecCXMMQ29tWz3gBrtNB8yIromXbY/edit?gid=741673867"", ""out1g!A:B""), 2, FALSE), 0)"),316.0)</f>
        <v>316</v>
      </c>
      <c r="D379" s="2" t="str">
        <f>IFERROR(__xludf.DUMMYFUNCTION("IFERROR(VLOOKUP(A379, IMPORTRANGE(""https://docs.google.com/spreadsheets/d/1-3Vjw2Cyy-mry5gbC8ypIR3YVGFfEpyFESummAta6sg/edit"", ""Sheet1!B:D""), 2, FALSE), ""Not Found"")"),"sten")</f>
        <v>sten</v>
      </c>
      <c r="E379" s="2" t="str">
        <f>IFERROR(__xludf.DUMMYFUNCTION("IFERROR(VLOOKUP(A379, IMPORTRANGE(""https://docs.google.com/spreadsheets/d/1-3Vjw2Cyy-mry5gbC8ypIR3YVGFfEpyFESummAta6sg/edit"", ""Sheet1!B:D""), 3, FALSE), ""Not Found"")"),"s t e n ")</f>
        <v>s t e n </v>
      </c>
    </row>
    <row r="380">
      <c r="A380" s="1" t="s">
        <v>383</v>
      </c>
      <c r="B380" s="1" t="s">
        <v>5</v>
      </c>
      <c r="C380" s="2">
        <f>IFERROR(__xludf.DUMMYFUNCTION("IFERROR(VLOOKUP(A380, IMPORTRANGE(""https://docs.google.com/spreadsheets/d/1AVX9GT0dgogEBStecCXMMQ29tWz3gBrtNB8yIromXbY/edit?gid=741673867"", ""out1g!A:B""), 2, FALSE), 0)"),182.0)</f>
        <v>182</v>
      </c>
      <c r="D380" s="2" t="str">
        <f>IFERROR(__xludf.DUMMYFUNCTION("IFERROR(VLOOKUP(A380, IMPORTRANGE(""https://docs.google.com/spreadsheets/d/1-3Vjw2Cyy-mry5gbC8ypIR3YVGFfEpyFESummAta6sg/edit"", ""Sheet1!B:D""), 2, FALSE), ""Not Found"")"),"hɔnt")</f>
        <v>hɔnt</v>
      </c>
      <c r="E380" s="2" t="str">
        <f>IFERROR(__xludf.DUMMYFUNCTION("IFERROR(VLOOKUP(A380, IMPORTRANGE(""https://docs.google.com/spreadsheets/d/1-3Vjw2Cyy-mry5gbC8ypIR3YVGFfEpyFESummAta6sg/edit"", ""Sheet1!B:D""), 3, FALSE), ""Not Found"")"),"h ɔ n t ")</f>
        <v>h ɔ n t </v>
      </c>
    </row>
    <row r="381">
      <c r="A381" s="1" t="s">
        <v>384</v>
      </c>
      <c r="B381" s="1" t="s">
        <v>5</v>
      </c>
      <c r="C381" s="2">
        <f>IFERROR(__xludf.DUMMYFUNCTION("IFERROR(VLOOKUP(A381, IMPORTRANGE(""https://docs.google.com/spreadsheets/d/1AVX9GT0dgogEBStecCXMMQ29tWz3gBrtNB8yIromXbY/edit?gid=741673867"", ""out1g!A:B""), 2, FALSE), 0)"),251.0)</f>
        <v>251</v>
      </c>
      <c r="D381" s="2" t="str">
        <f>IFERROR(__xludf.DUMMYFUNCTION("IFERROR(VLOOKUP(A381, IMPORTRANGE(""https://docs.google.com/spreadsheets/d/1-3Vjw2Cyy-mry5gbC8ypIR3YVGFfEpyFESummAta6sg/edit"", ""Sheet1!B:D""), 2, FALSE), ""Not Found"")"),"mæps")</f>
        <v>mæps</v>
      </c>
      <c r="E381" s="2" t="str">
        <f>IFERROR(__xludf.DUMMYFUNCTION("IFERROR(VLOOKUP(A381, IMPORTRANGE(""https://docs.google.com/spreadsheets/d/1-3Vjw2Cyy-mry5gbC8ypIR3YVGFfEpyFESummAta6sg/edit"", ""Sheet1!B:D""), 3, FALSE), ""Not Found"")"),"m æ p s ")</f>
        <v>m æ p s </v>
      </c>
    </row>
    <row r="382">
      <c r="A382" s="1" t="s">
        <v>385</v>
      </c>
      <c r="B382" s="1" t="s">
        <v>5</v>
      </c>
      <c r="C382" s="2">
        <f>IFERROR(__xludf.DUMMYFUNCTION("IFERROR(VLOOKUP(A382, IMPORTRANGE(""https://docs.google.com/spreadsheets/d/1AVX9GT0dgogEBStecCXMMQ29tWz3gBrtNB8yIromXbY/edit?gid=741673867"", ""out1g!A:B""), 2, FALSE), 0)"),331.0)</f>
        <v>331</v>
      </c>
      <c r="D382" s="2" t="str">
        <f>IFERROR(__xludf.DUMMYFUNCTION("IFERROR(VLOOKUP(A382, IMPORTRANGE(""https://docs.google.com/spreadsheets/d/1-3Vjw2Cyy-mry5gbC8ypIR3YVGFfEpyFESummAta6sg/edit"", ""Sheet1!B:D""), 2, FALSE), ""Not Found"")"),"sloʊn")</f>
        <v>sloʊn</v>
      </c>
      <c r="E382" s="2" t="str">
        <f>IFERROR(__xludf.DUMMYFUNCTION("IFERROR(VLOOKUP(A382, IMPORTRANGE(""https://docs.google.com/spreadsheets/d/1-3Vjw2Cyy-mry5gbC8ypIR3YVGFfEpyFESummAta6sg/edit"", ""Sheet1!B:D""), 3, FALSE), ""Not Found"")"),"s l o ʊ n ")</f>
        <v>s l o ʊ n </v>
      </c>
    </row>
    <row r="383">
      <c r="A383" s="1" t="s">
        <v>386</v>
      </c>
      <c r="B383" s="1" t="s">
        <v>5</v>
      </c>
      <c r="C383" s="2">
        <f>IFERROR(__xludf.DUMMYFUNCTION("IFERROR(VLOOKUP(A383, IMPORTRANGE(""https://docs.google.com/spreadsheets/d/1AVX9GT0dgogEBStecCXMMQ29tWz3gBrtNB8yIromXbY/edit?gid=741673867"", ""out1g!A:B""), 2, FALSE), 0)"),391.0)</f>
        <v>391</v>
      </c>
      <c r="D383" s="2" t="str">
        <f>IFERROR(__xludf.DUMMYFUNCTION("IFERROR(VLOOKUP(A383, IMPORTRANGE(""https://docs.google.com/spreadsheets/d/1-3Vjw2Cyy-mry5gbC8ypIR3YVGFfEpyFESummAta6sg/edit"", ""Sheet1!B:D""), 2, FALSE), ""Not Found"")"),"si")</f>
        <v>si</v>
      </c>
      <c r="E383" s="2" t="str">
        <f>IFERROR(__xludf.DUMMYFUNCTION("IFERROR(VLOOKUP(A383, IMPORTRANGE(""https://docs.google.com/spreadsheets/d/1-3Vjw2Cyy-mry5gbC8ypIR3YVGFfEpyFESummAta6sg/edit"", ""Sheet1!B:D""), 3, FALSE), ""Not Found"")"),"s i ")</f>
        <v>s i </v>
      </c>
    </row>
    <row r="384">
      <c r="A384" s="1" t="s">
        <v>387</v>
      </c>
      <c r="B384" s="1" t="s">
        <v>5</v>
      </c>
      <c r="C384" s="2">
        <f>IFERROR(__xludf.DUMMYFUNCTION("IFERROR(VLOOKUP(A384, IMPORTRANGE(""https://docs.google.com/spreadsheets/d/1AVX9GT0dgogEBStecCXMMQ29tWz3gBrtNB8yIromXbY/edit?gid=741673867"", ""out1g!A:B""), 2, FALSE), 0)"),178.0)</f>
        <v>178</v>
      </c>
      <c r="D384" s="2" t="str">
        <f>IFERROR(__xludf.DUMMYFUNCTION("IFERROR(VLOOKUP(A384, IMPORTRANGE(""https://docs.google.com/spreadsheets/d/1-3Vjw2Cyy-mry5gbC8ypIR3YVGFfEpyFESummAta6sg/edit"", ""Sheet1!B:D""), 2, FALSE), ""Not Found"")"),"ʤini")</f>
        <v>ʤini</v>
      </c>
      <c r="E384" s="2" t="str">
        <f>IFERROR(__xludf.DUMMYFUNCTION("IFERROR(VLOOKUP(A384, IMPORTRANGE(""https://docs.google.com/spreadsheets/d/1-3Vjw2Cyy-mry5gbC8ypIR3YVGFfEpyFESummAta6sg/edit"", ""Sheet1!B:D""), 3, FALSE), ""Not Found"")"),"ʤ i n i ")</f>
        <v>ʤ i n i </v>
      </c>
    </row>
    <row r="385">
      <c r="A385" s="1" t="s">
        <v>388</v>
      </c>
      <c r="B385" s="1" t="s">
        <v>5</v>
      </c>
      <c r="C385" s="2">
        <f>IFERROR(__xludf.DUMMYFUNCTION("IFERROR(VLOOKUP(A385, IMPORTRANGE(""https://docs.google.com/spreadsheets/d/1AVX9GT0dgogEBStecCXMMQ29tWz3gBrtNB8yIromXbY/edit?gid=741673867"", ""out1g!A:B""), 2, FALSE), 0)"),2737.0)</f>
        <v>2737</v>
      </c>
      <c r="D385" s="2" t="str">
        <f>IFERROR(__xludf.DUMMYFUNCTION("IFERROR(VLOOKUP(A385, IMPORTRANGE(""https://docs.google.com/spreadsheets/d/1-3Vjw2Cyy-mry5gbC8ypIR3YVGFfEpyFESummAta6sg/edit"", ""Sheet1!B:D""), 2, FALSE), ""Not Found"")"),"wɔkt")</f>
        <v>wɔkt</v>
      </c>
      <c r="E385" s="2" t="str">
        <f>IFERROR(__xludf.DUMMYFUNCTION("IFERROR(VLOOKUP(A385, IMPORTRANGE(""https://docs.google.com/spreadsheets/d/1-3Vjw2Cyy-mry5gbC8ypIR3YVGFfEpyFESummAta6sg/edit"", ""Sheet1!B:D""), 3, FALSE), ""Not Found"")"),"w ɔ k t ")</f>
        <v>w ɔ k t </v>
      </c>
    </row>
    <row r="386">
      <c r="A386" s="1" t="s">
        <v>389</v>
      </c>
      <c r="B386" s="1" t="s">
        <v>5</v>
      </c>
      <c r="C386" s="2">
        <f>IFERROR(__xludf.DUMMYFUNCTION("IFERROR(VLOOKUP(A386, IMPORTRANGE(""https://docs.google.com/spreadsheets/d/1AVX9GT0dgogEBStecCXMMQ29tWz3gBrtNB8yIromXbY/edit?gid=741673867"", ""out1g!A:B""), 2, FALSE), 0)"),30.0)</f>
        <v>30</v>
      </c>
      <c r="D386" s="2" t="str">
        <f>IFERROR(__xludf.DUMMYFUNCTION("IFERROR(VLOOKUP(A386, IMPORTRANGE(""https://docs.google.com/spreadsheets/d/1-3Vjw2Cyy-mry5gbC8ypIR3YVGFfEpyFESummAta6sg/edit"", ""Sheet1!B:D""), 2, FALSE), ""Not Found"")"),"blezərz")</f>
        <v>blezərz</v>
      </c>
      <c r="E386" s="2" t="str">
        <f>IFERROR(__xludf.DUMMYFUNCTION("IFERROR(VLOOKUP(A386, IMPORTRANGE(""https://docs.google.com/spreadsheets/d/1-3Vjw2Cyy-mry5gbC8ypIR3YVGFfEpyFESummAta6sg/edit"", ""Sheet1!B:D""), 3, FALSE), ""Not Found"")"),"b l e z ə r z ")</f>
        <v>b l e z ə r z </v>
      </c>
    </row>
    <row r="387">
      <c r="A387" s="1" t="s">
        <v>390</v>
      </c>
      <c r="B387" s="1" t="s">
        <v>5</v>
      </c>
      <c r="C387" s="2">
        <f>IFERROR(__xludf.DUMMYFUNCTION("IFERROR(VLOOKUP(A387, IMPORTRANGE(""https://docs.google.com/spreadsheets/d/1AVX9GT0dgogEBStecCXMMQ29tWz3gBrtNB8yIromXbY/edit?gid=741673867"", ""out1g!A:B""), 2, FALSE), 0)"),368.0)</f>
        <v>368</v>
      </c>
      <c r="D387" s="2" t="str">
        <f>IFERROR(__xludf.DUMMYFUNCTION("IFERROR(VLOOKUP(A387, IMPORTRANGE(""https://docs.google.com/spreadsheets/d/1-3Vjw2Cyy-mry5gbC8ypIR3YVGFfEpyFESummAta6sg/edit"", ""Sheet1!B:D""), 2, FALSE), ""Not Found"")"),"bʊli")</f>
        <v>bʊli</v>
      </c>
      <c r="E387" s="2" t="str">
        <f>IFERROR(__xludf.DUMMYFUNCTION("IFERROR(VLOOKUP(A387, IMPORTRANGE(""https://docs.google.com/spreadsheets/d/1-3Vjw2Cyy-mry5gbC8ypIR3YVGFfEpyFESummAta6sg/edit"", ""Sheet1!B:D""), 3, FALSE), ""Not Found"")"),"b ʊ l i ")</f>
        <v>b ʊ l i </v>
      </c>
    </row>
    <row r="388">
      <c r="A388" s="1" t="s">
        <v>391</v>
      </c>
      <c r="B388" s="1" t="s">
        <v>5</v>
      </c>
      <c r="C388" s="2">
        <f>IFERROR(__xludf.DUMMYFUNCTION("IFERROR(VLOOKUP(A388, IMPORTRANGE(""https://docs.google.com/spreadsheets/d/1AVX9GT0dgogEBStecCXMMQ29tWz3gBrtNB8yIromXbY/edit?gid=741673867"", ""out1g!A:B""), 2, FALSE), 0)"),263.0)</f>
        <v>263</v>
      </c>
      <c r="D388" s="2" t="str">
        <f>IFERROR(__xludf.DUMMYFUNCTION("IFERROR(VLOOKUP(A388, IMPORTRANGE(""https://docs.google.com/spreadsheets/d/1-3Vjw2Cyy-mry5gbC8ypIR3YVGFfEpyFESummAta6sg/edit"", ""Sheet1!B:D""), 2, FALSE), ""Not Found"")"),"fe")</f>
        <v>fe</v>
      </c>
      <c r="E388" s="2" t="str">
        <f>IFERROR(__xludf.DUMMYFUNCTION("IFERROR(VLOOKUP(A388, IMPORTRANGE(""https://docs.google.com/spreadsheets/d/1-3Vjw2Cyy-mry5gbC8ypIR3YVGFfEpyFESummAta6sg/edit"", ""Sheet1!B:D""), 3, FALSE), ""Not Found"")"),"f e ")</f>
        <v>f e </v>
      </c>
    </row>
    <row r="389">
      <c r="A389" s="1" t="s">
        <v>392</v>
      </c>
      <c r="B389" s="1" t="s">
        <v>5</v>
      </c>
      <c r="C389" s="2">
        <f>IFERROR(__xludf.DUMMYFUNCTION("IFERROR(VLOOKUP(A389, IMPORTRANGE(""https://docs.google.com/spreadsheets/d/1AVX9GT0dgogEBStecCXMMQ29tWz3gBrtNB8yIromXbY/edit?gid=741673867"", ""out1g!A:B""), 2, FALSE), 0)"),2876.0)</f>
        <v>2876</v>
      </c>
      <c r="D389" s="2" t="str">
        <f>IFERROR(__xludf.DUMMYFUNCTION("IFERROR(VLOOKUP(A389, IMPORTRANGE(""https://docs.google.com/spreadsheets/d/1-3Vjw2Cyy-mry5gbC8ypIR3YVGFfEpyFESummAta6sg/edit"", ""Sheet1!B:D""), 2, FALSE), ""Not Found"")"),"kɛli")</f>
        <v>kɛli</v>
      </c>
      <c r="E389" s="2" t="str">
        <f>IFERROR(__xludf.DUMMYFUNCTION("IFERROR(VLOOKUP(A389, IMPORTRANGE(""https://docs.google.com/spreadsheets/d/1-3Vjw2Cyy-mry5gbC8ypIR3YVGFfEpyFESummAta6sg/edit"", ""Sheet1!B:D""), 3, FALSE), ""Not Found"")"),"k ɛ l i ")</f>
        <v>k ɛ l i </v>
      </c>
    </row>
    <row r="390">
      <c r="A390" s="1" t="s">
        <v>393</v>
      </c>
      <c r="B390" s="1" t="s">
        <v>5</v>
      </c>
      <c r="C390" s="2">
        <f>IFERROR(__xludf.DUMMYFUNCTION("IFERROR(VLOOKUP(A390, IMPORTRANGE(""https://docs.google.com/spreadsheets/d/1AVX9GT0dgogEBStecCXMMQ29tWz3gBrtNB8yIromXbY/edit?gid=741673867"", ""out1g!A:B""), 2, FALSE), 0)"),46.0)</f>
        <v>46</v>
      </c>
      <c r="D390" s="2" t="str">
        <f>IFERROR(__xludf.DUMMYFUNCTION("IFERROR(VLOOKUP(A390, IMPORTRANGE(""https://docs.google.com/spreadsheets/d/1-3Vjw2Cyy-mry5gbC8ypIR3YVGFfEpyFESummAta6sg/edit"", ""Sheet1!B:D""), 2, FALSE), ""Not Found"")"),"iz")</f>
        <v>iz</v>
      </c>
      <c r="E390" s="2" t="str">
        <f>IFERROR(__xludf.DUMMYFUNCTION("IFERROR(VLOOKUP(A390, IMPORTRANGE(""https://docs.google.com/spreadsheets/d/1-3Vjw2Cyy-mry5gbC8ypIR3YVGFfEpyFESummAta6sg/edit"", ""Sheet1!B:D""), 3, FALSE), ""Not Found"")"),"i z ")</f>
        <v>i z </v>
      </c>
    </row>
    <row r="391">
      <c r="A391" s="1" t="s">
        <v>394</v>
      </c>
      <c r="B391" s="1" t="s">
        <v>5</v>
      </c>
      <c r="C391" s="2">
        <f>IFERROR(__xludf.DUMMYFUNCTION("IFERROR(VLOOKUP(A391, IMPORTRANGE(""https://docs.google.com/spreadsheets/d/1AVX9GT0dgogEBStecCXMMQ29tWz3gBrtNB8yIromXbY/edit?gid=741673867"", ""out1g!A:B""), 2, FALSE), 0)"),376.0)</f>
        <v>376</v>
      </c>
      <c r="D391" s="2" t="str">
        <f>IFERROR(__xludf.DUMMYFUNCTION("IFERROR(VLOOKUP(A391, IMPORTRANGE(""https://docs.google.com/spreadsheets/d/1-3Vjw2Cyy-mry5gbC8ypIR3YVGFfEpyFESummAta6sg/edit"", ""Sheet1!B:D""), 2, FALSE), ""Not Found"")"),"wɛlθi")</f>
        <v>wɛlθi</v>
      </c>
      <c r="E391" s="2" t="str">
        <f>IFERROR(__xludf.DUMMYFUNCTION("IFERROR(VLOOKUP(A391, IMPORTRANGE(""https://docs.google.com/spreadsheets/d/1-3Vjw2Cyy-mry5gbC8ypIR3YVGFfEpyFESummAta6sg/edit"", ""Sheet1!B:D""), 3, FALSE), ""Not Found"")"),"w ɛ l θ i ")</f>
        <v>w ɛ l θ i </v>
      </c>
    </row>
    <row r="392">
      <c r="A392" s="1" t="s">
        <v>395</v>
      </c>
      <c r="B392" s="1" t="s">
        <v>5</v>
      </c>
      <c r="C392" s="2">
        <f>IFERROR(__xludf.DUMMYFUNCTION("IFERROR(VLOOKUP(A392, IMPORTRANGE(""https://docs.google.com/spreadsheets/d/1AVX9GT0dgogEBStecCXMMQ29tWz3gBrtNB8yIromXbY/edit?gid=741673867"", ""out1g!A:B""), 2, FALSE), 0)"),17.0)</f>
        <v>17</v>
      </c>
      <c r="D392" s="2" t="str">
        <f>IFERROR(__xludf.DUMMYFUNCTION("IFERROR(VLOOKUP(A392, IMPORTRANGE(""https://docs.google.com/spreadsheets/d/1-3Vjw2Cyy-mry5gbC8ypIR3YVGFfEpyFESummAta6sg/edit"", ""Sheet1!B:D""), 2, FALSE), ""Not Found"")"),"rɔrd")</f>
        <v>rɔrd</v>
      </c>
      <c r="E392" s="2" t="str">
        <f>IFERROR(__xludf.DUMMYFUNCTION("IFERROR(VLOOKUP(A392, IMPORTRANGE(""https://docs.google.com/spreadsheets/d/1-3Vjw2Cyy-mry5gbC8ypIR3YVGFfEpyFESummAta6sg/edit"", ""Sheet1!B:D""), 3, FALSE), ""Not Found"")"),"r ɔ r d ")</f>
        <v>r ɔ r d </v>
      </c>
    </row>
    <row r="393">
      <c r="A393" s="1" t="s">
        <v>396</v>
      </c>
      <c r="B393" s="1" t="s">
        <v>5</v>
      </c>
      <c r="C393" s="2">
        <f>IFERROR(__xludf.DUMMYFUNCTION("IFERROR(VLOOKUP(A393, IMPORTRANGE(""https://docs.google.com/spreadsheets/d/1AVX9GT0dgogEBStecCXMMQ29tWz3gBrtNB8yIromXbY/edit?gid=741673867"", ""out1g!A:B""), 2, FALSE), 0)"),160.0)</f>
        <v>160</v>
      </c>
      <c r="D393" s="2" t="str">
        <f>IFERROR(__xludf.DUMMYFUNCTION("IFERROR(VLOOKUP(A393, IMPORTRANGE(""https://docs.google.com/spreadsheets/d/1-3Vjw2Cyy-mry5gbC8ypIR3YVGFfEpyFESummAta6sg/edit"", ""Sheet1!B:D""), 2, FALSE), ""Not Found"")"),"tɑr")</f>
        <v>tɑr</v>
      </c>
      <c r="E393" s="2" t="str">
        <f>IFERROR(__xludf.DUMMYFUNCTION("IFERROR(VLOOKUP(A393, IMPORTRANGE(""https://docs.google.com/spreadsheets/d/1-3Vjw2Cyy-mry5gbC8ypIR3YVGFfEpyFESummAta6sg/edit"", ""Sheet1!B:D""), 3, FALSE), ""Not Found"")"),"t ɑ r ")</f>
        <v>t ɑ r </v>
      </c>
    </row>
    <row r="394">
      <c r="A394" s="1" t="s">
        <v>397</v>
      </c>
      <c r="B394" s="1" t="s">
        <v>5</v>
      </c>
      <c r="C394" s="2">
        <f>IFERROR(__xludf.DUMMYFUNCTION("IFERROR(VLOOKUP(A394, IMPORTRANGE(""https://docs.google.com/spreadsheets/d/1AVX9GT0dgogEBStecCXMMQ29tWz3gBrtNB8yIromXbY/edit?gid=741673867"", ""out1g!A:B""), 2, FALSE), 0)"),125.0)</f>
        <v>125</v>
      </c>
      <c r="D394" s="2" t="str">
        <f>IFERROR(__xludf.DUMMYFUNCTION("IFERROR(VLOOKUP(A394, IMPORTRANGE(""https://docs.google.com/spreadsheets/d/1-3Vjw2Cyy-mry5gbC8ypIR3YVGFfEpyFESummAta6sg/edit"", ""Sheet1!B:D""), 2, FALSE), ""Not Found"")"),"brɛd")</f>
        <v>brɛd</v>
      </c>
      <c r="E394" s="2" t="str">
        <f>IFERROR(__xludf.DUMMYFUNCTION("IFERROR(VLOOKUP(A394, IMPORTRANGE(""https://docs.google.com/spreadsheets/d/1-3Vjw2Cyy-mry5gbC8ypIR3YVGFfEpyFESummAta6sg/edit"", ""Sheet1!B:D""), 3, FALSE), ""Not Found"")"),"b r ɛ d ")</f>
        <v>b r ɛ d </v>
      </c>
    </row>
    <row r="395">
      <c r="A395" s="1" t="s">
        <v>398</v>
      </c>
      <c r="B395" s="1" t="s">
        <v>5</v>
      </c>
      <c r="C395" s="2">
        <f>IFERROR(__xludf.DUMMYFUNCTION("IFERROR(VLOOKUP(A395, IMPORTRANGE(""https://docs.google.com/spreadsheets/d/1AVX9GT0dgogEBStecCXMMQ29tWz3gBrtNB8yIromXbY/edit?gid=741673867"", ""out1g!A:B""), 2, FALSE), 0)"),671.0)</f>
        <v>671</v>
      </c>
      <c r="D395" s="2" t="str">
        <f>IFERROR(__xludf.DUMMYFUNCTION("IFERROR(VLOOKUP(A395, IMPORTRANGE(""https://docs.google.com/spreadsheets/d/1-3Vjw2Cyy-mry5gbC8ypIR3YVGFfEpyFESummAta6sg/edit"", ""Sheet1!B:D""), 2, FALSE), ""Not Found"")"),"moʊtər")</f>
        <v>moʊtər</v>
      </c>
      <c r="E395" s="2" t="str">
        <f>IFERROR(__xludf.DUMMYFUNCTION("IFERROR(VLOOKUP(A395, IMPORTRANGE(""https://docs.google.com/spreadsheets/d/1-3Vjw2Cyy-mry5gbC8ypIR3YVGFfEpyFESummAta6sg/edit"", ""Sheet1!B:D""), 3, FALSE), ""Not Found"")"),"m o ʊ t ə r ")</f>
        <v>m o ʊ t ə r </v>
      </c>
    </row>
    <row r="396">
      <c r="A396" s="1" t="s">
        <v>399</v>
      </c>
      <c r="B396" s="1" t="s">
        <v>5</v>
      </c>
      <c r="C396" s="2">
        <f>IFERROR(__xludf.DUMMYFUNCTION("IFERROR(VLOOKUP(A396, IMPORTRANGE(""https://docs.google.com/spreadsheets/d/1AVX9GT0dgogEBStecCXMMQ29tWz3gBrtNB8yIromXbY/edit?gid=741673867"", ""out1g!A:B""), 2, FALSE), 0)"),306.0)</f>
        <v>306</v>
      </c>
      <c r="D396" s="2" t="str">
        <f>IFERROR(__xludf.DUMMYFUNCTION("IFERROR(VLOOKUP(A396, IMPORTRANGE(""https://docs.google.com/spreadsheets/d/1-3Vjw2Cyy-mry5gbC8ypIR3YVGFfEpyFESummAta6sg/edit"", ""Sheet1!B:D""), 2, FALSE), ""Not Found"")"),"dɪki")</f>
        <v>dɪki</v>
      </c>
      <c r="E396" s="2" t="str">
        <f>IFERROR(__xludf.DUMMYFUNCTION("IFERROR(VLOOKUP(A396, IMPORTRANGE(""https://docs.google.com/spreadsheets/d/1-3Vjw2Cyy-mry5gbC8ypIR3YVGFfEpyFESummAta6sg/edit"", ""Sheet1!B:D""), 3, FALSE), ""Not Found"")"),"d ɪ k i ")</f>
        <v>d ɪ k i </v>
      </c>
    </row>
    <row r="397">
      <c r="A397" s="1" t="s">
        <v>400</v>
      </c>
      <c r="B397" s="1" t="s">
        <v>5</v>
      </c>
      <c r="C397" s="2">
        <f>IFERROR(__xludf.DUMMYFUNCTION("IFERROR(VLOOKUP(A397, IMPORTRANGE(""https://docs.google.com/spreadsheets/d/1AVX9GT0dgogEBStecCXMMQ29tWz3gBrtNB8yIromXbY/edit?gid=741673867"", ""out1g!A:B""), 2, FALSE), 0)"),62.0)</f>
        <v>62</v>
      </c>
      <c r="D397" s="2" t="str">
        <f>IFERROR(__xludf.DUMMYFUNCTION("IFERROR(VLOOKUP(A397, IMPORTRANGE(""https://docs.google.com/spreadsheets/d/1-3Vjw2Cyy-mry5gbC8ypIR3YVGFfEpyFESummAta6sg/edit"", ""Sheet1!B:D""), 2, FALSE), ""Not Found"")"),"kæpt")</f>
        <v>kæpt</v>
      </c>
      <c r="E397" s="2" t="str">
        <f>IFERROR(__xludf.DUMMYFUNCTION("IFERROR(VLOOKUP(A397, IMPORTRANGE(""https://docs.google.com/spreadsheets/d/1-3Vjw2Cyy-mry5gbC8ypIR3YVGFfEpyFESummAta6sg/edit"", ""Sheet1!B:D""), 3, FALSE), ""Not Found"")"),"k æ p t ")</f>
        <v>k æ p t </v>
      </c>
    </row>
    <row r="398">
      <c r="A398" s="1" t="s">
        <v>401</v>
      </c>
      <c r="B398" s="1" t="s">
        <v>5</v>
      </c>
      <c r="C398" s="2">
        <f>IFERROR(__xludf.DUMMYFUNCTION("IFERROR(VLOOKUP(A398, IMPORTRANGE(""https://docs.google.com/spreadsheets/d/1AVX9GT0dgogEBStecCXMMQ29tWz3gBrtNB8yIromXbY/edit?gid=741673867"", ""out1g!A:B""), 2, FALSE), 0)"),116.0)</f>
        <v>116</v>
      </c>
      <c r="D398" s="2" t="str">
        <f>IFERROR(__xludf.DUMMYFUNCTION("IFERROR(VLOOKUP(A398, IMPORTRANGE(""https://docs.google.com/spreadsheets/d/1-3Vjw2Cyy-mry5gbC8ypIR3YVGFfEpyFESummAta6sg/edit"", ""Sheet1!B:D""), 2, FALSE), ""Not Found"")"),"gun")</f>
        <v>gun</v>
      </c>
      <c r="E398" s="2" t="str">
        <f>IFERROR(__xludf.DUMMYFUNCTION("IFERROR(VLOOKUP(A398, IMPORTRANGE(""https://docs.google.com/spreadsheets/d/1-3Vjw2Cyy-mry5gbC8ypIR3YVGFfEpyFESummAta6sg/edit"", ""Sheet1!B:D""), 3, FALSE), ""Not Found"")"),"g u n ")</f>
        <v>g u n </v>
      </c>
    </row>
    <row r="399">
      <c r="A399" s="1" t="s">
        <v>402</v>
      </c>
      <c r="B399" s="1" t="s">
        <v>5</v>
      </c>
      <c r="C399" s="2">
        <f>IFERROR(__xludf.DUMMYFUNCTION("IFERROR(VLOOKUP(A399, IMPORTRANGE(""https://docs.google.com/spreadsheets/d/1AVX9GT0dgogEBStecCXMMQ29tWz3gBrtNB8yIromXbY/edit?gid=741673867"", ""out1g!A:B""), 2, FALSE), 0)"),58.0)</f>
        <v>58</v>
      </c>
      <c r="D399" s="2" t="str">
        <f>IFERROR(__xludf.DUMMYFUNCTION("IFERROR(VLOOKUP(A399, IMPORTRANGE(""https://docs.google.com/spreadsheets/d/1-3Vjw2Cyy-mry5gbC8ypIR3YVGFfEpyFESummAta6sg/edit"", ""Sheet1!B:D""), 2, FALSE), ""Not Found"")"),"muvərz")</f>
        <v>muvərz</v>
      </c>
      <c r="E399" s="2" t="str">
        <f>IFERROR(__xludf.DUMMYFUNCTION("IFERROR(VLOOKUP(A399, IMPORTRANGE(""https://docs.google.com/spreadsheets/d/1-3Vjw2Cyy-mry5gbC8ypIR3YVGFfEpyFESummAta6sg/edit"", ""Sheet1!B:D""), 3, FALSE), ""Not Found"")"),"m u v ə r z ")</f>
        <v>m u v ə r z </v>
      </c>
    </row>
    <row r="400">
      <c r="A400" s="1" t="s">
        <v>403</v>
      </c>
      <c r="B400" s="1" t="s">
        <v>5</v>
      </c>
      <c r="C400" s="2">
        <f>IFERROR(__xludf.DUMMYFUNCTION("IFERROR(VLOOKUP(A400, IMPORTRANGE(""https://docs.google.com/spreadsheets/d/1AVX9GT0dgogEBStecCXMMQ29tWz3gBrtNB8yIromXbY/edit?gid=741673867"", ""out1g!A:B""), 2, FALSE), 0)"),140.0)</f>
        <v>140</v>
      </c>
      <c r="D400" s="2" t="str">
        <f>IFERROR(__xludf.DUMMYFUNCTION("IFERROR(VLOOKUP(A400, IMPORTRANGE(""https://docs.google.com/spreadsheets/d/1-3Vjw2Cyy-mry5gbC8ypIR3YVGFfEpyFESummAta6sg/edit"", ""Sheet1!B:D""), 2, FALSE), ""Not Found"")"),"krɑʧ")</f>
        <v>krɑʧ</v>
      </c>
      <c r="E400" s="2" t="str">
        <f>IFERROR(__xludf.DUMMYFUNCTION("IFERROR(VLOOKUP(A400, IMPORTRANGE(""https://docs.google.com/spreadsheets/d/1-3Vjw2Cyy-mry5gbC8ypIR3YVGFfEpyFESummAta6sg/edit"", ""Sheet1!B:D""), 3, FALSE), ""Not Found"")"),"k r ɑ ʧ ")</f>
        <v>k r ɑ ʧ </v>
      </c>
    </row>
    <row r="401">
      <c r="A401" s="1" t="s">
        <v>404</v>
      </c>
      <c r="B401" s="1" t="s">
        <v>5</v>
      </c>
      <c r="C401" s="2">
        <f>IFERROR(__xludf.DUMMYFUNCTION("IFERROR(VLOOKUP(A401, IMPORTRANGE(""https://docs.google.com/spreadsheets/d/1AVX9GT0dgogEBStecCXMMQ29tWz3gBrtNB8yIromXbY/edit?gid=741673867"", ""out1g!A:B""), 2, FALSE), 0)"),1019.0)</f>
        <v>1019</v>
      </c>
      <c r="D401" s="2" t="str">
        <f>IFERROR(__xludf.DUMMYFUNCTION("IFERROR(VLOOKUP(A401, IMPORTRANGE(""https://docs.google.com/spreadsheets/d/1-3Vjw2Cyy-mry5gbC8ypIR3YVGFfEpyFESummAta6sg/edit"", ""Sheet1!B:D""), 2, FALSE), ""Not Found"")"),"bæŋ")</f>
        <v>bæŋ</v>
      </c>
      <c r="E401" s="2" t="str">
        <f>IFERROR(__xludf.DUMMYFUNCTION("IFERROR(VLOOKUP(A401, IMPORTRANGE(""https://docs.google.com/spreadsheets/d/1-3Vjw2Cyy-mry5gbC8ypIR3YVGFfEpyFESummAta6sg/edit"", ""Sheet1!B:D""), 3, FALSE), ""Not Found"")"),"b æ ŋ ")</f>
        <v>b æ ŋ </v>
      </c>
    </row>
    <row r="402">
      <c r="A402" s="1" t="s">
        <v>405</v>
      </c>
      <c r="B402" s="1" t="s">
        <v>5</v>
      </c>
      <c r="C402" s="2">
        <f>IFERROR(__xludf.DUMMYFUNCTION("IFERROR(VLOOKUP(A402, IMPORTRANGE(""https://docs.google.com/spreadsheets/d/1AVX9GT0dgogEBStecCXMMQ29tWz3gBrtNB8yIromXbY/edit?gid=741673867"", ""out1g!A:B""), 2, FALSE), 0)"),91.0)</f>
        <v>91</v>
      </c>
      <c r="D402" s="2" t="str">
        <f>IFERROR(__xludf.DUMMYFUNCTION("IFERROR(VLOOKUP(A402, IMPORTRANGE(""https://docs.google.com/spreadsheets/d/1-3Vjw2Cyy-mry5gbC8ypIR3YVGFfEpyFESummAta6sg/edit"", ""Sheet1!B:D""), 2, FALSE), ""Not Found"")"),"gɪdi")</f>
        <v>gɪdi</v>
      </c>
      <c r="E402" s="2" t="str">
        <f>IFERROR(__xludf.DUMMYFUNCTION("IFERROR(VLOOKUP(A402, IMPORTRANGE(""https://docs.google.com/spreadsheets/d/1-3Vjw2Cyy-mry5gbC8ypIR3YVGFfEpyFESummAta6sg/edit"", ""Sheet1!B:D""), 3, FALSE), ""Not Found"")"),"g ɪ d i ")</f>
        <v>g ɪ d i </v>
      </c>
    </row>
    <row r="403">
      <c r="A403" s="1" t="s">
        <v>406</v>
      </c>
      <c r="B403" s="1" t="s">
        <v>5</v>
      </c>
      <c r="C403" s="2">
        <f>IFERROR(__xludf.DUMMYFUNCTION("IFERROR(VLOOKUP(A403, IMPORTRANGE(""https://docs.google.com/spreadsheets/d/1AVX9GT0dgogEBStecCXMMQ29tWz3gBrtNB8yIromXbY/edit?gid=741673867"", ""out1g!A:B""), 2, FALSE), 0)"),84.0)</f>
        <v>84</v>
      </c>
      <c r="D403" s="2" t="str">
        <f>IFERROR(__xludf.DUMMYFUNCTION("IFERROR(VLOOKUP(A403, IMPORTRANGE(""https://docs.google.com/spreadsheets/d/1-3Vjw2Cyy-mry5gbC8ypIR3YVGFfEpyFESummAta6sg/edit"", ""Sheet1!B:D""), 2, FALSE), ""Not Found"")"),"rɔrz")</f>
        <v>rɔrz</v>
      </c>
      <c r="E403" s="2" t="str">
        <f>IFERROR(__xludf.DUMMYFUNCTION("IFERROR(VLOOKUP(A403, IMPORTRANGE(""https://docs.google.com/spreadsheets/d/1-3Vjw2Cyy-mry5gbC8ypIR3YVGFfEpyFESummAta6sg/edit"", ""Sheet1!B:D""), 3, FALSE), ""Not Found"")"),"r ɔ r z ")</f>
        <v>r ɔ r z </v>
      </c>
    </row>
    <row r="404">
      <c r="A404" s="1" t="s">
        <v>407</v>
      </c>
      <c r="B404" s="1" t="s">
        <v>5</v>
      </c>
      <c r="C404" s="2">
        <f>IFERROR(__xludf.DUMMYFUNCTION("IFERROR(VLOOKUP(A404, IMPORTRANGE(""https://docs.google.com/spreadsheets/d/1AVX9GT0dgogEBStecCXMMQ29tWz3gBrtNB8yIromXbY/edit?gid=741673867"", ""out1g!A:B""), 2, FALSE), 0)"),81.0)</f>
        <v>81</v>
      </c>
      <c r="D404" s="2" t="str">
        <f>IFERROR(__xludf.DUMMYFUNCTION("IFERROR(VLOOKUP(A404, IMPORTRANGE(""https://docs.google.com/spreadsheets/d/1-3Vjw2Cyy-mry5gbC8ypIR3YVGFfEpyFESummAta6sg/edit"", ""Sheet1!B:D""), 2, FALSE), ""Not Found"")"),"stæg")</f>
        <v>stæg</v>
      </c>
      <c r="E404" s="2" t="str">
        <f>IFERROR(__xludf.DUMMYFUNCTION("IFERROR(VLOOKUP(A404, IMPORTRANGE(""https://docs.google.com/spreadsheets/d/1-3Vjw2Cyy-mry5gbC8ypIR3YVGFfEpyFESummAta6sg/edit"", ""Sheet1!B:D""), 3, FALSE), ""Not Found"")"),"s t æ g ")</f>
        <v>s t æ g </v>
      </c>
    </row>
    <row r="405">
      <c r="A405" s="1" t="s">
        <v>408</v>
      </c>
      <c r="B405" s="1" t="s">
        <v>5</v>
      </c>
      <c r="C405" s="2">
        <f>IFERROR(__xludf.DUMMYFUNCTION("IFERROR(VLOOKUP(A405, IMPORTRANGE(""https://docs.google.com/spreadsheets/d/1AVX9GT0dgogEBStecCXMMQ29tWz3gBrtNB8yIromXbY/edit?gid=741673867"", ""out1g!A:B""), 2, FALSE), 0)"),54.0)</f>
        <v>54</v>
      </c>
      <c r="D405" s="2" t="str">
        <f>IFERROR(__xludf.DUMMYFUNCTION("IFERROR(VLOOKUP(A405, IMPORTRANGE(""https://docs.google.com/spreadsheets/d/1-3Vjw2Cyy-mry5gbC8ypIR3YVGFfEpyFESummAta6sg/edit"", ""Sheet1!B:D""), 2, FALSE), ""Not Found"")"),"naɪnz")</f>
        <v>naɪnz</v>
      </c>
      <c r="E405" s="2" t="str">
        <f>IFERROR(__xludf.DUMMYFUNCTION("IFERROR(VLOOKUP(A405, IMPORTRANGE(""https://docs.google.com/spreadsheets/d/1-3Vjw2Cyy-mry5gbC8ypIR3YVGFfEpyFESummAta6sg/edit"", ""Sheet1!B:D""), 3, FALSE), ""Not Found"")"),"n a ɪ n z ")</f>
        <v>n a ɪ n z </v>
      </c>
    </row>
    <row r="406">
      <c r="A406" s="1" t="s">
        <v>409</v>
      </c>
      <c r="B406" s="1" t="s">
        <v>5</v>
      </c>
      <c r="C406" s="2">
        <f>IFERROR(__xludf.DUMMYFUNCTION("IFERROR(VLOOKUP(A406, IMPORTRANGE(""https://docs.google.com/spreadsheets/d/1AVX9GT0dgogEBStecCXMMQ29tWz3gBrtNB8yIromXbY/edit?gid=741673867"", ""out1g!A:B""), 2, FALSE), 0)"),358.0)</f>
        <v>358</v>
      </c>
      <c r="D406" s="2" t="str">
        <f>IFERROR(__xludf.DUMMYFUNCTION("IFERROR(VLOOKUP(A406, IMPORTRANGE(""https://docs.google.com/spreadsheets/d/1-3Vjw2Cyy-mry5gbC8ypIR3YVGFfEpyFESummAta6sg/edit"", ""Sheet1!B:D""), 2, FALSE), ""Not Found"")"),"pɔli")</f>
        <v>pɔli</v>
      </c>
      <c r="E406" s="2" t="str">
        <f>IFERROR(__xludf.DUMMYFUNCTION("IFERROR(VLOOKUP(A406, IMPORTRANGE(""https://docs.google.com/spreadsheets/d/1-3Vjw2Cyy-mry5gbC8ypIR3YVGFfEpyFESummAta6sg/edit"", ""Sheet1!B:D""), 3, FALSE), ""Not Found"")"),"p ɔ l i ")</f>
        <v>p ɔ l i </v>
      </c>
    </row>
    <row r="407">
      <c r="A407" s="1" t="s">
        <v>410</v>
      </c>
      <c r="B407" s="1" t="s">
        <v>5</v>
      </c>
      <c r="C407" s="2">
        <f>IFERROR(__xludf.DUMMYFUNCTION("IFERROR(VLOOKUP(A407, IMPORTRANGE(""https://docs.google.com/spreadsheets/d/1AVX9GT0dgogEBStecCXMMQ29tWz3gBrtNB8yIromXbY/edit?gid=741673867"", ""out1g!A:B""), 2, FALSE), 0)"),317.0)</f>
        <v>317</v>
      </c>
      <c r="D407" s="2" t="str">
        <f>IFERROR(__xludf.DUMMYFUNCTION("IFERROR(VLOOKUP(A407, IMPORTRANGE(""https://docs.google.com/spreadsheets/d/1-3Vjw2Cyy-mry5gbC8ypIR3YVGFfEpyFESummAta6sg/edit"", ""Sheet1!B:D""), 2, FALSE), ""Not Found"")"),"trits")</f>
        <v>trits</v>
      </c>
      <c r="E407" s="2" t="str">
        <f>IFERROR(__xludf.DUMMYFUNCTION("IFERROR(VLOOKUP(A407, IMPORTRANGE(""https://docs.google.com/spreadsheets/d/1-3Vjw2Cyy-mry5gbC8ypIR3YVGFfEpyFESummAta6sg/edit"", ""Sheet1!B:D""), 3, FALSE), ""Not Found"")"),"t r i t s ")</f>
        <v>t r i t s </v>
      </c>
    </row>
    <row r="408">
      <c r="A408" s="1" t="s">
        <v>411</v>
      </c>
      <c r="B408" s="1" t="s">
        <v>5</v>
      </c>
      <c r="C408" s="2">
        <f>IFERROR(__xludf.DUMMYFUNCTION("IFERROR(VLOOKUP(A408, IMPORTRANGE(""https://docs.google.com/spreadsheets/d/1AVX9GT0dgogEBStecCXMMQ29tWz3gBrtNB8yIromXbY/edit?gid=741673867"", ""out1g!A:B""), 2, FALSE), 0)"),1703.0)</f>
        <v>1703</v>
      </c>
      <c r="D408" s="2" t="str">
        <f>IFERROR(__xludf.DUMMYFUNCTION("IFERROR(VLOOKUP(A408, IMPORTRANGE(""https://docs.google.com/spreadsheets/d/1-3Vjw2Cyy-mry5gbC8ypIR3YVGFfEpyFESummAta6sg/edit"", ""Sheet1!B:D""), 2, FALSE), ""Not Found"")"),"θɔts")</f>
        <v>θɔts</v>
      </c>
      <c r="E408" s="2" t="str">
        <f>IFERROR(__xludf.DUMMYFUNCTION("IFERROR(VLOOKUP(A408, IMPORTRANGE(""https://docs.google.com/spreadsheets/d/1-3Vjw2Cyy-mry5gbC8ypIR3YVGFfEpyFESummAta6sg/edit"", ""Sheet1!B:D""), 3, FALSE), ""Not Found"")"),"θ ɔ t s ")</f>
        <v>θ ɔ t s </v>
      </c>
    </row>
    <row r="409">
      <c r="A409" s="1" t="s">
        <v>412</v>
      </c>
      <c r="B409" s="1" t="s">
        <v>5</v>
      </c>
      <c r="C409" s="2">
        <f>IFERROR(__xludf.DUMMYFUNCTION("IFERROR(VLOOKUP(A409, IMPORTRANGE(""https://docs.google.com/spreadsheets/d/1AVX9GT0dgogEBStecCXMMQ29tWz3gBrtNB8yIromXbY/edit?gid=741673867"", ""out1g!A:B""), 2, FALSE), 0)"),441.0)</f>
        <v>441</v>
      </c>
      <c r="D409" s="2" t="str">
        <f>IFERROR(__xludf.DUMMYFUNCTION("IFERROR(VLOOKUP(A409, IMPORTRANGE(""https://docs.google.com/spreadsheets/d/1-3Vjw2Cyy-mry5gbC8ypIR3YVGFfEpyFESummAta6sg/edit"", ""Sheet1!B:D""), 2, FALSE), ""Not Found"")"),"tɪn")</f>
        <v>tɪn</v>
      </c>
      <c r="E409" s="2" t="str">
        <f>IFERROR(__xludf.DUMMYFUNCTION("IFERROR(VLOOKUP(A409, IMPORTRANGE(""https://docs.google.com/spreadsheets/d/1-3Vjw2Cyy-mry5gbC8ypIR3YVGFfEpyFESummAta6sg/edit"", ""Sheet1!B:D""), 3, FALSE), ""Not Found"")"),"t ɪ n ")</f>
        <v>t ɪ n </v>
      </c>
    </row>
    <row r="410">
      <c r="A410" s="1" t="s">
        <v>413</v>
      </c>
      <c r="B410" s="1" t="s">
        <v>5</v>
      </c>
      <c r="C410" s="2">
        <f>IFERROR(__xludf.DUMMYFUNCTION("IFERROR(VLOOKUP(A410, IMPORTRANGE(""https://docs.google.com/spreadsheets/d/1AVX9GT0dgogEBStecCXMMQ29tWz3gBrtNB8yIromXbY/edit?gid=741673867"", ""out1g!A:B""), 2, FALSE), 0)"),1077.0)</f>
        <v>1077</v>
      </c>
      <c r="D410" s="2" t="str">
        <f>IFERROR(__xludf.DUMMYFUNCTION("IFERROR(VLOOKUP(A410, IMPORTRANGE(""https://docs.google.com/spreadsheets/d/1-3Vjw2Cyy-mry5gbC8ypIR3YVGFfEpyFESummAta6sg/edit"", ""Sheet1!B:D""), 2, FALSE), ""Not Found"")"),"gre")</f>
        <v>gre</v>
      </c>
      <c r="E410" s="2" t="str">
        <f>IFERROR(__xludf.DUMMYFUNCTION("IFERROR(VLOOKUP(A410, IMPORTRANGE(""https://docs.google.com/spreadsheets/d/1-3Vjw2Cyy-mry5gbC8ypIR3YVGFfEpyFESummAta6sg/edit"", ""Sheet1!B:D""), 3, FALSE), ""Not Found"")"),"g r e ")</f>
        <v>g r e </v>
      </c>
    </row>
    <row r="411">
      <c r="A411" s="1" t="s">
        <v>414</v>
      </c>
      <c r="B411" s="1" t="s">
        <v>5</v>
      </c>
      <c r="C411" s="2">
        <f>IFERROR(__xludf.DUMMYFUNCTION("IFERROR(VLOOKUP(A411, IMPORTRANGE(""https://docs.google.com/spreadsheets/d/1AVX9GT0dgogEBStecCXMMQ29tWz3gBrtNB8yIromXbY/edit?gid=741673867"", ""out1g!A:B""), 2, FALSE), 0)"),343245.0)</f>
        <v>343245</v>
      </c>
      <c r="D411" s="2" t="str">
        <f>IFERROR(__xludf.DUMMYFUNCTION("IFERROR(VLOOKUP(A411, IMPORTRANGE(""https://docs.google.com/spreadsheets/d/1-3Vjw2Cyy-mry5gbC8ypIR3YVGFfEpyFESummAta6sg/edit"", ""Sheet1!B:D""), 2, FALSE), ""Not Found"")"),"ɛm")</f>
        <v>ɛm</v>
      </c>
      <c r="E411" s="2" t="str">
        <f>IFERROR(__xludf.DUMMYFUNCTION("IFERROR(VLOOKUP(A411, IMPORTRANGE(""https://docs.google.com/spreadsheets/d/1-3Vjw2Cyy-mry5gbC8ypIR3YVGFfEpyFESummAta6sg/edit"", ""Sheet1!B:D""), 3, FALSE), ""Not Found"")"),"ɛ m ")</f>
        <v>ɛ m </v>
      </c>
    </row>
    <row r="412">
      <c r="A412" s="1" t="s">
        <v>415</v>
      </c>
      <c r="B412" s="1" t="s">
        <v>5</v>
      </c>
      <c r="C412" s="2">
        <f>IFERROR(__xludf.DUMMYFUNCTION("IFERROR(VLOOKUP(A412, IMPORTRANGE(""https://docs.google.com/spreadsheets/d/1AVX9GT0dgogEBStecCXMMQ29tWz3gBrtNB8yIromXbY/edit?gid=741673867"", ""out1g!A:B""), 2, FALSE), 0)"),77.0)</f>
        <v>77</v>
      </c>
      <c r="D412" s="2" t="str">
        <f>IFERROR(__xludf.DUMMYFUNCTION("IFERROR(VLOOKUP(A412, IMPORTRANGE(""https://docs.google.com/spreadsheets/d/1-3Vjw2Cyy-mry5gbC8ypIR3YVGFfEpyFESummAta6sg/edit"", ""Sheet1!B:D""), 2, FALSE), ""Not Found"")"),"wɔləts")</f>
        <v>wɔləts</v>
      </c>
      <c r="E412" s="2" t="str">
        <f>IFERROR(__xludf.DUMMYFUNCTION("IFERROR(VLOOKUP(A412, IMPORTRANGE(""https://docs.google.com/spreadsheets/d/1-3Vjw2Cyy-mry5gbC8ypIR3YVGFfEpyFESummAta6sg/edit"", ""Sheet1!B:D""), 3, FALSE), ""Not Found"")"),"w ɔ l ə t s ")</f>
        <v>w ɔ l ə t s </v>
      </c>
    </row>
    <row r="413">
      <c r="A413" s="1" t="s">
        <v>416</v>
      </c>
      <c r="B413" s="1" t="s">
        <v>5</v>
      </c>
      <c r="C413" s="2">
        <f>IFERROR(__xludf.DUMMYFUNCTION("IFERROR(VLOOKUP(A413, IMPORTRANGE(""https://docs.google.com/spreadsheets/d/1AVX9GT0dgogEBStecCXMMQ29tWz3gBrtNB8yIromXbY/edit?gid=741673867"", ""out1g!A:B""), 2, FALSE), 0)"),1090.0)</f>
        <v>1090</v>
      </c>
      <c r="D413" s="2" t="str">
        <f>IFERROR(__xludf.DUMMYFUNCTION("IFERROR(VLOOKUP(A413, IMPORTRANGE(""https://docs.google.com/spreadsheets/d/1-3Vjw2Cyy-mry5gbC8ypIR3YVGFfEpyFESummAta6sg/edit"", ""Sheet1!B:D""), 2, FALSE), ""Not Found"")"),"mɪkst")</f>
        <v>mɪkst</v>
      </c>
      <c r="E413" s="2" t="str">
        <f>IFERROR(__xludf.DUMMYFUNCTION("IFERROR(VLOOKUP(A413, IMPORTRANGE(""https://docs.google.com/spreadsheets/d/1-3Vjw2Cyy-mry5gbC8ypIR3YVGFfEpyFESummAta6sg/edit"", ""Sheet1!B:D""), 3, FALSE), ""Not Found"")"),"m ɪ k s t ")</f>
        <v>m ɪ k s t </v>
      </c>
    </row>
    <row r="414">
      <c r="A414" s="1" t="s">
        <v>417</v>
      </c>
      <c r="B414" s="1" t="s">
        <v>5</v>
      </c>
      <c r="C414" s="2">
        <f>IFERROR(__xludf.DUMMYFUNCTION("IFERROR(VLOOKUP(A414, IMPORTRANGE(""https://docs.google.com/spreadsheets/d/1AVX9GT0dgogEBStecCXMMQ29tWz3gBrtNB8yIromXbY/edit?gid=741673867"", ""out1g!A:B""), 2, FALSE), 0)"),532.0)</f>
        <v>532</v>
      </c>
      <c r="D414" s="2" t="str">
        <f>IFERROR(__xludf.DUMMYFUNCTION("IFERROR(VLOOKUP(A414, IMPORTRANGE(""https://docs.google.com/spreadsheets/d/1-3Vjw2Cyy-mry5gbC8ypIR3YVGFfEpyFESummAta6sg/edit"", ""Sheet1!B:D""), 2, FALSE), ""Not Found"")"),"twɪn")</f>
        <v>twɪn</v>
      </c>
      <c r="E414" s="2" t="str">
        <f>IFERROR(__xludf.DUMMYFUNCTION("IFERROR(VLOOKUP(A414, IMPORTRANGE(""https://docs.google.com/spreadsheets/d/1-3Vjw2Cyy-mry5gbC8ypIR3YVGFfEpyFESummAta6sg/edit"", ""Sheet1!B:D""), 3, FALSE), ""Not Found"")"),"t w ɪ n ")</f>
        <v>t w ɪ n </v>
      </c>
    </row>
    <row r="415">
      <c r="A415" s="1" t="s">
        <v>418</v>
      </c>
      <c r="B415" s="1" t="s">
        <v>5</v>
      </c>
      <c r="C415" s="2">
        <f>IFERROR(__xludf.DUMMYFUNCTION("IFERROR(VLOOKUP(A415, IMPORTRANGE(""https://docs.google.com/spreadsheets/d/1AVX9GT0dgogEBStecCXMMQ29tWz3gBrtNB8yIromXbY/edit?gid=741673867"", ""out1g!A:B""), 2, FALSE), 0)"),337.0)</f>
        <v>337</v>
      </c>
      <c r="D415" s="2" t="str">
        <f>IFERROR(__xludf.DUMMYFUNCTION("IFERROR(VLOOKUP(A415, IMPORTRANGE(""https://docs.google.com/spreadsheets/d/1-3Vjw2Cyy-mry5gbC8ypIR3YVGFfEpyFESummAta6sg/edit"", ""Sheet1!B:D""), 2, FALSE), ""Not Found"")"),"ʤinz")</f>
        <v>ʤinz</v>
      </c>
      <c r="E415" s="2" t="str">
        <f>IFERROR(__xludf.DUMMYFUNCTION("IFERROR(VLOOKUP(A415, IMPORTRANGE(""https://docs.google.com/spreadsheets/d/1-3Vjw2Cyy-mry5gbC8ypIR3YVGFfEpyFESummAta6sg/edit"", ""Sheet1!B:D""), 3, FALSE), ""Not Found"")"),"ʤ i n z ")</f>
        <v>ʤ i n z </v>
      </c>
    </row>
    <row r="416">
      <c r="A416" s="1" t="s">
        <v>419</v>
      </c>
      <c r="B416" s="1" t="s">
        <v>5</v>
      </c>
      <c r="C416" s="2">
        <f>IFERROR(__xludf.DUMMYFUNCTION("IFERROR(VLOOKUP(A416, IMPORTRANGE(""https://docs.google.com/spreadsheets/d/1AVX9GT0dgogEBStecCXMMQ29tWz3gBrtNB8yIromXbY/edit?gid=741673867"", ""out1g!A:B""), 2, FALSE), 0)"),85.0)</f>
        <v>85</v>
      </c>
      <c r="D416" s="2" t="str">
        <f>IFERROR(__xludf.DUMMYFUNCTION("IFERROR(VLOOKUP(A416, IMPORTRANGE(""https://docs.google.com/spreadsheets/d/1-3Vjw2Cyy-mry5gbC8ypIR3YVGFfEpyFESummAta6sg/edit"", ""Sheet1!B:D""), 2, FALSE), ""Not Found"")"),"dɔs")</f>
        <v>dɔs</v>
      </c>
      <c r="E416" s="2" t="str">
        <f>IFERROR(__xludf.DUMMYFUNCTION("IFERROR(VLOOKUP(A416, IMPORTRANGE(""https://docs.google.com/spreadsheets/d/1-3Vjw2Cyy-mry5gbC8ypIR3YVGFfEpyFESummAta6sg/edit"", ""Sheet1!B:D""), 3, FALSE), ""Not Found"")"),"d ɔ s ")</f>
        <v>d ɔ s </v>
      </c>
    </row>
    <row r="417">
      <c r="A417" s="1" t="s">
        <v>420</v>
      </c>
      <c r="B417" s="1" t="s">
        <v>5</v>
      </c>
      <c r="C417" s="2">
        <f>IFERROR(__xludf.DUMMYFUNCTION("IFERROR(VLOOKUP(A417, IMPORTRANGE(""https://docs.google.com/spreadsheets/d/1AVX9GT0dgogEBStecCXMMQ29tWz3gBrtNB8yIromXbY/edit?gid=741673867"", ""out1g!A:B""), 2, FALSE), 0)"),147.0)</f>
        <v>147</v>
      </c>
      <c r="D417" s="2" t="str">
        <f>IFERROR(__xludf.DUMMYFUNCTION("IFERROR(VLOOKUP(A417, IMPORTRANGE(""https://docs.google.com/spreadsheets/d/1-3Vjw2Cyy-mry5gbC8ypIR3YVGFfEpyFESummAta6sg/edit"", ""Sheet1!B:D""), 2, FALSE), ""Not Found"")"),"woʊ")</f>
        <v>woʊ</v>
      </c>
      <c r="E417" s="2" t="str">
        <f>IFERROR(__xludf.DUMMYFUNCTION("IFERROR(VLOOKUP(A417, IMPORTRANGE(""https://docs.google.com/spreadsheets/d/1-3Vjw2Cyy-mry5gbC8ypIR3YVGFfEpyFESummAta6sg/edit"", ""Sheet1!B:D""), 3, FALSE), ""Not Found"")"),"w o ʊ ")</f>
        <v>w o ʊ </v>
      </c>
    </row>
    <row r="418">
      <c r="A418" s="1" t="s">
        <v>421</v>
      </c>
      <c r="B418" s="1" t="s">
        <v>5</v>
      </c>
      <c r="C418" s="2">
        <f>IFERROR(__xludf.DUMMYFUNCTION("IFERROR(VLOOKUP(A418, IMPORTRANGE(""https://docs.google.com/spreadsheets/d/1AVX9GT0dgogEBStecCXMMQ29tWz3gBrtNB8yIromXbY/edit?gid=741673867"", ""out1g!A:B""), 2, FALSE), 0)"),209.0)</f>
        <v>209</v>
      </c>
      <c r="D418" s="2" t="str">
        <f>IFERROR(__xludf.DUMMYFUNCTION("IFERROR(VLOOKUP(A418, IMPORTRANGE(""https://docs.google.com/spreadsheets/d/1-3Vjw2Cyy-mry5gbC8ypIR3YVGFfEpyFESummAta6sg/edit"", ""Sheet1!B:D""), 2, FALSE), ""Not Found"")"),"kret")</f>
        <v>kret</v>
      </c>
      <c r="E418" s="2" t="str">
        <f>IFERROR(__xludf.DUMMYFUNCTION("IFERROR(VLOOKUP(A418, IMPORTRANGE(""https://docs.google.com/spreadsheets/d/1-3Vjw2Cyy-mry5gbC8ypIR3YVGFfEpyFESummAta6sg/edit"", ""Sheet1!B:D""), 3, FALSE), ""Not Found"")"),"k r e t ")</f>
        <v>k r e t </v>
      </c>
    </row>
    <row r="419">
      <c r="A419" s="1" t="s">
        <v>422</v>
      </c>
      <c r="B419" s="1" t="s">
        <v>5</v>
      </c>
      <c r="C419" s="2">
        <f>IFERROR(__xludf.DUMMYFUNCTION("IFERROR(VLOOKUP(A419, IMPORTRANGE(""https://docs.google.com/spreadsheets/d/1AVX9GT0dgogEBStecCXMMQ29tWz3gBrtNB8yIromXbY/edit?gid=741673867"", ""out1g!A:B""), 2, FALSE), 0)"),87.0)</f>
        <v>87</v>
      </c>
      <c r="D419" s="2" t="str">
        <f>IFERROR(__xludf.DUMMYFUNCTION("IFERROR(VLOOKUP(A419, IMPORTRANGE(""https://docs.google.com/spreadsheets/d/1-3Vjw2Cyy-mry5gbC8ypIR3YVGFfEpyFESummAta6sg/edit"", ""Sheet1!B:D""), 2, FALSE), ""Not Found"")"),"sɪmər")</f>
        <v>sɪmər</v>
      </c>
      <c r="E419" s="2" t="str">
        <f>IFERROR(__xludf.DUMMYFUNCTION("IFERROR(VLOOKUP(A419, IMPORTRANGE(""https://docs.google.com/spreadsheets/d/1-3Vjw2Cyy-mry5gbC8ypIR3YVGFfEpyFESummAta6sg/edit"", ""Sheet1!B:D""), 3, FALSE), ""Not Found"")"),"s ɪ m ə r ")</f>
        <v>s ɪ m ə r </v>
      </c>
    </row>
    <row r="420">
      <c r="A420" s="1" t="s">
        <v>423</v>
      </c>
      <c r="B420" s="1" t="s">
        <v>5</v>
      </c>
      <c r="C420" s="2">
        <f>IFERROR(__xludf.DUMMYFUNCTION("IFERROR(VLOOKUP(A420, IMPORTRANGE(""https://docs.google.com/spreadsheets/d/1AVX9GT0dgogEBStecCXMMQ29tWz3gBrtNB8yIromXbY/edit?gid=741673867"", ""out1g!A:B""), 2, FALSE), 0)"),96.0)</f>
        <v>96</v>
      </c>
      <c r="D420" s="2" t="str">
        <f>IFERROR(__xludf.DUMMYFUNCTION("IFERROR(VLOOKUP(A420, IMPORTRANGE(""https://docs.google.com/spreadsheets/d/1-3Vjw2Cyy-mry5gbC8ypIR3YVGFfEpyFESummAta6sg/edit"", ""Sheet1!B:D""), 2, FALSE), ""Not Found"")"),"bɑhɑ")</f>
        <v>bɑhɑ</v>
      </c>
      <c r="E420" s="2" t="str">
        <f>IFERROR(__xludf.DUMMYFUNCTION("IFERROR(VLOOKUP(A420, IMPORTRANGE(""https://docs.google.com/spreadsheets/d/1-3Vjw2Cyy-mry5gbC8ypIR3YVGFfEpyFESummAta6sg/edit"", ""Sheet1!B:D""), 3, FALSE), ""Not Found"")"),"b ɑ h ɑ ")</f>
        <v>b ɑ h ɑ </v>
      </c>
    </row>
    <row r="421">
      <c r="A421" s="1" t="s">
        <v>424</v>
      </c>
      <c r="B421" s="1" t="s">
        <v>5</v>
      </c>
      <c r="C421" s="2">
        <f>IFERROR(__xludf.DUMMYFUNCTION("IFERROR(VLOOKUP(A421, IMPORTRANGE(""https://docs.google.com/spreadsheets/d/1AVX9GT0dgogEBStecCXMMQ29tWz3gBrtNB8yIromXbY/edit?gid=741673867"", ""out1g!A:B""), 2, FALSE), 0)"),19775.0)</f>
        <v>19775</v>
      </c>
      <c r="D421" s="2" t="str">
        <f>IFERROR(__xludf.DUMMYFUNCTION("IFERROR(VLOOKUP(A421, IMPORTRANGE(""https://docs.google.com/spreadsheets/d/1-3Vjw2Cyy-mry5gbC8ypIR3YVGFfEpyFESummAta6sg/edit"", ""Sheet1!B:D""), 2, FALSE), ""Not Found"")"),"hərd")</f>
        <v>hərd</v>
      </c>
      <c r="E421" s="2" t="str">
        <f>IFERROR(__xludf.DUMMYFUNCTION("IFERROR(VLOOKUP(A421, IMPORTRANGE(""https://docs.google.com/spreadsheets/d/1-3Vjw2Cyy-mry5gbC8ypIR3YVGFfEpyFESummAta6sg/edit"", ""Sheet1!B:D""), 3, FALSE), ""Not Found"")"),"h ə r d ")</f>
        <v>h ə r d </v>
      </c>
    </row>
    <row r="422">
      <c r="A422" s="1" t="s">
        <v>425</v>
      </c>
      <c r="B422" s="1" t="s">
        <v>5</v>
      </c>
      <c r="C422" s="2">
        <f>IFERROR(__xludf.DUMMYFUNCTION("IFERROR(VLOOKUP(A422, IMPORTRANGE(""https://docs.google.com/spreadsheets/d/1AVX9GT0dgogEBStecCXMMQ29tWz3gBrtNB8yIromXbY/edit?gid=741673867"", ""out1g!A:B""), 2, FALSE), 0)"),93.0)</f>
        <v>93</v>
      </c>
      <c r="D422" s="2" t="str">
        <f>IFERROR(__xludf.DUMMYFUNCTION("IFERROR(VLOOKUP(A422, IMPORTRANGE(""https://docs.google.com/spreadsheets/d/1-3Vjw2Cyy-mry5gbC8ypIR3YVGFfEpyFESummAta6sg/edit"", ""Sheet1!B:D""), 2, FALSE), ""Not Found"")"),"skrinz")</f>
        <v>skrinz</v>
      </c>
      <c r="E422" s="2" t="str">
        <f>IFERROR(__xludf.DUMMYFUNCTION("IFERROR(VLOOKUP(A422, IMPORTRANGE(""https://docs.google.com/spreadsheets/d/1-3Vjw2Cyy-mry5gbC8ypIR3YVGFfEpyFESummAta6sg/edit"", ""Sheet1!B:D""), 3, FALSE), ""Not Found"")"),"s k r i n z ")</f>
        <v>s k r i n z </v>
      </c>
    </row>
    <row r="423">
      <c r="A423" s="1" t="s">
        <v>426</v>
      </c>
      <c r="B423" s="1" t="s">
        <v>5</v>
      </c>
      <c r="C423" s="2">
        <f>IFERROR(__xludf.DUMMYFUNCTION("IFERROR(VLOOKUP(A423, IMPORTRANGE(""https://docs.google.com/spreadsheets/d/1AVX9GT0dgogEBStecCXMMQ29tWz3gBrtNB8yIromXbY/edit?gid=741673867"", ""out1g!A:B""), 2, FALSE), 0)"),5357.0)</f>
        <v>5357</v>
      </c>
      <c r="D423" s="2" t="str">
        <f>IFERROR(__xludf.DUMMYFUNCTION("IFERROR(VLOOKUP(A423, IMPORTRANGE(""https://docs.google.com/spreadsheets/d/1-3Vjw2Cyy-mry5gbC8ypIR3YVGFfEpyFESummAta6sg/edit"", ""Sheet1!B:D""), 2, FALSE), ""Not Found"")"),"wərks")</f>
        <v>wərks</v>
      </c>
      <c r="E423" s="2" t="str">
        <f>IFERROR(__xludf.DUMMYFUNCTION("IFERROR(VLOOKUP(A423, IMPORTRANGE(""https://docs.google.com/spreadsheets/d/1-3Vjw2Cyy-mry5gbC8ypIR3YVGFfEpyFESummAta6sg/edit"", ""Sheet1!B:D""), 3, FALSE), ""Not Found"")"),"w ə r k s ")</f>
        <v>w ə r k s </v>
      </c>
    </row>
    <row r="424">
      <c r="A424" s="1" t="s">
        <v>427</v>
      </c>
      <c r="B424" s="1" t="s">
        <v>5</v>
      </c>
      <c r="C424" s="2">
        <f>IFERROR(__xludf.DUMMYFUNCTION("IFERROR(VLOOKUP(A424, IMPORTRANGE(""https://docs.google.com/spreadsheets/d/1AVX9GT0dgogEBStecCXMMQ29tWz3gBrtNB8yIromXbY/edit?gid=741673867"", ""out1g!A:B""), 2, FALSE), 0)"),121.0)</f>
        <v>121</v>
      </c>
      <c r="D424" s="2" t="str">
        <f>IFERROR(__xludf.DUMMYFUNCTION("IFERROR(VLOOKUP(A424, IMPORTRANGE(""https://docs.google.com/spreadsheets/d/1-3Vjw2Cyy-mry5gbC8ypIR3YVGFfEpyFESummAta6sg/edit"", ""Sheet1!B:D""), 2, FALSE), ""Not Found"")"),"raɪəts")</f>
        <v>raɪəts</v>
      </c>
      <c r="E424" s="2" t="str">
        <f>IFERROR(__xludf.DUMMYFUNCTION("IFERROR(VLOOKUP(A424, IMPORTRANGE(""https://docs.google.com/spreadsheets/d/1-3Vjw2Cyy-mry5gbC8ypIR3YVGFfEpyFESummAta6sg/edit"", ""Sheet1!B:D""), 3, FALSE), ""Not Found"")"),"r a ɪ ə t s ")</f>
        <v>r a ɪ ə t s </v>
      </c>
    </row>
    <row r="425">
      <c r="A425" s="1" t="s">
        <v>428</v>
      </c>
      <c r="B425" s="1" t="s">
        <v>5</v>
      </c>
      <c r="C425" s="2">
        <f>IFERROR(__xludf.DUMMYFUNCTION("IFERROR(VLOOKUP(A425, IMPORTRANGE(""https://docs.google.com/spreadsheets/d/1AVX9GT0dgogEBStecCXMMQ29tWz3gBrtNB8yIromXbY/edit?gid=741673867"", ""out1g!A:B""), 2, FALSE), 0)"),357.0)</f>
        <v>357</v>
      </c>
      <c r="D425" s="2" t="str">
        <f>IFERROR(__xludf.DUMMYFUNCTION("IFERROR(VLOOKUP(A425, IMPORTRANGE(""https://docs.google.com/spreadsheets/d/1-3Vjw2Cyy-mry5gbC8ypIR3YVGFfEpyFESummAta6sg/edit"", ""Sheet1!B:D""), 2, FALSE), ""Not Found"")"),"smoʊkt")</f>
        <v>smoʊkt</v>
      </c>
      <c r="E425" s="2" t="str">
        <f>IFERROR(__xludf.DUMMYFUNCTION("IFERROR(VLOOKUP(A425, IMPORTRANGE(""https://docs.google.com/spreadsheets/d/1-3Vjw2Cyy-mry5gbC8ypIR3YVGFfEpyFESummAta6sg/edit"", ""Sheet1!B:D""), 3, FALSE), ""Not Found"")"),"s m o ʊ k t ")</f>
        <v>s m o ʊ k t </v>
      </c>
    </row>
    <row r="426">
      <c r="A426" s="1" t="s">
        <v>429</v>
      </c>
      <c r="B426" s="1" t="s">
        <v>5</v>
      </c>
      <c r="C426" s="2">
        <f>IFERROR(__xludf.DUMMYFUNCTION("IFERROR(VLOOKUP(A426, IMPORTRANGE(""https://docs.google.com/spreadsheets/d/1AVX9GT0dgogEBStecCXMMQ29tWz3gBrtNB8yIromXbY/edit?gid=741673867"", ""out1g!A:B""), 2, FALSE), 0)"),361.0)</f>
        <v>361</v>
      </c>
      <c r="D426" s="2" t="str">
        <f>IFERROR(__xludf.DUMMYFUNCTION("IFERROR(VLOOKUP(A426, IMPORTRANGE(""https://docs.google.com/spreadsheets/d/1-3Vjw2Cyy-mry5gbC8ypIR3YVGFfEpyFESummAta6sg/edit"", ""Sheet1!B:D""), 2, FALSE), ""Not Found"")"),"bæm")</f>
        <v>bæm</v>
      </c>
      <c r="E426" s="2" t="str">
        <f>IFERROR(__xludf.DUMMYFUNCTION("IFERROR(VLOOKUP(A426, IMPORTRANGE(""https://docs.google.com/spreadsheets/d/1-3Vjw2Cyy-mry5gbC8ypIR3YVGFfEpyFESummAta6sg/edit"", ""Sheet1!B:D""), 3, FALSE), ""Not Found"")"),"b æ m ")</f>
        <v>b æ m </v>
      </c>
    </row>
    <row r="427">
      <c r="A427" s="1" t="s">
        <v>430</v>
      </c>
      <c r="B427" s="1" t="s">
        <v>5</v>
      </c>
      <c r="C427" s="2">
        <f>IFERROR(__xludf.DUMMYFUNCTION("IFERROR(VLOOKUP(A427, IMPORTRANGE(""https://docs.google.com/spreadsheets/d/1AVX9GT0dgogEBStecCXMMQ29tWz3gBrtNB8yIromXbY/edit?gid=741673867"", ""out1g!A:B""), 2, FALSE), 0)"),23081.0)</f>
        <v>23081</v>
      </c>
      <c r="D427" s="2" t="str">
        <f>IFERROR(__xludf.DUMMYFUNCTION("IFERROR(VLOOKUP(A427, IMPORTRANGE(""https://docs.google.com/spreadsheets/d/1-3Vjw2Cyy-mry5gbC8ypIR3YVGFfEpyFESummAta6sg/edit"", ""Sheet1!B:D""), 2, FALSE), ""Not Found"")"),"kɪl")</f>
        <v>kɪl</v>
      </c>
      <c r="E427" s="2" t="str">
        <f>IFERROR(__xludf.DUMMYFUNCTION("IFERROR(VLOOKUP(A427, IMPORTRANGE(""https://docs.google.com/spreadsheets/d/1-3Vjw2Cyy-mry5gbC8ypIR3YVGFfEpyFESummAta6sg/edit"", ""Sheet1!B:D""), 3, FALSE), ""Not Found"")"),"k ɪ l ")</f>
        <v>k ɪ l </v>
      </c>
    </row>
    <row r="428">
      <c r="A428" s="1" t="s">
        <v>431</v>
      </c>
      <c r="B428" s="1" t="s">
        <v>5</v>
      </c>
      <c r="C428" s="2">
        <f>IFERROR(__xludf.DUMMYFUNCTION("IFERROR(VLOOKUP(A428, IMPORTRANGE(""https://docs.google.com/spreadsheets/d/1AVX9GT0dgogEBStecCXMMQ29tWz3gBrtNB8yIromXbY/edit?gid=741673867"", ""out1g!A:B""), 2, FALSE), 0)"),139.0)</f>
        <v>139</v>
      </c>
      <c r="D428" s="2" t="str">
        <f>IFERROR(__xludf.DUMMYFUNCTION("IFERROR(VLOOKUP(A428, IMPORTRANGE(""https://docs.google.com/spreadsheets/d/1-3Vjw2Cyy-mry5gbC8ypIR3YVGFfEpyFESummAta6sg/edit"", ""Sheet1!B:D""), 2, FALSE), ""Not Found"")"),"hɪpi")</f>
        <v>hɪpi</v>
      </c>
      <c r="E428" s="2" t="str">
        <f>IFERROR(__xludf.DUMMYFUNCTION("IFERROR(VLOOKUP(A428, IMPORTRANGE(""https://docs.google.com/spreadsheets/d/1-3Vjw2Cyy-mry5gbC8ypIR3YVGFfEpyFESummAta6sg/edit"", ""Sheet1!B:D""), 3, FALSE), ""Not Found"")"),"h ɪ p i ")</f>
        <v>h ɪ p i </v>
      </c>
    </row>
    <row r="429">
      <c r="A429" s="1" t="s">
        <v>432</v>
      </c>
      <c r="B429" s="1" t="s">
        <v>5</v>
      </c>
      <c r="C429" s="2">
        <f>IFERROR(__xludf.DUMMYFUNCTION("IFERROR(VLOOKUP(A429, IMPORTRANGE(""https://docs.google.com/spreadsheets/d/1AVX9GT0dgogEBStecCXMMQ29tWz3gBrtNB8yIromXbY/edit?gid=741673867"", ""out1g!A:B""), 2, FALSE), 0)"),505.0)</f>
        <v>505</v>
      </c>
      <c r="D429" s="2" t="str">
        <f>IFERROR(__xludf.DUMMYFUNCTION("IFERROR(VLOOKUP(A429, IMPORTRANGE(""https://docs.google.com/spreadsheets/d/1-3Vjw2Cyy-mry5gbC8ypIR3YVGFfEpyFESummAta6sg/edit"", ""Sheet1!B:D""), 2, FALSE), ""Not Found"")"),"sɛntər")</f>
        <v>sɛntər</v>
      </c>
      <c r="E429" s="2" t="str">
        <f>IFERROR(__xludf.DUMMYFUNCTION("IFERROR(VLOOKUP(A429, IMPORTRANGE(""https://docs.google.com/spreadsheets/d/1-3Vjw2Cyy-mry5gbC8ypIR3YVGFfEpyFESummAta6sg/edit"", ""Sheet1!B:D""), 3, FALSE), ""Not Found"")"),"s ɛ n t ə r ")</f>
        <v>s ɛ n t ə r </v>
      </c>
    </row>
    <row r="430">
      <c r="A430" s="1" t="s">
        <v>433</v>
      </c>
      <c r="B430" s="1" t="s">
        <v>5</v>
      </c>
      <c r="C430" s="2">
        <f>IFERROR(__xludf.DUMMYFUNCTION("IFERROR(VLOOKUP(A430, IMPORTRANGE(""https://docs.google.com/spreadsheets/d/1AVX9GT0dgogEBStecCXMMQ29tWz3gBrtNB8yIromXbY/edit?gid=741673867"", ""out1g!A:B""), 2, FALSE), 0)"),1975.0)</f>
        <v>1975</v>
      </c>
      <c r="D430" s="2" t="str">
        <f>IFERROR(__xludf.DUMMYFUNCTION("IFERROR(VLOOKUP(A430, IMPORTRANGE(""https://docs.google.com/spreadsheets/d/1-3Vjw2Cyy-mry5gbC8ypIR3YVGFfEpyFESummAta6sg/edit"", ""Sheet1!B:D""), 2, FALSE), ""Not Found"")"),"plænət")</f>
        <v>plænət</v>
      </c>
      <c r="E430" s="2" t="str">
        <f>IFERROR(__xludf.DUMMYFUNCTION("IFERROR(VLOOKUP(A430, IMPORTRANGE(""https://docs.google.com/spreadsheets/d/1-3Vjw2Cyy-mry5gbC8ypIR3YVGFfEpyFESummAta6sg/edit"", ""Sheet1!B:D""), 3, FALSE), ""Not Found"")"),"p l æ n ə t ")</f>
        <v>p l æ n ə t </v>
      </c>
    </row>
    <row r="431">
      <c r="A431" s="1" t="s">
        <v>434</v>
      </c>
      <c r="B431" s="1" t="s">
        <v>5</v>
      </c>
      <c r="C431" s="2">
        <f>IFERROR(__xludf.DUMMYFUNCTION("IFERROR(VLOOKUP(A431, IMPORTRANGE(""https://docs.google.com/spreadsheets/d/1AVX9GT0dgogEBStecCXMMQ29tWz3gBrtNB8yIromXbY/edit?gid=741673867"", ""out1g!A:B""), 2, FALSE), 0)"),127.0)</f>
        <v>127</v>
      </c>
      <c r="D431" s="2" t="str">
        <f>IFERROR(__xludf.DUMMYFUNCTION("IFERROR(VLOOKUP(A431, IMPORTRANGE(""https://docs.google.com/spreadsheets/d/1-3Vjw2Cyy-mry5gbC8ypIR3YVGFfEpyFESummAta6sg/edit"", ""Sheet1!B:D""), 2, FALSE), ""Not Found"")"),"wɪf")</f>
        <v>wɪf</v>
      </c>
      <c r="E431" s="2" t="str">
        <f>IFERROR(__xludf.DUMMYFUNCTION("IFERROR(VLOOKUP(A431, IMPORTRANGE(""https://docs.google.com/spreadsheets/d/1-3Vjw2Cyy-mry5gbC8ypIR3YVGFfEpyFESummAta6sg/edit"", ""Sheet1!B:D""), 3, FALSE), ""Not Found"")"),"w ɪ f ")</f>
        <v>w ɪ f </v>
      </c>
    </row>
    <row r="432">
      <c r="A432" s="1" t="s">
        <v>435</v>
      </c>
      <c r="B432" s="1" t="s">
        <v>5</v>
      </c>
      <c r="C432" s="2">
        <f>IFERROR(__xludf.DUMMYFUNCTION("IFERROR(VLOOKUP(A432, IMPORTRANGE(""https://docs.google.com/spreadsheets/d/1AVX9GT0dgogEBStecCXMMQ29tWz3gBrtNB8yIromXbY/edit?gid=741673867"", ""out1g!A:B""), 2, FALSE), 0)"),159.0)</f>
        <v>159</v>
      </c>
      <c r="D432" s="2" t="str">
        <f>IFERROR(__xludf.DUMMYFUNCTION("IFERROR(VLOOKUP(A432, IMPORTRANGE(""https://docs.google.com/spreadsheets/d/1-3Vjw2Cyy-mry5gbC8ypIR3YVGFfEpyFESummAta6sg/edit"", ""Sheet1!B:D""), 2, FALSE), ""Not Found"")"),"haɪl")</f>
        <v>haɪl</v>
      </c>
      <c r="E432" s="2" t="str">
        <f>IFERROR(__xludf.DUMMYFUNCTION("IFERROR(VLOOKUP(A432, IMPORTRANGE(""https://docs.google.com/spreadsheets/d/1-3Vjw2Cyy-mry5gbC8ypIR3YVGFfEpyFESummAta6sg/edit"", ""Sheet1!B:D""), 3, FALSE), ""Not Found"")"),"h a ɪ l ")</f>
        <v>h a ɪ l </v>
      </c>
    </row>
    <row r="433">
      <c r="A433" s="1" t="s">
        <v>436</v>
      </c>
      <c r="B433" s="1" t="s">
        <v>5</v>
      </c>
      <c r="C433" s="2">
        <f>IFERROR(__xludf.DUMMYFUNCTION("IFERROR(VLOOKUP(A433, IMPORTRANGE(""https://docs.google.com/spreadsheets/d/1AVX9GT0dgogEBStecCXMMQ29tWz3gBrtNB8yIromXbY/edit?gid=741673867"", ""out1g!A:B""), 2, FALSE), 0)"),110.0)</f>
        <v>110</v>
      </c>
      <c r="D433" s="2" t="str">
        <f>IFERROR(__xludf.DUMMYFUNCTION("IFERROR(VLOOKUP(A433, IMPORTRANGE(""https://docs.google.com/spreadsheets/d/1-3Vjw2Cyy-mry5gbC8ypIR3YVGFfEpyFESummAta6sg/edit"", ""Sheet1!B:D""), 2, FALSE), ""Not Found"")"),"hɑk")</f>
        <v>hɑk</v>
      </c>
      <c r="E433" s="2" t="str">
        <f>IFERROR(__xludf.DUMMYFUNCTION("IFERROR(VLOOKUP(A433, IMPORTRANGE(""https://docs.google.com/spreadsheets/d/1-3Vjw2Cyy-mry5gbC8ypIR3YVGFfEpyFESummAta6sg/edit"", ""Sheet1!B:D""), 3, FALSE), ""Not Found"")"),"h ɑ k ")</f>
        <v>h ɑ k </v>
      </c>
    </row>
    <row r="434">
      <c r="A434" s="1" t="s">
        <v>437</v>
      </c>
      <c r="B434" s="1" t="s">
        <v>5</v>
      </c>
      <c r="C434" s="2">
        <f>IFERROR(__xludf.DUMMYFUNCTION("IFERROR(VLOOKUP(A434, IMPORTRANGE(""https://docs.google.com/spreadsheets/d/1AVX9GT0dgogEBStecCXMMQ29tWz3gBrtNB8yIromXbY/edit?gid=741673867"", ""out1g!A:B""), 2, FALSE), 0)"),2512.0)</f>
        <v>2512</v>
      </c>
      <c r="D434" s="2" t="str">
        <f>IFERROR(__xludf.DUMMYFUNCTION("IFERROR(VLOOKUP(A434, IMPORTRANGE(""https://docs.google.com/spreadsheets/d/1-3Vjw2Cyy-mry5gbC8ypIR3YVGFfEpyFESummAta6sg/edit"", ""Sheet1!B:D""), 2, FALSE), ""Not Found"")"),"wɪlɪŋ")</f>
        <v>wɪlɪŋ</v>
      </c>
      <c r="E434" s="2" t="str">
        <f>IFERROR(__xludf.DUMMYFUNCTION("IFERROR(VLOOKUP(A434, IMPORTRANGE(""https://docs.google.com/spreadsheets/d/1-3Vjw2Cyy-mry5gbC8ypIR3YVGFfEpyFESummAta6sg/edit"", ""Sheet1!B:D""), 3, FALSE), ""Not Found"")"),"w ɪ l ɪ ŋ ")</f>
        <v>w ɪ l ɪ ŋ </v>
      </c>
    </row>
    <row r="435">
      <c r="A435" s="1" t="s">
        <v>438</v>
      </c>
      <c r="B435" s="1" t="s">
        <v>5</v>
      </c>
      <c r="C435" s="2">
        <f>IFERROR(__xludf.DUMMYFUNCTION("IFERROR(VLOOKUP(A435, IMPORTRANGE(""https://docs.google.com/spreadsheets/d/1AVX9GT0dgogEBStecCXMMQ29tWz3gBrtNB8yIromXbY/edit?gid=741673867"", ""out1g!A:B""), 2, FALSE), 0)"),85472.0)</f>
        <v>85472</v>
      </c>
      <c r="D435" s="2" t="str">
        <f>IFERROR(__xludf.DUMMYFUNCTION("IFERROR(VLOOKUP(A435, IMPORTRANGE(""https://docs.google.com/spreadsheets/d/1-3Vjw2Cyy-mry5gbC8ypIR3YVGFfEpyFESummAta6sg/edit"", ""Sheet1!B:D""), 2, FALSE), ""Not Found"")"),"hæd")</f>
        <v>hæd</v>
      </c>
      <c r="E435" s="2" t="str">
        <f>IFERROR(__xludf.DUMMYFUNCTION("IFERROR(VLOOKUP(A435, IMPORTRANGE(""https://docs.google.com/spreadsheets/d/1-3Vjw2Cyy-mry5gbC8ypIR3YVGFfEpyFESummAta6sg/edit"", ""Sheet1!B:D""), 3, FALSE), ""Not Found"")"),"h æ d ")</f>
        <v>h æ d </v>
      </c>
    </row>
    <row r="436">
      <c r="A436" s="1" t="s">
        <v>439</v>
      </c>
      <c r="B436" s="1" t="s">
        <v>5</v>
      </c>
      <c r="C436" s="2">
        <f>IFERROR(__xludf.DUMMYFUNCTION("IFERROR(VLOOKUP(A436, IMPORTRANGE(""https://docs.google.com/spreadsheets/d/1AVX9GT0dgogEBStecCXMMQ29tWz3gBrtNB8yIromXbY/edit?gid=741673867"", ""out1g!A:B""), 2, FALSE), 0)"),68.0)</f>
        <v>68</v>
      </c>
      <c r="D436" s="2" t="str">
        <f>IFERROR(__xludf.DUMMYFUNCTION("IFERROR(VLOOKUP(A436, IMPORTRANGE(""https://docs.google.com/spreadsheets/d/1-3Vjw2Cyy-mry5gbC8ypIR3YVGFfEpyFESummAta6sg/edit"", ""Sheet1!B:D""), 2, FALSE), ""Not Found"")"),"ebəl")</f>
        <v>ebəl</v>
      </c>
      <c r="E436" s="2" t="str">
        <f>IFERROR(__xludf.DUMMYFUNCTION("IFERROR(VLOOKUP(A436, IMPORTRANGE(""https://docs.google.com/spreadsheets/d/1-3Vjw2Cyy-mry5gbC8ypIR3YVGFfEpyFESummAta6sg/edit"", ""Sheet1!B:D""), 3, FALSE), ""Not Found"")"),"e b ə l ")</f>
        <v>e b ə l </v>
      </c>
    </row>
    <row r="437">
      <c r="A437" s="1" t="s">
        <v>440</v>
      </c>
      <c r="B437" s="1" t="s">
        <v>5</v>
      </c>
      <c r="C437" s="2">
        <f>IFERROR(__xludf.DUMMYFUNCTION("IFERROR(VLOOKUP(A437, IMPORTRANGE(""https://docs.google.com/spreadsheets/d/1AVX9GT0dgogEBStecCXMMQ29tWz3gBrtNB8yIromXbY/edit?gid=741673867"", ""out1g!A:B""), 2, FALSE), 0)"),12.0)</f>
        <v>12</v>
      </c>
      <c r="D437" s="2" t="str">
        <f>IFERROR(__xludf.DUMMYFUNCTION("IFERROR(VLOOKUP(A437, IMPORTRANGE(""https://docs.google.com/spreadsheets/d/1-3Vjw2Cyy-mry5gbC8ypIR3YVGFfEpyFESummAta6sg/edit"", ""Sheet1!B:D""), 2, FALSE), ""Not Found"")"),"bɪʧt")</f>
        <v>bɪʧt</v>
      </c>
      <c r="E437" s="2" t="str">
        <f>IFERROR(__xludf.DUMMYFUNCTION("IFERROR(VLOOKUP(A437, IMPORTRANGE(""https://docs.google.com/spreadsheets/d/1-3Vjw2Cyy-mry5gbC8ypIR3YVGFfEpyFESummAta6sg/edit"", ""Sheet1!B:D""), 3, FALSE), ""Not Found"")"),"b ɪ ʧ t ")</f>
        <v>b ɪ ʧ t </v>
      </c>
    </row>
    <row r="438">
      <c r="A438" s="1" t="s">
        <v>441</v>
      </c>
      <c r="B438" s="1" t="s">
        <v>5</v>
      </c>
      <c r="C438" s="2">
        <f>IFERROR(__xludf.DUMMYFUNCTION("IFERROR(VLOOKUP(A438, IMPORTRANGE(""https://docs.google.com/spreadsheets/d/1AVX9GT0dgogEBStecCXMMQ29tWz3gBrtNB8yIromXbY/edit?gid=741673867"", ""out1g!A:B""), 2, FALSE), 0)"),165.0)</f>
        <v>165</v>
      </c>
      <c r="D438" s="2" t="str">
        <f>IFERROR(__xludf.DUMMYFUNCTION("IFERROR(VLOOKUP(A438, IMPORTRANGE(""https://docs.google.com/spreadsheets/d/1-3Vjw2Cyy-mry5gbC8ypIR3YVGFfEpyFESummAta6sg/edit"", ""Sheet1!B:D""), 2, FALSE), ""Not Found"")"),"ruʒ")</f>
        <v>ruʒ</v>
      </c>
      <c r="E438" s="2" t="str">
        <f>IFERROR(__xludf.DUMMYFUNCTION("IFERROR(VLOOKUP(A438, IMPORTRANGE(""https://docs.google.com/spreadsheets/d/1-3Vjw2Cyy-mry5gbC8ypIR3YVGFfEpyFESummAta6sg/edit"", ""Sheet1!B:D""), 3, FALSE), ""Not Found"")"),"r u ʒ ")</f>
        <v>r u ʒ </v>
      </c>
    </row>
    <row r="439">
      <c r="A439" s="1" t="s">
        <v>442</v>
      </c>
      <c r="B439" s="1" t="s">
        <v>5</v>
      </c>
      <c r="C439" s="2">
        <f>IFERROR(__xludf.DUMMYFUNCTION("IFERROR(VLOOKUP(A439, IMPORTRANGE(""https://docs.google.com/spreadsheets/d/1AVX9GT0dgogEBStecCXMMQ29tWz3gBrtNB8yIromXbY/edit?gid=741673867"", ""out1g!A:B""), 2, FALSE), 0)"),67.0)</f>
        <v>67</v>
      </c>
      <c r="D439" s="2" t="str">
        <f>IFERROR(__xludf.DUMMYFUNCTION("IFERROR(VLOOKUP(A439, IMPORTRANGE(""https://docs.google.com/spreadsheets/d/1-3Vjw2Cyy-mry5gbC8ypIR3YVGFfEpyFESummAta6sg/edit"", ""Sheet1!B:D""), 2, FALSE), ""Not Found"")"),"sp")</f>
        <v>sp</v>
      </c>
      <c r="E439" s="2" t="str">
        <f>IFERROR(__xludf.DUMMYFUNCTION("IFERROR(VLOOKUP(A439, IMPORTRANGE(""https://docs.google.com/spreadsheets/d/1-3Vjw2Cyy-mry5gbC8ypIR3YVGFfEpyFESummAta6sg/edit"", ""Sheet1!B:D""), 3, FALSE), ""Not Found"")"),"s p ")</f>
        <v>s p </v>
      </c>
    </row>
    <row r="440">
      <c r="A440" s="1" t="s">
        <v>443</v>
      </c>
      <c r="B440" s="1" t="s">
        <v>5</v>
      </c>
      <c r="C440" s="2">
        <f>IFERROR(__xludf.DUMMYFUNCTION("IFERROR(VLOOKUP(A440, IMPORTRANGE(""https://docs.google.com/spreadsheets/d/1AVX9GT0dgogEBStecCXMMQ29tWz3gBrtNB8yIromXbY/edit?gid=741673867"", ""out1g!A:B""), 2, FALSE), 0)"),262.0)</f>
        <v>262</v>
      </c>
      <c r="D440" s="2" t="str">
        <f>IFERROR(__xludf.DUMMYFUNCTION("IFERROR(VLOOKUP(A440, IMPORTRANGE(""https://docs.google.com/spreadsheets/d/1-3Vjw2Cyy-mry5gbC8ypIR3YVGFfEpyFESummAta6sg/edit"", ""Sheet1!B:D""), 2, FALSE), ""Not Found"")"),"tæmi")</f>
        <v>tæmi</v>
      </c>
      <c r="E440" s="2" t="str">
        <f>IFERROR(__xludf.DUMMYFUNCTION("IFERROR(VLOOKUP(A440, IMPORTRANGE(""https://docs.google.com/spreadsheets/d/1-3Vjw2Cyy-mry5gbC8ypIR3YVGFfEpyFESummAta6sg/edit"", ""Sheet1!B:D""), 3, FALSE), ""Not Found"")"),"t æ m i ")</f>
        <v>t æ m i </v>
      </c>
    </row>
    <row r="441">
      <c r="A441" s="1" t="s">
        <v>444</v>
      </c>
      <c r="B441" s="1" t="s">
        <v>5</v>
      </c>
      <c r="C441" s="2">
        <f>IFERROR(__xludf.DUMMYFUNCTION("IFERROR(VLOOKUP(A441, IMPORTRANGE(""https://docs.google.com/spreadsheets/d/1AVX9GT0dgogEBStecCXMMQ29tWz3gBrtNB8yIromXbY/edit?gid=741673867"", ""out1g!A:B""), 2, FALSE), 0)"),211.0)</f>
        <v>211</v>
      </c>
      <c r="D441" s="2" t="str">
        <f>IFERROR(__xludf.DUMMYFUNCTION("IFERROR(VLOOKUP(A441, IMPORTRANGE(""https://docs.google.com/spreadsheets/d/1-3Vjw2Cyy-mry5gbC8ypIR3YVGFfEpyFESummAta6sg/edit"", ""Sheet1!B:D""), 2, FALSE), ""Not Found"")"),"bɛndər")</f>
        <v>bɛndər</v>
      </c>
      <c r="E441" s="2" t="str">
        <f>IFERROR(__xludf.DUMMYFUNCTION("IFERROR(VLOOKUP(A441, IMPORTRANGE(""https://docs.google.com/spreadsheets/d/1-3Vjw2Cyy-mry5gbC8ypIR3YVGFfEpyFESummAta6sg/edit"", ""Sheet1!B:D""), 3, FALSE), ""Not Found"")"),"b ɛ n d ə r ")</f>
        <v>b ɛ n d ə r </v>
      </c>
    </row>
    <row r="442">
      <c r="A442" s="1" t="s">
        <v>445</v>
      </c>
      <c r="B442" s="1" t="s">
        <v>5</v>
      </c>
      <c r="C442" s="2">
        <f>IFERROR(__xludf.DUMMYFUNCTION("IFERROR(VLOOKUP(A442, IMPORTRANGE(""https://docs.google.com/spreadsheets/d/1AVX9GT0dgogEBStecCXMMQ29tWz3gBrtNB8yIromXbY/edit?gid=741673867"", ""out1g!A:B""), 2, FALSE), 0)"),179.0)</f>
        <v>179</v>
      </c>
      <c r="D442" s="2" t="str">
        <f>IFERROR(__xludf.DUMMYFUNCTION("IFERROR(VLOOKUP(A442, IMPORTRANGE(""https://docs.google.com/spreadsheets/d/1-3Vjw2Cyy-mry5gbC8ypIR3YVGFfEpyFESummAta6sg/edit"", ""Sheet1!B:D""), 2, FALSE), ""Not Found"")"),"lɛʤ")</f>
        <v>lɛʤ</v>
      </c>
      <c r="E442" s="2" t="str">
        <f>IFERROR(__xludf.DUMMYFUNCTION("IFERROR(VLOOKUP(A442, IMPORTRANGE(""https://docs.google.com/spreadsheets/d/1-3Vjw2Cyy-mry5gbC8ypIR3YVGFfEpyFESummAta6sg/edit"", ""Sheet1!B:D""), 3, FALSE), ""Not Found"")"),"l ɛ ʤ ")</f>
        <v>l ɛ ʤ </v>
      </c>
    </row>
    <row r="443">
      <c r="A443" s="1" t="s">
        <v>446</v>
      </c>
      <c r="B443" s="1" t="s">
        <v>5</v>
      </c>
      <c r="C443" s="2">
        <f>IFERROR(__xludf.DUMMYFUNCTION("IFERROR(VLOOKUP(A443, IMPORTRANGE(""https://docs.google.com/spreadsheets/d/1AVX9GT0dgogEBStecCXMMQ29tWz3gBrtNB8yIromXbY/edit?gid=741673867"", ""out1g!A:B""), 2, FALSE), 0)"),90.0)</f>
        <v>90</v>
      </c>
      <c r="D443" s="2" t="str">
        <f>IFERROR(__xludf.DUMMYFUNCTION("IFERROR(VLOOKUP(A443, IMPORTRANGE(""https://docs.google.com/spreadsheets/d/1-3Vjw2Cyy-mry5gbC8ypIR3YVGFfEpyFESummAta6sg/edit"", ""Sheet1!B:D""), 2, FALSE), ""Not Found"")"),"snel")</f>
        <v>snel</v>
      </c>
      <c r="E443" s="2" t="str">
        <f>IFERROR(__xludf.DUMMYFUNCTION("IFERROR(VLOOKUP(A443, IMPORTRANGE(""https://docs.google.com/spreadsheets/d/1-3Vjw2Cyy-mry5gbC8ypIR3YVGFfEpyFESummAta6sg/edit"", ""Sheet1!B:D""), 3, FALSE), ""Not Found"")"),"s n e l ")</f>
        <v>s n e l </v>
      </c>
    </row>
    <row r="444">
      <c r="A444" s="1" t="s">
        <v>447</v>
      </c>
      <c r="B444" s="1" t="s">
        <v>5</v>
      </c>
      <c r="C444" s="2">
        <f>IFERROR(__xludf.DUMMYFUNCTION("IFERROR(VLOOKUP(A444, IMPORTRANGE(""https://docs.google.com/spreadsheets/d/1AVX9GT0dgogEBStecCXMMQ29tWz3gBrtNB8yIromXbY/edit?gid=741673867"", ""out1g!A:B""), 2, FALSE), 0)"),340.0)</f>
        <v>340</v>
      </c>
      <c r="D444" s="2" t="str">
        <f>IFERROR(__xludf.DUMMYFUNCTION("IFERROR(VLOOKUP(A444, IMPORTRANGE(""https://docs.google.com/spreadsheets/d/1-3Vjw2Cyy-mry5gbC8ypIR3YVGFfEpyFESummAta6sg/edit"", ""Sheet1!B:D""), 2, FALSE), ""Not Found"")"),"lip")</f>
        <v>lip</v>
      </c>
      <c r="E444" s="2" t="str">
        <f>IFERROR(__xludf.DUMMYFUNCTION("IFERROR(VLOOKUP(A444, IMPORTRANGE(""https://docs.google.com/spreadsheets/d/1-3Vjw2Cyy-mry5gbC8ypIR3YVGFfEpyFESummAta6sg/edit"", ""Sheet1!B:D""), 3, FALSE), ""Not Found"")"),"l i p ")</f>
        <v>l i p </v>
      </c>
    </row>
    <row r="445">
      <c r="A445" s="1" t="s">
        <v>448</v>
      </c>
      <c r="B445" s="1" t="s">
        <v>5</v>
      </c>
      <c r="C445" s="2">
        <f>IFERROR(__xludf.DUMMYFUNCTION("IFERROR(VLOOKUP(A445, IMPORTRANGE(""https://docs.google.com/spreadsheets/d/1AVX9GT0dgogEBStecCXMMQ29tWz3gBrtNB8yIromXbY/edit?gid=741673867"", ""out1g!A:B""), 2, FALSE), 0)"),105.0)</f>
        <v>105</v>
      </c>
      <c r="D445" s="2" t="str">
        <f>IFERROR(__xludf.DUMMYFUNCTION("IFERROR(VLOOKUP(A445, IMPORTRANGE(""https://docs.google.com/spreadsheets/d/1-3Vjw2Cyy-mry5gbC8ypIR3YVGFfEpyFESummAta6sg/edit"", ""Sheet1!B:D""), 2, FALSE), ""Not Found"")"),"plenz")</f>
        <v>plenz</v>
      </c>
      <c r="E445" s="2" t="str">
        <f>IFERROR(__xludf.DUMMYFUNCTION("IFERROR(VLOOKUP(A445, IMPORTRANGE(""https://docs.google.com/spreadsheets/d/1-3Vjw2Cyy-mry5gbC8ypIR3YVGFfEpyFESummAta6sg/edit"", ""Sheet1!B:D""), 3, FALSE), ""Not Found"")"),"p l e n z ")</f>
        <v>p l e n z </v>
      </c>
    </row>
    <row r="446">
      <c r="A446" s="1" t="s">
        <v>449</v>
      </c>
      <c r="B446" s="1" t="s">
        <v>5</v>
      </c>
      <c r="C446" s="2">
        <f>IFERROR(__xludf.DUMMYFUNCTION("IFERROR(VLOOKUP(A446, IMPORTRANGE(""https://docs.google.com/spreadsheets/d/1AVX9GT0dgogEBStecCXMMQ29tWz3gBrtNB8yIromXbY/edit?gid=741673867"", ""out1g!A:B""), 2, FALSE), 0)"),330.0)</f>
        <v>330</v>
      </c>
      <c r="D446" s="2" t="str">
        <f>IFERROR(__xludf.DUMMYFUNCTION("IFERROR(VLOOKUP(A446, IMPORTRANGE(""https://docs.google.com/spreadsheets/d/1-3Vjw2Cyy-mry5gbC8ypIR3YVGFfEpyFESummAta6sg/edit"", ""Sheet1!B:D""), 2, FALSE), ""Not Found"")"),"laɪnd")</f>
        <v>laɪnd</v>
      </c>
      <c r="E446" s="2" t="str">
        <f>IFERROR(__xludf.DUMMYFUNCTION("IFERROR(VLOOKUP(A446, IMPORTRANGE(""https://docs.google.com/spreadsheets/d/1-3Vjw2Cyy-mry5gbC8ypIR3YVGFfEpyFESummAta6sg/edit"", ""Sheet1!B:D""), 3, FALSE), ""Not Found"")"),"l a ɪ n d ")</f>
        <v>l a ɪ n d </v>
      </c>
    </row>
    <row r="447">
      <c r="A447" s="1" t="s">
        <v>450</v>
      </c>
      <c r="B447" s="1" t="s">
        <v>5</v>
      </c>
      <c r="C447" s="2">
        <f>IFERROR(__xludf.DUMMYFUNCTION("IFERROR(VLOOKUP(A447, IMPORTRANGE(""https://docs.google.com/spreadsheets/d/1AVX9GT0dgogEBStecCXMMQ29tWz3gBrtNB8yIromXbY/edit?gid=741673867"", ""out1g!A:B""), 2, FALSE), 0)"),2731.0)</f>
        <v>2731</v>
      </c>
      <c r="D447" s="2" t="str">
        <f>IFERROR(__xludf.DUMMYFUNCTION("IFERROR(VLOOKUP(A447, IMPORTRANGE(""https://docs.google.com/spreadsheets/d/1-3Vjw2Cyy-mry5gbC8ypIR3YVGFfEpyFESummAta6sg/edit"", ""Sheet1!B:D""), 2, FALSE), ""Not Found"")"),"switi")</f>
        <v>switi</v>
      </c>
      <c r="E447" s="2" t="str">
        <f>IFERROR(__xludf.DUMMYFUNCTION("IFERROR(VLOOKUP(A447, IMPORTRANGE(""https://docs.google.com/spreadsheets/d/1-3Vjw2Cyy-mry5gbC8ypIR3YVGFfEpyFESummAta6sg/edit"", ""Sheet1!B:D""), 3, FALSE), ""Not Found"")"),"s w i t i ")</f>
        <v>s w i t i </v>
      </c>
    </row>
    <row r="448">
      <c r="A448" s="1" t="s">
        <v>451</v>
      </c>
      <c r="B448" s="1" t="s">
        <v>5</v>
      </c>
      <c r="C448" s="2">
        <f>IFERROR(__xludf.DUMMYFUNCTION("IFERROR(VLOOKUP(A448, IMPORTRANGE(""https://docs.google.com/spreadsheets/d/1AVX9GT0dgogEBStecCXMMQ29tWz3gBrtNB8yIromXbY/edit?gid=741673867"", ""out1g!A:B""), 2, FALSE), 0)"),99.0)</f>
        <v>99</v>
      </c>
      <c r="D448" s="2" t="str">
        <f>IFERROR(__xludf.DUMMYFUNCTION("IFERROR(VLOOKUP(A448, IMPORTRANGE(""https://docs.google.com/spreadsheets/d/1-3Vjw2Cyy-mry5gbC8ypIR3YVGFfEpyFESummAta6sg/edit"", ""Sheet1!B:D""), 2, FALSE), ""Not Found"")"),"ərn")</f>
        <v>ərn</v>
      </c>
      <c r="E448" s="2" t="str">
        <f>IFERROR(__xludf.DUMMYFUNCTION("IFERROR(VLOOKUP(A448, IMPORTRANGE(""https://docs.google.com/spreadsheets/d/1-3Vjw2Cyy-mry5gbC8ypIR3YVGFfEpyFESummAta6sg/edit"", ""Sheet1!B:D""), 3, FALSE), ""Not Found"")"),"ə r n ")</f>
        <v>ə r n </v>
      </c>
    </row>
    <row r="449">
      <c r="A449" s="1" t="s">
        <v>452</v>
      </c>
      <c r="B449" s="1" t="s">
        <v>5</v>
      </c>
      <c r="C449" s="2">
        <f>IFERROR(__xludf.DUMMYFUNCTION("IFERROR(VLOOKUP(A449, IMPORTRANGE(""https://docs.google.com/spreadsheets/d/1AVX9GT0dgogEBStecCXMMQ29tWz3gBrtNB8yIromXbY/edit?gid=741673867"", ""out1g!A:B""), 2, FALSE), 0)"),78.0)</f>
        <v>78</v>
      </c>
      <c r="D449" s="2" t="str">
        <f>IFERROR(__xludf.DUMMYFUNCTION("IFERROR(VLOOKUP(A449, IMPORTRANGE(""https://docs.google.com/spreadsheets/d/1-3Vjw2Cyy-mry5gbC8ypIR3YVGFfEpyFESummAta6sg/edit"", ""Sheet1!B:D""), 2, FALSE), ""Not Found"")"),"hɛŋ")</f>
        <v>hɛŋ</v>
      </c>
      <c r="E449" s="2" t="str">
        <f>IFERROR(__xludf.DUMMYFUNCTION("IFERROR(VLOOKUP(A449, IMPORTRANGE(""https://docs.google.com/spreadsheets/d/1-3Vjw2Cyy-mry5gbC8ypIR3YVGFfEpyFESummAta6sg/edit"", ""Sheet1!B:D""), 3, FALSE), ""Not Found"")"),"h ɛ ŋ ")</f>
        <v>h ɛ ŋ </v>
      </c>
    </row>
    <row r="450">
      <c r="A450" s="1" t="s">
        <v>453</v>
      </c>
      <c r="B450" s="1" t="s">
        <v>5</v>
      </c>
      <c r="C450" s="2">
        <f>IFERROR(__xludf.DUMMYFUNCTION("IFERROR(VLOOKUP(A450, IMPORTRANGE(""https://docs.google.com/spreadsheets/d/1AVX9GT0dgogEBStecCXMMQ29tWz3gBrtNB8yIromXbY/edit?gid=741673867"", ""out1g!A:B""), 2, FALSE), 0)"),7550.0)</f>
        <v>7550</v>
      </c>
      <c r="D450" s="2" t="str">
        <f>IFERROR(__xludf.DUMMYFUNCTION("IFERROR(VLOOKUP(A450, IMPORTRANGE(""https://docs.google.com/spreadsheets/d/1-3Vjw2Cyy-mry5gbC8ypIR3YVGFfEpyFESummAta6sg/edit"", ""Sheet1!B:D""), 2, FALSE), ""Not Found"")"),"dæns")</f>
        <v>dæns</v>
      </c>
      <c r="E450" s="2" t="str">
        <f>IFERROR(__xludf.DUMMYFUNCTION("IFERROR(VLOOKUP(A450, IMPORTRANGE(""https://docs.google.com/spreadsheets/d/1-3Vjw2Cyy-mry5gbC8ypIR3YVGFfEpyFESummAta6sg/edit"", ""Sheet1!B:D""), 3, FALSE), ""Not Found"")"),"d æ n s ")</f>
        <v>d æ n s </v>
      </c>
    </row>
    <row r="451">
      <c r="A451" s="1" t="s">
        <v>454</v>
      </c>
      <c r="B451" s="1" t="s">
        <v>5</v>
      </c>
      <c r="C451" s="2">
        <f>IFERROR(__xludf.DUMMYFUNCTION("IFERROR(VLOOKUP(A451, IMPORTRANGE(""https://docs.google.com/spreadsheets/d/1AVX9GT0dgogEBStecCXMMQ29tWz3gBrtNB8yIromXbY/edit?gid=741673867"", ""out1g!A:B""), 2, FALSE), 0)"),1261.0)</f>
        <v>1261</v>
      </c>
      <c r="D451" s="2" t="str">
        <f>IFERROR(__xludf.DUMMYFUNCTION("IFERROR(VLOOKUP(A451, IMPORTRANGE(""https://docs.google.com/spreadsheets/d/1-3Vjw2Cyy-mry5gbC8ypIR3YVGFfEpyFESummAta6sg/edit"", ""Sheet1!B:D""), 2, FALSE), ""Not Found"")"),"pɛn")</f>
        <v>pɛn</v>
      </c>
      <c r="E451" s="2" t="str">
        <f>IFERROR(__xludf.DUMMYFUNCTION("IFERROR(VLOOKUP(A451, IMPORTRANGE(""https://docs.google.com/spreadsheets/d/1-3Vjw2Cyy-mry5gbC8ypIR3YVGFfEpyFESummAta6sg/edit"", ""Sheet1!B:D""), 3, FALSE), ""Not Found"")"),"p ɛ n ")</f>
        <v>p ɛ n </v>
      </c>
    </row>
    <row r="452">
      <c r="A452" s="1" t="s">
        <v>455</v>
      </c>
      <c r="B452" s="1" t="s">
        <v>5</v>
      </c>
      <c r="C452" s="2">
        <f>IFERROR(__xludf.DUMMYFUNCTION("IFERROR(VLOOKUP(A452, IMPORTRANGE(""https://docs.google.com/spreadsheets/d/1AVX9GT0dgogEBStecCXMMQ29tWz3gBrtNB8yIromXbY/edit?gid=741673867"", ""out1g!A:B""), 2, FALSE), 0)"),1602.0)</f>
        <v>1602</v>
      </c>
      <c r="D452" s="2" t="str">
        <f>IFERROR(__xludf.DUMMYFUNCTION("IFERROR(VLOOKUP(A452, IMPORTRANGE(""https://docs.google.com/spreadsheets/d/1-3Vjw2Cyy-mry5gbC8ypIR3YVGFfEpyFESummAta6sg/edit"", ""Sheet1!B:D""), 2, FALSE), ""Not Found"")"),"rəʃ")</f>
        <v>rəʃ</v>
      </c>
      <c r="E452" s="2" t="str">
        <f>IFERROR(__xludf.DUMMYFUNCTION("IFERROR(VLOOKUP(A452, IMPORTRANGE(""https://docs.google.com/spreadsheets/d/1-3Vjw2Cyy-mry5gbC8ypIR3YVGFfEpyFESummAta6sg/edit"", ""Sheet1!B:D""), 3, FALSE), ""Not Found"")"),"r ə ʃ ")</f>
        <v>r ə ʃ </v>
      </c>
    </row>
    <row r="453">
      <c r="A453" s="1" t="s">
        <v>456</v>
      </c>
      <c r="B453" s="1" t="s">
        <v>5</v>
      </c>
      <c r="C453" s="2">
        <f>IFERROR(__xludf.DUMMYFUNCTION("IFERROR(VLOOKUP(A453, IMPORTRANGE(""https://docs.google.com/spreadsheets/d/1AVX9GT0dgogEBStecCXMMQ29tWz3gBrtNB8yIromXbY/edit?gid=741673867"", ""out1g!A:B""), 2, FALSE), 0)"),80.0)</f>
        <v>80</v>
      </c>
      <c r="D453" s="2" t="str">
        <f>IFERROR(__xludf.DUMMYFUNCTION("IFERROR(VLOOKUP(A453, IMPORTRANGE(""https://docs.google.com/spreadsheets/d/1-3Vjw2Cyy-mry5gbC8ypIR3YVGFfEpyFESummAta6sg/edit"", ""Sheet1!B:D""), 2, FALSE), ""Not Found"")"),"əkəlt")</f>
        <v>əkəlt</v>
      </c>
      <c r="E453" s="2" t="str">
        <f>IFERROR(__xludf.DUMMYFUNCTION("IFERROR(VLOOKUP(A453, IMPORTRANGE(""https://docs.google.com/spreadsheets/d/1-3Vjw2Cyy-mry5gbC8ypIR3YVGFfEpyFESummAta6sg/edit"", ""Sheet1!B:D""), 3, FALSE), ""Not Found"")"),"ə k ə l t ")</f>
        <v>ə k ə l t </v>
      </c>
    </row>
    <row r="454">
      <c r="A454" s="1" t="s">
        <v>457</v>
      </c>
      <c r="B454" s="1" t="s">
        <v>5</v>
      </c>
      <c r="C454" s="2">
        <f>IFERROR(__xludf.DUMMYFUNCTION("IFERROR(VLOOKUP(A454, IMPORTRANGE(""https://docs.google.com/spreadsheets/d/1AVX9GT0dgogEBStecCXMMQ29tWz3gBrtNB8yIromXbY/edit?gid=741673867"", ""out1g!A:B""), 2, FALSE), 0)"),944.0)</f>
        <v>944</v>
      </c>
      <c r="D454" s="2" t="str">
        <f>IFERROR(__xludf.DUMMYFUNCTION("IFERROR(VLOOKUP(A454, IMPORTRANGE(""https://docs.google.com/spreadsheets/d/1-3Vjw2Cyy-mry5gbC8ypIR3YVGFfEpyFESummAta6sg/edit"", ""Sheet1!B:D""), 2, FALSE), ""Not Found"")"),"se")</f>
        <v>se</v>
      </c>
      <c r="E454" s="2" t="str">
        <f>IFERROR(__xludf.DUMMYFUNCTION("IFERROR(VLOOKUP(A454, IMPORTRANGE(""https://docs.google.com/spreadsheets/d/1-3Vjw2Cyy-mry5gbC8ypIR3YVGFfEpyFESummAta6sg/edit"", ""Sheet1!B:D""), 3, FALSE), ""Not Found"")"),"s e ")</f>
        <v>s e </v>
      </c>
    </row>
    <row r="455">
      <c r="A455" s="1" t="s">
        <v>458</v>
      </c>
      <c r="B455" s="1" t="s">
        <v>5</v>
      </c>
      <c r="C455" s="2">
        <f>IFERROR(__xludf.DUMMYFUNCTION("IFERROR(VLOOKUP(A455, IMPORTRANGE(""https://docs.google.com/spreadsheets/d/1AVX9GT0dgogEBStecCXMMQ29tWz3gBrtNB8yIromXbY/edit?gid=741673867"", ""out1g!A:B""), 2, FALSE), 0)"),78.0)</f>
        <v>78</v>
      </c>
      <c r="D455" s="2" t="str">
        <f>IFERROR(__xludf.DUMMYFUNCTION("IFERROR(VLOOKUP(A455, IMPORTRANGE(""https://docs.google.com/spreadsheets/d/1-3Vjw2Cyy-mry5gbC8ypIR3YVGFfEpyFESummAta6sg/edit"", ""Sheet1!B:D""), 2, FALSE), ""Not Found"")"),"fit")</f>
        <v>fit</v>
      </c>
      <c r="E455" s="2" t="str">
        <f>IFERROR(__xludf.DUMMYFUNCTION("IFERROR(VLOOKUP(A455, IMPORTRANGE(""https://docs.google.com/spreadsheets/d/1-3Vjw2Cyy-mry5gbC8ypIR3YVGFfEpyFESummAta6sg/edit"", ""Sheet1!B:D""), 3, FALSE), ""Not Found"")"),"f i t ")</f>
        <v>f i t </v>
      </c>
    </row>
    <row r="456">
      <c r="A456" s="1" t="s">
        <v>459</v>
      </c>
      <c r="B456" s="1" t="s">
        <v>5</v>
      </c>
      <c r="C456" s="2">
        <f>IFERROR(__xludf.DUMMYFUNCTION("IFERROR(VLOOKUP(A456, IMPORTRANGE(""https://docs.google.com/spreadsheets/d/1AVX9GT0dgogEBStecCXMMQ29tWz3gBrtNB8yIromXbY/edit?gid=741673867"", ""out1g!A:B""), 2, FALSE), 0)"),121.0)</f>
        <v>121</v>
      </c>
      <c r="D456" s="2" t="str">
        <f>IFERROR(__xludf.DUMMYFUNCTION("IFERROR(VLOOKUP(A456, IMPORTRANGE(""https://docs.google.com/spreadsheets/d/1-3Vjw2Cyy-mry5gbC8ypIR3YVGFfEpyFESummAta6sg/edit"", ""Sheet1!B:D""), 2, FALSE), ""Not Found"")"),"fɪlmd")</f>
        <v>fɪlmd</v>
      </c>
      <c r="E456" s="2" t="str">
        <f>IFERROR(__xludf.DUMMYFUNCTION("IFERROR(VLOOKUP(A456, IMPORTRANGE(""https://docs.google.com/spreadsheets/d/1-3Vjw2Cyy-mry5gbC8ypIR3YVGFfEpyFESummAta6sg/edit"", ""Sheet1!B:D""), 3, FALSE), ""Not Found"")"),"f ɪ l m d ")</f>
        <v>f ɪ l m d </v>
      </c>
    </row>
    <row r="457">
      <c r="A457" s="1" t="s">
        <v>460</v>
      </c>
      <c r="B457" s="1" t="s">
        <v>5</v>
      </c>
      <c r="C457" s="2">
        <f>IFERROR(__xludf.DUMMYFUNCTION("IFERROR(VLOOKUP(A457, IMPORTRANGE(""https://docs.google.com/spreadsheets/d/1AVX9GT0dgogEBStecCXMMQ29tWz3gBrtNB8yIromXbY/edit?gid=741673867"", ""out1g!A:B""), 2, FALSE), 0)"),118.0)</f>
        <v>118</v>
      </c>
      <c r="D457" s="2" t="str">
        <f>IFERROR(__xludf.DUMMYFUNCTION("IFERROR(VLOOKUP(A457, IMPORTRANGE(""https://docs.google.com/spreadsheets/d/1-3Vjw2Cyy-mry5gbC8ypIR3YVGFfEpyFESummAta6sg/edit"", ""Sheet1!B:D""), 2, FALSE), ""Not Found"")"),"plək")</f>
        <v>plək</v>
      </c>
      <c r="E457" s="2" t="str">
        <f>IFERROR(__xludf.DUMMYFUNCTION("IFERROR(VLOOKUP(A457, IMPORTRANGE(""https://docs.google.com/spreadsheets/d/1-3Vjw2Cyy-mry5gbC8ypIR3YVGFfEpyFESummAta6sg/edit"", ""Sheet1!B:D""), 3, FALSE), ""Not Found"")"),"p l ə k ")</f>
        <v>p l ə k </v>
      </c>
    </row>
    <row r="458">
      <c r="A458" s="1" t="s">
        <v>461</v>
      </c>
      <c r="B458" s="1" t="s">
        <v>5</v>
      </c>
      <c r="C458" s="2">
        <f>IFERROR(__xludf.DUMMYFUNCTION("IFERROR(VLOOKUP(A458, IMPORTRANGE(""https://docs.google.com/spreadsheets/d/1AVX9GT0dgogEBStecCXMMQ29tWz3gBrtNB8yIromXbY/edit?gid=741673867"", ""out1g!A:B""), 2, FALSE), 0)"),49.0)</f>
        <v>49</v>
      </c>
      <c r="D458" s="2" t="str">
        <f>IFERROR(__xludf.DUMMYFUNCTION("IFERROR(VLOOKUP(A458, IMPORTRANGE(""https://docs.google.com/spreadsheets/d/1-3Vjw2Cyy-mry5gbC8ypIR3YVGFfEpyFESummAta6sg/edit"", ""Sheet1!B:D""), 2, FALSE), ""Not Found"")"),"dɪdnt")</f>
        <v>dɪdnt</v>
      </c>
      <c r="E458" s="2" t="str">
        <f>IFERROR(__xludf.DUMMYFUNCTION("IFERROR(VLOOKUP(A458, IMPORTRANGE(""https://docs.google.com/spreadsheets/d/1-3Vjw2Cyy-mry5gbC8ypIR3YVGFfEpyFESummAta6sg/edit"", ""Sheet1!B:D""), 3, FALSE), ""Not Found"")"),"d ɪ d n t ")</f>
        <v>d ɪ d n t </v>
      </c>
    </row>
    <row r="459">
      <c r="A459" s="1" t="s">
        <v>462</v>
      </c>
      <c r="B459" s="1" t="s">
        <v>5</v>
      </c>
      <c r="C459" s="2">
        <f>IFERROR(__xludf.DUMMYFUNCTION("IFERROR(VLOOKUP(A459, IMPORTRANGE(""https://docs.google.com/spreadsheets/d/1AVX9GT0dgogEBStecCXMMQ29tWz3gBrtNB8yIromXbY/edit?gid=741673867"", ""out1g!A:B""), 2, FALSE), 0)"),580.0)</f>
        <v>580</v>
      </c>
      <c r="D459" s="2" t="str">
        <f>IFERROR(__xludf.DUMMYFUNCTION("IFERROR(VLOOKUP(A459, IMPORTRANGE(""https://docs.google.com/spreadsheets/d/1-3Vjw2Cyy-mry5gbC8ypIR3YVGFfEpyFESummAta6sg/edit"", ""Sheet1!B:D""), 2, FALSE), ""Not Found"")"),"fɔrmz")</f>
        <v>fɔrmz</v>
      </c>
      <c r="E459" s="2" t="str">
        <f>IFERROR(__xludf.DUMMYFUNCTION("IFERROR(VLOOKUP(A459, IMPORTRANGE(""https://docs.google.com/spreadsheets/d/1-3Vjw2Cyy-mry5gbC8ypIR3YVGFfEpyFESummAta6sg/edit"", ""Sheet1!B:D""), 3, FALSE), ""Not Found"")"),"f ɔ r m z ")</f>
        <v>f ɔ r m z </v>
      </c>
    </row>
    <row r="460">
      <c r="A460" s="1" t="s">
        <v>463</v>
      </c>
      <c r="B460" s="1" t="s">
        <v>5</v>
      </c>
      <c r="C460" s="2">
        <f>IFERROR(__xludf.DUMMYFUNCTION("IFERROR(VLOOKUP(A460, IMPORTRANGE(""https://docs.google.com/spreadsheets/d/1AVX9GT0dgogEBStecCXMMQ29tWz3gBrtNB8yIromXbY/edit?gid=741673867"", ""out1g!A:B""), 2, FALSE), 0)"),70.0)</f>
        <v>70</v>
      </c>
      <c r="D460" s="2" t="str">
        <f>IFERROR(__xludf.DUMMYFUNCTION("IFERROR(VLOOKUP(A460, IMPORTRANGE(""https://docs.google.com/spreadsheets/d/1-3Vjw2Cyy-mry5gbC8ypIR3YVGFfEpyFESummAta6sg/edit"", ""Sheet1!B:D""), 2, FALSE), ""Not Found"")"),"træm")</f>
        <v>træm</v>
      </c>
      <c r="E460" s="2" t="str">
        <f>IFERROR(__xludf.DUMMYFUNCTION("IFERROR(VLOOKUP(A460, IMPORTRANGE(""https://docs.google.com/spreadsheets/d/1-3Vjw2Cyy-mry5gbC8ypIR3YVGFfEpyFESummAta6sg/edit"", ""Sheet1!B:D""), 3, FALSE), ""Not Found"")"),"t r æ m ")</f>
        <v>t r æ m </v>
      </c>
    </row>
    <row r="461">
      <c r="A461" s="1" t="s">
        <v>464</v>
      </c>
      <c r="B461" s="1" t="s">
        <v>5</v>
      </c>
      <c r="C461" s="2">
        <f>IFERROR(__xludf.DUMMYFUNCTION("IFERROR(VLOOKUP(A461, IMPORTRANGE(""https://docs.google.com/spreadsheets/d/1AVX9GT0dgogEBStecCXMMQ29tWz3gBrtNB8yIromXbY/edit?gid=741673867"", ""out1g!A:B""), 2, FALSE), 0)"),135.0)</f>
        <v>135</v>
      </c>
      <c r="D461" s="2" t="str">
        <f>IFERROR(__xludf.DUMMYFUNCTION("IFERROR(VLOOKUP(A461, IMPORTRANGE(""https://docs.google.com/spreadsheets/d/1-3Vjw2Cyy-mry5gbC8ypIR3YVGFfEpyFESummAta6sg/edit"", ""Sheet1!B:D""), 2, FALSE), ""Not Found"")"),"flæp")</f>
        <v>flæp</v>
      </c>
      <c r="E461" s="2" t="str">
        <f>IFERROR(__xludf.DUMMYFUNCTION("IFERROR(VLOOKUP(A461, IMPORTRANGE(""https://docs.google.com/spreadsheets/d/1-3Vjw2Cyy-mry5gbC8ypIR3YVGFfEpyFESummAta6sg/edit"", ""Sheet1!B:D""), 3, FALSE), ""Not Found"")"),"f l æ p ")</f>
        <v>f l æ p </v>
      </c>
    </row>
    <row r="462">
      <c r="A462" s="1" t="s">
        <v>465</v>
      </c>
      <c r="B462" s="1" t="s">
        <v>5</v>
      </c>
      <c r="C462" s="2">
        <f>IFERROR(__xludf.DUMMYFUNCTION("IFERROR(VLOOKUP(A462, IMPORTRANGE(""https://docs.google.com/spreadsheets/d/1AVX9GT0dgogEBStecCXMMQ29tWz3gBrtNB8yIromXbY/edit?gid=741673867"", ""out1g!A:B""), 2, FALSE), 0)"),1013.0)</f>
        <v>1013</v>
      </c>
      <c r="D462" s="2" t="str">
        <f>IFERROR(__xludf.DUMMYFUNCTION("IFERROR(VLOOKUP(A462, IMPORTRANGE(""https://docs.google.com/spreadsheets/d/1-3Vjw2Cyy-mry5gbC8ypIR3YVGFfEpyFESummAta6sg/edit"", ""Sheet1!B:D""), 2, FALSE), ""Not Found"")"),"loʊn")</f>
        <v>loʊn</v>
      </c>
      <c r="E462" s="2" t="str">
        <f>IFERROR(__xludf.DUMMYFUNCTION("IFERROR(VLOOKUP(A462, IMPORTRANGE(""https://docs.google.com/spreadsheets/d/1-3Vjw2Cyy-mry5gbC8ypIR3YVGFfEpyFESummAta6sg/edit"", ""Sheet1!B:D""), 3, FALSE), ""Not Found"")"),"l o ʊ n ")</f>
        <v>l o ʊ n </v>
      </c>
    </row>
    <row r="463">
      <c r="A463" s="1" t="s">
        <v>466</v>
      </c>
      <c r="B463" s="1" t="s">
        <v>5</v>
      </c>
      <c r="C463" s="2">
        <f>IFERROR(__xludf.DUMMYFUNCTION("IFERROR(VLOOKUP(A463, IMPORTRANGE(""https://docs.google.com/spreadsheets/d/1AVX9GT0dgogEBStecCXMMQ29tWz3gBrtNB8yIromXbY/edit?gid=741673867"", ""out1g!A:B""), 2, FALSE), 0)"),80.0)</f>
        <v>80</v>
      </c>
      <c r="D463" s="2" t="str">
        <f>IFERROR(__xludf.DUMMYFUNCTION("IFERROR(VLOOKUP(A463, IMPORTRANGE(""https://docs.google.com/spreadsheets/d/1-3Vjw2Cyy-mry5gbC8ypIR3YVGFfEpyFESummAta6sg/edit"", ""Sheet1!B:D""), 2, FALSE), ""Not Found"")"),"tut")</f>
        <v>tut</v>
      </c>
      <c r="E463" s="2" t="str">
        <f>IFERROR(__xludf.DUMMYFUNCTION("IFERROR(VLOOKUP(A463, IMPORTRANGE(""https://docs.google.com/spreadsheets/d/1-3Vjw2Cyy-mry5gbC8ypIR3YVGFfEpyFESummAta6sg/edit"", ""Sheet1!B:D""), 3, FALSE), ""Not Found"")"),"t u t ")</f>
        <v>t u t </v>
      </c>
    </row>
    <row r="464">
      <c r="A464" s="1" t="s">
        <v>467</v>
      </c>
      <c r="B464" s="1" t="s">
        <v>5</v>
      </c>
      <c r="C464" s="2">
        <f>IFERROR(__xludf.DUMMYFUNCTION("IFERROR(VLOOKUP(A464, IMPORTRANGE(""https://docs.google.com/spreadsheets/d/1AVX9GT0dgogEBStecCXMMQ29tWz3gBrtNB8yIromXbY/edit?gid=741673867"", ""out1g!A:B""), 2, FALSE), 0)"),70.0)</f>
        <v>70</v>
      </c>
      <c r="D464" s="2" t="str">
        <f>IFERROR(__xludf.DUMMYFUNCTION("IFERROR(VLOOKUP(A464, IMPORTRANGE(""https://docs.google.com/spreadsheets/d/1-3Vjw2Cyy-mry5gbC8ypIR3YVGFfEpyFESummAta6sg/edit"", ""Sheet1!B:D""), 2, FALSE), ""Not Found"")"),"braɪtən")</f>
        <v>braɪtən</v>
      </c>
      <c r="E464" s="2" t="str">
        <f>IFERROR(__xludf.DUMMYFUNCTION("IFERROR(VLOOKUP(A464, IMPORTRANGE(""https://docs.google.com/spreadsheets/d/1-3Vjw2Cyy-mry5gbC8ypIR3YVGFfEpyFESummAta6sg/edit"", ""Sheet1!B:D""), 3, FALSE), ""Not Found"")"),"b r a ɪ t ə n ")</f>
        <v>b r a ɪ t ə n </v>
      </c>
    </row>
    <row r="465">
      <c r="A465" s="1" t="s">
        <v>468</v>
      </c>
      <c r="B465" s="1" t="s">
        <v>5</v>
      </c>
      <c r="C465" s="2">
        <f>IFERROR(__xludf.DUMMYFUNCTION("IFERROR(VLOOKUP(A465, IMPORTRANGE(""https://docs.google.com/spreadsheets/d/1AVX9GT0dgogEBStecCXMMQ29tWz3gBrtNB8yIromXbY/edit?gid=741673867"", ""out1g!A:B""), 2, FALSE), 0)"),4026.0)</f>
        <v>4026</v>
      </c>
      <c r="D465" s="2" t="str">
        <f>IFERROR(__xludf.DUMMYFUNCTION("IFERROR(VLOOKUP(A465, IMPORTRANGE(""https://docs.google.com/spreadsheets/d/1-3Vjw2Cyy-mry5gbC8ypIR3YVGFfEpyFESummAta6sg/edit"", ""Sheet1!B:D""), 2, FALSE), ""Not Found"")"),"goʊld")</f>
        <v>goʊld</v>
      </c>
      <c r="E465" s="2" t="str">
        <f>IFERROR(__xludf.DUMMYFUNCTION("IFERROR(VLOOKUP(A465, IMPORTRANGE(""https://docs.google.com/spreadsheets/d/1-3Vjw2Cyy-mry5gbC8ypIR3YVGFfEpyFESummAta6sg/edit"", ""Sheet1!B:D""), 3, FALSE), ""Not Found"")"),"g o ʊ l d ")</f>
        <v>g o ʊ l d </v>
      </c>
    </row>
    <row r="466">
      <c r="A466" s="1" t="s">
        <v>469</v>
      </c>
      <c r="B466" s="1" t="s">
        <v>5</v>
      </c>
      <c r="C466" s="2">
        <f>IFERROR(__xludf.DUMMYFUNCTION("IFERROR(VLOOKUP(A466, IMPORTRANGE(""https://docs.google.com/spreadsheets/d/1AVX9GT0dgogEBStecCXMMQ29tWz3gBrtNB8yIromXbY/edit?gid=741673867"", ""out1g!A:B""), 2, FALSE), 0)"),24.0)</f>
        <v>24</v>
      </c>
      <c r="D466" s="2" t="str">
        <f>IFERROR(__xludf.DUMMYFUNCTION("IFERROR(VLOOKUP(A466, IMPORTRANGE(""https://docs.google.com/spreadsheets/d/1-3Vjw2Cyy-mry5gbC8ypIR3YVGFfEpyFESummAta6sg/edit"", ""Sheet1!B:D""), 2, FALSE), ""Not Found"")"),"sədz")</f>
        <v>sədz</v>
      </c>
      <c r="E466" s="2" t="str">
        <f>IFERROR(__xludf.DUMMYFUNCTION("IFERROR(VLOOKUP(A466, IMPORTRANGE(""https://docs.google.com/spreadsheets/d/1-3Vjw2Cyy-mry5gbC8ypIR3YVGFfEpyFESummAta6sg/edit"", ""Sheet1!B:D""), 3, FALSE), ""Not Found"")"),"s ə d z ")</f>
        <v>s ə d z </v>
      </c>
    </row>
    <row r="467">
      <c r="A467" s="1" t="s">
        <v>470</v>
      </c>
      <c r="B467" s="1" t="s">
        <v>5</v>
      </c>
      <c r="C467" s="2">
        <f>IFERROR(__xludf.DUMMYFUNCTION("IFERROR(VLOOKUP(A467, IMPORTRANGE(""https://docs.google.com/spreadsheets/d/1AVX9GT0dgogEBStecCXMMQ29tWz3gBrtNB8yIromXbY/edit?gid=741673867"", ""out1g!A:B""), 2, FALSE), 0)"),106.0)</f>
        <v>106</v>
      </c>
      <c r="D467" s="2" t="str">
        <f>IFERROR(__xludf.DUMMYFUNCTION("IFERROR(VLOOKUP(A467, IMPORTRANGE(""https://docs.google.com/spreadsheets/d/1-3Vjw2Cyy-mry5gbC8ypIR3YVGFfEpyFESummAta6sg/edit"", ""Sheet1!B:D""), 2, FALSE), ""Not Found"")"),"waɪldər")</f>
        <v>waɪldər</v>
      </c>
      <c r="E467" s="2" t="str">
        <f>IFERROR(__xludf.DUMMYFUNCTION("IFERROR(VLOOKUP(A467, IMPORTRANGE(""https://docs.google.com/spreadsheets/d/1-3Vjw2Cyy-mry5gbC8ypIR3YVGFfEpyFESummAta6sg/edit"", ""Sheet1!B:D""), 3, FALSE), ""Not Found"")"),"w a ɪ l d ə r ")</f>
        <v>w a ɪ l d ə r </v>
      </c>
    </row>
    <row r="468">
      <c r="A468" s="1" t="s">
        <v>471</v>
      </c>
      <c r="B468" s="1" t="s">
        <v>5</v>
      </c>
      <c r="C468" s="2">
        <f>IFERROR(__xludf.DUMMYFUNCTION("IFERROR(VLOOKUP(A468, IMPORTRANGE(""https://docs.google.com/spreadsheets/d/1AVX9GT0dgogEBStecCXMMQ29tWz3gBrtNB8yIromXbY/edit?gid=741673867"", ""out1g!A:B""), 2, FALSE), 0)"),744.0)</f>
        <v>744</v>
      </c>
      <c r="D468" s="2" t="str">
        <f>IFERROR(__xludf.DUMMYFUNCTION("IFERROR(VLOOKUP(A468, IMPORTRANGE(""https://docs.google.com/spreadsheets/d/1-3Vjw2Cyy-mry5gbC8ypIR3YVGFfEpyFESummAta6sg/edit"", ""Sheet1!B:D""), 2, FALSE), ""Not Found"")"),"rɪlif")</f>
        <v>rɪlif</v>
      </c>
      <c r="E468" s="2" t="str">
        <f>IFERROR(__xludf.DUMMYFUNCTION("IFERROR(VLOOKUP(A468, IMPORTRANGE(""https://docs.google.com/spreadsheets/d/1-3Vjw2Cyy-mry5gbC8ypIR3YVGFfEpyFESummAta6sg/edit"", ""Sheet1!B:D""), 3, FALSE), ""Not Found"")"),"r ɪ l i f ")</f>
        <v>r ɪ l i f </v>
      </c>
    </row>
    <row r="469">
      <c r="A469" s="1" t="s">
        <v>472</v>
      </c>
      <c r="B469" s="1" t="s">
        <v>5</v>
      </c>
      <c r="C469" s="2">
        <f>IFERROR(__xludf.DUMMYFUNCTION("IFERROR(VLOOKUP(A469, IMPORTRANGE(""https://docs.google.com/spreadsheets/d/1AVX9GT0dgogEBStecCXMMQ29tWz3gBrtNB8yIromXbY/edit?gid=741673867"", ""out1g!A:B""), 2, FALSE), 0)"),57.0)</f>
        <v>57</v>
      </c>
      <c r="D469" s="2" t="str">
        <f>IFERROR(__xludf.DUMMYFUNCTION("IFERROR(VLOOKUP(A469, IMPORTRANGE(""https://docs.google.com/spreadsheets/d/1-3Vjw2Cyy-mry5gbC8ypIR3YVGFfEpyFESummAta6sg/edit"", ""Sheet1!B:D""), 2, FALSE), ""Not Found"")"),"ʤif")</f>
        <v>ʤif</v>
      </c>
      <c r="E469" s="2" t="str">
        <f>IFERROR(__xludf.DUMMYFUNCTION("IFERROR(VLOOKUP(A469, IMPORTRANGE(""https://docs.google.com/spreadsheets/d/1-3Vjw2Cyy-mry5gbC8ypIR3YVGFfEpyFESummAta6sg/edit"", ""Sheet1!B:D""), 3, FALSE), ""Not Found"")"),"ʤ i f ")</f>
        <v>ʤ i f </v>
      </c>
    </row>
    <row r="470">
      <c r="A470" s="1" t="s">
        <v>473</v>
      </c>
      <c r="B470" s="1" t="s">
        <v>5</v>
      </c>
      <c r="C470" s="2">
        <f>IFERROR(__xludf.DUMMYFUNCTION("IFERROR(VLOOKUP(A470, IMPORTRANGE(""https://docs.google.com/spreadsheets/d/1AVX9GT0dgogEBStecCXMMQ29tWz3gBrtNB8yIromXbY/edit?gid=741673867"", ""out1g!A:B""), 2, FALSE), 0)"),54.0)</f>
        <v>54</v>
      </c>
      <c r="D470" s="2" t="str">
        <f>IFERROR(__xludf.DUMMYFUNCTION("IFERROR(VLOOKUP(A470, IMPORTRANGE(""https://docs.google.com/spreadsheets/d/1-3Vjw2Cyy-mry5gbC8ypIR3YVGFfEpyFESummAta6sg/edit"", ""Sheet1!B:D""), 2, FALSE), ""Not Found"")"),"sævi")</f>
        <v>sævi</v>
      </c>
      <c r="E470" s="2" t="str">
        <f>IFERROR(__xludf.DUMMYFUNCTION("IFERROR(VLOOKUP(A470, IMPORTRANGE(""https://docs.google.com/spreadsheets/d/1-3Vjw2Cyy-mry5gbC8ypIR3YVGFfEpyFESummAta6sg/edit"", ""Sheet1!B:D""), 3, FALSE), ""Not Found"")"),"s æ v i ")</f>
        <v>s æ v i </v>
      </c>
    </row>
    <row r="471">
      <c r="A471" s="1" t="s">
        <v>474</v>
      </c>
      <c r="B471" s="1" t="s">
        <v>5</v>
      </c>
      <c r="C471" s="2">
        <f>IFERROR(__xludf.DUMMYFUNCTION("IFERROR(VLOOKUP(A471, IMPORTRANGE(""https://docs.google.com/spreadsheets/d/1AVX9GT0dgogEBStecCXMMQ29tWz3gBrtNB8yIromXbY/edit?gid=741673867"", ""out1g!A:B""), 2, FALSE), 0)"),49.0)</f>
        <v>49</v>
      </c>
      <c r="D471" s="2" t="str">
        <f>IFERROR(__xludf.DUMMYFUNCTION("IFERROR(VLOOKUP(A471, IMPORTRANGE(""https://docs.google.com/spreadsheets/d/1-3Vjw2Cyy-mry5gbC8ypIR3YVGFfEpyFESummAta6sg/edit"", ""Sheet1!B:D""), 2, FALSE), ""Not Found"")"),"ʤudoʊ")</f>
        <v>ʤudoʊ</v>
      </c>
      <c r="E471" s="2" t="str">
        <f>IFERROR(__xludf.DUMMYFUNCTION("IFERROR(VLOOKUP(A471, IMPORTRANGE(""https://docs.google.com/spreadsheets/d/1-3Vjw2Cyy-mry5gbC8ypIR3YVGFfEpyFESummAta6sg/edit"", ""Sheet1!B:D""), 3, FALSE), ""Not Found"")"),"ʤ u d o ʊ ")</f>
        <v>ʤ u d o ʊ </v>
      </c>
    </row>
    <row r="472">
      <c r="A472" s="1" t="s">
        <v>475</v>
      </c>
      <c r="B472" s="1" t="s">
        <v>5</v>
      </c>
      <c r="C472" s="2">
        <f>IFERROR(__xludf.DUMMYFUNCTION("IFERROR(VLOOKUP(A472, IMPORTRANGE(""https://docs.google.com/spreadsheets/d/1AVX9GT0dgogEBStecCXMMQ29tWz3gBrtNB8yIromXbY/edit?gid=741673867"", ""out1g!A:B""), 2, FALSE), 0)"),1180.0)</f>
        <v>1180</v>
      </c>
      <c r="D472" s="2" t="str">
        <f>IFERROR(__xludf.DUMMYFUNCTION("IFERROR(VLOOKUP(A472, IMPORTRANGE(""https://docs.google.com/spreadsheets/d/1-3Vjw2Cyy-mry5gbC8ypIR3YVGFfEpyFESummAta6sg/edit"", ""Sheet1!B:D""), 2, FALSE), ""Not Found"")"),"kæst")</f>
        <v>kæst</v>
      </c>
      <c r="E472" s="2" t="str">
        <f>IFERROR(__xludf.DUMMYFUNCTION("IFERROR(VLOOKUP(A472, IMPORTRANGE(""https://docs.google.com/spreadsheets/d/1-3Vjw2Cyy-mry5gbC8ypIR3YVGFfEpyFESummAta6sg/edit"", ""Sheet1!B:D""), 3, FALSE), ""Not Found"")"),"k æ s t ")</f>
        <v>k æ s t </v>
      </c>
    </row>
    <row r="473">
      <c r="A473" s="1" t="s">
        <v>476</v>
      </c>
      <c r="B473" s="1" t="s">
        <v>5</v>
      </c>
      <c r="C473" s="2">
        <f>IFERROR(__xludf.DUMMYFUNCTION("IFERROR(VLOOKUP(A473, IMPORTRANGE(""https://docs.google.com/spreadsheets/d/1AVX9GT0dgogEBStecCXMMQ29tWz3gBrtNB8yIromXbY/edit?gid=741673867"", ""out1g!A:B""), 2, FALSE), 0)"),102.0)</f>
        <v>102</v>
      </c>
      <c r="D473" s="2" t="str">
        <f>IFERROR(__xludf.DUMMYFUNCTION("IFERROR(VLOOKUP(A473, IMPORTRANGE(""https://docs.google.com/spreadsheets/d/1-3Vjw2Cyy-mry5gbC8ypIR3YVGFfEpyFESummAta6sg/edit"", ""Sheet1!B:D""), 2, FALSE), ""Not Found"")"),"ʃɔrz")</f>
        <v>ʃɔrz</v>
      </c>
      <c r="E473" s="2" t="str">
        <f>IFERROR(__xludf.DUMMYFUNCTION("IFERROR(VLOOKUP(A473, IMPORTRANGE(""https://docs.google.com/spreadsheets/d/1-3Vjw2Cyy-mry5gbC8ypIR3YVGFfEpyFESummAta6sg/edit"", ""Sheet1!B:D""), 3, FALSE), ""Not Found"")"),"ʃ ɔ r z ")</f>
        <v>ʃ ɔ r z </v>
      </c>
    </row>
    <row r="474">
      <c r="A474" s="1" t="s">
        <v>477</v>
      </c>
      <c r="B474" s="1" t="s">
        <v>5</v>
      </c>
      <c r="C474" s="2">
        <f>IFERROR(__xludf.DUMMYFUNCTION("IFERROR(VLOOKUP(A474, IMPORTRANGE(""https://docs.google.com/spreadsheets/d/1AVX9GT0dgogEBStecCXMMQ29tWz3gBrtNB8yIromXbY/edit?gid=741673867"", ""out1g!A:B""), 2, FALSE), 0)"),3173.0)</f>
        <v>3173</v>
      </c>
      <c r="D474" s="2" t="str">
        <f>IFERROR(__xludf.DUMMYFUNCTION("IFERROR(VLOOKUP(A474, IMPORTRANGE(""https://docs.google.com/spreadsheets/d/1-3Vjw2Cyy-mry5gbC8ypIR3YVGFfEpyFESummAta6sg/edit"", ""Sheet1!B:D""), 2, FALSE), ""Not Found"")"),"ʤɛri")</f>
        <v>ʤɛri</v>
      </c>
      <c r="E474" s="2" t="str">
        <f>IFERROR(__xludf.DUMMYFUNCTION("IFERROR(VLOOKUP(A474, IMPORTRANGE(""https://docs.google.com/spreadsheets/d/1-3Vjw2Cyy-mry5gbC8ypIR3YVGFfEpyFESummAta6sg/edit"", ""Sheet1!B:D""), 3, FALSE), ""Not Found"")"),"ʤ ɛ r i ")</f>
        <v>ʤ ɛ r i </v>
      </c>
    </row>
    <row r="475">
      <c r="A475" s="1" t="s">
        <v>478</v>
      </c>
      <c r="B475" s="1" t="s">
        <v>5</v>
      </c>
      <c r="C475" s="2">
        <f>IFERROR(__xludf.DUMMYFUNCTION("IFERROR(VLOOKUP(A475, IMPORTRANGE(""https://docs.google.com/spreadsheets/d/1AVX9GT0dgogEBStecCXMMQ29tWz3gBrtNB8yIromXbY/edit?gid=741673867"", ""out1g!A:B""), 2, FALSE), 0)"),9330.0)</f>
        <v>9330</v>
      </c>
      <c r="D475" s="2" t="str">
        <f>IFERROR(__xludf.DUMMYFUNCTION("IFERROR(VLOOKUP(A475, IMPORTRANGE(""https://docs.google.com/spreadsheets/d/1-3Vjw2Cyy-mry5gbC8ypIR3YVGFfEpyFESummAta6sg/edit"", ""Sheet1!B:D""), 2, FALSE), ""Not Found"")"),"əlɔŋ")</f>
        <v>əlɔŋ</v>
      </c>
      <c r="E475" s="2" t="str">
        <f>IFERROR(__xludf.DUMMYFUNCTION("IFERROR(VLOOKUP(A475, IMPORTRANGE(""https://docs.google.com/spreadsheets/d/1-3Vjw2Cyy-mry5gbC8ypIR3YVGFfEpyFESummAta6sg/edit"", ""Sheet1!B:D""), 3, FALSE), ""Not Found"")"),"ə l ɔ ŋ ")</f>
        <v>ə l ɔ ŋ </v>
      </c>
    </row>
    <row r="476">
      <c r="A476" s="1" t="s">
        <v>479</v>
      </c>
      <c r="B476" s="1" t="s">
        <v>5</v>
      </c>
      <c r="C476" s="2">
        <f>IFERROR(__xludf.DUMMYFUNCTION("IFERROR(VLOOKUP(A476, IMPORTRANGE(""https://docs.google.com/spreadsheets/d/1AVX9GT0dgogEBStecCXMMQ29tWz3gBrtNB8yIromXbY/edit?gid=741673867"", ""out1g!A:B""), 2, FALSE), 0)"),684.0)</f>
        <v>684</v>
      </c>
      <c r="D476" s="2" t="str">
        <f>IFERROR(__xludf.DUMMYFUNCTION("IFERROR(VLOOKUP(A476, IMPORTRANGE(""https://docs.google.com/spreadsheets/d/1-3Vjw2Cyy-mry5gbC8ypIR3YVGFfEpyFESummAta6sg/edit"", ""Sheet1!B:D""), 2, FALSE), ""Not Found"")"),"gets")</f>
        <v>gets</v>
      </c>
      <c r="E476" s="2" t="str">
        <f>IFERROR(__xludf.DUMMYFUNCTION("IFERROR(VLOOKUP(A476, IMPORTRANGE(""https://docs.google.com/spreadsheets/d/1-3Vjw2Cyy-mry5gbC8ypIR3YVGFfEpyFESummAta6sg/edit"", ""Sheet1!B:D""), 3, FALSE), ""Not Found"")"),"g e t s ")</f>
        <v>g e t s </v>
      </c>
    </row>
    <row r="477">
      <c r="A477" s="1" t="s">
        <v>480</v>
      </c>
      <c r="B477" s="1" t="s">
        <v>5</v>
      </c>
      <c r="C477" s="2">
        <f>IFERROR(__xludf.DUMMYFUNCTION("IFERROR(VLOOKUP(A477, IMPORTRANGE(""https://docs.google.com/spreadsheets/d/1AVX9GT0dgogEBStecCXMMQ29tWz3gBrtNB8yIromXbY/edit?gid=741673867"", ""out1g!A:B""), 2, FALSE), 0)"),62.0)</f>
        <v>62</v>
      </c>
      <c r="D477" s="2" t="str">
        <f>IFERROR(__xludf.DUMMYFUNCTION("IFERROR(VLOOKUP(A477, IMPORTRANGE(""https://docs.google.com/spreadsheets/d/1-3Vjw2Cyy-mry5gbC8ypIR3YVGFfEpyFESummAta6sg/edit"", ""Sheet1!B:D""), 2, FALSE), ""Not Found"")"),"lɛʤər")</f>
        <v>lɛʤər</v>
      </c>
      <c r="E477" s="2" t="str">
        <f>IFERROR(__xludf.DUMMYFUNCTION("IFERROR(VLOOKUP(A477, IMPORTRANGE(""https://docs.google.com/spreadsheets/d/1-3Vjw2Cyy-mry5gbC8ypIR3YVGFfEpyFESummAta6sg/edit"", ""Sheet1!B:D""), 3, FALSE), ""Not Found"")"),"l ɛ ʤ ə r ")</f>
        <v>l ɛ ʤ ə r </v>
      </c>
    </row>
    <row r="478">
      <c r="A478" s="1" t="s">
        <v>481</v>
      </c>
      <c r="B478" s="1" t="s">
        <v>5</v>
      </c>
      <c r="C478" s="2">
        <f>IFERROR(__xludf.DUMMYFUNCTION("IFERROR(VLOOKUP(A478, IMPORTRANGE(""https://docs.google.com/spreadsheets/d/1AVX9GT0dgogEBStecCXMMQ29tWz3gBrtNB8yIromXbY/edit?gid=741673867"", ""out1g!A:B""), 2, FALSE), 0)"),633.0)</f>
        <v>633</v>
      </c>
      <c r="D478" s="2" t="str">
        <f>IFERROR(__xludf.DUMMYFUNCTION("IFERROR(VLOOKUP(A478, IMPORTRANGE(""https://docs.google.com/spreadsheets/d/1-3Vjw2Cyy-mry5gbC8ypIR3YVGFfEpyFESummAta6sg/edit"", ""Sheet1!B:D""), 2, FALSE), ""Not Found"")"),"bætəri")</f>
        <v>bætəri</v>
      </c>
      <c r="E478" s="2" t="str">
        <f>IFERROR(__xludf.DUMMYFUNCTION("IFERROR(VLOOKUP(A478, IMPORTRANGE(""https://docs.google.com/spreadsheets/d/1-3Vjw2Cyy-mry5gbC8ypIR3YVGFfEpyFESummAta6sg/edit"", ""Sheet1!B:D""), 3, FALSE), ""Not Found"")"),"b æ t ə r i ")</f>
        <v>b æ t ə r i </v>
      </c>
    </row>
    <row r="479">
      <c r="A479" s="1" t="s">
        <v>482</v>
      </c>
      <c r="B479" s="1" t="s">
        <v>5</v>
      </c>
      <c r="C479" s="2">
        <f>IFERROR(__xludf.DUMMYFUNCTION("IFERROR(VLOOKUP(A479, IMPORTRANGE(""https://docs.google.com/spreadsheets/d/1AVX9GT0dgogEBStecCXMMQ29tWz3gBrtNB8yIromXbY/edit?gid=741673867"", ""out1g!A:B""), 2, FALSE), 0)"),208.0)</f>
        <v>208</v>
      </c>
      <c r="D479" s="2" t="str">
        <f>IFERROR(__xludf.DUMMYFUNCTION("IFERROR(VLOOKUP(A479, IMPORTRANGE(""https://docs.google.com/spreadsheets/d/1-3Vjw2Cyy-mry5gbC8ypIR3YVGFfEpyFESummAta6sg/edit"", ""Sheet1!B:D""), 2, FALSE), ""Not Found"")"),"stɑks")</f>
        <v>stɑks</v>
      </c>
      <c r="E479" s="2" t="str">
        <f>IFERROR(__xludf.DUMMYFUNCTION("IFERROR(VLOOKUP(A479, IMPORTRANGE(""https://docs.google.com/spreadsheets/d/1-3Vjw2Cyy-mry5gbC8ypIR3YVGFfEpyFESummAta6sg/edit"", ""Sheet1!B:D""), 3, FALSE), ""Not Found"")"),"s t ɑ k s ")</f>
        <v>s t ɑ k s </v>
      </c>
    </row>
    <row r="480">
      <c r="A480" s="1" t="s">
        <v>483</v>
      </c>
      <c r="B480" s="1" t="s">
        <v>5</v>
      </c>
      <c r="C480" s="2">
        <f>IFERROR(__xludf.DUMMYFUNCTION("IFERROR(VLOOKUP(A480, IMPORTRANGE(""https://docs.google.com/spreadsheets/d/1AVX9GT0dgogEBStecCXMMQ29tWz3gBrtNB8yIromXbY/edit?gid=741673867"", ""out1g!A:B""), 2, FALSE), 0)"),2711.0)</f>
        <v>2711</v>
      </c>
      <c r="D480" s="2" t="str">
        <f>IFERROR(__xludf.DUMMYFUNCTION("IFERROR(VLOOKUP(A480, IMPORTRANGE(""https://docs.google.com/spreadsheets/d/1-3Vjw2Cyy-mry5gbC8ypIR3YVGFfEpyFESummAta6sg/edit"", ""Sheet1!B:D""), 2, FALSE), ""Not Found"")"),"stoʊl")</f>
        <v>stoʊl</v>
      </c>
      <c r="E480" s="2" t="str">
        <f>IFERROR(__xludf.DUMMYFUNCTION("IFERROR(VLOOKUP(A480, IMPORTRANGE(""https://docs.google.com/spreadsheets/d/1-3Vjw2Cyy-mry5gbC8ypIR3YVGFfEpyFESummAta6sg/edit"", ""Sheet1!B:D""), 3, FALSE), ""Not Found"")"),"s t o ʊ l ")</f>
        <v>s t o ʊ l </v>
      </c>
    </row>
    <row r="481">
      <c r="A481" s="1" t="s">
        <v>484</v>
      </c>
      <c r="B481" s="1" t="s">
        <v>5</v>
      </c>
      <c r="C481" s="2">
        <f>IFERROR(__xludf.DUMMYFUNCTION("IFERROR(VLOOKUP(A481, IMPORTRANGE(""https://docs.google.com/spreadsheets/d/1AVX9GT0dgogEBStecCXMMQ29tWz3gBrtNB8yIromXbY/edit?gid=741673867"", ""out1g!A:B""), 2, FALSE), 0)"),109.0)</f>
        <v>109</v>
      </c>
      <c r="D481" s="2" t="str">
        <f>IFERROR(__xludf.DUMMYFUNCTION("IFERROR(VLOOKUP(A481, IMPORTRANGE(""https://docs.google.com/spreadsheets/d/1-3Vjw2Cyy-mry5gbC8ypIR3YVGFfEpyFESummAta6sg/edit"", ""Sheet1!B:D""), 2, FALSE), ""Not Found"")"),"rɪŋk")</f>
        <v>rɪŋk</v>
      </c>
      <c r="E481" s="2" t="str">
        <f>IFERROR(__xludf.DUMMYFUNCTION("IFERROR(VLOOKUP(A481, IMPORTRANGE(""https://docs.google.com/spreadsheets/d/1-3Vjw2Cyy-mry5gbC8ypIR3YVGFfEpyFESummAta6sg/edit"", ""Sheet1!B:D""), 3, FALSE), ""Not Found"")"),"r ɪ ŋ k ")</f>
        <v>r ɪ ŋ k </v>
      </c>
    </row>
    <row r="482">
      <c r="A482" s="1" t="s">
        <v>485</v>
      </c>
      <c r="B482" s="1" t="s">
        <v>5</v>
      </c>
      <c r="C482" s="2">
        <f>IFERROR(__xludf.DUMMYFUNCTION("IFERROR(VLOOKUP(A482, IMPORTRANGE(""https://docs.google.com/spreadsheets/d/1AVX9GT0dgogEBStecCXMMQ29tWz3gBrtNB8yIromXbY/edit?gid=741673867"", ""out1g!A:B""), 2, FALSE), 0)"),568.0)</f>
        <v>568</v>
      </c>
      <c r="D482" s="2" t="str">
        <f>IFERROR(__xludf.DUMMYFUNCTION("IFERROR(VLOOKUP(A482, IMPORTRANGE(""https://docs.google.com/spreadsheets/d/1-3Vjw2Cyy-mry5gbC8ypIR3YVGFfEpyFESummAta6sg/edit"", ""Sheet1!B:D""), 2, FALSE), ""Not Found"")"),"leɪŋ")</f>
        <v>leɪŋ</v>
      </c>
      <c r="E482" s="2" t="str">
        <f>IFERROR(__xludf.DUMMYFUNCTION("IFERROR(VLOOKUP(A482, IMPORTRANGE(""https://docs.google.com/spreadsheets/d/1-3Vjw2Cyy-mry5gbC8ypIR3YVGFfEpyFESummAta6sg/edit"", ""Sheet1!B:D""), 3, FALSE), ""Not Found"")"),"l e ɪ ŋ ")</f>
        <v>l e ɪ ŋ </v>
      </c>
    </row>
    <row r="483">
      <c r="A483" s="1" t="s">
        <v>486</v>
      </c>
      <c r="B483" s="1" t="s">
        <v>5</v>
      </c>
      <c r="C483" s="2">
        <f>IFERROR(__xludf.DUMMYFUNCTION("IFERROR(VLOOKUP(A483, IMPORTRANGE(""https://docs.google.com/spreadsheets/d/1AVX9GT0dgogEBStecCXMMQ29tWz3gBrtNB8yIromXbY/edit?gid=741673867"", ""out1g!A:B""), 2, FALSE), 0)"),381.0)</f>
        <v>381</v>
      </c>
      <c r="D483" s="2" t="str">
        <f>IFERROR(__xludf.DUMMYFUNCTION("IFERROR(VLOOKUP(A483, IMPORTRANGE(""https://docs.google.com/spreadsheets/d/1-3Vjw2Cyy-mry5gbC8ypIR3YVGFfEpyFESummAta6sg/edit"", ""Sheet1!B:D""), 2, FALSE), ""Not Found"")"),"stɪʧ")</f>
        <v>stɪʧ</v>
      </c>
      <c r="E483" s="2" t="str">
        <f>IFERROR(__xludf.DUMMYFUNCTION("IFERROR(VLOOKUP(A483, IMPORTRANGE(""https://docs.google.com/spreadsheets/d/1-3Vjw2Cyy-mry5gbC8ypIR3YVGFfEpyFESummAta6sg/edit"", ""Sheet1!B:D""), 3, FALSE), ""Not Found"")"),"s t ɪ ʧ ")</f>
        <v>s t ɪ ʧ </v>
      </c>
    </row>
    <row r="484">
      <c r="A484" s="1" t="s">
        <v>487</v>
      </c>
      <c r="B484" s="1" t="s">
        <v>5</v>
      </c>
      <c r="C484" s="2">
        <f>IFERROR(__xludf.DUMMYFUNCTION("IFERROR(VLOOKUP(A484, IMPORTRANGE(""https://docs.google.com/spreadsheets/d/1AVX9GT0dgogEBStecCXMMQ29tWz3gBrtNB8yIromXbY/edit?gid=741673867"", ""out1g!A:B""), 2, FALSE), 0)"),4801.0)</f>
        <v>4801</v>
      </c>
      <c r="D484" s="2" t="str">
        <f>IFERROR(__xludf.DUMMYFUNCTION("IFERROR(VLOOKUP(A484, IMPORTRANGE(""https://docs.google.com/spreadsheets/d/1-3Vjw2Cyy-mry5gbC8ypIR3YVGFfEpyFESummAta6sg/edit"", ""Sheet1!B:D""), 2, FALSE), ""Not Found"")"),"əkrɔs")</f>
        <v>əkrɔs</v>
      </c>
      <c r="E484" s="2" t="str">
        <f>IFERROR(__xludf.DUMMYFUNCTION("IFERROR(VLOOKUP(A484, IMPORTRANGE(""https://docs.google.com/spreadsheets/d/1-3Vjw2Cyy-mry5gbC8ypIR3YVGFfEpyFESummAta6sg/edit"", ""Sheet1!B:D""), 3, FALSE), ""Not Found"")"),"ə k r ɔ s ")</f>
        <v>ə k r ɔ s </v>
      </c>
    </row>
    <row r="485">
      <c r="A485" s="1" t="s">
        <v>488</v>
      </c>
      <c r="B485" s="1" t="s">
        <v>5</v>
      </c>
      <c r="C485" s="2">
        <f>IFERROR(__xludf.DUMMYFUNCTION("IFERROR(VLOOKUP(A485, IMPORTRANGE(""https://docs.google.com/spreadsheets/d/1AVX9GT0dgogEBStecCXMMQ29tWz3gBrtNB8yIromXbY/edit?gid=741673867"", ""out1g!A:B""), 2, FALSE), 0)"),149.0)</f>
        <v>149</v>
      </c>
      <c r="D485" s="2" t="str">
        <f>IFERROR(__xludf.DUMMYFUNCTION("IFERROR(VLOOKUP(A485, IMPORTRANGE(""https://docs.google.com/spreadsheets/d/1-3Vjw2Cyy-mry5gbC8ypIR3YVGFfEpyFESummAta6sg/edit"", ""Sheet1!B:D""), 2, FALSE), ""Not Found"")"),"pʊs")</f>
        <v>pʊs</v>
      </c>
      <c r="E485" s="2" t="str">
        <f>IFERROR(__xludf.DUMMYFUNCTION("IFERROR(VLOOKUP(A485, IMPORTRANGE(""https://docs.google.com/spreadsheets/d/1-3Vjw2Cyy-mry5gbC8ypIR3YVGFfEpyFESummAta6sg/edit"", ""Sheet1!B:D""), 3, FALSE), ""Not Found"")"),"p ʊ s ")</f>
        <v>p ʊ s </v>
      </c>
    </row>
    <row r="486">
      <c r="A486" s="1" t="s">
        <v>489</v>
      </c>
      <c r="B486" s="1" t="s">
        <v>5</v>
      </c>
      <c r="C486" s="2">
        <f>IFERROR(__xludf.DUMMYFUNCTION("IFERROR(VLOOKUP(A486, IMPORTRANGE(""https://docs.google.com/spreadsheets/d/1AVX9GT0dgogEBStecCXMMQ29tWz3gBrtNB8yIromXbY/edit?gid=741673867"", ""out1g!A:B""), 2, FALSE), 0)"),80.0)</f>
        <v>80</v>
      </c>
      <c r="D486" s="2" t="str">
        <f>IFERROR(__xludf.DUMMYFUNCTION("IFERROR(VLOOKUP(A486, IMPORTRANGE(""https://docs.google.com/spreadsheets/d/1-3Vjw2Cyy-mry5gbC8ypIR3YVGFfEpyFESummAta6sg/edit"", ""Sheet1!B:D""), 2, FALSE), ""Not Found"")"),"taɪdz")</f>
        <v>taɪdz</v>
      </c>
      <c r="E486" s="2" t="str">
        <f>IFERROR(__xludf.DUMMYFUNCTION("IFERROR(VLOOKUP(A486, IMPORTRANGE(""https://docs.google.com/spreadsheets/d/1-3Vjw2Cyy-mry5gbC8ypIR3YVGFfEpyFESummAta6sg/edit"", ""Sheet1!B:D""), 3, FALSE), ""Not Found"")"),"t a ɪ d z ")</f>
        <v>t a ɪ d z </v>
      </c>
    </row>
    <row r="487">
      <c r="A487" s="1" t="s">
        <v>490</v>
      </c>
      <c r="B487" s="1" t="s">
        <v>5</v>
      </c>
      <c r="C487" s="2">
        <f>IFERROR(__xludf.DUMMYFUNCTION("IFERROR(VLOOKUP(A487, IMPORTRANGE(""https://docs.google.com/spreadsheets/d/1AVX9GT0dgogEBStecCXMMQ29tWz3gBrtNB8yIromXbY/edit?gid=741673867"", ""out1g!A:B""), 2, FALSE), 0)"),232.0)</f>
        <v>232</v>
      </c>
      <c r="D487" s="2" t="str">
        <f>IFERROR(__xludf.DUMMYFUNCTION("IFERROR(VLOOKUP(A487, IMPORTRANGE(""https://docs.google.com/spreadsheets/d/1-3Vjw2Cyy-mry5gbC8ypIR3YVGFfEpyFESummAta6sg/edit"", ""Sheet1!B:D""), 2, FALSE), ""Not Found"")"),"floʊn")</f>
        <v>floʊn</v>
      </c>
      <c r="E487" s="2" t="str">
        <f>IFERROR(__xludf.DUMMYFUNCTION("IFERROR(VLOOKUP(A487, IMPORTRANGE(""https://docs.google.com/spreadsheets/d/1-3Vjw2Cyy-mry5gbC8ypIR3YVGFfEpyFESummAta6sg/edit"", ""Sheet1!B:D""), 3, FALSE), ""Not Found"")"),"f l o ʊ n ")</f>
        <v>f l o ʊ n </v>
      </c>
    </row>
    <row r="488">
      <c r="A488" s="1" t="s">
        <v>491</v>
      </c>
      <c r="B488" s="1" t="s">
        <v>5</v>
      </c>
      <c r="C488" s="2">
        <f>IFERROR(__xludf.DUMMYFUNCTION("IFERROR(VLOOKUP(A488, IMPORTRANGE(""https://docs.google.com/spreadsheets/d/1AVX9GT0dgogEBStecCXMMQ29tWz3gBrtNB8yIromXbY/edit?gid=741673867"", ""out1g!A:B""), 2, FALSE), 0)"),85.0)</f>
        <v>85</v>
      </c>
      <c r="D488" s="2" t="str">
        <f>IFERROR(__xludf.DUMMYFUNCTION("IFERROR(VLOOKUP(A488, IMPORTRANGE(""https://docs.google.com/spreadsheets/d/1-3Vjw2Cyy-mry5gbC8ypIR3YVGFfEpyFESummAta6sg/edit"", ""Sheet1!B:D""), 2, FALSE), ""Not Found"")"),"bəfər")</f>
        <v>bəfər</v>
      </c>
      <c r="E488" s="2" t="str">
        <f>IFERROR(__xludf.DUMMYFUNCTION("IFERROR(VLOOKUP(A488, IMPORTRANGE(""https://docs.google.com/spreadsheets/d/1-3Vjw2Cyy-mry5gbC8ypIR3YVGFfEpyFESummAta6sg/edit"", ""Sheet1!B:D""), 3, FALSE), ""Not Found"")"),"b ə f ə r ")</f>
        <v>b ə f ə r </v>
      </c>
    </row>
    <row r="489">
      <c r="A489" s="1" t="s">
        <v>492</v>
      </c>
      <c r="B489" s="1" t="s">
        <v>5</v>
      </c>
      <c r="C489" s="2">
        <f>IFERROR(__xludf.DUMMYFUNCTION("IFERROR(VLOOKUP(A489, IMPORTRANGE(""https://docs.google.com/spreadsheets/d/1AVX9GT0dgogEBStecCXMMQ29tWz3gBrtNB8yIromXbY/edit?gid=741673867"", ""out1g!A:B""), 2, FALSE), 0)"),197.0)</f>
        <v>197</v>
      </c>
      <c r="D489" s="2" t="str">
        <f>IFERROR(__xludf.DUMMYFUNCTION("IFERROR(VLOOKUP(A489, IMPORTRANGE(""https://docs.google.com/spreadsheets/d/1-3Vjw2Cyy-mry5gbC8ypIR3YVGFfEpyFESummAta6sg/edit"", ""Sheet1!B:D""), 2, FALSE), ""Not Found"")"),"wup")</f>
        <v>wup</v>
      </c>
      <c r="E489" s="2" t="str">
        <f>IFERROR(__xludf.DUMMYFUNCTION("IFERROR(VLOOKUP(A489, IMPORTRANGE(""https://docs.google.com/spreadsheets/d/1-3Vjw2Cyy-mry5gbC8ypIR3YVGFfEpyFESummAta6sg/edit"", ""Sheet1!B:D""), 3, FALSE), ""Not Found"")"),"w u p ")</f>
        <v>w u p </v>
      </c>
    </row>
    <row r="490">
      <c r="A490" s="1" t="s">
        <v>493</v>
      </c>
      <c r="B490" s="1" t="s">
        <v>5</v>
      </c>
      <c r="C490" s="2">
        <f>IFERROR(__xludf.DUMMYFUNCTION("IFERROR(VLOOKUP(A490, IMPORTRANGE(""https://docs.google.com/spreadsheets/d/1AVX9GT0dgogEBStecCXMMQ29tWz3gBrtNB8yIromXbY/edit?gid=741673867"", ""out1g!A:B""), 2, FALSE), 0)"),2488.0)</f>
        <v>2488</v>
      </c>
      <c r="D490" s="2" t="str">
        <f>IFERROR(__xludf.DUMMYFUNCTION("IFERROR(VLOOKUP(A490, IMPORTRANGE(""https://docs.google.com/spreadsheets/d/1-3Vjw2Cyy-mry5gbC8ypIR3YVGFfEpyFESummAta6sg/edit"", ""Sheet1!B:D""), 2, FALSE), ""Not Found"")"),"pʊld")</f>
        <v>pʊld</v>
      </c>
      <c r="E490" s="2" t="str">
        <f>IFERROR(__xludf.DUMMYFUNCTION("IFERROR(VLOOKUP(A490, IMPORTRANGE(""https://docs.google.com/spreadsheets/d/1-3Vjw2Cyy-mry5gbC8ypIR3YVGFfEpyFESummAta6sg/edit"", ""Sheet1!B:D""), 3, FALSE), ""Not Found"")"),"p ʊ l d ")</f>
        <v>p ʊ l d </v>
      </c>
    </row>
    <row r="491">
      <c r="A491" s="1" t="s">
        <v>494</v>
      </c>
      <c r="B491" s="1" t="s">
        <v>5</v>
      </c>
      <c r="C491" s="2">
        <f>IFERROR(__xludf.DUMMYFUNCTION("IFERROR(VLOOKUP(A491, IMPORTRANGE(""https://docs.google.com/spreadsheets/d/1AVX9GT0dgogEBStecCXMMQ29tWz3gBrtNB8yIromXbY/edit?gid=741673867"", ""out1g!A:B""), 2, FALSE), 0)"),257.0)</f>
        <v>257</v>
      </c>
      <c r="D491" s="2" t="str">
        <f>IFERROR(__xludf.DUMMYFUNCTION("IFERROR(VLOOKUP(A491, IMPORTRANGE(""https://docs.google.com/spreadsheets/d/1-3Vjw2Cyy-mry5gbC8ypIR3YVGFfEpyFESummAta6sg/edit"", ""Sheet1!B:D""), 2, FALSE), ""Not Found"")"),"flɪk")</f>
        <v>flɪk</v>
      </c>
      <c r="E491" s="2" t="str">
        <f>IFERROR(__xludf.DUMMYFUNCTION("IFERROR(VLOOKUP(A491, IMPORTRANGE(""https://docs.google.com/spreadsheets/d/1-3Vjw2Cyy-mry5gbC8ypIR3YVGFfEpyFESummAta6sg/edit"", ""Sheet1!B:D""), 3, FALSE), ""Not Found"")"),"f l ɪ k ")</f>
        <v>f l ɪ k </v>
      </c>
    </row>
    <row r="492">
      <c r="A492" s="1" t="s">
        <v>495</v>
      </c>
      <c r="B492" s="1" t="s">
        <v>5</v>
      </c>
      <c r="C492" s="2">
        <f>IFERROR(__xludf.DUMMYFUNCTION("IFERROR(VLOOKUP(A492, IMPORTRANGE(""https://docs.google.com/spreadsheets/d/1AVX9GT0dgogEBStecCXMMQ29tWz3gBrtNB8yIromXbY/edit?gid=741673867"", ""out1g!A:B""), 2, FALSE), 0)"),95.0)</f>
        <v>95</v>
      </c>
      <c r="D492" s="2" t="str">
        <f>IFERROR(__xludf.DUMMYFUNCTION("IFERROR(VLOOKUP(A492, IMPORTRANGE(""https://docs.google.com/spreadsheets/d/1-3Vjw2Cyy-mry5gbC8ypIR3YVGFfEpyFESummAta6sg/edit"", ""Sheet1!B:D""), 2, FALSE), ""Not Found"")"),"aɪk")</f>
        <v>aɪk</v>
      </c>
      <c r="E492" s="2" t="str">
        <f>IFERROR(__xludf.DUMMYFUNCTION("IFERROR(VLOOKUP(A492, IMPORTRANGE(""https://docs.google.com/spreadsheets/d/1-3Vjw2Cyy-mry5gbC8ypIR3YVGFfEpyFESummAta6sg/edit"", ""Sheet1!B:D""), 3, FALSE), ""Not Found"")"),"a ɪ k ")</f>
        <v>a ɪ k </v>
      </c>
    </row>
    <row r="493">
      <c r="A493" s="1" t="s">
        <v>496</v>
      </c>
      <c r="B493" s="1" t="s">
        <v>5</v>
      </c>
      <c r="C493" s="2">
        <f>IFERROR(__xludf.DUMMYFUNCTION("IFERROR(VLOOKUP(A493, IMPORTRANGE(""https://docs.google.com/spreadsheets/d/1AVX9GT0dgogEBStecCXMMQ29tWz3gBrtNB8yIromXbY/edit?gid=741673867"", ""out1g!A:B""), 2, FALSE), 0)"),323.0)</f>
        <v>323</v>
      </c>
      <c r="D493" s="2" t="str">
        <f>IFERROR(__xludf.DUMMYFUNCTION("IFERROR(VLOOKUP(A493, IMPORTRANGE(""https://docs.google.com/spreadsheets/d/1-3Vjw2Cyy-mry5gbC8ypIR3YVGFfEpyFESummAta6sg/edit"", ""Sheet1!B:D""), 2, FALSE), ""Not Found"")"),"laɪtɪŋ")</f>
        <v>laɪtɪŋ</v>
      </c>
      <c r="E493" s="2" t="str">
        <f>IFERROR(__xludf.DUMMYFUNCTION("IFERROR(VLOOKUP(A493, IMPORTRANGE(""https://docs.google.com/spreadsheets/d/1-3Vjw2Cyy-mry5gbC8ypIR3YVGFfEpyFESummAta6sg/edit"", ""Sheet1!B:D""), 3, FALSE), ""Not Found"")"),"l a ɪ t ɪ ŋ ")</f>
        <v>l a ɪ t ɪ ŋ </v>
      </c>
    </row>
    <row r="494">
      <c r="A494" s="1" t="s">
        <v>497</v>
      </c>
      <c r="B494" s="1" t="s">
        <v>5</v>
      </c>
      <c r="C494" s="2">
        <f>IFERROR(__xludf.DUMMYFUNCTION("IFERROR(VLOOKUP(A494, IMPORTRANGE(""https://docs.google.com/spreadsheets/d/1AVX9GT0dgogEBStecCXMMQ29tWz3gBrtNB8yIromXbY/edit?gid=741673867"", ""out1g!A:B""), 2, FALSE), 0)"),71.0)</f>
        <v>71</v>
      </c>
      <c r="D494" s="2" t="str">
        <f>IFERROR(__xludf.DUMMYFUNCTION("IFERROR(VLOOKUP(A494, IMPORTRANGE(""https://docs.google.com/spreadsheets/d/1-3Vjw2Cyy-mry5gbC8ypIR3YVGFfEpyFESummAta6sg/edit"", ""Sheet1!B:D""), 2, FALSE), ""Not Found"")"),"dimd")</f>
        <v>dimd</v>
      </c>
      <c r="E494" s="2" t="str">
        <f>IFERROR(__xludf.DUMMYFUNCTION("IFERROR(VLOOKUP(A494, IMPORTRANGE(""https://docs.google.com/spreadsheets/d/1-3Vjw2Cyy-mry5gbC8ypIR3YVGFfEpyFESummAta6sg/edit"", ""Sheet1!B:D""), 3, FALSE), ""Not Found"")"),"d i m d ")</f>
        <v>d i m d </v>
      </c>
    </row>
    <row r="495">
      <c r="A495" s="1" t="s">
        <v>498</v>
      </c>
      <c r="B495" s="1" t="s">
        <v>5</v>
      </c>
      <c r="C495" s="2">
        <f>IFERROR(__xludf.DUMMYFUNCTION("IFERROR(VLOOKUP(A495, IMPORTRANGE(""https://docs.google.com/spreadsheets/d/1AVX9GT0dgogEBStecCXMMQ29tWz3gBrtNB8yIromXbY/edit?gid=741673867"", ""out1g!A:B""), 2, FALSE), 0)"),165.0)</f>
        <v>165</v>
      </c>
      <c r="D495" s="2" t="str">
        <f>IFERROR(__xludf.DUMMYFUNCTION("IFERROR(VLOOKUP(A495, IMPORTRANGE(""https://docs.google.com/spreadsheets/d/1-3Vjw2Cyy-mry5gbC8ypIR3YVGFfEpyFESummAta6sg/edit"", ""Sheet1!B:D""), 2, FALSE), ""Not Found"")"),"bruz")</f>
        <v>bruz</v>
      </c>
      <c r="E495" s="2" t="str">
        <f>IFERROR(__xludf.DUMMYFUNCTION("IFERROR(VLOOKUP(A495, IMPORTRANGE(""https://docs.google.com/spreadsheets/d/1-3Vjw2Cyy-mry5gbC8ypIR3YVGFfEpyFESummAta6sg/edit"", ""Sheet1!B:D""), 3, FALSE), ""Not Found"")"),"b r u z ")</f>
        <v>b r u z </v>
      </c>
    </row>
    <row r="496">
      <c r="A496" s="1" t="s">
        <v>499</v>
      </c>
      <c r="B496" s="1" t="s">
        <v>5</v>
      </c>
      <c r="C496" s="2">
        <f>IFERROR(__xludf.DUMMYFUNCTION("IFERROR(VLOOKUP(A496, IMPORTRANGE(""https://docs.google.com/spreadsheets/d/1AVX9GT0dgogEBStecCXMMQ29tWz3gBrtNB8yIromXbY/edit?gid=741673867"", ""out1g!A:B""), 2, FALSE), 0)"),85.0)</f>
        <v>85</v>
      </c>
      <c r="D496" s="2" t="str">
        <f>IFERROR(__xludf.DUMMYFUNCTION("IFERROR(VLOOKUP(A496, IMPORTRANGE(""https://docs.google.com/spreadsheets/d/1-3Vjw2Cyy-mry5gbC8ypIR3YVGFfEpyFESummAta6sg/edit"", ""Sheet1!B:D""), 2, FALSE), ""Not Found"")"),"ræpər")</f>
        <v>ræpər</v>
      </c>
      <c r="E496" s="2" t="str">
        <f>IFERROR(__xludf.DUMMYFUNCTION("IFERROR(VLOOKUP(A496, IMPORTRANGE(""https://docs.google.com/spreadsheets/d/1-3Vjw2Cyy-mry5gbC8ypIR3YVGFfEpyFESummAta6sg/edit"", ""Sheet1!B:D""), 3, FALSE), ""Not Found"")"),"r æ p ə r ")</f>
        <v>r æ p ə r </v>
      </c>
    </row>
    <row r="497">
      <c r="A497" s="1" t="s">
        <v>500</v>
      </c>
      <c r="B497" s="1" t="s">
        <v>5</v>
      </c>
      <c r="C497" s="2">
        <f>IFERROR(__xludf.DUMMYFUNCTION("IFERROR(VLOOKUP(A497, IMPORTRANGE(""https://docs.google.com/spreadsheets/d/1AVX9GT0dgogEBStecCXMMQ29tWz3gBrtNB8yIromXbY/edit?gid=741673867"", ""out1g!A:B""), 2, FALSE), 0)"),11.0)</f>
        <v>11</v>
      </c>
      <c r="D497" s="2" t="str">
        <f>IFERROR(__xludf.DUMMYFUNCTION("IFERROR(VLOOKUP(A497, IMPORTRANGE(""https://docs.google.com/spreadsheets/d/1-3Vjw2Cyy-mry5gbC8ypIR3YVGFfEpyFESummAta6sg/edit"", ""Sheet1!B:D""), 2, FALSE), ""Not Found"")"),"raʊstɪŋ")</f>
        <v>raʊstɪŋ</v>
      </c>
      <c r="E497" s="2" t="str">
        <f>IFERROR(__xludf.DUMMYFUNCTION("IFERROR(VLOOKUP(A497, IMPORTRANGE(""https://docs.google.com/spreadsheets/d/1-3Vjw2Cyy-mry5gbC8ypIR3YVGFfEpyFESummAta6sg/edit"", ""Sheet1!B:D""), 3, FALSE), ""Not Found"")"),"r a ʊ s t ɪ ŋ ")</f>
        <v>r a ʊ s t ɪ ŋ </v>
      </c>
    </row>
    <row r="498">
      <c r="A498" s="1" t="s">
        <v>501</v>
      </c>
      <c r="B498" s="1" t="s">
        <v>5</v>
      </c>
      <c r="C498" s="2">
        <f>IFERROR(__xludf.DUMMYFUNCTION("IFERROR(VLOOKUP(A498, IMPORTRANGE(""https://docs.google.com/spreadsheets/d/1AVX9GT0dgogEBStecCXMMQ29tWz3gBrtNB8yIromXbY/edit?gid=741673867"", ""out1g!A:B""), 2, FALSE), 0)"),260.0)</f>
        <v>260</v>
      </c>
      <c r="D498" s="2" t="str">
        <f>IFERROR(__xludf.DUMMYFUNCTION("IFERROR(VLOOKUP(A498, IMPORTRANGE(""https://docs.google.com/spreadsheets/d/1-3Vjw2Cyy-mry5gbC8ypIR3YVGFfEpyFESummAta6sg/edit"", ""Sheet1!B:D""), 2, FALSE), ""Not Found"")"),"fæti")</f>
        <v>fæti</v>
      </c>
      <c r="E498" s="2" t="str">
        <f>IFERROR(__xludf.DUMMYFUNCTION("IFERROR(VLOOKUP(A498, IMPORTRANGE(""https://docs.google.com/spreadsheets/d/1-3Vjw2Cyy-mry5gbC8ypIR3YVGFfEpyFESummAta6sg/edit"", ""Sheet1!B:D""), 3, FALSE), ""Not Found"")"),"f æ t i ")</f>
        <v>f æ t i </v>
      </c>
    </row>
    <row r="499">
      <c r="A499" s="1" t="s">
        <v>502</v>
      </c>
      <c r="B499" s="1" t="s">
        <v>5</v>
      </c>
      <c r="C499" s="2">
        <f>IFERROR(__xludf.DUMMYFUNCTION("IFERROR(VLOOKUP(A499, IMPORTRANGE(""https://docs.google.com/spreadsheets/d/1AVX9GT0dgogEBStecCXMMQ29tWz3gBrtNB8yIromXbY/edit?gid=741673867"", ""out1g!A:B""), 2, FALSE), 0)"),326.0)</f>
        <v>326</v>
      </c>
      <c r="D499" s="2" t="str">
        <f>IFERROR(__xludf.DUMMYFUNCTION("IFERROR(VLOOKUP(A499, IMPORTRANGE(""https://docs.google.com/spreadsheets/d/1-3Vjw2Cyy-mry5gbC8ypIR3YVGFfEpyFESummAta6sg/edit"", ""Sheet1!B:D""), 2, FALSE), ""Not Found"")"),"kəps")</f>
        <v>kəps</v>
      </c>
      <c r="E499" s="2" t="str">
        <f>IFERROR(__xludf.DUMMYFUNCTION("IFERROR(VLOOKUP(A499, IMPORTRANGE(""https://docs.google.com/spreadsheets/d/1-3Vjw2Cyy-mry5gbC8ypIR3YVGFfEpyFESummAta6sg/edit"", ""Sheet1!B:D""), 3, FALSE), ""Not Found"")"),"k ə p s ")</f>
        <v>k ə p s </v>
      </c>
    </row>
    <row r="500">
      <c r="A500" s="1" t="s">
        <v>503</v>
      </c>
      <c r="B500" s="1" t="s">
        <v>5</v>
      </c>
      <c r="C500" s="2">
        <f>IFERROR(__xludf.DUMMYFUNCTION("IFERROR(VLOOKUP(A500, IMPORTRANGE(""https://docs.google.com/spreadsheets/d/1AVX9GT0dgogEBStecCXMMQ29tWz3gBrtNB8yIromXbY/edit?gid=741673867"", ""out1g!A:B""), 2, FALSE), 0)"),1377.0)</f>
        <v>1377</v>
      </c>
      <c r="D500" s="2" t="str">
        <f>IFERROR(__xludf.DUMMYFUNCTION("IFERROR(VLOOKUP(A500, IMPORTRANGE(""https://docs.google.com/spreadsheets/d/1-3Vjw2Cyy-mry5gbC8ypIR3YVGFfEpyFESummAta6sg/edit"", ""Sheet1!B:D""), 2, FALSE), ""Not Found"")"),"wʊd")</f>
        <v>wʊd</v>
      </c>
      <c r="E500" s="2" t="str">
        <f>IFERROR(__xludf.DUMMYFUNCTION("IFERROR(VLOOKUP(A500, IMPORTRANGE(""https://docs.google.com/spreadsheets/d/1-3Vjw2Cyy-mry5gbC8ypIR3YVGFfEpyFESummAta6sg/edit"", ""Sheet1!B:D""), 3, FALSE), ""Not Found"")"),"w ʊ d ")</f>
        <v>w ʊ d </v>
      </c>
    </row>
    <row r="501">
      <c r="A501" s="1" t="s">
        <v>504</v>
      </c>
      <c r="B501" s="1" t="s">
        <v>5</v>
      </c>
      <c r="C501" s="2">
        <f>IFERROR(__xludf.DUMMYFUNCTION("IFERROR(VLOOKUP(A501, IMPORTRANGE(""https://docs.google.com/spreadsheets/d/1AVX9GT0dgogEBStecCXMMQ29tWz3gBrtNB8yIromXbY/edit?gid=741673867"", ""out1g!A:B""), 2, FALSE), 0)"),32.0)</f>
        <v>32</v>
      </c>
      <c r="D501" s="2" t="str">
        <f>IFERROR(__xludf.DUMMYFUNCTION("IFERROR(VLOOKUP(A501, IMPORTRANGE(""https://docs.google.com/spreadsheets/d/1-3Vjw2Cyy-mry5gbC8ypIR3YVGFfEpyFESummAta6sg/edit"", ""Sheet1!B:D""), 2, FALSE), ""Not Found"")"),"pɔɪŋ")</f>
        <v>pɔɪŋ</v>
      </c>
      <c r="E501" s="2" t="str">
        <f>IFERROR(__xludf.DUMMYFUNCTION("IFERROR(VLOOKUP(A501, IMPORTRANGE(""https://docs.google.com/spreadsheets/d/1-3Vjw2Cyy-mry5gbC8ypIR3YVGFfEpyFESummAta6sg/edit"", ""Sheet1!B:D""), 3, FALSE), ""Not Found"")"),"p ɔ ɪ ŋ ")</f>
        <v>p ɔ ɪ ŋ </v>
      </c>
    </row>
    <row r="502">
      <c r="A502" s="1" t="s">
        <v>505</v>
      </c>
      <c r="B502" s="1" t="s">
        <v>5</v>
      </c>
      <c r="C502" s="2">
        <f>IFERROR(__xludf.DUMMYFUNCTION("IFERROR(VLOOKUP(A502, IMPORTRANGE(""https://docs.google.com/spreadsheets/d/1AVX9GT0dgogEBStecCXMMQ29tWz3gBrtNB8yIromXbY/edit?gid=741673867"", ""out1g!A:B""), 2, FALSE), 0)"),283.0)</f>
        <v>283</v>
      </c>
      <c r="D502" s="2" t="str">
        <f>IFERROR(__xludf.DUMMYFUNCTION("IFERROR(VLOOKUP(A502, IMPORTRANGE(""https://docs.google.com/spreadsheets/d/1-3Vjw2Cyy-mry5gbC8ypIR3YVGFfEpyFESummAta6sg/edit"", ""Sheet1!B:D""), 2, FALSE), ""Not Found"")"),"vɛrə")</f>
        <v>vɛrə</v>
      </c>
      <c r="E502" s="2" t="str">
        <f>IFERROR(__xludf.DUMMYFUNCTION("IFERROR(VLOOKUP(A502, IMPORTRANGE(""https://docs.google.com/spreadsheets/d/1-3Vjw2Cyy-mry5gbC8ypIR3YVGFfEpyFESummAta6sg/edit"", ""Sheet1!B:D""), 3, FALSE), ""Not Found"")"),"v ɛ r ə ")</f>
        <v>v ɛ r ə </v>
      </c>
    </row>
    <row r="503">
      <c r="A503" s="1" t="s">
        <v>506</v>
      </c>
      <c r="B503" s="1" t="s">
        <v>5</v>
      </c>
      <c r="C503" s="2">
        <f>IFERROR(__xludf.DUMMYFUNCTION("IFERROR(VLOOKUP(A503, IMPORTRANGE(""https://docs.google.com/spreadsheets/d/1AVX9GT0dgogEBStecCXMMQ29tWz3gBrtNB8yIromXbY/edit?gid=741673867"", ""out1g!A:B""), 2, FALSE), 0)"),307.0)</f>
        <v>307</v>
      </c>
      <c r="D503" s="2" t="str">
        <f>IFERROR(__xludf.DUMMYFUNCTION("IFERROR(VLOOKUP(A503, IMPORTRANGE(""https://docs.google.com/spreadsheets/d/1-3Vjw2Cyy-mry5gbC8ypIR3YVGFfEpyFESummAta6sg/edit"", ""Sheet1!B:D""), 2, FALSE), ""Not Found"")"),"əhoʊld")</f>
        <v>əhoʊld</v>
      </c>
      <c r="E503" s="2" t="str">
        <f>IFERROR(__xludf.DUMMYFUNCTION("IFERROR(VLOOKUP(A503, IMPORTRANGE(""https://docs.google.com/spreadsheets/d/1-3Vjw2Cyy-mry5gbC8ypIR3YVGFfEpyFESummAta6sg/edit"", ""Sheet1!B:D""), 3, FALSE), ""Not Found"")"),"ə h o ʊ l d ")</f>
        <v>ə h o ʊ l d </v>
      </c>
    </row>
    <row r="504">
      <c r="A504" s="1" t="s">
        <v>507</v>
      </c>
      <c r="B504" s="1" t="s">
        <v>5</v>
      </c>
      <c r="C504" s="2">
        <f>IFERROR(__xludf.DUMMYFUNCTION("IFERROR(VLOOKUP(A504, IMPORTRANGE(""https://docs.google.com/spreadsheets/d/1AVX9GT0dgogEBStecCXMMQ29tWz3gBrtNB8yIromXbY/edit?gid=741673867"", ""out1g!A:B""), 2, FALSE), 0)"),15735.0)</f>
        <v>15735</v>
      </c>
      <c r="D504" s="2" t="str">
        <f>IFERROR(__xludf.DUMMYFUNCTION("IFERROR(VLOOKUP(A504, IMPORTRANGE(""https://docs.google.com/spreadsheets/d/1-3Vjw2Cyy-mry5gbC8ypIR3YVGFfEpyFESummAta6sg/edit"", ""Sheet1!B:D""), 2, FALSE), ""Not Found"")"),"əloʊn")</f>
        <v>əloʊn</v>
      </c>
      <c r="E504" s="2" t="str">
        <f>IFERROR(__xludf.DUMMYFUNCTION("IFERROR(VLOOKUP(A504, IMPORTRANGE(""https://docs.google.com/spreadsheets/d/1-3Vjw2Cyy-mry5gbC8ypIR3YVGFfEpyFESummAta6sg/edit"", ""Sheet1!B:D""), 3, FALSE), ""Not Found"")"),"ə l o ʊ n ")</f>
        <v>ə l o ʊ n </v>
      </c>
    </row>
    <row r="505">
      <c r="A505" s="1" t="s">
        <v>508</v>
      </c>
      <c r="B505" s="1" t="s">
        <v>5</v>
      </c>
      <c r="C505" s="2">
        <f>IFERROR(__xludf.DUMMYFUNCTION("IFERROR(VLOOKUP(A505, IMPORTRANGE(""https://docs.google.com/spreadsheets/d/1AVX9GT0dgogEBStecCXMMQ29tWz3gBrtNB8yIromXbY/edit?gid=741673867"", ""out1g!A:B""), 2, FALSE), 0)"),111.0)</f>
        <v>111</v>
      </c>
      <c r="D505" s="2" t="str">
        <f>IFERROR(__xludf.DUMMYFUNCTION("IFERROR(VLOOKUP(A505, IMPORTRANGE(""https://docs.google.com/spreadsheets/d/1-3Vjw2Cyy-mry5gbC8ypIR3YVGFfEpyFESummAta6sg/edit"", ""Sheet1!B:D""), 2, FALSE), ""Not Found"")"),"grezi")</f>
        <v>grezi</v>
      </c>
      <c r="E505" s="2" t="str">
        <f>IFERROR(__xludf.DUMMYFUNCTION("IFERROR(VLOOKUP(A505, IMPORTRANGE(""https://docs.google.com/spreadsheets/d/1-3Vjw2Cyy-mry5gbC8ypIR3YVGFfEpyFESummAta6sg/edit"", ""Sheet1!B:D""), 3, FALSE), ""Not Found"")"),"g r e z i ")</f>
        <v>g r e z i </v>
      </c>
    </row>
    <row r="506">
      <c r="A506" s="1" t="s">
        <v>509</v>
      </c>
      <c r="B506" s="1" t="s">
        <v>5</v>
      </c>
      <c r="C506" s="2">
        <f>IFERROR(__xludf.DUMMYFUNCTION("IFERROR(VLOOKUP(A506, IMPORTRANGE(""https://docs.google.com/spreadsheets/d/1AVX9GT0dgogEBStecCXMMQ29tWz3gBrtNB8yIromXbY/edit?gid=741673867"", ""out1g!A:B""), 2, FALSE), 0)"),655.0)</f>
        <v>655</v>
      </c>
      <c r="D506" s="2" t="str">
        <f>IFERROR(__xludf.DUMMYFUNCTION("IFERROR(VLOOKUP(A506, IMPORTRANGE(""https://docs.google.com/spreadsheets/d/1-3Vjw2Cyy-mry5gbC8ypIR3YVGFfEpyFESummAta6sg/edit"", ""Sheet1!B:D""), 2, FALSE), ""Not Found"")"),"hɪroʊz")</f>
        <v>hɪroʊz</v>
      </c>
      <c r="E506" s="2" t="str">
        <f>IFERROR(__xludf.DUMMYFUNCTION("IFERROR(VLOOKUP(A506, IMPORTRANGE(""https://docs.google.com/spreadsheets/d/1-3Vjw2Cyy-mry5gbC8ypIR3YVGFfEpyFESummAta6sg/edit"", ""Sheet1!B:D""), 3, FALSE), ""Not Found"")"),"h ɪ r o ʊ z ")</f>
        <v>h ɪ r o ʊ z </v>
      </c>
    </row>
    <row r="507">
      <c r="A507" s="1" t="s">
        <v>510</v>
      </c>
      <c r="B507" s="1" t="s">
        <v>5</v>
      </c>
      <c r="C507" s="2">
        <f>IFERROR(__xludf.DUMMYFUNCTION("IFERROR(VLOOKUP(A507, IMPORTRANGE(""https://docs.google.com/spreadsheets/d/1AVX9GT0dgogEBStecCXMMQ29tWz3gBrtNB8yIromXbY/edit?gid=741673867"", ""out1g!A:B""), 2, FALSE), 0)"),696.0)</f>
        <v>696</v>
      </c>
      <c r="D507" s="2" t="str">
        <f>IFERROR(__xludf.DUMMYFUNCTION("IFERROR(VLOOKUP(A507, IMPORTRANGE(""https://docs.google.com/spreadsheets/d/1-3Vjw2Cyy-mry5gbC8ypIR3YVGFfEpyFESummAta6sg/edit"", ""Sheet1!B:D""), 2, FALSE), ""Not Found"")"),"poʊəm")</f>
        <v>poʊəm</v>
      </c>
      <c r="E507" s="2" t="str">
        <f>IFERROR(__xludf.DUMMYFUNCTION("IFERROR(VLOOKUP(A507, IMPORTRANGE(""https://docs.google.com/spreadsheets/d/1-3Vjw2Cyy-mry5gbC8ypIR3YVGFfEpyFESummAta6sg/edit"", ""Sheet1!B:D""), 3, FALSE), ""Not Found"")"),"p o ʊ ə m ")</f>
        <v>p o ʊ ə m </v>
      </c>
    </row>
    <row r="508">
      <c r="A508" s="1" t="s">
        <v>511</v>
      </c>
      <c r="B508" s="1" t="s">
        <v>5</v>
      </c>
      <c r="C508" s="2">
        <f>IFERROR(__xludf.DUMMYFUNCTION("IFERROR(VLOOKUP(A508, IMPORTRANGE(""https://docs.google.com/spreadsheets/d/1AVX9GT0dgogEBStecCXMMQ29tWz3gBrtNB8yIromXbY/edit?gid=741673867"", ""out1g!A:B""), 2, FALSE), 0)"),156.0)</f>
        <v>156</v>
      </c>
      <c r="D508" s="2" t="str">
        <f>IFERROR(__xludf.DUMMYFUNCTION("IFERROR(VLOOKUP(A508, IMPORTRANGE(""https://docs.google.com/spreadsheets/d/1-3Vjw2Cyy-mry5gbC8ypIR3YVGFfEpyFESummAta6sg/edit"", ""Sheet1!B:D""), 2, FALSE), ""Not Found"")"),"dɑts")</f>
        <v>dɑts</v>
      </c>
      <c r="E508" s="2" t="str">
        <f>IFERROR(__xludf.DUMMYFUNCTION("IFERROR(VLOOKUP(A508, IMPORTRANGE(""https://docs.google.com/spreadsheets/d/1-3Vjw2Cyy-mry5gbC8ypIR3YVGFfEpyFESummAta6sg/edit"", ""Sheet1!B:D""), 3, FALSE), ""Not Found"")"),"d ɑ t s ")</f>
        <v>d ɑ t s </v>
      </c>
    </row>
    <row r="509">
      <c r="A509" s="1" t="s">
        <v>512</v>
      </c>
      <c r="B509" s="1" t="s">
        <v>5</v>
      </c>
      <c r="C509" s="2">
        <f>IFERROR(__xludf.DUMMYFUNCTION("IFERROR(VLOOKUP(A509, IMPORTRANGE(""https://docs.google.com/spreadsheets/d/1AVX9GT0dgogEBStecCXMMQ29tWz3gBrtNB8yIromXbY/edit?gid=741673867"", ""out1g!A:B""), 2, FALSE), 0)"),2990.0)</f>
        <v>2990</v>
      </c>
      <c r="D509" s="2" t="str">
        <f>IFERROR(__xludf.DUMMYFUNCTION("IFERROR(VLOOKUP(A509, IMPORTRANGE(""https://docs.google.com/spreadsheets/d/1-3Vjw2Cyy-mry5gbC8ypIR3YVGFfEpyFESummAta6sg/edit"", ""Sheet1!B:D""), 2, FALSE), ""Not Found"")"),"ti")</f>
        <v>ti</v>
      </c>
      <c r="E509" s="2" t="str">
        <f>IFERROR(__xludf.DUMMYFUNCTION("IFERROR(VLOOKUP(A509, IMPORTRANGE(""https://docs.google.com/spreadsheets/d/1-3Vjw2Cyy-mry5gbC8ypIR3YVGFfEpyFESummAta6sg/edit"", ""Sheet1!B:D""), 3, FALSE), ""Not Found"")"),"t i ")</f>
        <v>t i </v>
      </c>
    </row>
    <row r="510">
      <c r="A510" s="1" t="s">
        <v>513</v>
      </c>
      <c r="B510" s="1" t="s">
        <v>5</v>
      </c>
      <c r="C510" s="2">
        <f>IFERROR(__xludf.DUMMYFUNCTION("IFERROR(VLOOKUP(A510, IMPORTRANGE(""https://docs.google.com/spreadsheets/d/1AVX9GT0dgogEBStecCXMMQ29tWz3gBrtNB8yIromXbY/edit?gid=741673867"", ""out1g!A:B""), 2, FALSE), 0)"),77.0)</f>
        <v>77</v>
      </c>
      <c r="D510" s="2" t="str">
        <f>IFERROR(__xludf.DUMMYFUNCTION("IFERROR(VLOOKUP(A510, IMPORTRANGE(""https://docs.google.com/spreadsheets/d/1-3Vjw2Cyy-mry5gbC8ypIR3YVGFfEpyFESummAta6sg/edit"", ""Sheet1!B:D""), 2, FALSE), ""Not Found"")"),"pɛri")</f>
        <v>pɛri</v>
      </c>
      <c r="E510" s="2" t="str">
        <f>IFERROR(__xludf.DUMMYFUNCTION("IFERROR(VLOOKUP(A510, IMPORTRANGE(""https://docs.google.com/spreadsheets/d/1-3Vjw2Cyy-mry5gbC8ypIR3YVGFfEpyFESummAta6sg/edit"", ""Sheet1!B:D""), 3, FALSE), ""Not Found"")"),"p ɛ r i ")</f>
        <v>p ɛ r i </v>
      </c>
    </row>
    <row r="511">
      <c r="A511" s="1" t="s">
        <v>514</v>
      </c>
      <c r="B511" s="1" t="s">
        <v>5</v>
      </c>
      <c r="C511" s="2">
        <f>IFERROR(__xludf.DUMMYFUNCTION("IFERROR(VLOOKUP(A511, IMPORTRANGE(""https://docs.google.com/spreadsheets/d/1AVX9GT0dgogEBStecCXMMQ29tWz3gBrtNB8yIromXbY/edit?gid=741673867"", ""out1g!A:B""), 2, FALSE), 0)"),63.0)</f>
        <v>63</v>
      </c>
      <c r="D511" s="2" t="str">
        <f>IFERROR(__xludf.DUMMYFUNCTION("IFERROR(VLOOKUP(A511, IMPORTRANGE(""https://docs.google.com/spreadsheets/d/1-3Vjw2Cyy-mry5gbC8ypIR3YVGFfEpyFESummAta6sg/edit"", ""Sheet1!B:D""), 2, FALSE), ""Not Found"")"),"krisi")</f>
        <v>krisi</v>
      </c>
      <c r="E511" s="2" t="str">
        <f>IFERROR(__xludf.DUMMYFUNCTION("IFERROR(VLOOKUP(A511, IMPORTRANGE(""https://docs.google.com/spreadsheets/d/1-3Vjw2Cyy-mry5gbC8ypIR3YVGFfEpyFESummAta6sg/edit"", ""Sheet1!B:D""), 3, FALSE), ""Not Found"")"),"k r i s i ")</f>
        <v>k r i s i </v>
      </c>
    </row>
    <row r="512">
      <c r="A512" s="1" t="s">
        <v>515</v>
      </c>
      <c r="B512" s="1" t="s">
        <v>5</v>
      </c>
      <c r="C512" s="2">
        <f>IFERROR(__xludf.DUMMYFUNCTION("IFERROR(VLOOKUP(A512, IMPORTRANGE(""https://docs.google.com/spreadsheets/d/1AVX9GT0dgogEBStecCXMMQ29tWz3gBrtNB8yIromXbY/edit?gid=741673867"", ""out1g!A:B""), 2, FALSE), 0)"),267.0)</f>
        <v>267</v>
      </c>
      <c r="D512" s="2" t="str">
        <f>IFERROR(__xludf.DUMMYFUNCTION("IFERROR(VLOOKUP(A512, IMPORTRANGE(""https://docs.google.com/spreadsheets/d/1-3Vjw2Cyy-mry5gbC8ypIR3YVGFfEpyFESummAta6sg/edit"", ""Sheet1!B:D""), 2, FALSE), ""Not Found"")"),"koʊlt")</f>
        <v>koʊlt</v>
      </c>
      <c r="E512" s="2" t="str">
        <f>IFERROR(__xludf.DUMMYFUNCTION("IFERROR(VLOOKUP(A512, IMPORTRANGE(""https://docs.google.com/spreadsheets/d/1-3Vjw2Cyy-mry5gbC8ypIR3YVGFfEpyFESummAta6sg/edit"", ""Sheet1!B:D""), 3, FALSE), ""Not Found"")"),"k o ʊ l t ")</f>
        <v>k o ʊ l t </v>
      </c>
    </row>
    <row r="513">
      <c r="A513" s="1" t="s">
        <v>516</v>
      </c>
      <c r="B513" s="1" t="s">
        <v>5</v>
      </c>
      <c r="C513" s="2">
        <f>IFERROR(__xludf.DUMMYFUNCTION("IFERROR(VLOOKUP(A513, IMPORTRANGE(""https://docs.google.com/spreadsheets/d/1AVX9GT0dgogEBStecCXMMQ29tWz3gBrtNB8yIromXbY/edit?gid=741673867"", ""out1g!A:B""), 2, FALSE), 0)"),2095.0)</f>
        <v>2095</v>
      </c>
      <c r="D513" s="2" t="str">
        <f>IFERROR(__xludf.DUMMYFUNCTION("IFERROR(VLOOKUP(A513, IMPORTRANGE(""https://docs.google.com/spreadsheets/d/1-3Vjw2Cyy-mry5gbC8ypIR3YVGFfEpyFESummAta6sg/edit"", ""Sheet1!B:D""), 2, FALSE), ""Not Found"")"),"ɔɪl")</f>
        <v>ɔɪl</v>
      </c>
      <c r="E513" s="2" t="str">
        <f>IFERROR(__xludf.DUMMYFUNCTION("IFERROR(VLOOKUP(A513, IMPORTRANGE(""https://docs.google.com/spreadsheets/d/1-3Vjw2Cyy-mry5gbC8ypIR3YVGFfEpyFESummAta6sg/edit"", ""Sheet1!B:D""), 3, FALSE), ""Not Found"")"),"ɔ ɪ l ")</f>
        <v>ɔ ɪ l </v>
      </c>
    </row>
    <row r="514">
      <c r="A514" s="1" t="s">
        <v>517</v>
      </c>
      <c r="B514" s="1" t="s">
        <v>5</v>
      </c>
      <c r="C514" s="2">
        <f>IFERROR(__xludf.DUMMYFUNCTION("IFERROR(VLOOKUP(A514, IMPORTRANGE(""https://docs.google.com/spreadsheets/d/1AVX9GT0dgogEBStecCXMMQ29tWz3gBrtNB8yIromXbY/edit?gid=741673867"", ""out1g!A:B""), 2, FALSE), 0)"),165.0)</f>
        <v>165</v>
      </c>
      <c r="D514" s="2" t="str">
        <f>IFERROR(__xludf.DUMMYFUNCTION("IFERROR(VLOOKUP(A514, IMPORTRANGE(""https://docs.google.com/spreadsheets/d/1-3Vjw2Cyy-mry5gbC8ypIR3YVGFfEpyFESummAta6sg/edit"", ""Sheet1!B:D""), 2, FALSE), ""Not Found"")"),"nɪp")</f>
        <v>nɪp</v>
      </c>
      <c r="E514" s="2" t="str">
        <f>IFERROR(__xludf.DUMMYFUNCTION("IFERROR(VLOOKUP(A514, IMPORTRANGE(""https://docs.google.com/spreadsheets/d/1-3Vjw2Cyy-mry5gbC8ypIR3YVGFfEpyFESummAta6sg/edit"", ""Sheet1!B:D""), 3, FALSE), ""Not Found"")"),"n ɪ p ")</f>
        <v>n ɪ p </v>
      </c>
    </row>
    <row r="515">
      <c r="A515" s="1" t="s">
        <v>518</v>
      </c>
      <c r="B515" s="1" t="s">
        <v>5</v>
      </c>
      <c r="C515" s="2">
        <f>IFERROR(__xludf.DUMMYFUNCTION("IFERROR(VLOOKUP(A515, IMPORTRANGE(""https://docs.google.com/spreadsheets/d/1AVX9GT0dgogEBStecCXMMQ29tWz3gBrtNB8yIromXbY/edit?gid=741673867"", ""out1g!A:B""), 2, FALSE), 0)"),280.0)</f>
        <v>280</v>
      </c>
      <c r="D515" s="2" t="str">
        <f>IFERROR(__xludf.DUMMYFUNCTION("IFERROR(VLOOKUP(A515, IMPORTRANGE(""https://docs.google.com/spreadsheets/d/1-3Vjw2Cyy-mry5gbC8ypIR3YVGFfEpyFESummAta6sg/edit"", ""Sheet1!B:D""), 2, FALSE), ""Not Found"")"),"soʊ")</f>
        <v>soʊ</v>
      </c>
      <c r="E515" s="2" t="str">
        <f>IFERROR(__xludf.DUMMYFUNCTION("IFERROR(VLOOKUP(A515, IMPORTRANGE(""https://docs.google.com/spreadsheets/d/1-3Vjw2Cyy-mry5gbC8ypIR3YVGFfEpyFESummAta6sg/edit"", ""Sheet1!B:D""), 3, FALSE), ""Not Found"")"),"s o ʊ ")</f>
        <v>s o ʊ </v>
      </c>
    </row>
    <row r="516">
      <c r="A516" s="1" t="s">
        <v>519</v>
      </c>
      <c r="B516" s="1" t="s">
        <v>5</v>
      </c>
      <c r="C516" s="2">
        <f>IFERROR(__xludf.DUMMYFUNCTION("IFERROR(VLOOKUP(A516, IMPORTRANGE(""https://docs.google.com/spreadsheets/d/1AVX9GT0dgogEBStecCXMMQ29tWz3gBrtNB8yIromXbY/edit?gid=741673867"", ""out1g!A:B""), 2, FALSE), 0)"),65.0)</f>
        <v>65</v>
      </c>
      <c r="D516" s="2" t="str">
        <f>IFERROR(__xludf.DUMMYFUNCTION("IFERROR(VLOOKUP(A516, IMPORTRANGE(""https://docs.google.com/spreadsheets/d/1-3Vjw2Cyy-mry5gbC8ypIR3YVGFfEpyFESummAta6sg/edit"", ""Sheet1!B:D""), 2, FALSE), ""Not Found"")"),"graɪmz")</f>
        <v>graɪmz</v>
      </c>
      <c r="E516" s="2" t="str">
        <f>IFERROR(__xludf.DUMMYFUNCTION("IFERROR(VLOOKUP(A516, IMPORTRANGE(""https://docs.google.com/spreadsheets/d/1-3Vjw2Cyy-mry5gbC8ypIR3YVGFfEpyFESummAta6sg/edit"", ""Sheet1!B:D""), 3, FALSE), ""Not Found"")"),"g r a ɪ m z ")</f>
        <v>g r a ɪ m z </v>
      </c>
    </row>
    <row r="517">
      <c r="A517" s="1" t="s">
        <v>520</v>
      </c>
      <c r="B517" s="1" t="s">
        <v>5</v>
      </c>
      <c r="C517" s="2">
        <f>IFERROR(__xludf.DUMMYFUNCTION("IFERROR(VLOOKUP(A517, IMPORTRANGE(""https://docs.google.com/spreadsheets/d/1AVX9GT0dgogEBStecCXMMQ29tWz3gBrtNB8yIromXbY/edit?gid=741673867"", ""out1g!A:B""), 2, FALSE), 0)"),805.0)</f>
        <v>805</v>
      </c>
      <c r="D517" s="2" t="str">
        <f>IFERROR(__xludf.DUMMYFUNCTION("IFERROR(VLOOKUP(A517, IMPORTRANGE(""https://docs.google.com/spreadsheets/d/1-3Vjw2Cyy-mry5gbC8ypIR3YVGFfEpyFESummAta6sg/edit"", ""Sheet1!B:D""), 2, FALSE), ""Not Found"")"),"prɛr")</f>
        <v>prɛr</v>
      </c>
      <c r="E517" s="2" t="str">
        <f>IFERROR(__xludf.DUMMYFUNCTION("IFERROR(VLOOKUP(A517, IMPORTRANGE(""https://docs.google.com/spreadsheets/d/1-3Vjw2Cyy-mry5gbC8ypIR3YVGFfEpyFESummAta6sg/edit"", ""Sheet1!B:D""), 3, FALSE), ""Not Found"")"),"p r ɛ r ")</f>
        <v>p r ɛ r </v>
      </c>
    </row>
    <row r="518">
      <c r="A518" s="1" t="s">
        <v>521</v>
      </c>
      <c r="B518" s="1" t="s">
        <v>5</v>
      </c>
      <c r="C518" s="2">
        <f>IFERROR(__xludf.DUMMYFUNCTION("IFERROR(VLOOKUP(A518, IMPORTRANGE(""https://docs.google.com/spreadsheets/d/1AVX9GT0dgogEBStecCXMMQ29tWz3gBrtNB8yIromXbY/edit?gid=741673867"", ""out1g!A:B""), 2, FALSE), 0)"),128.0)</f>
        <v>128</v>
      </c>
      <c r="D518" s="2" t="str">
        <f>IFERROR(__xludf.DUMMYFUNCTION("IFERROR(VLOOKUP(A518, IMPORTRANGE(""https://docs.google.com/spreadsheets/d/1-3Vjw2Cyy-mry5gbC8ypIR3YVGFfEpyFESummAta6sg/edit"", ""Sheet1!B:D""), 2, FALSE), ""Not Found"")"),"beð")</f>
        <v>beð</v>
      </c>
      <c r="E518" s="2" t="str">
        <f>IFERROR(__xludf.DUMMYFUNCTION("IFERROR(VLOOKUP(A518, IMPORTRANGE(""https://docs.google.com/spreadsheets/d/1-3Vjw2Cyy-mry5gbC8ypIR3YVGFfEpyFESummAta6sg/edit"", ""Sheet1!B:D""), 3, FALSE), ""Not Found"")"),"b e ð ")</f>
        <v>b e ð </v>
      </c>
    </row>
    <row r="519">
      <c r="A519" s="1" t="s">
        <v>522</v>
      </c>
      <c r="B519" s="1" t="s">
        <v>5</v>
      </c>
      <c r="C519" s="2">
        <f>IFERROR(__xludf.DUMMYFUNCTION("IFERROR(VLOOKUP(A519, IMPORTRANGE(""https://docs.google.com/spreadsheets/d/1AVX9GT0dgogEBStecCXMMQ29tWz3gBrtNB8yIromXbY/edit?gid=741673867"", ""out1g!A:B""), 2, FALSE), 0)"),687.0)</f>
        <v>687</v>
      </c>
      <c r="D519" s="2" t="str">
        <f>IFERROR(__xludf.DUMMYFUNCTION("IFERROR(VLOOKUP(A519, IMPORTRANGE(""https://docs.google.com/spreadsheets/d/1-3Vjw2Cyy-mry5gbC8ypIR3YVGFfEpyFESummAta6sg/edit"", ""Sheet1!B:D""), 2, FALSE), ""Not Found"")"),"læp")</f>
        <v>læp</v>
      </c>
      <c r="E519" s="2" t="str">
        <f>IFERROR(__xludf.DUMMYFUNCTION("IFERROR(VLOOKUP(A519, IMPORTRANGE(""https://docs.google.com/spreadsheets/d/1-3Vjw2Cyy-mry5gbC8ypIR3YVGFfEpyFESummAta6sg/edit"", ""Sheet1!B:D""), 3, FALSE), ""Not Found"")"),"l æ p ")</f>
        <v>l æ p </v>
      </c>
    </row>
    <row r="520">
      <c r="A520" s="1" t="s">
        <v>523</v>
      </c>
      <c r="B520" s="1" t="s">
        <v>5</v>
      </c>
      <c r="C520" s="2">
        <f>IFERROR(__xludf.DUMMYFUNCTION("IFERROR(VLOOKUP(A520, IMPORTRANGE(""https://docs.google.com/spreadsheets/d/1AVX9GT0dgogEBStecCXMMQ29tWz3gBrtNB8yIromXbY/edit?gid=741673867"", ""out1g!A:B""), 2, FALSE), 0)"),52.0)</f>
        <v>52</v>
      </c>
      <c r="D520" s="2" t="str">
        <f>IFERROR(__xludf.DUMMYFUNCTION("IFERROR(VLOOKUP(A520, IMPORTRANGE(""https://docs.google.com/spreadsheets/d/1-3Vjw2Cyy-mry5gbC8ypIR3YVGFfEpyFESummAta6sg/edit"", ""Sheet1!B:D""), 2, FALSE), ""Not Found"")"),"groʊ")</f>
        <v>groʊ</v>
      </c>
      <c r="E520" s="2" t="str">
        <f>IFERROR(__xludf.DUMMYFUNCTION("IFERROR(VLOOKUP(A520, IMPORTRANGE(""https://docs.google.com/spreadsheets/d/1-3Vjw2Cyy-mry5gbC8ypIR3YVGFfEpyFESummAta6sg/edit"", ""Sheet1!B:D""), 3, FALSE), ""Not Found"")"),"g r o ʊ ")</f>
        <v>g r o ʊ </v>
      </c>
    </row>
    <row r="521">
      <c r="A521" s="1" t="s">
        <v>524</v>
      </c>
      <c r="B521" s="1" t="s">
        <v>5</v>
      </c>
      <c r="C521" s="2">
        <f>IFERROR(__xludf.DUMMYFUNCTION("IFERROR(VLOOKUP(A521, IMPORTRANGE(""https://docs.google.com/spreadsheets/d/1AVX9GT0dgogEBStecCXMMQ29tWz3gBrtNB8yIromXbY/edit?gid=741673867"", ""out1g!A:B""), 2, FALSE), 0)"),3583.0)</f>
        <v>3583</v>
      </c>
      <c r="D521" s="2" t="str">
        <f>IFERROR(__xludf.DUMMYFUNCTION("IFERROR(VLOOKUP(A521, IMPORTRANGE(""https://docs.google.com/spreadsheets/d/1-3Vjw2Cyy-mry5gbC8ypIR3YVGFfEpyFESummAta6sg/edit"", ""Sheet1!B:D""), 2, FALSE), ""Not Found"")"),"məʃin")</f>
        <v>məʃin</v>
      </c>
      <c r="E521" s="2" t="str">
        <f>IFERROR(__xludf.DUMMYFUNCTION("IFERROR(VLOOKUP(A521, IMPORTRANGE(""https://docs.google.com/spreadsheets/d/1-3Vjw2Cyy-mry5gbC8ypIR3YVGFfEpyFESummAta6sg/edit"", ""Sheet1!B:D""), 3, FALSE), ""Not Found"")"),"m ə ʃ i n ")</f>
        <v>m ə ʃ i n </v>
      </c>
    </row>
    <row r="522">
      <c r="A522" s="1" t="s">
        <v>525</v>
      </c>
      <c r="B522" s="1" t="s">
        <v>5</v>
      </c>
      <c r="C522" s="2">
        <f>IFERROR(__xludf.DUMMYFUNCTION("IFERROR(VLOOKUP(A522, IMPORTRANGE(""https://docs.google.com/spreadsheets/d/1AVX9GT0dgogEBStecCXMMQ29tWz3gBrtNB8yIromXbY/edit?gid=741673867"", ""out1g!A:B""), 2, FALSE), 0)"),113.0)</f>
        <v>113</v>
      </c>
      <c r="D522" s="2" t="str">
        <f>IFERROR(__xludf.DUMMYFUNCTION("IFERROR(VLOOKUP(A522, IMPORTRANGE(""https://docs.google.com/spreadsheets/d/1-3Vjw2Cyy-mry5gbC8ypIR3YVGFfEpyFESummAta6sg/edit"", ""Sheet1!B:D""), 2, FALSE), ""Not Found"")"),"snelz")</f>
        <v>snelz</v>
      </c>
      <c r="E522" s="2" t="str">
        <f>IFERROR(__xludf.DUMMYFUNCTION("IFERROR(VLOOKUP(A522, IMPORTRANGE(""https://docs.google.com/spreadsheets/d/1-3Vjw2Cyy-mry5gbC8ypIR3YVGFfEpyFESummAta6sg/edit"", ""Sheet1!B:D""), 3, FALSE), ""Not Found"")"),"s n e l z ")</f>
        <v>s n e l z </v>
      </c>
    </row>
    <row r="523">
      <c r="A523" s="1" t="s">
        <v>526</v>
      </c>
      <c r="B523" s="1" t="s">
        <v>5</v>
      </c>
      <c r="C523" s="2">
        <f>IFERROR(__xludf.DUMMYFUNCTION("IFERROR(VLOOKUP(A523, IMPORTRANGE(""https://docs.google.com/spreadsheets/d/1AVX9GT0dgogEBStecCXMMQ29tWz3gBrtNB8yIromXbY/edit?gid=741673867"", ""out1g!A:B""), 2, FALSE), 0)"),432.0)</f>
        <v>432</v>
      </c>
      <c r="D523" s="2" t="str">
        <f>IFERROR(__xludf.DUMMYFUNCTION("IFERROR(VLOOKUP(A523, IMPORTRANGE(""https://docs.google.com/spreadsheets/d/1-3Vjw2Cyy-mry5gbC8ypIR3YVGFfEpyFESummAta6sg/edit"", ""Sheet1!B:D""), 2, FALSE), ""Not Found"")"),"dəks")</f>
        <v>dəks</v>
      </c>
      <c r="E523" s="2" t="str">
        <f>IFERROR(__xludf.DUMMYFUNCTION("IFERROR(VLOOKUP(A523, IMPORTRANGE(""https://docs.google.com/spreadsheets/d/1-3Vjw2Cyy-mry5gbC8ypIR3YVGFfEpyFESummAta6sg/edit"", ""Sheet1!B:D""), 3, FALSE), ""Not Found"")"),"d ə k s ")</f>
        <v>d ə k s </v>
      </c>
    </row>
    <row r="524">
      <c r="A524" s="1" t="s">
        <v>527</v>
      </c>
      <c r="B524" s="1" t="s">
        <v>5</v>
      </c>
      <c r="C524" s="2">
        <f>IFERROR(__xludf.DUMMYFUNCTION("IFERROR(VLOOKUP(A524, IMPORTRANGE(""https://docs.google.com/spreadsheets/d/1AVX9GT0dgogEBStecCXMMQ29tWz3gBrtNB8yIromXbY/edit?gid=741673867"", ""out1g!A:B""), 2, FALSE), 0)"),112.0)</f>
        <v>112</v>
      </c>
      <c r="D524" s="2" t="str">
        <f>IFERROR(__xludf.DUMMYFUNCTION("IFERROR(VLOOKUP(A524, IMPORTRANGE(""https://docs.google.com/spreadsheets/d/1-3Vjw2Cyy-mry5gbC8ypIR3YVGFfEpyFESummAta6sg/edit"", ""Sheet1!B:D""), 2, FALSE), ""Not Found"")"),"pləgd")</f>
        <v>pləgd</v>
      </c>
      <c r="E524" s="2" t="str">
        <f>IFERROR(__xludf.DUMMYFUNCTION("IFERROR(VLOOKUP(A524, IMPORTRANGE(""https://docs.google.com/spreadsheets/d/1-3Vjw2Cyy-mry5gbC8ypIR3YVGFfEpyFESummAta6sg/edit"", ""Sheet1!B:D""), 3, FALSE), ""Not Found"")"),"p l ə g d ")</f>
        <v>p l ə g d </v>
      </c>
    </row>
    <row r="525">
      <c r="A525" s="1" t="s">
        <v>528</v>
      </c>
      <c r="B525" s="1" t="s">
        <v>5</v>
      </c>
      <c r="C525" s="2">
        <f>IFERROR(__xludf.DUMMYFUNCTION("IFERROR(VLOOKUP(A525, IMPORTRANGE(""https://docs.google.com/spreadsheets/d/1AVX9GT0dgogEBStecCXMMQ29tWz3gBrtNB8yIromXbY/edit?gid=741673867"", ""out1g!A:B""), 2, FALSE), 0)"),56.0)</f>
        <v>56</v>
      </c>
      <c r="D525" s="2" t="str">
        <f>IFERROR(__xludf.DUMMYFUNCTION("IFERROR(VLOOKUP(A525, IMPORTRANGE(""https://docs.google.com/spreadsheets/d/1-3Vjw2Cyy-mry5gbC8ypIR3YVGFfEpyFESummAta6sg/edit"", ""Sheet1!B:D""), 2, FALSE), ""Not Found"")"),"broʊz")</f>
        <v>broʊz</v>
      </c>
      <c r="E525" s="2" t="str">
        <f>IFERROR(__xludf.DUMMYFUNCTION("IFERROR(VLOOKUP(A525, IMPORTRANGE(""https://docs.google.com/spreadsheets/d/1-3Vjw2Cyy-mry5gbC8ypIR3YVGFfEpyFESummAta6sg/edit"", ""Sheet1!B:D""), 3, FALSE), ""Not Found"")"),"b r o ʊ z ")</f>
        <v>b r o ʊ z </v>
      </c>
    </row>
    <row r="526">
      <c r="A526" s="1" t="s">
        <v>529</v>
      </c>
      <c r="B526" s="1" t="s">
        <v>5</v>
      </c>
      <c r="C526" s="2">
        <f>IFERROR(__xludf.DUMMYFUNCTION("IFERROR(VLOOKUP(A526, IMPORTRANGE(""https://docs.google.com/spreadsheets/d/1AVX9GT0dgogEBStecCXMMQ29tWz3gBrtNB8yIromXbY/edit?gid=741673867"", ""out1g!A:B""), 2, FALSE), 0)"),83.0)</f>
        <v>83</v>
      </c>
      <c r="D526" s="2" t="str">
        <f>IFERROR(__xludf.DUMMYFUNCTION("IFERROR(VLOOKUP(A526, IMPORTRANGE(""https://docs.google.com/spreadsheets/d/1-3Vjw2Cyy-mry5gbC8ypIR3YVGFfEpyFESummAta6sg/edit"", ""Sheet1!B:D""), 2, FALSE), ""Not Found"")"),"rɛk")</f>
        <v>rɛk</v>
      </c>
      <c r="E526" s="2" t="str">
        <f>IFERROR(__xludf.DUMMYFUNCTION("IFERROR(VLOOKUP(A526, IMPORTRANGE(""https://docs.google.com/spreadsheets/d/1-3Vjw2Cyy-mry5gbC8ypIR3YVGFfEpyFESummAta6sg/edit"", ""Sheet1!B:D""), 3, FALSE), ""Not Found"")"),"r ɛ k ")</f>
        <v>r ɛ k </v>
      </c>
    </row>
    <row r="527">
      <c r="A527" s="1" t="s">
        <v>530</v>
      </c>
      <c r="B527" s="1" t="s">
        <v>5</v>
      </c>
      <c r="C527" s="2">
        <f>IFERROR(__xludf.DUMMYFUNCTION("IFERROR(VLOOKUP(A527, IMPORTRANGE(""https://docs.google.com/spreadsheets/d/1AVX9GT0dgogEBStecCXMMQ29tWz3gBrtNB8yIromXbY/edit?gid=741673867"", ""out1g!A:B""), 2, FALSE), 0)"),73.0)</f>
        <v>73</v>
      </c>
      <c r="D527" s="2" t="str">
        <f>IFERROR(__xludf.DUMMYFUNCTION("IFERROR(VLOOKUP(A527, IMPORTRANGE(""https://docs.google.com/spreadsheets/d/1-3Vjw2Cyy-mry5gbC8ypIR3YVGFfEpyFESummAta6sg/edit"", ""Sheet1!B:D""), 2, FALSE), ""Not Found"")"),"bloʊks")</f>
        <v>bloʊks</v>
      </c>
      <c r="E527" s="2" t="str">
        <f>IFERROR(__xludf.DUMMYFUNCTION("IFERROR(VLOOKUP(A527, IMPORTRANGE(""https://docs.google.com/spreadsheets/d/1-3Vjw2Cyy-mry5gbC8ypIR3YVGFfEpyFESummAta6sg/edit"", ""Sheet1!B:D""), 3, FALSE), ""Not Found"")"),"b l o ʊ k s ")</f>
        <v>b l o ʊ k s </v>
      </c>
    </row>
    <row r="528">
      <c r="A528" s="1" t="s">
        <v>531</v>
      </c>
      <c r="B528" s="1" t="s">
        <v>5</v>
      </c>
      <c r="C528" s="2">
        <f>IFERROR(__xludf.DUMMYFUNCTION("IFERROR(VLOOKUP(A528, IMPORTRANGE(""https://docs.google.com/spreadsheets/d/1AVX9GT0dgogEBStecCXMMQ29tWz3gBrtNB8yIromXbY/edit?gid=741673867"", ""out1g!A:B""), 2, FALSE), 0)"),47.0)</f>
        <v>47</v>
      </c>
      <c r="D528" s="2" t="str">
        <f>IFERROR(__xludf.DUMMYFUNCTION("IFERROR(VLOOKUP(A528, IMPORTRANGE(""https://docs.google.com/spreadsheets/d/1-3Vjw2Cyy-mry5gbC8ypIR3YVGFfEpyFESummAta6sg/edit"", ""Sheet1!B:D""), 2, FALSE), ""Not Found"")"),"stɪft")</f>
        <v>stɪft</v>
      </c>
      <c r="E528" s="2" t="str">
        <f>IFERROR(__xludf.DUMMYFUNCTION("IFERROR(VLOOKUP(A528, IMPORTRANGE(""https://docs.google.com/spreadsheets/d/1-3Vjw2Cyy-mry5gbC8ypIR3YVGFfEpyFESummAta6sg/edit"", ""Sheet1!B:D""), 3, FALSE), ""Not Found"")"),"s t ɪ f t ")</f>
        <v>s t ɪ f t </v>
      </c>
    </row>
    <row r="529">
      <c r="A529" s="1" t="s">
        <v>532</v>
      </c>
      <c r="B529" s="1" t="s">
        <v>5</v>
      </c>
      <c r="C529" s="2">
        <f>IFERROR(__xludf.DUMMYFUNCTION("IFERROR(VLOOKUP(A529, IMPORTRANGE(""https://docs.google.com/spreadsheets/d/1AVX9GT0dgogEBStecCXMMQ29tWz3gBrtNB8yIromXbY/edit?gid=741673867"", ""out1g!A:B""), 2, FALSE), 0)"),95.0)</f>
        <v>95</v>
      </c>
      <c r="D529" s="2" t="str">
        <f>IFERROR(__xludf.DUMMYFUNCTION("IFERROR(VLOOKUP(A529, IMPORTRANGE(""https://docs.google.com/spreadsheets/d/1-3Vjw2Cyy-mry5gbC8ypIR3YVGFfEpyFESummAta6sg/edit"", ""Sheet1!B:D""), 2, FALSE), ""Not Found"")"),"spɛk")</f>
        <v>spɛk</v>
      </c>
      <c r="E529" s="2" t="str">
        <f>IFERROR(__xludf.DUMMYFUNCTION("IFERROR(VLOOKUP(A529, IMPORTRANGE(""https://docs.google.com/spreadsheets/d/1-3Vjw2Cyy-mry5gbC8ypIR3YVGFfEpyFESummAta6sg/edit"", ""Sheet1!B:D""), 3, FALSE), ""Not Found"")"),"s p ɛ k ")</f>
        <v>s p ɛ k </v>
      </c>
    </row>
    <row r="530">
      <c r="A530" s="1" t="s">
        <v>533</v>
      </c>
      <c r="B530" s="1" t="s">
        <v>5</v>
      </c>
      <c r="C530" s="2">
        <f>IFERROR(__xludf.DUMMYFUNCTION("IFERROR(VLOOKUP(A530, IMPORTRANGE(""https://docs.google.com/spreadsheets/d/1AVX9GT0dgogEBStecCXMMQ29tWz3gBrtNB8yIromXbY/edit?gid=741673867"", ""out1g!A:B""), 2, FALSE), 0)"),212.0)</f>
        <v>212</v>
      </c>
      <c r="D530" s="2" t="str">
        <f>IFERROR(__xludf.DUMMYFUNCTION("IFERROR(VLOOKUP(A530, IMPORTRANGE(""https://docs.google.com/spreadsheets/d/1-3Vjw2Cyy-mry5gbC8ypIR3YVGFfEpyFESummAta6sg/edit"", ""Sheet1!B:D""), 2, FALSE), ""Not Found"")"),"vɪlən")</f>
        <v>vɪlən</v>
      </c>
      <c r="E530" s="2" t="str">
        <f>IFERROR(__xludf.DUMMYFUNCTION("IFERROR(VLOOKUP(A530, IMPORTRANGE(""https://docs.google.com/spreadsheets/d/1-3Vjw2Cyy-mry5gbC8ypIR3YVGFfEpyFESummAta6sg/edit"", ""Sheet1!B:D""), 3, FALSE), ""Not Found"")"),"v ɪ l ə n ")</f>
        <v>v ɪ l ə n </v>
      </c>
    </row>
    <row r="531">
      <c r="A531" s="1" t="s">
        <v>534</v>
      </c>
      <c r="B531" s="1" t="s">
        <v>5</v>
      </c>
      <c r="C531" s="2">
        <f>IFERROR(__xludf.DUMMYFUNCTION("IFERROR(VLOOKUP(A531, IMPORTRANGE(""https://docs.google.com/spreadsheets/d/1AVX9GT0dgogEBStecCXMMQ29tWz3gBrtNB8yIromXbY/edit?gid=741673867"", ""out1g!A:B""), 2, FALSE), 0)"),149.0)</f>
        <v>149</v>
      </c>
      <c r="D531" s="2" t="str">
        <f>IFERROR(__xludf.DUMMYFUNCTION("IFERROR(VLOOKUP(A531, IMPORTRANGE(""https://docs.google.com/spreadsheets/d/1-3Vjw2Cyy-mry5gbC8ypIR3YVGFfEpyFESummAta6sg/edit"", ""Sheet1!B:D""), 2, FALSE), ""Not Found"")"),"sɔrtə")</f>
        <v>sɔrtə</v>
      </c>
      <c r="E531" s="2" t="str">
        <f>IFERROR(__xludf.DUMMYFUNCTION("IFERROR(VLOOKUP(A531, IMPORTRANGE(""https://docs.google.com/spreadsheets/d/1-3Vjw2Cyy-mry5gbC8ypIR3YVGFfEpyFESummAta6sg/edit"", ""Sheet1!B:D""), 3, FALSE), ""Not Found"")"),"s ɔ r t ə ")</f>
        <v>s ɔ r t ə </v>
      </c>
    </row>
    <row r="532">
      <c r="A532" s="1" t="s">
        <v>535</v>
      </c>
      <c r="B532" s="1" t="s">
        <v>5</v>
      </c>
      <c r="C532" s="2">
        <f>IFERROR(__xludf.DUMMYFUNCTION("IFERROR(VLOOKUP(A532, IMPORTRANGE(""https://docs.google.com/spreadsheets/d/1AVX9GT0dgogEBStecCXMMQ29tWz3gBrtNB8yIromXbY/edit?gid=741673867"", ""out1g!A:B""), 2, FALSE), 0)"),68.0)</f>
        <v>68</v>
      </c>
      <c r="D532" s="2" t="str">
        <f>IFERROR(__xludf.DUMMYFUNCTION("IFERROR(VLOOKUP(A532, IMPORTRANGE(""https://docs.google.com/spreadsheets/d/1-3Vjw2Cyy-mry5gbC8ypIR3YVGFfEpyFESummAta6sg/edit"", ""Sheet1!B:D""), 2, FALSE), ""Not Found"")"),"simz")</f>
        <v>simz</v>
      </c>
      <c r="E532" s="2" t="str">
        <f>IFERROR(__xludf.DUMMYFUNCTION("IFERROR(VLOOKUP(A532, IMPORTRANGE(""https://docs.google.com/spreadsheets/d/1-3Vjw2Cyy-mry5gbC8ypIR3YVGFfEpyFESummAta6sg/edit"", ""Sheet1!B:D""), 3, FALSE), ""Not Found"")"),"s i m z ")</f>
        <v>s i m z </v>
      </c>
    </row>
    <row r="533">
      <c r="A533" s="1" t="s">
        <v>536</v>
      </c>
      <c r="B533" s="1" t="s">
        <v>5</v>
      </c>
      <c r="C533" s="2">
        <f>IFERROR(__xludf.DUMMYFUNCTION("IFERROR(VLOOKUP(A533, IMPORTRANGE(""https://docs.google.com/spreadsheets/d/1AVX9GT0dgogEBStecCXMMQ29tWz3gBrtNB8yIromXbY/edit?gid=741673867"", ""out1g!A:B""), 2, FALSE), 0)"),175.0)</f>
        <v>175</v>
      </c>
      <c r="D533" s="2" t="str">
        <f>IFERROR(__xludf.DUMMYFUNCTION("IFERROR(VLOOKUP(A533, IMPORTRANGE(""https://docs.google.com/spreadsheets/d/1-3Vjw2Cyy-mry5gbC8ypIR3YVGFfEpyFESummAta6sg/edit"", ""Sheet1!B:D""), 2, FALSE), ""Not Found"")"),"tɪtiz")</f>
        <v>tɪtiz</v>
      </c>
      <c r="E533" s="2" t="str">
        <f>IFERROR(__xludf.DUMMYFUNCTION("IFERROR(VLOOKUP(A533, IMPORTRANGE(""https://docs.google.com/spreadsheets/d/1-3Vjw2Cyy-mry5gbC8ypIR3YVGFfEpyFESummAta6sg/edit"", ""Sheet1!B:D""), 3, FALSE), ""Not Found"")"),"t ɪ t i z ")</f>
        <v>t ɪ t i z </v>
      </c>
    </row>
    <row r="534">
      <c r="A534" s="1" t="s">
        <v>537</v>
      </c>
      <c r="B534" s="1" t="s">
        <v>5</v>
      </c>
      <c r="C534" s="2">
        <f>IFERROR(__xludf.DUMMYFUNCTION("IFERROR(VLOOKUP(A534, IMPORTRANGE(""https://docs.google.com/spreadsheets/d/1AVX9GT0dgogEBStecCXMMQ29tWz3gBrtNB8yIromXbY/edit?gid=741673867"", ""out1g!A:B""), 2, FALSE), 0)"),299.0)</f>
        <v>299</v>
      </c>
      <c r="D534" s="2" t="str">
        <f>IFERROR(__xludf.DUMMYFUNCTION("IFERROR(VLOOKUP(A534, IMPORTRANGE(""https://docs.google.com/spreadsheets/d/1-3Vjw2Cyy-mry5gbC8ypIR3YVGFfEpyFESummAta6sg/edit"", ""Sheet1!B:D""), 2, FALSE), ""Not Found"")"),"soʊfə")</f>
        <v>soʊfə</v>
      </c>
      <c r="E534" s="2" t="str">
        <f>IFERROR(__xludf.DUMMYFUNCTION("IFERROR(VLOOKUP(A534, IMPORTRANGE(""https://docs.google.com/spreadsheets/d/1-3Vjw2Cyy-mry5gbC8ypIR3YVGFfEpyFESummAta6sg/edit"", ""Sheet1!B:D""), 3, FALSE), ""Not Found"")"),"s o ʊ f ə ")</f>
        <v>s o ʊ f ə </v>
      </c>
    </row>
    <row r="535">
      <c r="A535" s="1" t="s">
        <v>538</v>
      </c>
      <c r="B535" s="1" t="s">
        <v>5</v>
      </c>
      <c r="C535" s="2">
        <f>IFERROR(__xludf.DUMMYFUNCTION("IFERROR(VLOOKUP(A535, IMPORTRANGE(""https://docs.google.com/spreadsheets/d/1AVX9GT0dgogEBStecCXMMQ29tWz3gBrtNB8yIromXbY/edit?gid=741673867"", ""out1g!A:B""), 2, FALSE), 0)"),200.0)</f>
        <v>200</v>
      </c>
      <c r="D535" s="2" t="str">
        <f>IFERROR(__xludf.DUMMYFUNCTION("IFERROR(VLOOKUP(A535, IMPORTRANGE(""https://docs.google.com/spreadsheets/d/1-3Vjw2Cyy-mry5gbC8ypIR3YVGFfEpyFESummAta6sg/edit"", ""Sheet1!B:D""), 2, FALSE), ""Not Found"")"),"flərt")</f>
        <v>flərt</v>
      </c>
      <c r="E535" s="2" t="str">
        <f>IFERROR(__xludf.DUMMYFUNCTION("IFERROR(VLOOKUP(A535, IMPORTRANGE(""https://docs.google.com/spreadsheets/d/1-3Vjw2Cyy-mry5gbC8ypIR3YVGFfEpyFESummAta6sg/edit"", ""Sheet1!B:D""), 3, FALSE), ""Not Found"")"),"f l ə r t ")</f>
        <v>f l ə r t </v>
      </c>
    </row>
    <row r="536">
      <c r="A536" s="1" t="s">
        <v>539</v>
      </c>
      <c r="B536" s="1" t="s">
        <v>5</v>
      </c>
      <c r="C536" s="2">
        <f>IFERROR(__xludf.DUMMYFUNCTION("IFERROR(VLOOKUP(A536, IMPORTRANGE(""https://docs.google.com/spreadsheets/d/1AVX9GT0dgogEBStecCXMMQ29tWz3gBrtNB8yIromXbY/edit?gid=741673867"", ""out1g!A:B""), 2, FALSE), 0)"),49.0)</f>
        <v>49</v>
      </c>
      <c r="D536" s="2" t="str">
        <f>IFERROR(__xludf.DUMMYFUNCTION("IFERROR(VLOOKUP(A536, IMPORTRANGE(""https://docs.google.com/spreadsheets/d/1-3Vjw2Cyy-mry5gbC8ypIR3YVGFfEpyFESummAta6sg/edit"", ""Sheet1!B:D""), 2, FALSE), ""Not Found"")"),"stəb")</f>
        <v>stəb</v>
      </c>
      <c r="E536" s="2" t="str">
        <f>IFERROR(__xludf.DUMMYFUNCTION("IFERROR(VLOOKUP(A536, IMPORTRANGE(""https://docs.google.com/spreadsheets/d/1-3Vjw2Cyy-mry5gbC8ypIR3YVGFfEpyFESummAta6sg/edit"", ""Sheet1!B:D""), 3, FALSE), ""Not Found"")"),"s t ə b ")</f>
        <v>s t ə b </v>
      </c>
    </row>
    <row r="537">
      <c r="A537" s="1" t="s">
        <v>540</v>
      </c>
      <c r="B537" s="1" t="s">
        <v>5</v>
      </c>
      <c r="C537" s="2">
        <f>IFERROR(__xludf.DUMMYFUNCTION("IFERROR(VLOOKUP(A537, IMPORTRANGE(""https://docs.google.com/spreadsheets/d/1AVX9GT0dgogEBStecCXMMQ29tWz3gBrtNB8yIromXbY/edit?gid=741673867"", ""out1g!A:B""), 2, FALSE), 0)"),356.0)</f>
        <v>356</v>
      </c>
      <c r="D537" s="2" t="str">
        <f>IFERROR(__xludf.DUMMYFUNCTION("IFERROR(VLOOKUP(A537, IMPORTRANGE(""https://docs.google.com/spreadsheets/d/1-3Vjw2Cyy-mry5gbC8ypIR3YVGFfEpyFESummAta6sg/edit"", ""Sheet1!B:D""), 2, FALSE), ""Not Found"")"),"ʃuts")</f>
        <v>ʃuts</v>
      </c>
      <c r="E537" s="2" t="str">
        <f>IFERROR(__xludf.DUMMYFUNCTION("IFERROR(VLOOKUP(A537, IMPORTRANGE(""https://docs.google.com/spreadsheets/d/1-3Vjw2Cyy-mry5gbC8ypIR3YVGFfEpyFESummAta6sg/edit"", ""Sheet1!B:D""), 3, FALSE), ""Not Found"")"),"ʃ u t s ")</f>
        <v>ʃ u t s </v>
      </c>
    </row>
    <row r="538">
      <c r="A538" s="1" t="s">
        <v>541</v>
      </c>
      <c r="B538" s="1" t="s">
        <v>5</v>
      </c>
      <c r="C538" s="2">
        <f>IFERROR(__xludf.DUMMYFUNCTION("IFERROR(VLOOKUP(A538, IMPORTRANGE(""https://docs.google.com/spreadsheets/d/1AVX9GT0dgogEBStecCXMMQ29tWz3gBrtNB8yIromXbY/edit?gid=741673867"", ""out1g!A:B""), 2, FALSE), 0)"),58.0)</f>
        <v>58</v>
      </c>
      <c r="D538" s="2" t="str">
        <f>IFERROR(__xludf.DUMMYFUNCTION("IFERROR(VLOOKUP(A538, IMPORTRANGE(""https://docs.google.com/spreadsheets/d/1-3Vjw2Cyy-mry5gbC8ypIR3YVGFfEpyFESummAta6sg/edit"", ""Sheet1!B:D""), 2, FALSE), ""Not Found"")"),"froʊ")</f>
        <v>froʊ</v>
      </c>
      <c r="E538" s="2" t="str">
        <f>IFERROR(__xludf.DUMMYFUNCTION("IFERROR(VLOOKUP(A538, IMPORTRANGE(""https://docs.google.com/spreadsheets/d/1-3Vjw2Cyy-mry5gbC8ypIR3YVGFfEpyFESummAta6sg/edit"", ""Sheet1!B:D""), 3, FALSE), ""Not Found"")"),"f r o ʊ ")</f>
        <v>f r o ʊ </v>
      </c>
    </row>
    <row r="539">
      <c r="A539" s="1" t="s">
        <v>542</v>
      </c>
      <c r="B539" s="1" t="s">
        <v>5</v>
      </c>
      <c r="C539" s="2">
        <f>IFERROR(__xludf.DUMMYFUNCTION("IFERROR(VLOOKUP(A539, IMPORTRANGE(""https://docs.google.com/spreadsheets/d/1AVX9GT0dgogEBStecCXMMQ29tWz3gBrtNB8yIromXbY/edit?gid=741673867"", ""out1g!A:B""), 2, FALSE), 0)"),108.0)</f>
        <v>108</v>
      </c>
      <c r="D539" s="2" t="str">
        <f>IFERROR(__xludf.DUMMYFUNCTION("IFERROR(VLOOKUP(A539, IMPORTRANGE(""https://docs.google.com/spreadsheets/d/1-3Vjw2Cyy-mry5gbC8ypIR3YVGFfEpyFESummAta6sg/edit"", ""Sheet1!B:D""), 2, FALSE), ""Not Found"")"),"flut")</f>
        <v>flut</v>
      </c>
      <c r="E539" s="2" t="str">
        <f>IFERROR(__xludf.DUMMYFUNCTION("IFERROR(VLOOKUP(A539, IMPORTRANGE(""https://docs.google.com/spreadsheets/d/1-3Vjw2Cyy-mry5gbC8ypIR3YVGFfEpyFESummAta6sg/edit"", ""Sheet1!B:D""), 3, FALSE), ""Not Found"")"),"f l u t ")</f>
        <v>f l u t </v>
      </c>
    </row>
    <row r="540">
      <c r="A540" s="1" t="s">
        <v>543</v>
      </c>
      <c r="B540" s="1" t="s">
        <v>5</v>
      </c>
      <c r="C540" s="2">
        <f>IFERROR(__xludf.DUMMYFUNCTION("IFERROR(VLOOKUP(A540, IMPORTRANGE(""https://docs.google.com/spreadsheets/d/1AVX9GT0dgogEBStecCXMMQ29tWz3gBrtNB8yIromXbY/edit?gid=741673867"", ""out1g!A:B""), 2, FALSE), 0)"),191.0)</f>
        <v>191</v>
      </c>
      <c r="D540" s="2" t="str">
        <f>IFERROR(__xludf.DUMMYFUNCTION("IFERROR(VLOOKUP(A540, IMPORTRANGE(""https://docs.google.com/spreadsheets/d/1-3Vjw2Cyy-mry5gbC8ypIR3YVGFfEpyFESummAta6sg/edit"", ""Sheet1!B:D""), 2, FALSE), ""Not Found"")"),"haɪdz")</f>
        <v>haɪdz</v>
      </c>
      <c r="E540" s="2" t="str">
        <f>IFERROR(__xludf.DUMMYFUNCTION("IFERROR(VLOOKUP(A540, IMPORTRANGE(""https://docs.google.com/spreadsheets/d/1-3Vjw2Cyy-mry5gbC8ypIR3YVGFfEpyFESummAta6sg/edit"", ""Sheet1!B:D""), 3, FALSE), ""Not Found"")"),"h a ɪ d z ")</f>
        <v>h a ɪ d z </v>
      </c>
    </row>
    <row r="541">
      <c r="A541" s="1" t="s">
        <v>544</v>
      </c>
      <c r="B541" s="1" t="s">
        <v>5</v>
      </c>
      <c r="C541" s="2">
        <f>IFERROR(__xludf.DUMMYFUNCTION("IFERROR(VLOOKUP(A541, IMPORTRANGE(""https://docs.google.com/spreadsheets/d/1AVX9GT0dgogEBStecCXMMQ29tWz3gBrtNB8yIromXbY/edit?gid=741673867"", ""out1g!A:B""), 2, FALSE), 0)"),3520.0)</f>
        <v>3520</v>
      </c>
      <c r="D541" s="2" t="str">
        <f>IFERROR(__xludf.DUMMYFUNCTION("IFERROR(VLOOKUP(A541, IMPORTRANGE(""https://docs.google.com/spreadsheets/d/1-3Vjw2Cyy-mry5gbC8ypIR3YVGFfEpyFESummAta6sg/edit"", ""Sheet1!B:D""), 2, FALSE), ""Not Found"")"),"juzɪŋ")</f>
        <v>juzɪŋ</v>
      </c>
      <c r="E541" s="2" t="str">
        <f>IFERROR(__xludf.DUMMYFUNCTION("IFERROR(VLOOKUP(A541, IMPORTRANGE(""https://docs.google.com/spreadsheets/d/1-3Vjw2Cyy-mry5gbC8ypIR3YVGFfEpyFESummAta6sg/edit"", ""Sheet1!B:D""), 3, FALSE), ""Not Found"")"),"j u z ɪ ŋ ")</f>
        <v>j u z ɪ ŋ </v>
      </c>
    </row>
    <row r="542">
      <c r="A542" s="1" t="s">
        <v>545</v>
      </c>
      <c r="B542" s="1" t="s">
        <v>5</v>
      </c>
      <c r="C542" s="2">
        <f>IFERROR(__xludf.DUMMYFUNCTION("IFERROR(VLOOKUP(A542, IMPORTRANGE(""https://docs.google.com/spreadsheets/d/1AVX9GT0dgogEBStecCXMMQ29tWz3gBrtNB8yIromXbY/edit?gid=741673867"", ""out1g!A:B""), 2, FALSE), 0)"),2968.0)</f>
        <v>2968</v>
      </c>
      <c r="D542" s="2" t="str">
        <f>IFERROR(__xludf.DUMMYFUNCTION("IFERROR(VLOOKUP(A542, IMPORTRANGE(""https://docs.google.com/spreadsheets/d/1-3Vjw2Cyy-mry5gbC8ypIR3YVGFfEpyFESummAta6sg/edit"", ""Sheet1!B:D""), 2, FALSE), ""Not Found"")"),"gɑrd")</f>
        <v>gɑrd</v>
      </c>
      <c r="E542" s="2" t="str">
        <f>IFERROR(__xludf.DUMMYFUNCTION("IFERROR(VLOOKUP(A542, IMPORTRANGE(""https://docs.google.com/spreadsheets/d/1-3Vjw2Cyy-mry5gbC8ypIR3YVGFfEpyFESummAta6sg/edit"", ""Sheet1!B:D""), 3, FALSE), ""Not Found"")"),"g ɑ r d ")</f>
        <v>g ɑ r d </v>
      </c>
    </row>
    <row r="543">
      <c r="A543" s="1" t="s">
        <v>546</v>
      </c>
      <c r="B543" s="1" t="s">
        <v>5</v>
      </c>
      <c r="C543" s="2">
        <f>IFERROR(__xludf.DUMMYFUNCTION("IFERROR(VLOOKUP(A543, IMPORTRANGE(""https://docs.google.com/spreadsheets/d/1AVX9GT0dgogEBStecCXMMQ29tWz3gBrtNB8yIromXbY/edit?gid=741673867"", ""out1g!A:B""), 2, FALSE), 0)"),1935.0)</f>
        <v>1935</v>
      </c>
      <c r="D543" s="2" t="str">
        <f>IFERROR(__xludf.DUMMYFUNCTION("IFERROR(VLOOKUP(A543, IMPORTRANGE(""https://docs.google.com/spreadsheets/d/1-3Vjw2Cyy-mry5gbC8ypIR3YVGFfEpyFESummAta6sg/edit"", ""Sheet1!B:D""), 2, FALSE), ""Not Found"")"),"sərv")</f>
        <v>sərv</v>
      </c>
      <c r="E543" s="2" t="str">
        <f>IFERROR(__xludf.DUMMYFUNCTION("IFERROR(VLOOKUP(A543, IMPORTRANGE(""https://docs.google.com/spreadsheets/d/1-3Vjw2Cyy-mry5gbC8ypIR3YVGFfEpyFESummAta6sg/edit"", ""Sheet1!B:D""), 3, FALSE), ""Not Found"")"),"s ə r v ")</f>
        <v>s ə r v </v>
      </c>
    </row>
    <row r="544">
      <c r="A544" s="1" t="s">
        <v>547</v>
      </c>
      <c r="B544" s="1" t="s">
        <v>5</v>
      </c>
      <c r="C544" s="2">
        <f>IFERROR(__xludf.DUMMYFUNCTION("IFERROR(VLOOKUP(A544, IMPORTRANGE(""https://docs.google.com/spreadsheets/d/1AVX9GT0dgogEBStecCXMMQ29tWz3gBrtNB8yIromXbY/edit?gid=741673867"", ""out1g!A:B""), 2, FALSE), 0)"),188.0)</f>
        <v>188</v>
      </c>
      <c r="D544" s="2" t="str">
        <f>IFERROR(__xludf.DUMMYFUNCTION("IFERROR(VLOOKUP(A544, IMPORTRANGE(""https://docs.google.com/spreadsheets/d/1-3Vjw2Cyy-mry5gbC8ypIR3YVGFfEpyFESummAta6sg/edit"", ""Sheet1!B:D""), 2, FALSE), ""Not Found"")"),"tætuz")</f>
        <v>tætuz</v>
      </c>
      <c r="E544" s="2" t="str">
        <f>IFERROR(__xludf.DUMMYFUNCTION("IFERROR(VLOOKUP(A544, IMPORTRANGE(""https://docs.google.com/spreadsheets/d/1-3Vjw2Cyy-mry5gbC8ypIR3YVGFfEpyFESummAta6sg/edit"", ""Sheet1!B:D""), 3, FALSE), ""Not Found"")"),"t æ t u z ")</f>
        <v>t æ t u z </v>
      </c>
    </row>
    <row r="545">
      <c r="A545" s="1" t="s">
        <v>548</v>
      </c>
      <c r="B545" s="1" t="s">
        <v>5</v>
      </c>
      <c r="C545" s="2">
        <f>IFERROR(__xludf.DUMMYFUNCTION("IFERROR(VLOOKUP(A545, IMPORTRANGE(""https://docs.google.com/spreadsheets/d/1AVX9GT0dgogEBStecCXMMQ29tWz3gBrtNB8yIromXbY/edit?gid=741673867"", ""out1g!A:B""), 2, FALSE), 0)"),760.0)</f>
        <v>760</v>
      </c>
      <c r="D545" s="2" t="str">
        <f>IFERROR(__xludf.DUMMYFUNCTION("IFERROR(VLOOKUP(A545, IMPORTRANGE(""https://docs.google.com/spreadsheets/d/1-3Vjw2Cyy-mry5gbC8ypIR3YVGFfEpyFESummAta6sg/edit"", ""Sheet1!B:D""), 2, FALSE), ""Not Found"")"),"gɪlt")</f>
        <v>gɪlt</v>
      </c>
      <c r="E545" s="2" t="str">
        <f>IFERROR(__xludf.DUMMYFUNCTION("IFERROR(VLOOKUP(A545, IMPORTRANGE(""https://docs.google.com/spreadsheets/d/1-3Vjw2Cyy-mry5gbC8ypIR3YVGFfEpyFESummAta6sg/edit"", ""Sheet1!B:D""), 3, FALSE), ""Not Found"")"),"g ɪ l t ")</f>
        <v>g ɪ l t </v>
      </c>
    </row>
    <row r="546">
      <c r="A546" s="1" t="s">
        <v>549</v>
      </c>
      <c r="B546" s="1" t="s">
        <v>5</v>
      </c>
      <c r="C546" s="2">
        <f>IFERROR(__xludf.DUMMYFUNCTION("IFERROR(VLOOKUP(A546, IMPORTRANGE(""https://docs.google.com/spreadsheets/d/1AVX9GT0dgogEBStecCXMMQ29tWz3gBrtNB8yIromXbY/edit?gid=741673867"", ""out1g!A:B""), 2, FALSE), 0)"),195.0)</f>
        <v>195</v>
      </c>
      <c r="D546" s="2" t="str">
        <f>IFERROR(__xludf.DUMMYFUNCTION("IFERROR(VLOOKUP(A546, IMPORTRANGE(""https://docs.google.com/spreadsheets/d/1-3Vjw2Cyy-mry5gbC8ypIR3YVGFfEpyFESummAta6sg/edit"", ""Sheet1!B:D""), 2, FALSE), ""Not Found"")"),"nil")</f>
        <v>nil</v>
      </c>
      <c r="E546" s="2" t="str">
        <f>IFERROR(__xludf.DUMMYFUNCTION("IFERROR(VLOOKUP(A546, IMPORTRANGE(""https://docs.google.com/spreadsheets/d/1-3Vjw2Cyy-mry5gbC8ypIR3YVGFfEpyFESummAta6sg/edit"", ""Sheet1!B:D""), 3, FALSE), ""Not Found"")"),"n i l ")</f>
        <v>n i l </v>
      </c>
    </row>
    <row r="547">
      <c r="A547" s="1" t="s">
        <v>550</v>
      </c>
      <c r="B547" s="1" t="s">
        <v>5</v>
      </c>
      <c r="C547" s="2">
        <f>IFERROR(__xludf.DUMMYFUNCTION("IFERROR(VLOOKUP(A547, IMPORTRANGE(""https://docs.google.com/spreadsheets/d/1AVX9GT0dgogEBStecCXMMQ29tWz3gBrtNB8yIromXbY/edit?gid=741673867"", ""out1g!A:B""), 2, FALSE), 0)"),116.0)</f>
        <v>116</v>
      </c>
      <c r="D547" s="2" t="str">
        <f>IFERROR(__xludf.DUMMYFUNCTION("IFERROR(VLOOKUP(A547, IMPORTRANGE(""https://docs.google.com/spreadsheets/d/1-3Vjw2Cyy-mry5gbC8ypIR3YVGFfEpyFESummAta6sg/edit"", ""Sheet1!B:D""), 2, FALSE), ""Not Found"")"),"mɔθ")</f>
        <v>mɔθ</v>
      </c>
      <c r="E547" s="2" t="str">
        <f>IFERROR(__xludf.DUMMYFUNCTION("IFERROR(VLOOKUP(A547, IMPORTRANGE(""https://docs.google.com/spreadsheets/d/1-3Vjw2Cyy-mry5gbC8ypIR3YVGFfEpyFESummAta6sg/edit"", ""Sheet1!B:D""), 3, FALSE), ""Not Found"")"),"m ɔ θ ")</f>
        <v>m ɔ θ </v>
      </c>
    </row>
    <row r="548">
      <c r="A548" s="1" t="s">
        <v>551</v>
      </c>
      <c r="B548" s="1" t="s">
        <v>5</v>
      </c>
      <c r="C548" s="2">
        <f>IFERROR(__xludf.DUMMYFUNCTION("IFERROR(VLOOKUP(A548, IMPORTRANGE(""https://docs.google.com/spreadsheets/d/1AVX9GT0dgogEBStecCXMMQ29tWz3gBrtNB8yIromXbY/edit?gid=741673867"", ""out1g!A:B""), 2, FALSE), 0)"),136.0)</f>
        <v>136</v>
      </c>
      <c r="D548" s="2" t="str">
        <f>IFERROR(__xludf.DUMMYFUNCTION("IFERROR(VLOOKUP(A548, IMPORTRANGE(""https://docs.google.com/spreadsheets/d/1-3Vjw2Cyy-mry5gbC8ypIR3YVGFfEpyFESummAta6sg/edit"", ""Sheet1!B:D""), 2, FALSE), ""Not Found"")"),"fe")</f>
        <v>fe</v>
      </c>
      <c r="E548" s="2" t="str">
        <f>IFERROR(__xludf.DUMMYFUNCTION("IFERROR(VLOOKUP(A548, IMPORTRANGE(""https://docs.google.com/spreadsheets/d/1-3Vjw2Cyy-mry5gbC8ypIR3YVGFfEpyFESummAta6sg/edit"", ""Sheet1!B:D""), 3, FALSE), ""Not Found"")"),"f e ")</f>
        <v>f e </v>
      </c>
    </row>
    <row r="549">
      <c r="A549" s="1" t="s">
        <v>552</v>
      </c>
      <c r="B549" s="1" t="s">
        <v>5</v>
      </c>
      <c r="C549" s="2">
        <f>IFERROR(__xludf.DUMMYFUNCTION("IFERROR(VLOOKUP(A549, IMPORTRANGE(""https://docs.google.com/spreadsheets/d/1AVX9GT0dgogEBStecCXMMQ29tWz3gBrtNB8yIromXbY/edit?gid=741673867"", ""out1g!A:B""), 2, FALSE), 0)"),53.0)</f>
        <v>53</v>
      </c>
      <c r="D549" s="2" t="str">
        <f>IFERROR(__xludf.DUMMYFUNCTION("IFERROR(VLOOKUP(A549, IMPORTRANGE(""https://docs.google.com/spreadsheets/d/1-3Vjw2Cyy-mry5gbC8ypIR3YVGFfEpyFESummAta6sg/edit"", ""Sheet1!B:D""), 2, FALSE), ""Not Found"")"),"pɑrd")</f>
        <v>pɑrd</v>
      </c>
      <c r="E549" s="2" t="str">
        <f>IFERROR(__xludf.DUMMYFUNCTION("IFERROR(VLOOKUP(A549, IMPORTRANGE(""https://docs.google.com/spreadsheets/d/1-3Vjw2Cyy-mry5gbC8ypIR3YVGFfEpyFESummAta6sg/edit"", ""Sheet1!B:D""), 3, FALSE), ""Not Found"")"),"p ɑ r d ")</f>
        <v>p ɑ r d </v>
      </c>
    </row>
    <row r="550">
      <c r="A550" s="1" t="s">
        <v>553</v>
      </c>
      <c r="B550" s="1" t="s">
        <v>5</v>
      </c>
      <c r="C550" s="2">
        <f>IFERROR(__xludf.DUMMYFUNCTION("IFERROR(VLOOKUP(A550, IMPORTRANGE(""https://docs.google.com/spreadsheets/d/1AVX9GT0dgogEBStecCXMMQ29tWz3gBrtNB8yIromXbY/edit?gid=741673867"", ""out1g!A:B""), 2, FALSE), 0)"),225.0)</f>
        <v>225</v>
      </c>
      <c r="D550" s="2" t="str">
        <f>IFERROR(__xludf.DUMMYFUNCTION("IFERROR(VLOOKUP(A550, IMPORTRANGE(""https://docs.google.com/spreadsheets/d/1-3Vjw2Cyy-mry5gbC8ypIR3YVGFfEpyFESummAta6sg/edit"", ""Sheet1!B:D""), 2, FALSE), ""Not Found"")"),"raɪm")</f>
        <v>raɪm</v>
      </c>
      <c r="E550" s="2" t="str">
        <f>IFERROR(__xludf.DUMMYFUNCTION("IFERROR(VLOOKUP(A550, IMPORTRANGE(""https://docs.google.com/spreadsheets/d/1-3Vjw2Cyy-mry5gbC8ypIR3YVGFfEpyFESummAta6sg/edit"", ""Sheet1!B:D""), 3, FALSE), ""Not Found"")"),"r a ɪ m ")</f>
        <v>r a ɪ m </v>
      </c>
    </row>
    <row r="551">
      <c r="A551" s="1" t="s">
        <v>554</v>
      </c>
      <c r="B551" s="1" t="s">
        <v>5</v>
      </c>
      <c r="C551" s="2">
        <f>IFERROR(__xludf.DUMMYFUNCTION("IFERROR(VLOOKUP(A551, IMPORTRANGE(""https://docs.google.com/spreadsheets/d/1AVX9GT0dgogEBStecCXMMQ29tWz3gBrtNB8yIromXbY/edit?gid=741673867"", ""out1g!A:B""), 2, FALSE), 0)"),76.0)</f>
        <v>76</v>
      </c>
      <c r="D551" s="2" t="str">
        <f>IFERROR(__xludf.DUMMYFUNCTION("IFERROR(VLOOKUP(A551, IMPORTRANGE(""https://docs.google.com/spreadsheets/d/1-3Vjw2Cyy-mry5gbC8ypIR3YVGFfEpyFESummAta6sg/edit"", ""Sheet1!B:D""), 2, FALSE), ""Not Found"")"),"təm")</f>
        <v>təm</v>
      </c>
      <c r="E551" s="2" t="str">
        <f>IFERROR(__xludf.DUMMYFUNCTION("IFERROR(VLOOKUP(A551, IMPORTRANGE(""https://docs.google.com/spreadsheets/d/1-3Vjw2Cyy-mry5gbC8ypIR3YVGFfEpyFESummAta6sg/edit"", ""Sheet1!B:D""), 3, FALSE), ""Not Found"")"),"t ə m ")</f>
        <v>t ə m </v>
      </c>
    </row>
    <row r="552">
      <c r="A552" s="1" t="s">
        <v>555</v>
      </c>
      <c r="B552" s="1" t="s">
        <v>5</v>
      </c>
      <c r="C552" s="2">
        <f>IFERROR(__xludf.DUMMYFUNCTION("IFERROR(VLOOKUP(A552, IMPORTRANGE(""https://docs.google.com/spreadsheets/d/1AVX9GT0dgogEBStecCXMMQ29tWz3gBrtNB8yIromXbY/edit?gid=741673867"", ""out1g!A:B""), 2, FALSE), 0)"),55.0)</f>
        <v>55</v>
      </c>
      <c r="D552" s="2" t="str">
        <f>IFERROR(__xludf.DUMMYFUNCTION("IFERROR(VLOOKUP(A552, IMPORTRANGE(""https://docs.google.com/spreadsheets/d/1-3Vjw2Cyy-mry5gbC8ypIR3YVGFfEpyFESummAta6sg/edit"", ""Sheet1!B:D""), 2, FALSE), ""Not Found"")"),"blænd")</f>
        <v>blænd</v>
      </c>
      <c r="E552" s="2" t="str">
        <f>IFERROR(__xludf.DUMMYFUNCTION("IFERROR(VLOOKUP(A552, IMPORTRANGE(""https://docs.google.com/spreadsheets/d/1-3Vjw2Cyy-mry5gbC8ypIR3YVGFfEpyFESummAta6sg/edit"", ""Sheet1!B:D""), 3, FALSE), ""Not Found"")"),"b l æ n d ")</f>
        <v>b l æ n d </v>
      </c>
    </row>
    <row r="553">
      <c r="A553" s="1" t="s">
        <v>556</v>
      </c>
      <c r="B553" s="1" t="s">
        <v>5</v>
      </c>
      <c r="C553" s="2">
        <f>IFERROR(__xludf.DUMMYFUNCTION("IFERROR(VLOOKUP(A553, IMPORTRANGE(""https://docs.google.com/spreadsheets/d/1AVX9GT0dgogEBStecCXMMQ29tWz3gBrtNB8yIromXbY/edit?gid=741673867"", ""out1g!A:B""), 2, FALSE), 0)"),139.0)</f>
        <v>139</v>
      </c>
      <c r="D553" s="2" t="str">
        <f>IFERROR(__xludf.DUMMYFUNCTION("IFERROR(VLOOKUP(A553, IMPORTRANGE(""https://docs.google.com/spreadsheets/d/1-3Vjw2Cyy-mry5gbC8ypIR3YVGFfEpyFESummAta6sg/edit"", ""Sheet1!B:D""), 2, FALSE), ""Not Found"")"),"tɔsɪŋ")</f>
        <v>tɔsɪŋ</v>
      </c>
      <c r="E553" s="2" t="str">
        <f>IFERROR(__xludf.DUMMYFUNCTION("IFERROR(VLOOKUP(A553, IMPORTRANGE(""https://docs.google.com/spreadsheets/d/1-3Vjw2Cyy-mry5gbC8ypIR3YVGFfEpyFESummAta6sg/edit"", ""Sheet1!B:D""), 3, FALSE), ""Not Found"")"),"t ɔ s ɪ ŋ ")</f>
        <v>t ɔ s ɪ ŋ </v>
      </c>
    </row>
    <row r="554">
      <c r="A554" s="1" t="s">
        <v>557</v>
      </c>
      <c r="B554" s="1" t="s">
        <v>5</v>
      </c>
      <c r="C554" s="2">
        <f>IFERROR(__xludf.DUMMYFUNCTION("IFERROR(VLOOKUP(A554, IMPORTRANGE(""https://docs.google.com/spreadsheets/d/1AVX9GT0dgogEBStecCXMMQ29tWz3gBrtNB8yIromXbY/edit?gid=741673867"", ""out1g!A:B""), 2, FALSE), 0)"),57.0)</f>
        <v>57</v>
      </c>
      <c r="D554" s="2" t="str">
        <f>IFERROR(__xludf.DUMMYFUNCTION("IFERROR(VLOOKUP(A554, IMPORTRANGE(""https://docs.google.com/spreadsheets/d/1-3Vjw2Cyy-mry5gbC8ypIR3YVGFfEpyFESummAta6sg/edit"", ""Sheet1!B:D""), 2, FALSE), ""Not Found"")"),"məgɪŋ")</f>
        <v>məgɪŋ</v>
      </c>
      <c r="E554" s="2" t="str">
        <f>IFERROR(__xludf.DUMMYFUNCTION("IFERROR(VLOOKUP(A554, IMPORTRANGE(""https://docs.google.com/spreadsheets/d/1-3Vjw2Cyy-mry5gbC8ypIR3YVGFfEpyFESummAta6sg/edit"", ""Sheet1!B:D""), 3, FALSE), ""Not Found"")"),"m ə g ɪ ŋ ")</f>
        <v>m ə g ɪ ŋ </v>
      </c>
    </row>
    <row r="555">
      <c r="A555" s="1" t="s">
        <v>558</v>
      </c>
      <c r="B555" s="1" t="s">
        <v>5</v>
      </c>
      <c r="C555" s="2">
        <f>IFERROR(__xludf.DUMMYFUNCTION("IFERROR(VLOOKUP(A555, IMPORTRANGE(""https://docs.google.com/spreadsheets/d/1AVX9GT0dgogEBStecCXMMQ29tWz3gBrtNB8yIromXbY/edit?gid=741673867"", ""out1g!A:B""), 2, FALSE), 0)"),48.0)</f>
        <v>48</v>
      </c>
      <c r="D555" s="2" t="str">
        <f>IFERROR(__xludf.DUMMYFUNCTION("IFERROR(VLOOKUP(A555, IMPORTRANGE(""https://docs.google.com/spreadsheets/d/1-3Vjw2Cyy-mry5gbC8ypIR3YVGFfEpyFESummAta6sg/edit"", ""Sheet1!B:D""), 2, FALSE), ""Not Found"")"),"rɪlaɪd")</f>
        <v>rɪlaɪd</v>
      </c>
      <c r="E555" s="2" t="str">
        <f>IFERROR(__xludf.DUMMYFUNCTION("IFERROR(VLOOKUP(A555, IMPORTRANGE(""https://docs.google.com/spreadsheets/d/1-3Vjw2Cyy-mry5gbC8ypIR3YVGFfEpyFESummAta6sg/edit"", ""Sheet1!B:D""), 3, FALSE), ""Not Found"")"),"r ɪ l a ɪ d ")</f>
        <v>r ɪ l a ɪ d </v>
      </c>
    </row>
    <row r="556">
      <c r="A556" s="1" t="s">
        <v>559</v>
      </c>
      <c r="B556" s="1" t="s">
        <v>5</v>
      </c>
      <c r="C556" s="2">
        <f>IFERROR(__xludf.DUMMYFUNCTION("IFERROR(VLOOKUP(A556, IMPORTRANGE(""https://docs.google.com/spreadsheets/d/1AVX9GT0dgogEBStecCXMMQ29tWz3gBrtNB8yIromXbY/edit?gid=741673867"", ""out1g!A:B""), 2, FALSE), 0)"),216.0)</f>
        <v>216</v>
      </c>
      <c r="D556" s="2" t="str">
        <f>IFERROR(__xludf.DUMMYFUNCTION("IFERROR(VLOOKUP(A556, IMPORTRANGE(""https://docs.google.com/spreadsheets/d/1-3Vjw2Cyy-mry5gbC8ypIR3YVGFfEpyFESummAta6sg/edit"", ""Sheet1!B:D""), 2, FALSE), ""Not Found"")"),"sniki")</f>
        <v>sniki</v>
      </c>
      <c r="E556" s="2" t="str">
        <f>IFERROR(__xludf.DUMMYFUNCTION("IFERROR(VLOOKUP(A556, IMPORTRANGE(""https://docs.google.com/spreadsheets/d/1-3Vjw2Cyy-mry5gbC8ypIR3YVGFfEpyFESummAta6sg/edit"", ""Sheet1!B:D""), 3, FALSE), ""Not Found"")"),"s n i k i ")</f>
        <v>s n i k i </v>
      </c>
    </row>
    <row r="557">
      <c r="A557" s="1" t="s">
        <v>560</v>
      </c>
      <c r="B557" s="1" t="s">
        <v>5</v>
      </c>
      <c r="C557" s="2">
        <f>IFERROR(__xludf.DUMMYFUNCTION("IFERROR(VLOOKUP(A557, IMPORTRANGE(""https://docs.google.com/spreadsheets/d/1AVX9GT0dgogEBStecCXMMQ29tWz3gBrtNB8yIromXbY/edit?gid=741673867"", ""out1g!A:B""), 2, FALSE), 0)"),202.0)</f>
        <v>202</v>
      </c>
      <c r="D557" s="2" t="str">
        <f>IFERROR(__xludf.DUMMYFUNCTION("IFERROR(VLOOKUP(A557, IMPORTRANGE(""https://docs.google.com/spreadsheets/d/1-3Vjw2Cyy-mry5gbC8ypIR3YVGFfEpyFESummAta6sg/edit"", ""Sheet1!B:D""), 2, FALSE), ""Not Found"")"),"əpis")</f>
        <v>əpis</v>
      </c>
      <c r="E557" s="2" t="str">
        <f>IFERROR(__xludf.DUMMYFUNCTION("IFERROR(VLOOKUP(A557, IMPORTRANGE(""https://docs.google.com/spreadsheets/d/1-3Vjw2Cyy-mry5gbC8ypIR3YVGFfEpyFESummAta6sg/edit"", ""Sheet1!B:D""), 3, FALSE), ""Not Found"")"),"ə p i s ")</f>
        <v>ə p i s </v>
      </c>
    </row>
    <row r="558">
      <c r="A558" s="1" t="s">
        <v>561</v>
      </c>
      <c r="B558" s="1" t="s">
        <v>5</v>
      </c>
      <c r="C558" s="2">
        <f>IFERROR(__xludf.DUMMYFUNCTION("IFERROR(VLOOKUP(A558, IMPORTRANGE(""https://docs.google.com/spreadsheets/d/1AVX9GT0dgogEBStecCXMMQ29tWz3gBrtNB8yIromXbY/edit?gid=741673867"", ""out1g!A:B""), 2, FALSE), 0)"),496.0)</f>
        <v>496</v>
      </c>
      <c r="D558" s="2" t="str">
        <f>IFERROR(__xludf.DUMMYFUNCTION("IFERROR(VLOOKUP(A558, IMPORTRANGE(""https://docs.google.com/spreadsheets/d/1-3Vjw2Cyy-mry5gbC8ypIR3YVGFfEpyFESummAta6sg/edit"", ""Sheet1!B:D""), 2, FALSE), ""Not Found"")"),"bɔld")</f>
        <v>bɔld</v>
      </c>
      <c r="E558" s="2" t="str">
        <f>IFERROR(__xludf.DUMMYFUNCTION("IFERROR(VLOOKUP(A558, IMPORTRANGE(""https://docs.google.com/spreadsheets/d/1-3Vjw2Cyy-mry5gbC8ypIR3YVGFfEpyFESummAta6sg/edit"", ""Sheet1!B:D""), 3, FALSE), ""Not Found"")"),"b ɔ l d ")</f>
        <v>b ɔ l d </v>
      </c>
    </row>
    <row r="559">
      <c r="A559" s="1" t="s">
        <v>562</v>
      </c>
      <c r="B559" s="1" t="s">
        <v>5</v>
      </c>
      <c r="C559" s="2">
        <f>IFERROR(__xludf.DUMMYFUNCTION("IFERROR(VLOOKUP(A559, IMPORTRANGE(""https://docs.google.com/spreadsheets/d/1AVX9GT0dgogEBStecCXMMQ29tWz3gBrtNB8yIromXbY/edit?gid=741673867"", ""out1g!A:B""), 2, FALSE), 0)"),4976.0)</f>
        <v>4976</v>
      </c>
      <c r="D559" s="2" t="str">
        <f>IFERROR(__xludf.DUMMYFUNCTION("IFERROR(VLOOKUP(A559, IMPORTRANGE(""https://docs.google.com/spreadsheets/d/1-3Vjw2Cyy-mry5gbC8ypIR3YVGFfEpyFESummAta6sg/edit"", ""Sheet1!B:D""), 2, FALSE), ""Not Found"")"),"bloʊ")</f>
        <v>bloʊ</v>
      </c>
      <c r="E559" s="2" t="str">
        <f>IFERROR(__xludf.DUMMYFUNCTION("IFERROR(VLOOKUP(A559, IMPORTRANGE(""https://docs.google.com/spreadsheets/d/1-3Vjw2Cyy-mry5gbC8ypIR3YVGFfEpyFESummAta6sg/edit"", ""Sheet1!B:D""), 3, FALSE), ""Not Found"")"),"b l o ʊ ")</f>
        <v>b l o ʊ </v>
      </c>
    </row>
    <row r="560">
      <c r="A560" s="1" t="s">
        <v>563</v>
      </c>
      <c r="B560" s="1" t="s">
        <v>5</v>
      </c>
      <c r="C560" s="2">
        <f>IFERROR(__xludf.DUMMYFUNCTION("IFERROR(VLOOKUP(A560, IMPORTRANGE(""https://docs.google.com/spreadsheets/d/1AVX9GT0dgogEBStecCXMMQ29tWz3gBrtNB8yIromXbY/edit?gid=741673867"", ""out1g!A:B""), 2, FALSE), 0)"),53.0)</f>
        <v>53</v>
      </c>
      <c r="D560" s="2" t="str">
        <f>IFERROR(__xludf.DUMMYFUNCTION("IFERROR(VLOOKUP(A560, IMPORTRANGE(""https://docs.google.com/spreadsheets/d/1-3Vjw2Cyy-mry5gbC8ypIR3YVGFfEpyFESummAta6sg/edit"", ""Sheet1!B:D""), 2, FALSE), ""Not Found"")"),"piwi")</f>
        <v>piwi</v>
      </c>
      <c r="E560" s="2" t="str">
        <f>IFERROR(__xludf.DUMMYFUNCTION("IFERROR(VLOOKUP(A560, IMPORTRANGE(""https://docs.google.com/spreadsheets/d/1-3Vjw2Cyy-mry5gbC8ypIR3YVGFfEpyFESummAta6sg/edit"", ""Sheet1!B:D""), 3, FALSE), ""Not Found"")"),"p i w i ")</f>
        <v>p i w i </v>
      </c>
    </row>
    <row r="561">
      <c r="A561" s="1" t="s">
        <v>564</v>
      </c>
      <c r="B561" s="1" t="s">
        <v>5</v>
      </c>
      <c r="C561" s="2">
        <f>IFERROR(__xludf.DUMMYFUNCTION("IFERROR(VLOOKUP(A561, IMPORTRANGE(""https://docs.google.com/spreadsheets/d/1AVX9GT0dgogEBStecCXMMQ29tWz3gBrtNB8yIromXbY/edit?gid=741673867"", ""out1g!A:B""), 2, FALSE), 0)"),413.0)</f>
        <v>413</v>
      </c>
      <c r="D561" s="2" t="str">
        <f>IFERROR(__xludf.DUMMYFUNCTION("IFERROR(VLOOKUP(A561, IMPORTRANGE(""https://docs.google.com/spreadsheets/d/1-3Vjw2Cyy-mry5gbC8ypIR3YVGFfEpyFESummAta6sg/edit"", ""Sheet1!B:D""), 2, FALSE), ""Not Found"")"),"ski")</f>
        <v>ski</v>
      </c>
      <c r="E561" s="2" t="str">
        <f>IFERROR(__xludf.DUMMYFUNCTION("IFERROR(VLOOKUP(A561, IMPORTRANGE(""https://docs.google.com/spreadsheets/d/1-3Vjw2Cyy-mry5gbC8ypIR3YVGFfEpyFESummAta6sg/edit"", ""Sheet1!B:D""), 3, FALSE), ""Not Found"")"),"s k i ")</f>
        <v>s k i </v>
      </c>
    </row>
    <row r="562">
      <c r="A562" s="1" t="s">
        <v>565</v>
      </c>
      <c r="B562" s="1" t="s">
        <v>5</v>
      </c>
      <c r="C562" s="2">
        <f>IFERROR(__xludf.DUMMYFUNCTION("IFERROR(VLOOKUP(A562, IMPORTRANGE(""https://docs.google.com/spreadsheets/d/1AVX9GT0dgogEBStecCXMMQ29tWz3gBrtNB8yIromXbY/edit?gid=741673867"", ""out1g!A:B""), 2, FALSE), 0)"),106.0)</f>
        <v>106</v>
      </c>
      <c r="D562" s="2" t="str">
        <f>IFERROR(__xludf.DUMMYFUNCTION("IFERROR(VLOOKUP(A562, IMPORTRANGE(""https://docs.google.com/spreadsheets/d/1-3Vjw2Cyy-mry5gbC8ypIR3YVGFfEpyFESummAta6sg/edit"", ""Sheet1!B:D""), 2, FALSE), ""Not Found"")"),"saɪɪŋ")</f>
        <v>saɪɪŋ</v>
      </c>
      <c r="E562" s="2" t="str">
        <f>IFERROR(__xludf.DUMMYFUNCTION("IFERROR(VLOOKUP(A562, IMPORTRANGE(""https://docs.google.com/spreadsheets/d/1-3Vjw2Cyy-mry5gbC8ypIR3YVGFfEpyFESummAta6sg/edit"", ""Sheet1!B:D""), 3, FALSE), ""Not Found"")"),"s a ɪ ɪ ŋ ")</f>
        <v>s a ɪ ɪ ŋ </v>
      </c>
    </row>
    <row r="563">
      <c r="A563" s="1" t="s">
        <v>566</v>
      </c>
      <c r="B563" s="1" t="s">
        <v>5</v>
      </c>
      <c r="C563" s="2">
        <f>IFERROR(__xludf.DUMMYFUNCTION("IFERROR(VLOOKUP(A563, IMPORTRANGE(""https://docs.google.com/spreadsheets/d/1AVX9GT0dgogEBStecCXMMQ29tWz3gBrtNB8yIromXbY/edit?gid=741673867"", ""out1g!A:B""), 2, FALSE), 0)"),44.0)</f>
        <v>44</v>
      </c>
      <c r="D563" s="2" t="str">
        <f>IFERROR(__xludf.DUMMYFUNCTION("IFERROR(VLOOKUP(A563, IMPORTRANGE(""https://docs.google.com/spreadsheets/d/1-3Vjw2Cyy-mry5gbC8ypIR3YVGFfEpyFESummAta6sg/edit"", ""Sheet1!B:D""), 2, FALSE), ""Not Found"")"),"ʤɛmz")</f>
        <v>ʤɛmz</v>
      </c>
      <c r="E563" s="2" t="str">
        <f>IFERROR(__xludf.DUMMYFUNCTION("IFERROR(VLOOKUP(A563, IMPORTRANGE(""https://docs.google.com/spreadsheets/d/1-3Vjw2Cyy-mry5gbC8ypIR3YVGFfEpyFESummAta6sg/edit"", ""Sheet1!B:D""), 3, FALSE), ""Not Found"")"),"ʤ ɛ m z ")</f>
        <v>ʤ ɛ m z </v>
      </c>
    </row>
    <row r="564">
      <c r="A564" s="1" t="s">
        <v>567</v>
      </c>
      <c r="B564" s="1" t="s">
        <v>5</v>
      </c>
      <c r="C564" s="2">
        <f>IFERROR(__xludf.DUMMYFUNCTION("IFERROR(VLOOKUP(A564, IMPORTRANGE(""https://docs.google.com/spreadsheets/d/1AVX9GT0dgogEBStecCXMMQ29tWz3gBrtNB8yIromXbY/edit?gid=741673867"", ""out1g!A:B""), 2, FALSE), 0)"),370.0)</f>
        <v>370</v>
      </c>
      <c r="D564" s="2" t="str">
        <f>IFERROR(__xludf.DUMMYFUNCTION("IFERROR(VLOOKUP(A564, IMPORTRANGE(""https://docs.google.com/spreadsheets/d/1-3Vjw2Cyy-mry5gbC8ypIR3YVGFfEpyFESummAta6sg/edit"", ""Sheet1!B:D""), 2, FALSE), ""Not Found"")"),"fæktər")</f>
        <v>fæktər</v>
      </c>
      <c r="E564" s="2" t="str">
        <f>IFERROR(__xludf.DUMMYFUNCTION("IFERROR(VLOOKUP(A564, IMPORTRANGE(""https://docs.google.com/spreadsheets/d/1-3Vjw2Cyy-mry5gbC8ypIR3YVGFfEpyFESummAta6sg/edit"", ""Sheet1!B:D""), 3, FALSE), ""Not Found"")"),"f æ k t ə r ")</f>
        <v>f æ k t ə r </v>
      </c>
    </row>
    <row r="565">
      <c r="A565" s="1" t="s">
        <v>568</v>
      </c>
      <c r="B565" s="1" t="s">
        <v>5</v>
      </c>
      <c r="C565" s="2">
        <f>IFERROR(__xludf.DUMMYFUNCTION("IFERROR(VLOOKUP(A565, IMPORTRANGE(""https://docs.google.com/spreadsheets/d/1AVX9GT0dgogEBStecCXMMQ29tWz3gBrtNB8yIromXbY/edit?gid=741673867"", ""out1g!A:B""), 2, FALSE), 0)"),2729.0)</f>
        <v>2729</v>
      </c>
      <c r="D565" s="2" t="str">
        <f>IFERROR(__xludf.DUMMYFUNCTION("IFERROR(VLOOKUP(A565, IMPORTRANGE(""https://docs.google.com/spreadsheets/d/1-3Vjw2Cyy-mry5gbC8ypIR3YVGFfEpyFESummAta6sg/edit"", ""Sheet1!B:D""), 2, FALSE), ""Not Found"")"),"nəts")</f>
        <v>nəts</v>
      </c>
      <c r="E565" s="2" t="str">
        <f>IFERROR(__xludf.DUMMYFUNCTION("IFERROR(VLOOKUP(A565, IMPORTRANGE(""https://docs.google.com/spreadsheets/d/1-3Vjw2Cyy-mry5gbC8ypIR3YVGFfEpyFESummAta6sg/edit"", ""Sheet1!B:D""), 3, FALSE), ""Not Found"")"),"n ə t s ")</f>
        <v>n ə t s </v>
      </c>
    </row>
    <row r="566">
      <c r="A566" s="1" t="s">
        <v>569</v>
      </c>
      <c r="B566" s="1" t="s">
        <v>5</v>
      </c>
      <c r="C566" s="2">
        <f>IFERROR(__xludf.DUMMYFUNCTION("IFERROR(VLOOKUP(A566, IMPORTRANGE(""https://docs.google.com/spreadsheets/d/1AVX9GT0dgogEBStecCXMMQ29tWz3gBrtNB8yIromXbY/edit?gid=741673867"", ""out1g!A:B""), 2, FALSE), 0)"),14747.0)</f>
        <v>14747</v>
      </c>
      <c r="D566" s="2" t="str">
        <f>IFERROR(__xludf.DUMMYFUNCTION("IFERROR(VLOOKUP(A566, IMPORTRANGE(""https://docs.google.com/spreadsheets/d/1-3Vjw2Cyy-mry5gbC8ypIR3YVGFfEpyFESummAta6sg/edit"", ""Sheet1!B:D""), 2, FALSE), ""Not Found"")"),"fes")</f>
        <v>fes</v>
      </c>
      <c r="E566" s="2" t="str">
        <f>IFERROR(__xludf.DUMMYFUNCTION("IFERROR(VLOOKUP(A566, IMPORTRANGE(""https://docs.google.com/spreadsheets/d/1-3Vjw2Cyy-mry5gbC8ypIR3YVGFfEpyFESummAta6sg/edit"", ""Sheet1!B:D""), 3, FALSE), ""Not Found"")"),"f e s ")</f>
        <v>f e s </v>
      </c>
    </row>
    <row r="567">
      <c r="A567" s="1" t="s">
        <v>570</v>
      </c>
      <c r="B567" s="1" t="s">
        <v>5</v>
      </c>
      <c r="C567" s="2">
        <f>IFERROR(__xludf.DUMMYFUNCTION("IFERROR(VLOOKUP(A567, IMPORTRANGE(""https://docs.google.com/spreadsheets/d/1AVX9GT0dgogEBStecCXMMQ29tWz3gBrtNB8yIromXbY/edit?gid=741673867"", ""out1g!A:B""), 2, FALSE), 0)"),568.0)</f>
        <v>568</v>
      </c>
      <c r="D567" s="2" t="str">
        <f>IFERROR(__xludf.DUMMYFUNCTION("IFERROR(VLOOKUP(A567, IMPORTRANGE(""https://docs.google.com/spreadsheets/d/1-3Vjw2Cyy-mry5gbC8ypIR3YVGFfEpyFESummAta6sg/edit"", ""Sheet1!B:D""), 2, FALSE), ""Not Found"")"),"kripi")</f>
        <v>kripi</v>
      </c>
      <c r="E567" s="2" t="str">
        <f>IFERROR(__xludf.DUMMYFUNCTION("IFERROR(VLOOKUP(A567, IMPORTRANGE(""https://docs.google.com/spreadsheets/d/1-3Vjw2Cyy-mry5gbC8ypIR3YVGFfEpyFESummAta6sg/edit"", ""Sheet1!B:D""), 3, FALSE), ""Not Found"")"),"k r i p i ")</f>
        <v>k r i p i </v>
      </c>
    </row>
    <row r="568">
      <c r="A568" s="1" t="s">
        <v>571</v>
      </c>
      <c r="B568" s="1" t="s">
        <v>5</v>
      </c>
      <c r="C568" s="2">
        <f>IFERROR(__xludf.DUMMYFUNCTION("IFERROR(VLOOKUP(A568, IMPORTRANGE(""https://docs.google.com/spreadsheets/d/1AVX9GT0dgogEBStecCXMMQ29tWz3gBrtNB8yIromXbY/edit?gid=741673867"", ""out1g!A:B""), 2, FALSE), 0)"),4393.0)</f>
        <v>4393</v>
      </c>
      <c r="D568" s="2" t="str">
        <f>IFERROR(__xludf.DUMMYFUNCTION("IFERROR(VLOOKUP(A568, IMPORTRANGE(""https://docs.google.com/spreadsheets/d/1-3Vjw2Cyy-mry5gbC8ypIR3YVGFfEpyFESummAta6sg/edit"", ""Sheet1!B:D""), 2, FALSE), ""Not Found"")"),"kɑp")</f>
        <v>kɑp</v>
      </c>
      <c r="E568" s="2" t="str">
        <f>IFERROR(__xludf.DUMMYFUNCTION("IFERROR(VLOOKUP(A568, IMPORTRANGE(""https://docs.google.com/spreadsheets/d/1-3Vjw2Cyy-mry5gbC8ypIR3YVGFfEpyFESummAta6sg/edit"", ""Sheet1!B:D""), 3, FALSE), ""Not Found"")"),"k ɑ p ")</f>
        <v>k ɑ p </v>
      </c>
    </row>
    <row r="569">
      <c r="A569" s="1" t="s">
        <v>572</v>
      </c>
      <c r="B569" s="1" t="s">
        <v>5</v>
      </c>
      <c r="C569" s="2">
        <f>IFERROR(__xludf.DUMMYFUNCTION("IFERROR(VLOOKUP(A569, IMPORTRANGE(""https://docs.google.com/spreadsheets/d/1AVX9GT0dgogEBStecCXMMQ29tWz3gBrtNB8yIromXbY/edit?gid=741673867"", ""out1g!A:B""), 2, FALSE), 0)"),133.0)</f>
        <v>133</v>
      </c>
      <c r="D569" s="2" t="str">
        <f>IFERROR(__xludf.DUMMYFUNCTION("IFERROR(VLOOKUP(A569, IMPORTRANGE(""https://docs.google.com/spreadsheets/d/1-3Vjw2Cyy-mry5gbC8ypIR3YVGFfEpyFESummAta6sg/edit"", ""Sheet1!B:D""), 2, FALSE), ""Not Found"")"),"groʊvər")</f>
        <v>groʊvər</v>
      </c>
      <c r="E569" s="2" t="str">
        <f>IFERROR(__xludf.DUMMYFUNCTION("IFERROR(VLOOKUP(A569, IMPORTRANGE(""https://docs.google.com/spreadsheets/d/1-3Vjw2Cyy-mry5gbC8ypIR3YVGFfEpyFESummAta6sg/edit"", ""Sheet1!B:D""), 3, FALSE), ""Not Found"")"),"g r o ʊ v ə r ")</f>
        <v>g r o ʊ v ə r </v>
      </c>
    </row>
    <row r="570">
      <c r="A570" s="1" t="s">
        <v>573</v>
      </c>
      <c r="B570" s="1" t="s">
        <v>5</v>
      </c>
      <c r="C570" s="2">
        <f>IFERROR(__xludf.DUMMYFUNCTION("IFERROR(VLOOKUP(A570, IMPORTRANGE(""https://docs.google.com/spreadsheets/d/1AVX9GT0dgogEBStecCXMMQ29tWz3gBrtNB8yIromXbY/edit?gid=741673867"", ""out1g!A:B""), 2, FALSE), 0)"),263.0)</f>
        <v>263</v>
      </c>
      <c r="D570" s="2" t="str">
        <f>IFERROR(__xludf.DUMMYFUNCTION("IFERROR(VLOOKUP(A570, IMPORTRANGE(""https://docs.google.com/spreadsheets/d/1-3Vjw2Cyy-mry5gbC8ypIR3YVGFfEpyFESummAta6sg/edit"", ""Sheet1!B:D""), 2, FALSE), ""Not Found"")"),"ɪm")</f>
        <v>ɪm</v>
      </c>
      <c r="E570" s="2" t="str">
        <f>IFERROR(__xludf.DUMMYFUNCTION("IFERROR(VLOOKUP(A570, IMPORTRANGE(""https://docs.google.com/spreadsheets/d/1-3Vjw2Cyy-mry5gbC8ypIR3YVGFfEpyFESummAta6sg/edit"", ""Sheet1!B:D""), 3, FALSE), ""Not Found"")"),"ɪ m ")</f>
        <v>ɪ m </v>
      </c>
    </row>
    <row r="571">
      <c r="A571" s="1" t="s">
        <v>574</v>
      </c>
      <c r="B571" s="1" t="s">
        <v>5</v>
      </c>
      <c r="C571" s="2">
        <f>IFERROR(__xludf.DUMMYFUNCTION("IFERROR(VLOOKUP(A571, IMPORTRANGE(""https://docs.google.com/spreadsheets/d/1AVX9GT0dgogEBStecCXMMQ29tWz3gBrtNB8yIromXbY/edit?gid=741673867"", ""out1g!A:B""), 2, FALSE), 0)"),5074.0)</f>
        <v>5074</v>
      </c>
      <c r="D571" s="2" t="str">
        <f>IFERROR(__xludf.DUMMYFUNCTION("IFERROR(VLOOKUP(A571, IMPORTRANGE(""https://docs.google.com/spreadsheets/d/1-3Vjw2Cyy-mry5gbC8ypIR3YVGFfEpyFESummAta6sg/edit"", ""Sheet1!B:D""), 2, FALSE), ""Not Found"")"),"ərθ")</f>
        <v>ərθ</v>
      </c>
      <c r="E571" s="2" t="str">
        <f>IFERROR(__xludf.DUMMYFUNCTION("IFERROR(VLOOKUP(A571, IMPORTRANGE(""https://docs.google.com/spreadsheets/d/1-3Vjw2Cyy-mry5gbC8ypIR3YVGFfEpyFESummAta6sg/edit"", ""Sheet1!B:D""), 3, FALSE), ""Not Found"")"),"ə r θ ")</f>
        <v>ə r θ </v>
      </c>
    </row>
    <row r="572">
      <c r="A572" s="1" t="s">
        <v>575</v>
      </c>
      <c r="B572" s="1" t="s">
        <v>5</v>
      </c>
      <c r="C572" s="2">
        <f>IFERROR(__xludf.DUMMYFUNCTION("IFERROR(VLOOKUP(A572, IMPORTRANGE(""https://docs.google.com/spreadsheets/d/1AVX9GT0dgogEBStecCXMMQ29tWz3gBrtNB8yIromXbY/edit?gid=741673867"", ""out1g!A:B""), 2, FALSE), 0)"),337.0)</f>
        <v>337</v>
      </c>
      <c r="D572" s="2" t="str">
        <f>IFERROR(__xludf.DUMMYFUNCTION("IFERROR(VLOOKUP(A572, IMPORTRANGE(""https://docs.google.com/spreadsheets/d/1-3Vjw2Cyy-mry5gbC8ypIR3YVGFfEpyFESummAta6sg/edit"", ""Sheet1!B:D""), 2, FALSE), ""Not Found"")"),"vərʤəl")</f>
        <v>vərʤəl</v>
      </c>
      <c r="E572" s="2" t="str">
        <f>IFERROR(__xludf.DUMMYFUNCTION("IFERROR(VLOOKUP(A572, IMPORTRANGE(""https://docs.google.com/spreadsheets/d/1-3Vjw2Cyy-mry5gbC8ypIR3YVGFfEpyFESummAta6sg/edit"", ""Sheet1!B:D""), 3, FALSE), ""Not Found"")"),"v ə r ʤ ə l ")</f>
        <v>v ə r ʤ ə l </v>
      </c>
    </row>
    <row r="573">
      <c r="A573" s="1" t="s">
        <v>576</v>
      </c>
      <c r="B573" s="1" t="s">
        <v>5</v>
      </c>
      <c r="C573" s="2">
        <f>IFERROR(__xludf.DUMMYFUNCTION("IFERROR(VLOOKUP(A573, IMPORTRANGE(""https://docs.google.com/spreadsheets/d/1AVX9GT0dgogEBStecCXMMQ29tWz3gBrtNB8yIromXbY/edit?gid=741673867"", ""out1g!A:B""), 2, FALSE), 0)"),119.0)</f>
        <v>119</v>
      </c>
      <c r="D573" s="2" t="str">
        <f>IFERROR(__xludf.DUMMYFUNCTION("IFERROR(VLOOKUP(A573, IMPORTRANGE(""https://docs.google.com/spreadsheets/d/1-3Vjw2Cyy-mry5gbC8ypIR3YVGFfEpyFESummAta6sg/edit"", ""Sheet1!B:D""), 2, FALSE), ""Not Found"")"),"mæmi")</f>
        <v>mæmi</v>
      </c>
      <c r="E573" s="2" t="str">
        <f>IFERROR(__xludf.DUMMYFUNCTION("IFERROR(VLOOKUP(A573, IMPORTRANGE(""https://docs.google.com/spreadsheets/d/1-3Vjw2Cyy-mry5gbC8ypIR3YVGFfEpyFESummAta6sg/edit"", ""Sheet1!B:D""), 3, FALSE), ""Not Found"")"),"m æ m i ")</f>
        <v>m æ m i </v>
      </c>
    </row>
    <row r="574">
      <c r="A574" s="1" t="s">
        <v>577</v>
      </c>
      <c r="B574" s="1" t="s">
        <v>5</v>
      </c>
      <c r="C574" s="2">
        <f>IFERROR(__xludf.DUMMYFUNCTION("IFERROR(VLOOKUP(A574, IMPORTRANGE(""https://docs.google.com/spreadsheets/d/1AVX9GT0dgogEBStecCXMMQ29tWz3gBrtNB8yIromXbY/edit?gid=741673867"", ""out1g!A:B""), 2, FALSE), 0)"),112.0)</f>
        <v>112</v>
      </c>
      <c r="D574" s="2" t="str">
        <f>IFERROR(__xludf.DUMMYFUNCTION("IFERROR(VLOOKUP(A574, IMPORTRANGE(""https://docs.google.com/spreadsheets/d/1-3Vjw2Cyy-mry5gbC8ypIR3YVGFfEpyFESummAta6sg/edit"", ""Sheet1!B:D""), 2, FALSE), ""Not Found"")"),"wɪlz")</f>
        <v>wɪlz</v>
      </c>
      <c r="E574" s="2" t="str">
        <f>IFERROR(__xludf.DUMMYFUNCTION("IFERROR(VLOOKUP(A574, IMPORTRANGE(""https://docs.google.com/spreadsheets/d/1-3Vjw2Cyy-mry5gbC8ypIR3YVGFfEpyFESummAta6sg/edit"", ""Sheet1!B:D""), 3, FALSE), ""Not Found"")"),"w ɪ l z ")</f>
        <v>w ɪ l z </v>
      </c>
    </row>
    <row r="575">
      <c r="A575" s="1" t="s">
        <v>578</v>
      </c>
      <c r="B575" s="1" t="s">
        <v>5</v>
      </c>
      <c r="C575" s="2">
        <f>IFERROR(__xludf.DUMMYFUNCTION("IFERROR(VLOOKUP(A575, IMPORTRANGE(""https://docs.google.com/spreadsheets/d/1AVX9GT0dgogEBStecCXMMQ29tWz3gBrtNB8yIromXbY/edit?gid=741673867"", ""out1g!A:B""), 2, FALSE), 0)"),63.0)</f>
        <v>63</v>
      </c>
      <c r="D575" s="2" t="str">
        <f>IFERROR(__xludf.DUMMYFUNCTION("IFERROR(VLOOKUP(A575, IMPORTRANGE(""https://docs.google.com/spreadsheets/d/1-3Vjw2Cyy-mry5gbC8ypIR3YVGFfEpyFESummAta6sg/edit"", ""Sheet1!B:D""), 2, FALSE), ""Not Found"")"),"tɛrərz")</f>
        <v>tɛrərz</v>
      </c>
      <c r="E575" s="2" t="str">
        <f>IFERROR(__xludf.DUMMYFUNCTION("IFERROR(VLOOKUP(A575, IMPORTRANGE(""https://docs.google.com/spreadsheets/d/1-3Vjw2Cyy-mry5gbC8ypIR3YVGFfEpyFESummAta6sg/edit"", ""Sheet1!B:D""), 3, FALSE), ""Not Found"")"),"t ɛ r ə r z ")</f>
        <v>t ɛ r ə r z </v>
      </c>
    </row>
    <row r="576">
      <c r="A576" s="1" t="s">
        <v>579</v>
      </c>
      <c r="B576" s="1" t="s">
        <v>5</v>
      </c>
      <c r="C576" s="2">
        <f>IFERROR(__xludf.DUMMYFUNCTION("IFERROR(VLOOKUP(A576, IMPORTRANGE(""https://docs.google.com/spreadsheets/d/1AVX9GT0dgogEBStecCXMMQ29tWz3gBrtNB8yIromXbY/edit?gid=741673867"", ""out1g!A:B""), 2, FALSE), 0)"),95.0)</f>
        <v>95</v>
      </c>
      <c r="D576" s="2" t="str">
        <f>IFERROR(__xludf.DUMMYFUNCTION("IFERROR(VLOOKUP(A576, IMPORTRANGE(""https://docs.google.com/spreadsheets/d/1-3Vjw2Cyy-mry5gbC8ypIR3YVGFfEpyFESummAta6sg/edit"", ""Sheet1!B:D""), 2, FALSE), ""Not Found"")"),"aɪfəl")</f>
        <v>aɪfəl</v>
      </c>
      <c r="E576" s="2" t="str">
        <f>IFERROR(__xludf.DUMMYFUNCTION("IFERROR(VLOOKUP(A576, IMPORTRANGE(""https://docs.google.com/spreadsheets/d/1-3Vjw2Cyy-mry5gbC8ypIR3YVGFfEpyFESummAta6sg/edit"", ""Sheet1!B:D""), 3, FALSE), ""Not Found"")"),"a ɪ f ə l ")</f>
        <v>a ɪ f ə l </v>
      </c>
    </row>
    <row r="577">
      <c r="A577" s="1" t="s">
        <v>580</v>
      </c>
      <c r="B577" s="1" t="s">
        <v>5</v>
      </c>
      <c r="C577" s="2">
        <f>IFERROR(__xludf.DUMMYFUNCTION("IFERROR(VLOOKUP(A577, IMPORTRANGE(""https://docs.google.com/spreadsheets/d/1AVX9GT0dgogEBStecCXMMQ29tWz3gBrtNB8yIromXbY/edit?gid=741673867"", ""out1g!A:B""), 2, FALSE), 0)"),83.0)</f>
        <v>83</v>
      </c>
      <c r="D577" s="2" t="str">
        <f>IFERROR(__xludf.DUMMYFUNCTION("IFERROR(VLOOKUP(A577, IMPORTRANGE(""https://docs.google.com/spreadsheets/d/1-3Vjw2Cyy-mry5gbC8ypIR3YVGFfEpyFESummAta6sg/edit"", ""Sheet1!B:D""), 2, FALSE), ""Not Found"")"),"rɛʧ")</f>
        <v>rɛʧ</v>
      </c>
      <c r="E577" s="2" t="str">
        <f>IFERROR(__xludf.DUMMYFUNCTION("IFERROR(VLOOKUP(A577, IMPORTRANGE(""https://docs.google.com/spreadsheets/d/1-3Vjw2Cyy-mry5gbC8ypIR3YVGFfEpyFESummAta6sg/edit"", ""Sheet1!B:D""), 3, FALSE), ""Not Found"")"),"r ɛ ʧ ")</f>
        <v>r ɛ ʧ </v>
      </c>
    </row>
    <row r="578">
      <c r="A578" s="1" t="s">
        <v>581</v>
      </c>
      <c r="B578" s="1" t="s">
        <v>5</v>
      </c>
      <c r="C578" s="2">
        <f>IFERROR(__xludf.DUMMYFUNCTION("IFERROR(VLOOKUP(A578, IMPORTRANGE(""https://docs.google.com/spreadsheets/d/1AVX9GT0dgogEBStecCXMMQ29tWz3gBrtNB8yIromXbY/edit?gid=741673867"", ""out1g!A:B""), 2, FALSE), 0)"),166.0)</f>
        <v>166</v>
      </c>
      <c r="D578" s="2" t="str">
        <f>IFERROR(__xludf.DUMMYFUNCTION("IFERROR(VLOOKUP(A578, IMPORTRANGE(""https://docs.google.com/spreadsheets/d/1-3Vjw2Cyy-mry5gbC8ypIR3YVGFfEpyFESummAta6sg/edit"", ""Sheet1!B:D""), 2, FALSE), ""Not Found"")"),"lebər")</f>
        <v>lebər</v>
      </c>
      <c r="E578" s="2" t="str">
        <f>IFERROR(__xludf.DUMMYFUNCTION("IFERROR(VLOOKUP(A578, IMPORTRANGE(""https://docs.google.com/spreadsheets/d/1-3Vjw2Cyy-mry5gbC8ypIR3YVGFfEpyFESummAta6sg/edit"", ""Sheet1!B:D""), 3, FALSE), ""Not Found"")"),"l e b ə r ")</f>
        <v>l e b ə r </v>
      </c>
    </row>
    <row r="579">
      <c r="A579" s="1" t="s">
        <v>582</v>
      </c>
      <c r="B579" s="1" t="s">
        <v>5</v>
      </c>
      <c r="C579" s="2">
        <f>IFERROR(__xludf.DUMMYFUNCTION("IFERROR(VLOOKUP(A579, IMPORTRANGE(""https://docs.google.com/spreadsheets/d/1AVX9GT0dgogEBStecCXMMQ29tWz3gBrtNB8yIromXbY/edit?gid=741673867"", ""out1g!A:B""), 2, FALSE), 0)"),153.0)</f>
        <v>153</v>
      </c>
      <c r="D579" s="2" t="str">
        <f>IFERROR(__xludf.DUMMYFUNCTION("IFERROR(VLOOKUP(A579, IMPORTRANGE(""https://docs.google.com/spreadsheets/d/1-3Vjw2Cyy-mry5gbC8ypIR3YVGFfEpyFESummAta6sg/edit"", ""Sheet1!B:D""), 2, FALSE), ""Not Found"")"),"dər")</f>
        <v>dər</v>
      </c>
      <c r="E579" s="2" t="str">
        <f>IFERROR(__xludf.DUMMYFUNCTION("IFERROR(VLOOKUP(A579, IMPORTRANGE(""https://docs.google.com/spreadsheets/d/1-3Vjw2Cyy-mry5gbC8ypIR3YVGFfEpyFESummAta6sg/edit"", ""Sheet1!B:D""), 3, FALSE), ""Not Found"")"),"d ə r ")</f>
        <v>d ə r </v>
      </c>
    </row>
    <row r="580">
      <c r="A580" s="1" t="s">
        <v>583</v>
      </c>
      <c r="B580" s="1" t="s">
        <v>5</v>
      </c>
      <c r="C580" s="2">
        <f>IFERROR(__xludf.DUMMYFUNCTION("IFERROR(VLOOKUP(A580, IMPORTRANGE(""https://docs.google.com/spreadsheets/d/1AVX9GT0dgogEBStecCXMMQ29tWz3gBrtNB8yIromXbY/edit?gid=741673867"", ""out1g!A:B""), 2, FALSE), 0)"),10336.0)</f>
        <v>10336</v>
      </c>
      <c r="D580" s="2" t="str">
        <f>IFERROR(__xludf.DUMMYFUNCTION("IFERROR(VLOOKUP(A580, IMPORTRANGE(""https://docs.google.com/spreadsheets/d/1-3Vjw2Cyy-mry5gbC8ypIR3YVGFfEpyFESummAta6sg/edit"", ""Sheet1!B:D""), 2, FALSE), ""Not Found"")"),"dɪnər")</f>
        <v>dɪnər</v>
      </c>
      <c r="E580" s="2" t="str">
        <f>IFERROR(__xludf.DUMMYFUNCTION("IFERROR(VLOOKUP(A580, IMPORTRANGE(""https://docs.google.com/spreadsheets/d/1-3Vjw2Cyy-mry5gbC8ypIR3YVGFfEpyFESummAta6sg/edit"", ""Sheet1!B:D""), 3, FALSE), ""Not Found"")"),"d ɪ n ə r ")</f>
        <v>d ɪ n ə r </v>
      </c>
    </row>
    <row r="581">
      <c r="A581" s="1" t="s">
        <v>584</v>
      </c>
      <c r="B581" s="1" t="s">
        <v>5</v>
      </c>
      <c r="C581" s="2">
        <f>IFERROR(__xludf.DUMMYFUNCTION("IFERROR(VLOOKUP(A581, IMPORTRANGE(""https://docs.google.com/spreadsheets/d/1AVX9GT0dgogEBStecCXMMQ29tWz3gBrtNB8yIromXbY/edit?gid=741673867"", ""out1g!A:B""), 2, FALSE), 0)"),3206.0)</f>
        <v>3206</v>
      </c>
      <c r="D581" s="2" t="str">
        <f>IFERROR(__xludf.DUMMYFUNCTION("IFERROR(VLOOKUP(A581, IMPORTRANGE(""https://docs.google.com/spreadsheets/d/1-3Vjw2Cyy-mry5gbC8ypIR3YVGFfEpyFESummAta6sg/edit"", ""Sheet1!B:D""), 2, FALSE), ""Not Found"")"),"læf")</f>
        <v>læf</v>
      </c>
      <c r="E581" s="2" t="str">
        <f>IFERROR(__xludf.DUMMYFUNCTION("IFERROR(VLOOKUP(A581, IMPORTRANGE(""https://docs.google.com/spreadsheets/d/1-3Vjw2Cyy-mry5gbC8ypIR3YVGFfEpyFESummAta6sg/edit"", ""Sheet1!B:D""), 3, FALSE), ""Not Found"")"),"l æ f ")</f>
        <v>l æ f </v>
      </c>
    </row>
    <row r="582">
      <c r="A582" s="1" t="s">
        <v>585</v>
      </c>
      <c r="B582" s="1" t="s">
        <v>5</v>
      </c>
      <c r="C582" s="2">
        <f>IFERROR(__xludf.DUMMYFUNCTION("IFERROR(VLOOKUP(A582, IMPORTRANGE(""https://docs.google.com/spreadsheets/d/1AVX9GT0dgogEBStecCXMMQ29tWz3gBrtNB8yIromXbY/edit?gid=741673867"", ""out1g!A:B""), 2, FALSE), 0)"),3298.0)</f>
        <v>3298</v>
      </c>
      <c r="D582" s="2" t="str">
        <f>IFERROR(__xludf.DUMMYFUNCTION("IFERROR(VLOOKUP(A582, IMPORTRANGE(""https://docs.google.com/spreadsheets/d/1-3Vjw2Cyy-mry5gbC8ypIR3YVGFfEpyFESummAta6sg/edit"", ""Sheet1!B:D""), 2, FALSE), ""Not Found"")"),"əgri")</f>
        <v>əgri</v>
      </c>
      <c r="E582" s="2" t="str">
        <f>IFERROR(__xludf.DUMMYFUNCTION("IFERROR(VLOOKUP(A582, IMPORTRANGE(""https://docs.google.com/spreadsheets/d/1-3Vjw2Cyy-mry5gbC8ypIR3YVGFfEpyFESummAta6sg/edit"", ""Sheet1!B:D""), 3, FALSE), ""Not Found"")"),"ə g r i ")</f>
        <v>ə g r i </v>
      </c>
    </row>
    <row r="583">
      <c r="A583" s="1" t="s">
        <v>586</v>
      </c>
      <c r="B583" s="1" t="s">
        <v>5</v>
      </c>
      <c r="C583" s="2">
        <f>IFERROR(__xludf.DUMMYFUNCTION("IFERROR(VLOOKUP(A583, IMPORTRANGE(""https://docs.google.com/spreadsheets/d/1AVX9GT0dgogEBStecCXMMQ29tWz3gBrtNB8yIromXbY/edit?gid=741673867"", ""out1g!A:B""), 2, FALSE), 0)"),1051.0)</f>
        <v>1051</v>
      </c>
      <c r="D583" s="2" t="str">
        <f>IFERROR(__xludf.DUMMYFUNCTION("IFERROR(VLOOKUP(A583, IMPORTRANGE(""https://docs.google.com/spreadsheets/d/1-3Vjw2Cyy-mry5gbC8ypIR3YVGFfEpyFESummAta6sg/edit"", ""Sheet1!B:D""), 2, FALSE), ""Not Found"")"),"ələrt")</f>
        <v>ələrt</v>
      </c>
      <c r="E583" s="2" t="str">
        <f>IFERROR(__xludf.DUMMYFUNCTION("IFERROR(VLOOKUP(A583, IMPORTRANGE(""https://docs.google.com/spreadsheets/d/1-3Vjw2Cyy-mry5gbC8ypIR3YVGFfEpyFESummAta6sg/edit"", ""Sheet1!B:D""), 3, FALSE), ""Not Found"")"),"ə l ə r t ")</f>
        <v>ə l ə r t </v>
      </c>
    </row>
    <row r="584">
      <c r="A584" s="1" t="s">
        <v>587</v>
      </c>
      <c r="B584" s="1" t="s">
        <v>5</v>
      </c>
      <c r="C584" s="2">
        <f>IFERROR(__xludf.DUMMYFUNCTION("IFERROR(VLOOKUP(A584, IMPORTRANGE(""https://docs.google.com/spreadsheets/d/1AVX9GT0dgogEBStecCXMMQ29tWz3gBrtNB8yIromXbY/edit?gid=741673867"", ""out1g!A:B""), 2, FALSE), 0)"),980.0)</f>
        <v>980</v>
      </c>
      <c r="D584" s="2" t="str">
        <f>IFERROR(__xludf.DUMMYFUNCTION("IFERROR(VLOOKUP(A584, IMPORTRANGE(""https://docs.google.com/spreadsheets/d/1-3Vjw2Cyy-mry5gbC8ypIR3YVGFfEpyFESummAta6sg/edit"", ""Sheet1!B:D""), 2, FALSE), ""Not Found"")"),"saɪt")</f>
        <v>saɪt</v>
      </c>
      <c r="E584" s="2" t="str">
        <f>IFERROR(__xludf.DUMMYFUNCTION("IFERROR(VLOOKUP(A584, IMPORTRANGE(""https://docs.google.com/spreadsheets/d/1-3Vjw2Cyy-mry5gbC8ypIR3YVGFfEpyFESummAta6sg/edit"", ""Sheet1!B:D""), 3, FALSE), ""Not Found"")"),"s a ɪ t ")</f>
        <v>s a ɪ t </v>
      </c>
    </row>
    <row r="585">
      <c r="A585" s="1" t="s">
        <v>588</v>
      </c>
      <c r="B585" s="1" t="s">
        <v>5</v>
      </c>
      <c r="C585" s="2">
        <f>IFERROR(__xludf.DUMMYFUNCTION("IFERROR(VLOOKUP(A585, IMPORTRANGE(""https://docs.google.com/spreadsheets/d/1AVX9GT0dgogEBStecCXMMQ29tWz3gBrtNB8yIromXbY/edit?gid=741673867"", ""out1g!A:B""), 2, FALSE), 0)"),558.0)</f>
        <v>558</v>
      </c>
      <c r="D585" s="2" t="str">
        <f>IFERROR(__xludf.DUMMYFUNCTION("IFERROR(VLOOKUP(A585, IMPORTRANGE(""https://docs.google.com/spreadsheets/d/1-3Vjw2Cyy-mry5gbC8ypIR3YVGFfEpyFESummAta6sg/edit"", ""Sheet1!B:D""), 2, FALSE), ""Not Found"")"),"ʃɔn")</f>
        <v>ʃɔn</v>
      </c>
      <c r="E585" s="2" t="str">
        <f>IFERROR(__xludf.DUMMYFUNCTION("IFERROR(VLOOKUP(A585, IMPORTRANGE(""https://docs.google.com/spreadsheets/d/1-3Vjw2Cyy-mry5gbC8ypIR3YVGFfEpyFESummAta6sg/edit"", ""Sheet1!B:D""), 3, FALSE), ""Not Found"")"),"ʃ ɔ n ")</f>
        <v>ʃ ɔ n </v>
      </c>
    </row>
    <row r="586">
      <c r="A586" s="1" t="s">
        <v>589</v>
      </c>
      <c r="B586" s="1" t="s">
        <v>5</v>
      </c>
      <c r="C586" s="2">
        <f>IFERROR(__xludf.DUMMYFUNCTION("IFERROR(VLOOKUP(A586, IMPORTRANGE(""https://docs.google.com/spreadsheets/d/1AVX9GT0dgogEBStecCXMMQ29tWz3gBrtNB8yIromXbY/edit?gid=741673867"", ""out1g!A:B""), 2, FALSE), 0)"),227.0)</f>
        <v>227</v>
      </c>
      <c r="D586" s="2" t="str">
        <f>IFERROR(__xludf.DUMMYFUNCTION("IFERROR(VLOOKUP(A586, IMPORTRANGE(""https://docs.google.com/spreadsheets/d/1-3Vjw2Cyy-mry5gbC8ypIR3YVGFfEpyFESummAta6sg/edit"", ""Sheet1!B:D""), 2, FALSE), ""Not Found"")"),"ʃevd")</f>
        <v>ʃevd</v>
      </c>
      <c r="E586" s="2" t="str">
        <f>IFERROR(__xludf.DUMMYFUNCTION("IFERROR(VLOOKUP(A586, IMPORTRANGE(""https://docs.google.com/spreadsheets/d/1-3Vjw2Cyy-mry5gbC8ypIR3YVGFfEpyFESummAta6sg/edit"", ""Sheet1!B:D""), 3, FALSE), ""Not Found"")"),"ʃ e v d ")</f>
        <v>ʃ e v d </v>
      </c>
    </row>
    <row r="587">
      <c r="A587" s="1" t="s">
        <v>590</v>
      </c>
      <c r="B587" s="1" t="s">
        <v>5</v>
      </c>
      <c r="C587" s="2">
        <f>IFERROR(__xludf.DUMMYFUNCTION("IFERROR(VLOOKUP(A587, IMPORTRANGE(""https://docs.google.com/spreadsheets/d/1AVX9GT0dgogEBStecCXMMQ29tWz3gBrtNB8yIromXbY/edit?gid=741673867"", ""out1g!A:B""), 2, FALSE), 0)"),31882.0)</f>
        <v>31882</v>
      </c>
      <c r="D587" s="2" t="str">
        <f>IFERROR(__xludf.DUMMYFUNCTION("IFERROR(VLOOKUP(A587, IMPORTRANGE(""https://docs.google.com/spreadsheets/d/1-3Vjw2Cyy-mry5gbC8ypIR3YVGFfEpyFESummAta6sg/edit"", ""Sheet1!B:D""), 2, FALSE), ""Not Found"")"),"bɪliv")</f>
        <v>bɪliv</v>
      </c>
      <c r="E587" s="2" t="str">
        <f>IFERROR(__xludf.DUMMYFUNCTION("IFERROR(VLOOKUP(A587, IMPORTRANGE(""https://docs.google.com/spreadsheets/d/1-3Vjw2Cyy-mry5gbC8ypIR3YVGFfEpyFESummAta6sg/edit"", ""Sheet1!B:D""), 3, FALSE), ""Not Found"")"),"b ɪ l i v ")</f>
        <v>b ɪ l i v </v>
      </c>
    </row>
    <row r="588">
      <c r="A588" s="1" t="s">
        <v>591</v>
      </c>
      <c r="B588" s="1" t="s">
        <v>5</v>
      </c>
      <c r="C588" s="2">
        <f>IFERROR(__xludf.DUMMYFUNCTION("IFERROR(VLOOKUP(A588, IMPORTRANGE(""https://docs.google.com/spreadsheets/d/1AVX9GT0dgogEBStecCXMMQ29tWz3gBrtNB8yIromXbY/edit?gid=741673867"", ""out1g!A:B""), 2, FALSE), 0)"),120.0)</f>
        <v>120</v>
      </c>
      <c r="D588" s="2" t="str">
        <f>IFERROR(__xludf.DUMMYFUNCTION("IFERROR(VLOOKUP(A588, IMPORTRANGE(""https://docs.google.com/spreadsheets/d/1-3Vjw2Cyy-mry5gbC8ypIR3YVGFfEpyFESummAta6sg/edit"", ""Sheet1!B:D""), 2, FALSE), ""Not Found"")"),"hʊrɑ")</f>
        <v>hʊrɑ</v>
      </c>
      <c r="E588" s="2" t="str">
        <f>IFERROR(__xludf.DUMMYFUNCTION("IFERROR(VLOOKUP(A588, IMPORTRANGE(""https://docs.google.com/spreadsheets/d/1-3Vjw2Cyy-mry5gbC8ypIR3YVGFfEpyFESummAta6sg/edit"", ""Sheet1!B:D""), 3, FALSE), ""Not Found"")"),"h ʊ r ɑ ")</f>
        <v>h ʊ r ɑ </v>
      </c>
    </row>
    <row r="589">
      <c r="A589" s="1" t="s">
        <v>592</v>
      </c>
      <c r="B589" s="1" t="s">
        <v>5</v>
      </c>
      <c r="C589" s="2">
        <f>IFERROR(__xludf.DUMMYFUNCTION("IFERROR(VLOOKUP(A589, IMPORTRANGE(""https://docs.google.com/spreadsheets/d/1AVX9GT0dgogEBStecCXMMQ29tWz3gBrtNB8yIromXbY/edit?gid=741673867"", ""out1g!A:B""), 2, FALSE), 0)"),55.0)</f>
        <v>55</v>
      </c>
      <c r="D589" s="2" t="str">
        <f>IFERROR(__xludf.DUMMYFUNCTION("IFERROR(VLOOKUP(A589, IMPORTRANGE(""https://docs.google.com/spreadsheets/d/1-3Vjw2Cyy-mry5gbC8ypIR3YVGFfEpyFESummAta6sg/edit"", ""Sheet1!B:D""), 2, FALSE), ""Not Found"")"),"ʃɑks")</f>
        <v>ʃɑks</v>
      </c>
      <c r="E589" s="2" t="str">
        <f>IFERROR(__xludf.DUMMYFUNCTION("IFERROR(VLOOKUP(A589, IMPORTRANGE(""https://docs.google.com/spreadsheets/d/1-3Vjw2Cyy-mry5gbC8ypIR3YVGFfEpyFESummAta6sg/edit"", ""Sheet1!B:D""), 3, FALSE), ""Not Found"")"),"ʃ ɑ k s ")</f>
        <v>ʃ ɑ k s </v>
      </c>
    </row>
    <row r="590">
      <c r="A590" s="1" t="s">
        <v>593</v>
      </c>
      <c r="B590" s="1" t="s">
        <v>5</v>
      </c>
      <c r="C590" s="2">
        <f>IFERROR(__xludf.DUMMYFUNCTION("IFERROR(VLOOKUP(A590, IMPORTRANGE(""https://docs.google.com/spreadsheets/d/1AVX9GT0dgogEBStecCXMMQ29tWz3gBrtNB8yIromXbY/edit?gid=741673867"", ""out1g!A:B""), 2, FALSE), 0)"),5510.0)</f>
        <v>5510</v>
      </c>
      <c r="D590" s="2" t="str">
        <f>IFERROR(__xludf.DUMMYFUNCTION("IFERROR(VLOOKUP(A590, IMPORTRANGE(""https://docs.google.com/spreadsheets/d/1-3Vjw2Cyy-mry5gbC8ypIR3YVGFfEpyFESummAta6sg/edit"", ""Sheet1!B:D""), 2, FALSE), ""Not Found"")"),"ərli")</f>
        <v>ərli</v>
      </c>
      <c r="E590" s="2" t="str">
        <f>IFERROR(__xludf.DUMMYFUNCTION("IFERROR(VLOOKUP(A590, IMPORTRANGE(""https://docs.google.com/spreadsheets/d/1-3Vjw2Cyy-mry5gbC8ypIR3YVGFfEpyFESummAta6sg/edit"", ""Sheet1!B:D""), 3, FALSE), ""Not Found"")"),"ə r l i ")</f>
        <v>ə r l i </v>
      </c>
    </row>
    <row r="591">
      <c r="A591" s="1" t="s">
        <v>594</v>
      </c>
      <c r="B591" s="1" t="s">
        <v>5</v>
      </c>
      <c r="C591" s="2">
        <f>IFERROR(__xludf.DUMMYFUNCTION("IFERROR(VLOOKUP(A591, IMPORTRANGE(""https://docs.google.com/spreadsheets/d/1AVX9GT0dgogEBStecCXMMQ29tWz3gBrtNB8yIromXbY/edit?gid=741673867"", ""out1g!A:B""), 2, FALSE), 0)"),2494.0)</f>
        <v>2494</v>
      </c>
      <c r="D591" s="2" t="str">
        <f>IFERROR(__xludf.DUMMYFUNCTION("IFERROR(VLOOKUP(A591, IMPORTRANGE(""https://docs.google.com/spreadsheets/d/1-3Vjw2Cyy-mry5gbC8ypIR3YVGFfEpyFESummAta6sg/edit"", ""Sheet1!B:D""), 2, FALSE), ""Not Found"")"),"ren")</f>
        <v>ren</v>
      </c>
      <c r="E591" s="2" t="str">
        <f>IFERROR(__xludf.DUMMYFUNCTION("IFERROR(VLOOKUP(A591, IMPORTRANGE(""https://docs.google.com/spreadsheets/d/1-3Vjw2Cyy-mry5gbC8ypIR3YVGFfEpyFESummAta6sg/edit"", ""Sheet1!B:D""), 3, FALSE), ""Not Found"")"),"r e n ")</f>
        <v>r e n </v>
      </c>
    </row>
    <row r="592">
      <c r="A592" s="1" t="s">
        <v>595</v>
      </c>
      <c r="B592" s="1" t="s">
        <v>5</v>
      </c>
      <c r="C592" s="2">
        <f>IFERROR(__xludf.DUMMYFUNCTION("IFERROR(VLOOKUP(A592, IMPORTRANGE(""https://docs.google.com/spreadsheets/d/1AVX9GT0dgogEBStecCXMMQ29tWz3gBrtNB8yIromXbY/edit?gid=741673867"", ""out1g!A:B""), 2, FALSE), 0)"),1051.0)</f>
        <v>1051</v>
      </c>
      <c r="D592" s="2" t="str">
        <f>IFERROR(__xludf.DUMMYFUNCTION("IFERROR(VLOOKUP(A592, IMPORTRANGE(""https://docs.google.com/spreadsheets/d/1-3Vjw2Cyy-mry5gbC8ypIR3YVGFfEpyFESummAta6sg/edit"", ""Sheet1!B:D""), 2, FALSE), ""Not Found"")"),"ʧɪp")</f>
        <v>ʧɪp</v>
      </c>
      <c r="E592" s="2" t="str">
        <f>IFERROR(__xludf.DUMMYFUNCTION("IFERROR(VLOOKUP(A592, IMPORTRANGE(""https://docs.google.com/spreadsheets/d/1-3Vjw2Cyy-mry5gbC8ypIR3YVGFfEpyFESummAta6sg/edit"", ""Sheet1!B:D""), 3, FALSE), ""Not Found"")"),"ʧ ɪ p ")</f>
        <v>ʧ ɪ p </v>
      </c>
    </row>
    <row r="593">
      <c r="A593" s="1" t="s">
        <v>596</v>
      </c>
      <c r="B593" s="1" t="s">
        <v>5</v>
      </c>
      <c r="C593" s="2">
        <f>IFERROR(__xludf.DUMMYFUNCTION("IFERROR(VLOOKUP(A593, IMPORTRANGE(""https://docs.google.com/spreadsheets/d/1AVX9GT0dgogEBStecCXMMQ29tWz3gBrtNB8yIromXbY/edit?gid=741673867"", ""out1g!A:B""), 2, FALSE), 0)"),352.0)</f>
        <v>352</v>
      </c>
      <c r="D593" s="2" t="str">
        <f>IFERROR(__xludf.DUMMYFUNCTION("IFERROR(VLOOKUP(A593, IMPORTRANGE(""https://docs.google.com/spreadsheets/d/1-3Vjw2Cyy-mry5gbC8ypIR3YVGFfEpyFESummAta6sg/edit"", ""Sheet1!B:D""), 2, FALSE), ""Not Found"")"),"kɑŋ")</f>
        <v>kɑŋ</v>
      </c>
      <c r="E593" s="2" t="str">
        <f>IFERROR(__xludf.DUMMYFUNCTION("IFERROR(VLOOKUP(A593, IMPORTRANGE(""https://docs.google.com/spreadsheets/d/1-3Vjw2Cyy-mry5gbC8ypIR3YVGFfEpyFESummAta6sg/edit"", ""Sheet1!B:D""), 3, FALSE), ""Not Found"")"),"k ɑ ŋ ")</f>
        <v>k ɑ ŋ </v>
      </c>
    </row>
    <row r="594">
      <c r="A594" s="1" t="s">
        <v>597</v>
      </c>
      <c r="B594" s="1" t="s">
        <v>5</v>
      </c>
      <c r="C594" s="2">
        <f>IFERROR(__xludf.DUMMYFUNCTION("IFERROR(VLOOKUP(A594, IMPORTRANGE(""https://docs.google.com/spreadsheets/d/1AVX9GT0dgogEBStecCXMMQ29tWz3gBrtNB8yIromXbY/edit?gid=741673867"", ""out1g!A:B""), 2, FALSE), 0)"),103.0)</f>
        <v>103</v>
      </c>
      <c r="D594" s="2" t="str">
        <f>IFERROR(__xludf.DUMMYFUNCTION("IFERROR(VLOOKUP(A594, IMPORTRANGE(""https://docs.google.com/spreadsheets/d/1-3Vjw2Cyy-mry5gbC8ypIR3YVGFfEpyFESummAta6sg/edit"", ""Sheet1!B:D""), 2, FALSE), ""Not Found"")"),"mɪʤ")</f>
        <v>mɪʤ</v>
      </c>
      <c r="E594" s="2" t="str">
        <f>IFERROR(__xludf.DUMMYFUNCTION("IFERROR(VLOOKUP(A594, IMPORTRANGE(""https://docs.google.com/spreadsheets/d/1-3Vjw2Cyy-mry5gbC8ypIR3YVGFfEpyFESummAta6sg/edit"", ""Sheet1!B:D""), 3, FALSE), ""Not Found"")"),"m ɪ ʤ ")</f>
        <v>m ɪ ʤ </v>
      </c>
    </row>
    <row r="595">
      <c r="A595" s="1" t="s">
        <v>598</v>
      </c>
      <c r="B595" s="1" t="s">
        <v>5</v>
      </c>
      <c r="C595" s="2">
        <f>IFERROR(__xludf.DUMMYFUNCTION("IFERROR(VLOOKUP(A595, IMPORTRANGE(""https://docs.google.com/spreadsheets/d/1AVX9GT0dgogEBStecCXMMQ29tWz3gBrtNB8yIromXbY/edit?gid=741673867"", ""out1g!A:B""), 2, FALSE), 0)"),2885.0)</f>
        <v>2885</v>
      </c>
      <c r="D595" s="2" t="str">
        <f>IFERROR(__xludf.DUMMYFUNCTION("IFERROR(VLOOKUP(A595, IMPORTRANGE(""https://docs.google.com/spreadsheets/d/1-3Vjw2Cyy-mry5gbC8ypIR3YVGFfEpyFESummAta6sg/edit"", ""Sheet1!B:D""), 2, FALSE), ""Not Found"")"),"lɑk")</f>
        <v>lɑk</v>
      </c>
      <c r="E595" s="2" t="str">
        <f>IFERROR(__xludf.DUMMYFUNCTION("IFERROR(VLOOKUP(A595, IMPORTRANGE(""https://docs.google.com/spreadsheets/d/1-3Vjw2Cyy-mry5gbC8ypIR3YVGFfEpyFESummAta6sg/edit"", ""Sheet1!B:D""), 3, FALSE), ""Not Found"")"),"l ɑ k ")</f>
        <v>l ɑ k </v>
      </c>
    </row>
    <row r="596">
      <c r="A596" s="1" t="s">
        <v>599</v>
      </c>
      <c r="B596" s="1" t="s">
        <v>5</v>
      </c>
      <c r="C596" s="2">
        <f>IFERROR(__xludf.DUMMYFUNCTION("IFERROR(VLOOKUP(A596, IMPORTRANGE(""https://docs.google.com/spreadsheets/d/1AVX9GT0dgogEBStecCXMMQ29tWz3gBrtNB8yIromXbY/edit?gid=741673867"", ""out1g!A:B""), 2, FALSE), 0)"),1769.0)</f>
        <v>1769</v>
      </c>
      <c r="D596" s="2" t="str">
        <f>IFERROR(__xludf.DUMMYFUNCTION("IFERROR(VLOOKUP(A596, IMPORTRANGE(""https://docs.google.com/spreadsheets/d/1-3Vjw2Cyy-mry5gbC8ypIR3YVGFfEpyFESummAta6sg/edit"", ""Sheet1!B:D""), 2, FALSE), ""Not Found"")"),"æni")</f>
        <v>æni</v>
      </c>
      <c r="E596" s="2" t="str">
        <f>IFERROR(__xludf.DUMMYFUNCTION("IFERROR(VLOOKUP(A596, IMPORTRANGE(""https://docs.google.com/spreadsheets/d/1-3Vjw2Cyy-mry5gbC8ypIR3YVGFfEpyFESummAta6sg/edit"", ""Sheet1!B:D""), 3, FALSE), ""Not Found"")"),"æ n i ")</f>
        <v>æ n i </v>
      </c>
    </row>
    <row r="597">
      <c r="A597" s="1" t="s">
        <v>600</v>
      </c>
      <c r="B597" s="1" t="s">
        <v>5</v>
      </c>
      <c r="C597" s="2">
        <f>IFERROR(__xludf.DUMMYFUNCTION("IFERROR(VLOOKUP(A597, IMPORTRANGE(""https://docs.google.com/spreadsheets/d/1AVX9GT0dgogEBStecCXMMQ29tWz3gBrtNB8yIromXbY/edit?gid=741673867"", ""out1g!A:B""), 2, FALSE), 0)"),119.0)</f>
        <v>119</v>
      </c>
      <c r="D597" s="2" t="str">
        <f>IFERROR(__xludf.DUMMYFUNCTION("IFERROR(VLOOKUP(A597, IMPORTRANGE(""https://docs.google.com/spreadsheets/d/1-3Vjw2Cyy-mry5gbC8ypIR3YVGFfEpyFESummAta6sg/edit"", ""Sheet1!B:D""), 2, FALSE), ""Not Found"")"),"dɛlə")</f>
        <v>dɛlə</v>
      </c>
      <c r="E597" s="2" t="str">
        <f>IFERROR(__xludf.DUMMYFUNCTION("IFERROR(VLOOKUP(A597, IMPORTRANGE(""https://docs.google.com/spreadsheets/d/1-3Vjw2Cyy-mry5gbC8ypIR3YVGFfEpyFESummAta6sg/edit"", ""Sheet1!B:D""), 3, FALSE), ""Not Found"")"),"d ɛ l ə ")</f>
        <v>d ɛ l ə </v>
      </c>
    </row>
    <row r="598">
      <c r="A598" s="1" t="s">
        <v>601</v>
      </c>
      <c r="B598" s="1" t="s">
        <v>5</v>
      </c>
      <c r="C598" s="2">
        <f>IFERROR(__xludf.DUMMYFUNCTION("IFERROR(VLOOKUP(A598, IMPORTRANGE(""https://docs.google.com/spreadsheets/d/1AVX9GT0dgogEBStecCXMMQ29tWz3gBrtNB8yIromXbY/edit?gid=741673867"", ""out1g!A:B""), 2, FALSE), 0)"),73.0)</f>
        <v>73</v>
      </c>
      <c r="D598" s="2" t="str">
        <f>IFERROR(__xludf.DUMMYFUNCTION("IFERROR(VLOOKUP(A598, IMPORTRANGE(""https://docs.google.com/spreadsheets/d/1-3Vjw2Cyy-mry5gbC8ypIR3YVGFfEpyFESummAta6sg/edit"", ""Sheet1!B:D""), 2, FALSE), ""Not Found"")"),"kwɪtər")</f>
        <v>kwɪtər</v>
      </c>
      <c r="E598" s="2" t="str">
        <f>IFERROR(__xludf.DUMMYFUNCTION("IFERROR(VLOOKUP(A598, IMPORTRANGE(""https://docs.google.com/spreadsheets/d/1-3Vjw2Cyy-mry5gbC8ypIR3YVGFfEpyFESummAta6sg/edit"", ""Sheet1!B:D""), 3, FALSE), ""Not Found"")"),"k w ɪ t ə r ")</f>
        <v>k w ɪ t ə r </v>
      </c>
    </row>
    <row r="599">
      <c r="A599" s="1" t="s">
        <v>602</v>
      </c>
      <c r="B599" s="1" t="s">
        <v>5</v>
      </c>
      <c r="C599" s="2">
        <f>IFERROR(__xludf.DUMMYFUNCTION("IFERROR(VLOOKUP(A599, IMPORTRANGE(""https://docs.google.com/spreadsheets/d/1AVX9GT0dgogEBStecCXMMQ29tWz3gBrtNB8yIromXbY/edit?gid=741673867"", ""out1g!A:B""), 2, FALSE), 0)"),75.0)</f>
        <v>75</v>
      </c>
      <c r="D599" s="2" t="str">
        <f>IFERROR(__xludf.DUMMYFUNCTION("IFERROR(VLOOKUP(A599, IMPORTRANGE(""https://docs.google.com/spreadsheets/d/1-3Vjw2Cyy-mry5gbC8ypIR3YVGFfEpyFESummAta6sg/edit"", ""Sheet1!B:D""), 2, FALSE), ""Not Found"")"),"ʃɪlɪŋ")</f>
        <v>ʃɪlɪŋ</v>
      </c>
      <c r="E599" s="2" t="str">
        <f>IFERROR(__xludf.DUMMYFUNCTION("IFERROR(VLOOKUP(A599, IMPORTRANGE(""https://docs.google.com/spreadsheets/d/1-3Vjw2Cyy-mry5gbC8ypIR3YVGFfEpyFESummAta6sg/edit"", ""Sheet1!B:D""), 3, FALSE), ""Not Found"")"),"ʃ ɪ l ɪ ŋ ")</f>
        <v>ʃ ɪ l ɪ ŋ </v>
      </c>
    </row>
    <row r="600">
      <c r="A600" s="1" t="s">
        <v>603</v>
      </c>
      <c r="B600" s="1" t="s">
        <v>5</v>
      </c>
      <c r="C600" s="2">
        <f>IFERROR(__xludf.DUMMYFUNCTION("IFERROR(VLOOKUP(A600, IMPORTRANGE(""https://docs.google.com/spreadsheets/d/1AVX9GT0dgogEBStecCXMMQ29tWz3gBrtNB8yIromXbY/edit?gid=741673867"", ""out1g!A:B""), 2, FALSE), 0)"),28.0)</f>
        <v>28</v>
      </c>
      <c r="D600" s="2" t="str">
        <f>IFERROR(__xludf.DUMMYFUNCTION("IFERROR(VLOOKUP(A600, IMPORTRANGE(""https://docs.google.com/spreadsheets/d/1-3Vjw2Cyy-mry5gbC8ypIR3YVGFfEpyFESummAta6sg/edit"", ""Sheet1!B:D""), 2, FALSE), ""Not Found"")"),"snaɪd")</f>
        <v>snaɪd</v>
      </c>
      <c r="E600" s="2" t="str">
        <f>IFERROR(__xludf.DUMMYFUNCTION("IFERROR(VLOOKUP(A600, IMPORTRANGE(""https://docs.google.com/spreadsheets/d/1-3Vjw2Cyy-mry5gbC8ypIR3YVGFfEpyFESummAta6sg/edit"", ""Sheet1!B:D""), 3, FALSE), ""Not Found"")"),"s n a ɪ d ")</f>
        <v>s n a ɪ d </v>
      </c>
    </row>
    <row r="601">
      <c r="A601" s="1" t="s">
        <v>604</v>
      </c>
      <c r="B601" s="1" t="s">
        <v>5</v>
      </c>
      <c r="C601" s="2">
        <f>IFERROR(__xludf.DUMMYFUNCTION("IFERROR(VLOOKUP(A601, IMPORTRANGE(""https://docs.google.com/spreadsheets/d/1AVX9GT0dgogEBStecCXMMQ29tWz3gBrtNB8yIromXbY/edit?gid=741673867"", ""out1g!A:B""), 2, FALSE), 0)"),857.0)</f>
        <v>857</v>
      </c>
      <c r="D601" s="2" t="str">
        <f>IFERROR(__xludf.DUMMYFUNCTION("IFERROR(VLOOKUP(A601, IMPORTRANGE(""https://docs.google.com/spreadsheets/d/1-3Vjw2Cyy-mry5gbC8ypIR3YVGFfEpyFESummAta6sg/edit"", ""Sheet1!B:D""), 2, FALSE), ""Not Found"")"),"fæktəri")</f>
        <v>fæktəri</v>
      </c>
      <c r="E601" s="2" t="str">
        <f>IFERROR(__xludf.DUMMYFUNCTION("IFERROR(VLOOKUP(A601, IMPORTRANGE(""https://docs.google.com/spreadsheets/d/1-3Vjw2Cyy-mry5gbC8ypIR3YVGFfEpyFESummAta6sg/edit"", ""Sheet1!B:D""), 3, FALSE), ""Not Found"")"),"f æ k t ə r i ")</f>
        <v>f æ k t ə r i </v>
      </c>
    </row>
    <row r="602">
      <c r="A602" s="1" t="s">
        <v>605</v>
      </c>
      <c r="B602" s="1" t="s">
        <v>5</v>
      </c>
      <c r="C602" s="2">
        <f>IFERROR(__xludf.DUMMYFUNCTION("IFERROR(VLOOKUP(A602, IMPORTRANGE(""https://docs.google.com/spreadsheets/d/1AVX9GT0dgogEBStecCXMMQ29tWz3gBrtNB8yIromXbY/edit?gid=741673867"", ""out1g!A:B""), 2, FALSE), 0)"),86.0)</f>
        <v>86</v>
      </c>
      <c r="D602" s="2" t="str">
        <f>IFERROR(__xludf.DUMMYFUNCTION("IFERROR(VLOOKUP(A602, IMPORTRANGE(""https://docs.google.com/spreadsheets/d/1-3Vjw2Cyy-mry5gbC8ypIR3YVGFfEpyFESummAta6sg/edit"", ""Sheet1!B:D""), 2, FALSE), ""Not Found"")"),"ʧɛz")</f>
        <v>ʧɛz</v>
      </c>
      <c r="E602" s="2" t="str">
        <f>IFERROR(__xludf.DUMMYFUNCTION("IFERROR(VLOOKUP(A602, IMPORTRANGE(""https://docs.google.com/spreadsheets/d/1-3Vjw2Cyy-mry5gbC8ypIR3YVGFfEpyFESummAta6sg/edit"", ""Sheet1!B:D""), 3, FALSE), ""Not Found"")"),"ʧ ɛ z ")</f>
        <v>ʧ ɛ z </v>
      </c>
    </row>
    <row r="603">
      <c r="A603" s="1" t="s">
        <v>606</v>
      </c>
      <c r="B603" s="1" t="s">
        <v>5</v>
      </c>
      <c r="C603" s="2">
        <f>IFERROR(__xludf.DUMMYFUNCTION("IFERROR(VLOOKUP(A603, IMPORTRANGE(""https://docs.google.com/spreadsheets/d/1AVX9GT0dgogEBStecCXMMQ29tWz3gBrtNB8yIromXbY/edit?gid=741673867"", ""out1g!A:B""), 2, FALSE), 0)"),334.0)</f>
        <v>334</v>
      </c>
      <c r="D603" s="2" t="str">
        <f>IFERROR(__xludf.DUMMYFUNCTION("IFERROR(VLOOKUP(A603, IMPORTRANGE(""https://docs.google.com/spreadsheets/d/1-3Vjw2Cyy-mry5gbC8ypIR3YVGFfEpyFESummAta6sg/edit"", ""Sheet1!B:D""), 2, FALSE), ""Not Found"")"),"saɪrən")</f>
        <v>saɪrən</v>
      </c>
      <c r="E603" s="2" t="str">
        <f>IFERROR(__xludf.DUMMYFUNCTION("IFERROR(VLOOKUP(A603, IMPORTRANGE(""https://docs.google.com/spreadsheets/d/1-3Vjw2Cyy-mry5gbC8ypIR3YVGFfEpyFESummAta6sg/edit"", ""Sheet1!B:D""), 3, FALSE), ""Not Found"")"),"s a ɪ r ə n ")</f>
        <v>s a ɪ r ə n </v>
      </c>
    </row>
    <row r="604">
      <c r="A604" s="1" t="s">
        <v>607</v>
      </c>
      <c r="B604" s="1" t="s">
        <v>5</v>
      </c>
      <c r="C604" s="2">
        <f>IFERROR(__xludf.DUMMYFUNCTION("IFERROR(VLOOKUP(A604, IMPORTRANGE(""https://docs.google.com/spreadsheets/d/1AVX9GT0dgogEBStecCXMMQ29tWz3gBrtNB8yIromXbY/edit?gid=741673867"", ""out1g!A:B""), 2, FALSE), 0)"),2246.0)</f>
        <v>2246</v>
      </c>
      <c r="D604" s="2" t="str">
        <f>IFERROR(__xludf.DUMMYFUNCTION("IFERROR(VLOOKUP(A604, IMPORTRANGE(""https://docs.google.com/spreadsheets/d/1-3Vjw2Cyy-mry5gbC8ypIR3YVGFfEpyFESummAta6sg/edit"", ""Sheet1!B:D""), 2, FALSE), ""Not Found"")"),"faɪl")</f>
        <v>faɪl</v>
      </c>
      <c r="E604" s="2" t="str">
        <f>IFERROR(__xludf.DUMMYFUNCTION("IFERROR(VLOOKUP(A604, IMPORTRANGE(""https://docs.google.com/spreadsheets/d/1-3Vjw2Cyy-mry5gbC8ypIR3YVGFfEpyFESummAta6sg/edit"", ""Sheet1!B:D""), 3, FALSE), ""Not Found"")"),"f a ɪ l ")</f>
        <v>f a ɪ l </v>
      </c>
    </row>
    <row r="605">
      <c r="A605" s="1" t="s">
        <v>608</v>
      </c>
      <c r="B605" s="1" t="s">
        <v>5</v>
      </c>
      <c r="C605" s="2">
        <f>IFERROR(__xludf.DUMMYFUNCTION("IFERROR(VLOOKUP(A605, IMPORTRANGE(""https://docs.google.com/spreadsheets/d/1AVX9GT0dgogEBStecCXMMQ29tWz3gBrtNB8yIromXbY/edit?gid=741673867"", ""out1g!A:B""), 2, FALSE), 0)"),124.0)</f>
        <v>124</v>
      </c>
      <c r="D605" s="2" t="str">
        <f>IFERROR(__xludf.DUMMYFUNCTION("IFERROR(VLOOKUP(A605, IMPORTRANGE(""https://docs.google.com/spreadsheets/d/1-3Vjw2Cyy-mry5gbC8ypIR3YVGFfEpyFESummAta6sg/edit"", ""Sheet1!B:D""), 2, FALSE), ""Not Found"")"),"poʊlkɑ")</f>
        <v>poʊlkɑ</v>
      </c>
      <c r="E605" s="2" t="str">
        <f>IFERROR(__xludf.DUMMYFUNCTION("IFERROR(VLOOKUP(A605, IMPORTRANGE(""https://docs.google.com/spreadsheets/d/1-3Vjw2Cyy-mry5gbC8ypIR3YVGFfEpyFESummAta6sg/edit"", ""Sheet1!B:D""), 3, FALSE), ""Not Found"")"),"p o ʊ l k ɑ ")</f>
        <v>p o ʊ l k ɑ </v>
      </c>
    </row>
    <row r="606">
      <c r="A606" s="1" t="s">
        <v>609</v>
      </c>
      <c r="B606" s="1" t="s">
        <v>5</v>
      </c>
      <c r="C606" s="2">
        <f>IFERROR(__xludf.DUMMYFUNCTION("IFERROR(VLOOKUP(A606, IMPORTRANGE(""https://docs.google.com/spreadsheets/d/1AVX9GT0dgogEBStecCXMMQ29tWz3gBrtNB8yIromXbY/edit?gid=741673867"", ""out1g!A:B""), 2, FALSE), 0)"),90.0)</f>
        <v>90</v>
      </c>
      <c r="D606" s="2" t="str">
        <f>IFERROR(__xludf.DUMMYFUNCTION("IFERROR(VLOOKUP(A606, IMPORTRANGE(""https://docs.google.com/spreadsheets/d/1-3Vjw2Cyy-mry5gbC8ypIR3YVGFfEpyFESummAta6sg/edit"", ""Sheet1!B:D""), 2, FALSE), ""Not Found"")"),"skimz")</f>
        <v>skimz</v>
      </c>
      <c r="E606" s="2" t="str">
        <f>IFERROR(__xludf.DUMMYFUNCTION("IFERROR(VLOOKUP(A606, IMPORTRANGE(""https://docs.google.com/spreadsheets/d/1-3Vjw2Cyy-mry5gbC8ypIR3YVGFfEpyFESummAta6sg/edit"", ""Sheet1!B:D""), 3, FALSE), ""Not Found"")"),"s k i m z ")</f>
        <v>s k i m z </v>
      </c>
    </row>
    <row r="607">
      <c r="A607" s="1" t="s">
        <v>610</v>
      </c>
      <c r="B607" s="1" t="s">
        <v>5</v>
      </c>
      <c r="C607" s="2">
        <f>IFERROR(__xludf.DUMMYFUNCTION("IFERROR(VLOOKUP(A607, IMPORTRANGE(""https://docs.google.com/spreadsheets/d/1AVX9GT0dgogEBStecCXMMQ29tWz3gBrtNB8yIromXbY/edit?gid=741673867"", ""out1g!A:B""), 2, FALSE), 0)"),237.0)</f>
        <v>237</v>
      </c>
      <c r="D607" s="2" t="str">
        <f>IFERROR(__xludf.DUMMYFUNCTION("IFERROR(VLOOKUP(A607, IMPORTRANGE(""https://docs.google.com/spreadsheets/d/1-3Vjw2Cyy-mry5gbC8ypIR3YVGFfEpyFESummAta6sg/edit"", ""Sheet1!B:D""), 2, FALSE), ""Not Found"")"),"piz")</f>
        <v>piz</v>
      </c>
      <c r="E607" s="2" t="str">
        <f>IFERROR(__xludf.DUMMYFUNCTION("IFERROR(VLOOKUP(A607, IMPORTRANGE(""https://docs.google.com/spreadsheets/d/1-3Vjw2Cyy-mry5gbC8ypIR3YVGFfEpyFESummAta6sg/edit"", ""Sheet1!B:D""), 3, FALSE), ""Not Found"")"),"p i z ")</f>
        <v>p i z </v>
      </c>
    </row>
    <row r="608">
      <c r="A608" s="1" t="s">
        <v>611</v>
      </c>
      <c r="B608" s="1" t="s">
        <v>5</v>
      </c>
      <c r="C608" s="2">
        <f>IFERROR(__xludf.DUMMYFUNCTION("IFERROR(VLOOKUP(A608, IMPORTRANGE(""https://docs.google.com/spreadsheets/d/1AVX9GT0dgogEBStecCXMMQ29tWz3gBrtNB8yIromXbY/edit?gid=741673867"", ""out1g!A:B""), 2, FALSE), 0)"),173.0)</f>
        <v>173</v>
      </c>
      <c r="D608" s="2" t="str">
        <f>IFERROR(__xludf.DUMMYFUNCTION("IFERROR(VLOOKUP(A608, IMPORTRANGE(""https://docs.google.com/spreadsheets/d/1-3Vjw2Cyy-mry5gbC8ypIR3YVGFfEpyFESummAta6sg/edit"", ""Sheet1!B:D""), 2, FALSE), ""Not Found"")"),"spɑrki")</f>
        <v>spɑrki</v>
      </c>
      <c r="E608" s="2" t="str">
        <f>IFERROR(__xludf.DUMMYFUNCTION("IFERROR(VLOOKUP(A608, IMPORTRANGE(""https://docs.google.com/spreadsheets/d/1-3Vjw2Cyy-mry5gbC8ypIR3YVGFfEpyFESummAta6sg/edit"", ""Sheet1!B:D""), 3, FALSE), ""Not Found"")"),"s p ɑ r k i ")</f>
        <v>s p ɑ r k i </v>
      </c>
    </row>
    <row r="609">
      <c r="A609" s="1" t="s">
        <v>612</v>
      </c>
      <c r="B609" s="1" t="s">
        <v>5</v>
      </c>
      <c r="C609" s="2">
        <f>IFERROR(__xludf.DUMMYFUNCTION("IFERROR(VLOOKUP(A609, IMPORTRANGE(""https://docs.google.com/spreadsheets/d/1AVX9GT0dgogEBStecCXMMQ29tWz3gBrtNB8yIromXbY/edit?gid=741673867"", ""out1g!A:B""), 2, FALSE), 0)"),1180.0)</f>
        <v>1180</v>
      </c>
      <c r="D609" s="2" t="str">
        <f>IFERROR(__xludf.DUMMYFUNCTION("IFERROR(VLOOKUP(A609, IMPORTRANGE(""https://docs.google.com/spreadsheets/d/1-3Vjw2Cyy-mry5gbC8ypIR3YVGFfEpyFESummAta6sg/edit"", ""Sheet1!B:D""), 2, FALSE), ""Not Found"")"),"bərnz")</f>
        <v>bərnz</v>
      </c>
      <c r="E609" s="2" t="str">
        <f>IFERROR(__xludf.DUMMYFUNCTION("IFERROR(VLOOKUP(A609, IMPORTRANGE(""https://docs.google.com/spreadsheets/d/1-3Vjw2Cyy-mry5gbC8ypIR3YVGFfEpyFESummAta6sg/edit"", ""Sheet1!B:D""), 3, FALSE), ""Not Found"")"),"b ə r n z ")</f>
        <v>b ə r n z </v>
      </c>
    </row>
    <row r="610">
      <c r="A610" s="1" t="s">
        <v>613</v>
      </c>
      <c r="B610" s="1" t="s">
        <v>5</v>
      </c>
      <c r="C610" s="2">
        <f>IFERROR(__xludf.DUMMYFUNCTION("IFERROR(VLOOKUP(A610, IMPORTRANGE(""https://docs.google.com/spreadsheets/d/1AVX9GT0dgogEBStecCXMMQ29tWz3gBrtNB8yIromXbY/edit?gid=741673867"", ""out1g!A:B""), 2, FALSE), 0)"),488.0)</f>
        <v>488</v>
      </c>
      <c r="D610" s="2" t="str">
        <f>IFERROR(__xludf.DUMMYFUNCTION("IFERROR(VLOOKUP(A610, IMPORTRANGE(""https://docs.google.com/spreadsheets/d/1-3Vjw2Cyy-mry5gbC8ypIR3YVGFfEpyFESummAta6sg/edit"", ""Sheet1!B:D""), 2, FALSE), ""Not Found"")"),"bərnt")</f>
        <v>bərnt</v>
      </c>
      <c r="E610" s="2" t="str">
        <f>IFERROR(__xludf.DUMMYFUNCTION("IFERROR(VLOOKUP(A610, IMPORTRANGE(""https://docs.google.com/spreadsheets/d/1-3Vjw2Cyy-mry5gbC8ypIR3YVGFfEpyFESummAta6sg/edit"", ""Sheet1!B:D""), 3, FALSE), ""Not Found"")"),"b ə r n t ")</f>
        <v>b ə r n t </v>
      </c>
    </row>
    <row r="611">
      <c r="A611" s="1" t="s">
        <v>614</v>
      </c>
      <c r="B611" s="1" t="s">
        <v>5</v>
      </c>
      <c r="C611" s="2">
        <f>IFERROR(__xludf.DUMMYFUNCTION("IFERROR(VLOOKUP(A611, IMPORTRANGE(""https://docs.google.com/spreadsheets/d/1AVX9GT0dgogEBStecCXMMQ29tWz3gBrtNB8yIromXbY/edit?gid=741673867"", ""out1g!A:B""), 2, FALSE), 0)"),57.0)</f>
        <v>57</v>
      </c>
      <c r="D611" s="2" t="str">
        <f>IFERROR(__xludf.DUMMYFUNCTION("IFERROR(VLOOKUP(A611, IMPORTRANGE(""https://docs.google.com/spreadsheets/d/1-3Vjw2Cyy-mry5gbC8ypIR3YVGFfEpyFESummAta6sg/edit"", ""Sheet1!B:D""), 2, FALSE), ""Not Found"")"),"lɔnz")</f>
        <v>lɔnz</v>
      </c>
      <c r="E611" s="2" t="str">
        <f>IFERROR(__xludf.DUMMYFUNCTION("IFERROR(VLOOKUP(A611, IMPORTRANGE(""https://docs.google.com/spreadsheets/d/1-3Vjw2Cyy-mry5gbC8ypIR3YVGFfEpyFESummAta6sg/edit"", ""Sheet1!B:D""), 3, FALSE), ""Not Found"")"),"l ɔ n z ")</f>
        <v>l ɔ n z </v>
      </c>
    </row>
    <row r="612">
      <c r="A612" s="1" t="s">
        <v>615</v>
      </c>
      <c r="B612" s="1" t="s">
        <v>5</v>
      </c>
      <c r="C612" s="2">
        <f>IFERROR(__xludf.DUMMYFUNCTION("IFERROR(VLOOKUP(A612, IMPORTRANGE(""https://docs.google.com/spreadsheets/d/1AVX9GT0dgogEBStecCXMMQ29tWz3gBrtNB8yIromXbY/edit?gid=741673867"", ""out1g!A:B""), 2, FALSE), 0)"),329.0)</f>
        <v>329</v>
      </c>
      <c r="D612" s="2" t="str">
        <f>IFERROR(__xludf.DUMMYFUNCTION("IFERROR(VLOOKUP(A612, IMPORTRANGE(""https://docs.google.com/spreadsheets/d/1-3Vjw2Cyy-mry5gbC8ypIR3YVGFfEpyFESummAta6sg/edit"", ""Sheet1!B:D""), 2, FALSE), ""Not Found"")"),"bipɪŋ")</f>
        <v>bipɪŋ</v>
      </c>
      <c r="E612" s="2" t="str">
        <f>IFERROR(__xludf.DUMMYFUNCTION("IFERROR(VLOOKUP(A612, IMPORTRANGE(""https://docs.google.com/spreadsheets/d/1-3Vjw2Cyy-mry5gbC8ypIR3YVGFfEpyFESummAta6sg/edit"", ""Sheet1!B:D""), 3, FALSE), ""Not Found"")"),"b i p ɪ ŋ ")</f>
        <v>b i p ɪ ŋ </v>
      </c>
    </row>
    <row r="613">
      <c r="A613" s="1" t="s">
        <v>616</v>
      </c>
      <c r="B613" s="1" t="s">
        <v>5</v>
      </c>
      <c r="C613" s="2">
        <f>IFERROR(__xludf.DUMMYFUNCTION("IFERROR(VLOOKUP(A613, IMPORTRANGE(""https://docs.google.com/spreadsheets/d/1AVX9GT0dgogEBStecCXMMQ29tWz3gBrtNB8yIromXbY/edit?gid=741673867"", ""out1g!A:B""), 2, FALSE), 0)"),62.0)</f>
        <v>62</v>
      </c>
      <c r="D613" s="2" t="str">
        <f>IFERROR(__xludf.DUMMYFUNCTION("IFERROR(VLOOKUP(A613, IMPORTRANGE(""https://docs.google.com/spreadsheets/d/1-3Vjw2Cyy-mry5gbC8ypIR3YVGFfEpyFESummAta6sg/edit"", ""Sheet1!B:D""), 2, FALSE), ""Not Found"")"),"aɪl")</f>
        <v>aɪl</v>
      </c>
      <c r="E613" s="2" t="str">
        <f>IFERROR(__xludf.DUMMYFUNCTION("IFERROR(VLOOKUP(A613, IMPORTRANGE(""https://docs.google.com/spreadsheets/d/1-3Vjw2Cyy-mry5gbC8ypIR3YVGFfEpyFESummAta6sg/edit"", ""Sheet1!B:D""), 3, FALSE), ""Not Found"")"),"a ɪ l ")</f>
        <v>a ɪ l </v>
      </c>
    </row>
    <row r="614">
      <c r="A614" s="1" t="s">
        <v>617</v>
      </c>
      <c r="B614" s="1" t="s">
        <v>5</v>
      </c>
      <c r="C614" s="2">
        <f>IFERROR(__xludf.DUMMYFUNCTION("IFERROR(VLOOKUP(A614, IMPORTRANGE(""https://docs.google.com/spreadsheets/d/1AVX9GT0dgogEBStecCXMMQ29tWz3gBrtNB8yIromXbY/edit?gid=741673867"", ""out1g!A:B""), 2, FALSE), 0)"),5986.0)</f>
        <v>5986</v>
      </c>
      <c r="D614" s="2" t="str">
        <f>IFERROR(__xludf.DUMMYFUNCTION("IFERROR(VLOOKUP(A614, IMPORTRANGE(""https://docs.google.com/spreadsheets/d/1-3Vjw2Cyy-mry5gbC8ypIR3YVGFfEpyFESummAta6sg/edit"", ""Sheet1!B:D""), 2, FALSE), ""Not Found"")"),"teks")</f>
        <v>teks</v>
      </c>
      <c r="E614" s="2" t="str">
        <f>IFERROR(__xludf.DUMMYFUNCTION("IFERROR(VLOOKUP(A614, IMPORTRANGE(""https://docs.google.com/spreadsheets/d/1-3Vjw2Cyy-mry5gbC8ypIR3YVGFfEpyFESummAta6sg/edit"", ""Sheet1!B:D""), 3, FALSE), ""Not Found"")"),"t e k s ")</f>
        <v>t e k s </v>
      </c>
    </row>
    <row r="615">
      <c r="A615" s="1" t="s">
        <v>618</v>
      </c>
      <c r="B615" s="1" t="s">
        <v>5</v>
      </c>
      <c r="C615" s="2">
        <f>IFERROR(__xludf.DUMMYFUNCTION("IFERROR(VLOOKUP(A615, IMPORTRANGE(""https://docs.google.com/spreadsheets/d/1AVX9GT0dgogEBStecCXMMQ29tWz3gBrtNB8yIromXbY/edit?gid=741673867"", ""out1g!A:B""), 2, FALSE), 0)"),208.0)</f>
        <v>208</v>
      </c>
      <c r="D615" s="2" t="str">
        <f>IFERROR(__xludf.DUMMYFUNCTION("IFERROR(VLOOKUP(A615, IMPORTRANGE(""https://docs.google.com/spreadsheets/d/1-3Vjw2Cyy-mry5gbC8ypIR3YVGFfEpyFESummAta6sg/edit"", ""Sheet1!B:D""), 2, FALSE), ""Not Found"")"),"læbz")</f>
        <v>læbz</v>
      </c>
      <c r="E615" s="2" t="str">
        <f>IFERROR(__xludf.DUMMYFUNCTION("IFERROR(VLOOKUP(A615, IMPORTRANGE(""https://docs.google.com/spreadsheets/d/1-3Vjw2Cyy-mry5gbC8ypIR3YVGFfEpyFESummAta6sg/edit"", ""Sheet1!B:D""), 3, FALSE), ""Not Found"")"),"l æ b z ")</f>
        <v>l æ b z </v>
      </c>
    </row>
    <row r="616">
      <c r="A616" s="1" t="s">
        <v>619</v>
      </c>
      <c r="B616" s="1" t="s">
        <v>5</v>
      </c>
      <c r="C616" s="2">
        <f>IFERROR(__xludf.DUMMYFUNCTION("IFERROR(VLOOKUP(A616, IMPORTRANGE(""https://docs.google.com/spreadsheets/d/1AVX9GT0dgogEBStecCXMMQ29tWz3gBrtNB8yIromXbY/edit?gid=741673867"", ""out1g!A:B""), 2, FALSE), 0)"),10.0)</f>
        <v>10</v>
      </c>
      <c r="D616" s="2" t="str">
        <f>IFERROR(__xludf.DUMMYFUNCTION("IFERROR(VLOOKUP(A616, IMPORTRANGE(""https://docs.google.com/spreadsheets/d/1-3Vjw2Cyy-mry5gbC8ypIR3YVGFfEpyFESummAta6sg/edit"", ""Sheet1!B:D""), 2, FALSE), ""Not Found"")"),"hɪli")</f>
        <v>hɪli</v>
      </c>
      <c r="E616" s="2" t="str">
        <f>IFERROR(__xludf.DUMMYFUNCTION("IFERROR(VLOOKUP(A616, IMPORTRANGE(""https://docs.google.com/spreadsheets/d/1-3Vjw2Cyy-mry5gbC8ypIR3YVGFfEpyFESummAta6sg/edit"", ""Sheet1!B:D""), 3, FALSE), ""Not Found"")"),"h ɪ l i ")</f>
        <v>h ɪ l i </v>
      </c>
    </row>
    <row r="617">
      <c r="A617" s="1" t="s">
        <v>620</v>
      </c>
      <c r="B617" s="1" t="s">
        <v>5</v>
      </c>
      <c r="C617" s="2">
        <f>IFERROR(__xludf.DUMMYFUNCTION("IFERROR(VLOOKUP(A617, IMPORTRANGE(""https://docs.google.com/spreadsheets/d/1AVX9GT0dgogEBStecCXMMQ29tWz3gBrtNB8yIromXbY/edit?gid=741673867"", ""out1g!A:B""), 2, FALSE), 0)"),596.0)</f>
        <v>596</v>
      </c>
      <c r="D617" s="2" t="str">
        <f>IFERROR(__xludf.DUMMYFUNCTION("IFERROR(VLOOKUP(A617, IMPORTRANGE(""https://docs.google.com/spreadsheets/d/1-3Vjw2Cyy-mry5gbC8ypIR3YVGFfEpyFESummAta6sg/edit"", ""Sheet1!B:D""), 2, FALSE), ""Not Found"")"),"hɪd")</f>
        <v>hɪd</v>
      </c>
      <c r="E617" s="2" t="str">
        <f>IFERROR(__xludf.DUMMYFUNCTION("IFERROR(VLOOKUP(A617, IMPORTRANGE(""https://docs.google.com/spreadsheets/d/1-3Vjw2Cyy-mry5gbC8ypIR3YVGFfEpyFESummAta6sg/edit"", ""Sheet1!B:D""), 3, FALSE), ""Not Found"")"),"h ɪ d ")</f>
        <v>h ɪ d </v>
      </c>
    </row>
    <row r="618">
      <c r="A618" s="1" t="s">
        <v>621</v>
      </c>
      <c r="B618" s="1" t="s">
        <v>5</v>
      </c>
      <c r="C618" s="2">
        <f>IFERROR(__xludf.DUMMYFUNCTION("IFERROR(VLOOKUP(A618, IMPORTRANGE(""https://docs.google.com/spreadsheets/d/1AVX9GT0dgogEBStecCXMMQ29tWz3gBrtNB8yIromXbY/edit?gid=741673867"", ""out1g!A:B""), 2, FALSE), 0)"),210.0)</f>
        <v>210</v>
      </c>
      <c r="D618" s="2" t="str">
        <f>IFERROR(__xludf.DUMMYFUNCTION("IFERROR(VLOOKUP(A618, IMPORTRANGE(""https://docs.google.com/spreadsheets/d/1-3Vjw2Cyy-mry5gbC8ypIR3YVGFfEpyFESummAta6sg/edit"", ""Sheet1!B:D""), 2, FALSE), ""Not Found"")"),"kɑki")</f>
        <v>kɑki</v>
      </c>
      <c r="E618" s="2" t="str">
        <f>IFERROR(__xludf.DUMMYFUNCTION("IFERROR(VLOOKUP(A618, IMPORTRANGE(""https://docs.google.com/spreadsheets/d/1-3Vjw2Cyy-mry5gbC8ypIR3YVGFfEpyFESummAta6sg/edit"", ""Sheet1!B:D""), 3, FALSE), ""Not Found"")"),"k ɑ k i ")</f>
        <v>k ɑ k i </v>
      </c>
    </row>
    <row r="619">
      <c r="A619" s="1" t="s">
        <v>622</v>
      </c>
      <c r="B619" s="1" t="s">
        <v>5</v>
      </c>
      <c r="C619" s="2">
        <f>IFERROR(__xludf.DUMMYFUNCTION("IFERROR(VLOOKUP(A619, IMPORTRANGE(""https://docs.google.com/spreadsheets/d/1AVX9GT0dgogEBStecCXMMQ29tWz3gBrtNB8yIromXbY/edit?gid=741673867"", ""out1g!A:B""), 2, FALSE), 0)"),52.0)</f>
        <v>52</v>
      </c>
      <c r="D619" s="2" t="str">
        <f>IFERROR(__xludf.DUMMYFUNCTION("IFERROR(VLOOKUP(A619, IMPORTRANGE(""https://docs.google.com/spreadsheets/d/1-3Vjw2Cyy-mry5gbC8ypIR3YVGFfEpyFESummAta6sg/edit"", ""Sheet1!B:D""), 2, FALSE), ""Not Found"")"),"zɪt")</f>
        <v>zɪt</v>
      </c>
      <c r="E619" s="2" t="str">
        <f>IFERROR(__xludf.DUMMYFUNCTION("IFERROR(VLOOKUP(A619, IMPORTRANGE(""https://docs.google.com/spreadsheets/d/1-3Vjw2Cyy-mry5gbC8ypIR3YVGFfEpyFESummAta6sg/edit"", ""Sheet1!B:D""), 3, FALSE), ""Not Found"")"),"z ɪ t ")</f>
        <v>z ɪ t </v>
      </c>
    </row>
    <row r="620">
      <c r="A620" s="1" t="s">
        <v>623</v>
      </c>
      <c r="B620" s="1" t="s">
        <v>5</v>
      </c>
      <c r="C620" s="2">
        <f>IFERROR(__xludf.DUMMYFUNCTION("IFERROR(VLOOKUP(A620, IMPORTRANGE(""https://docs.google.com/spreadsheets/d/1AVX9GT0dgogEBStecCXMMQ29tWz3gBrtNB8yIromXbY/edit?gid=741673867"", ""out1g!A:B""), 2, FALSE), 0)"),434.0)</f>
        <v>434</v>
      </c>
      <c r="D620" s="2" t="str">
        <f>IFERROR(__xludf.DUMMYFUNCTION("IFERROR(VLOOKUP(A620, IMPORTRANGE(""https://docs.google.com/spreadsheets/d/1-3Vjw2Cyy-mry5gbC8ypIR3YVGFfEpyFESummAta6sg/edit"", ""Sheet1!B:D""), 2, FALSE), ""Not Found"")"),"gæləri")</f>
        <v>gæləri</v>
      </c>
      <c r="E620" s="2" t="str">
        <f>IFERROR(__xludf.DUMMYFUNCTION("IFERROR(VLOOKUP(A620, IMPORTRANGE(""https://docs.google.com/spreadsheets/d/1-3Vjw2Cyy-mry5gbC8ypIR3YVGFfEpyFESummAta6sg/edit"", ""Sheet1!B:D""), 3, FALSE), ""Not Found"")"),"g æ l ə r i ")</f>
        <v>g æ l ə r i </v>
      </c>
    </row>
    <row r="621">
      <c r="A621" s="1" t="s">
        <v>624</v>
      </c>
      <c r="B621" s="1" t="s">
        <v>5</v>
      </c>
      <c r="C621" s="2">
        <f>IFERROR(__xludf.DUMMYFUNCTION("IFERROR(VLOOKUP(A621, IMPORTRANGE(""https://docs.google.com/spreadsheets/d/1AVX9GT0dgogEBStecCXMMQ29tWz3gBrtNB8yIromXbY/edit?gid=741673867"", ""out1g!A:B""), 2, FALSE), 0)"),646.0)</f>
        <v>646</v>
      </c>
      <c r="D621" s="2" t="str">
        <f>IFERROR(__xludf.DUMMYFUNCTION("IFERROR(VLOOKUP(A621, IMPORTRANGE(""https://docs.google.com/spreadsheets/d/1-3Vjw2Cyy-mry5gbC8ypIR3YVGFfEpyFESummAta6sg/edit"", ""Sheet1!B:D""), 2, FALSE), ""Not Found"")"),"haɪəst")</f>
        <v>haɪəst</v>
      </c>
      <c r="E621" s="2" t="str">
        <f>IFERROR(__xludf.DUMMYFUNCTION("IFERROR(VLOOKUP(A621, IMPORTRANGE(""https://docs.google.com/spreadsheets/d/1-3Vjw2Cyy-mry5gbC8ypIR3YVGFfEpyFESummAta6sg/edit"", ""Sheet1!B:D""), 3, FALSE), ""Not Found"")"),"h a ɪ ə s t ")</f>
        <v>h a ɪ ə s t </v>
      </c>
    </row>
    <row r="622">
      <c r="A622" s="1" t="s">
        <v>625</v>
      </c>
      <c r="B622" s="1" t="s">
        <v>5</v>
      </c>
      <c r="C622" s="2">
        <f>IFERROR(__xludf.DUMMYFUNCTION("IFERROR(VLOOKUP(A622, IMPORTRANGE(""https://docs.google.com/spreadsheets/d/1AVX9GT0dgogEBStecCXMMQ29tWz3gBrtNB8yIromXbY/edit?gid=741673867"", ""out1g!A:B""), 2, FALSE), 0)"),85.0)</f>
        <v>85</v>
      </c>
      <c r="D622" s="2" t="str">
        <f>IFERROR(__xludf.DUMMYFUNCTION("IFERROR(VLOOKUP(A622, IMPORTRANGE(""https://docs.google.com/spreadsheets/d/1-3Vjw2Cyy-mry5gbC8ypIR3YVGFfEpyFESummAta6sg/edit"", ""Sheet1!B:D""), 2, FALSE), ""Not Found"")"),"straɪf")</f>
        <v>straɪf</v>
      </c>
      <c r="E622" s="2" t="str">
        <f>IFERROR(__xludf.DUMMYFUNCTION("IFERROR(VLOOKUP(A622, IMPORTRANGE(""https://docs.google.com/spreadsheets/d/1-3Vjw2Cyy-mry5gbC8ypIR3YVGFfEpyFESummAta6sg/edit"", ""Sheet1!B:D""), 3, FALSE), ""Not Found"")"),"s t r a ɪ f ")</f>
        <v>s t r a ɪ f </v>
      </c>
    </row>
    <row r="623">
      <c r="A623" s="1" t="s">
        <v>626</v>
      </c>
      <c r="B623" s="1" t="s">
        <v>5</v>
      </c>
      <c r="C623" s="2">
        <f>IFERROR(__xludf.DUMMYFUNCTION("IFERROR(VLOOKUP(A623, IMPORTRANGE(""https://docs.google.com/spreadsheets/d/1AVX9GT0dgogEBStecCXMMQ29tWz3gBrtNB8yIromXbY/edit?gid=741673867"", ""out1g!A:B""), 2, FALSE), 0)"),129.0)</f>
        <v>129</v>
      </c>
      <c r="D623" s="2" t="str">
        <f>IFERROR(__xludf.DUMMYFUNCTION("IFERROR(VLOOKUP(A623, IMPORTRANGE(""https://docs.google.com/spreadsheets/d/1-3Vjw2Cyy-mry5gbC8ypIR3YVGFfEpyFESummAta6sg/edit"", ""Sheet1!B:D""), 2, FALSE), ""Not Found"")"),"bubi")</f>
        <v>bubi</v>
      </c>
      <c r="E623" s="2" t="str">
        <f>IFERROR(__xludf.DUMMYFUNCTION("IFERROR(VLOOKUP(A623, IMPORTRANGE(""https://docs.google.com/spreadsheets/d/1-3Vjw2Cyy-mry5gbC8ypIR3YVGFfEpyFESummAta6sg/edit"", ""Sheet1!B:D""), 3, FALSE), ""Not Found"")"),"b u b i ")</f>
        <v>b u b i </v>
      </c>
    </row>
    <row r="624">
      <c r="A624" s="1" t="s">
        <v>627</v>
      </c>
      <c r="B624" s="1" t="s">
        <v>5</v>
      </c>
      <c r="C624" s="2">
        <f>IFERROR(__xludf.DUMMYFUNCTION("IFERROR(VLOOKUP(A624, IMPORTRANGE(""https://docs.google.com/spreadsheets/d/1AVX9GT0dgogEBStecCXMMQ29tWz3gBrtNB8yIromXbY/edit?gid=741673867"", ""out1g!A:B""), 2, FALSE), 0)"),445.0)</f>
        <v>445</v>
      </c>
      <c r="D624" s="2" t="str">
        <f>IFERROR(__xludf.DUMMYFUNCTION("IFERROR(VLOOKUP(A624, IMPORTRANGE(""https://docs.google.com/spreadsheets/d/1-3Vjw2Cyy-mry5gbC8ypIR3YVGFfEpyFESummAta6sg/edit"", ""Sheet1!B:D""), 2, FALSE), ""Not Found"")"),"bim")</f>
        <v>bim</v>
      </c>
      <c r="E624" s="2" t="str">
        <f>IFERROR(__xludf.DUMMYFUNCTION("IFERROR(VLOOKUP(A624, IMPORTRANGE(""https://docs.google.com/spreadsheets/d/1-3Vjw2Cyy-mry5gbC8ypIR3YVGFfEpyFESummAta6sg/edit"", ""Sheet1!B:D""), 3, FALSE), ""Not Found"")"),"b i m ")</f>
        <v>b i m </v>
      </c>
    </row>
    <row r="625">
      <c r="A625" s="1" t="s">
        <v>628</v>
      </c>
      <c r="B625" s="1" t="s">
        <v>5</v>
      </c>
      <c r="C625" s="2">
        <f>IFERROR(__xludf.DUMMYFUNCTION("IFERROR(VLOOKUP(A625, IMPORTRANGE(""https://docs.google.com/spreadsheets/d/1AVX9GT0dgogEBStecCXMMQ29tWz3gBrtNB8yIromXbY/edit?gid=741673867"", ""out1g!A:B""), 2, FALSE), 0)"),1320.0)</f>
        <v>1320</v>
      </c>
      <c r="D625" s="2" t="str">
        <f>IFERROR(__xludf.DUMMYFUNCTION("IFERROR(VLOOKUP(A625, IMPORTRANGE(""https://docs.google.com/spreadsheets/d/1-3Vjw2Cyy-mry5gbC8ypIR3YVGFfEpyFESummAta6sg/edit"", ""Sheet1!B:D""), 2, FALSE), ""Not Found"")"),"bərdz")</f>
        <v>bərdz</v>
      </c>
      <c r="E625" s="2" t="str">
        <f>IFERROR(__xludf.DUMMYFUNCTION("IFERROR(VLOOKUP(A625, IMPORTRANGE(""https://docs.google.com/spreadsheets/d/1-3Vjw2Cyy-mry5gbC8ypIR3YVGFfEpyFESummAta6sg/edit"", ""Sheet1!B:D""), 3, FALSE), ""Not Found"")"),"b ə r d z ")</f>
        <v>b ə r d z </v>
      </c>
    </row>
    <row r="626">
      <c r="A626" s="1" t="s">
        <v>629</v>
      </c>
      <c r="B626" s="1" t="s">
        <v>5</v>
      </c>
      <c r="C626" s="2">
        <f>IFERROR(__xludf.DUMMYFUNCTION("IFERROR(VLOOKUP(A626, IMPORTRANGE(""https://docs.google.com/spreadsheets/d/1AVX9GT0dgogEBStecCXMMQ29tWz3gBrtNB8yIromXbY/edit?gid=741673867"", ""out1g!A:B""), 2, FALSE), 0)"),610.0)</f>
        <v>610</v>
      </c>
      <c r="D626" s="2" t="str">
        <f>IFERROR(__xludf.DUMMYFUNCTION("IFERROR(VLOOKUP(A626, IMPORTRANGE(""https://docs.google.com/spreadsheets/d/1-3Vjw2Cyy-mry5gbC8ypIR3YVGFfEpyFESummAta6sg/edit"", ""Sheet1!B:D""), 2, FALSE), ""Not Found"")"),"sɛlz")</f>
        <v>sɛlz</v>
      </c>
      <c r="E626" s="2" t="str">
        <f>IFERROR(__xludf.DUMMYFUNCTION("IFERROR(VLOOKUP(A626, IMPORTRANGE(""https://docs.google.com/spreadsheets/d/1-3Vjw2Cyy-mry5gbC8ypIR3YVGFfEpyFESummAta6sg/edit"", ""Sheet1!B:D""), 3, FALSE), ""Not Found"")"),"s ɛ l z ")</f>
        <v>s ɛ l z </v>
      </c>
    </row>
    <row r="627">
      <c r="A627" s="1" t="s">
        <v>630</v>
      </c>
      <c r="B627" s="1" t="s">
        <v>5</v>
      </c>
      <c r="C627" s="2">
        <f>IFERROR(__xludf.DUMMYFUNCTION("IFERROR(VLOOKUP(A627, IMPORTRANGE(""https://docs.google.com/spreadsheets/d/1AVX9GT0dgogEBStecCXMMQ29tWz3gBrtNB8yIromXbY/edit?gid=741673867"", ""out1g!A:B""), 2, FALSE), 0)"),953.0)</f>
        <v>953</v>
      </c>
      <c r="D627" s="2" t="str">
        <f>IFERROR(__xludf.DUMMYFUNCTION("IFERROR(VLOOKUP(A627, IMPORTRANGE(""https://docs.google.com/spreadsheets/d/1-3Vjw2Cyy-mry5gbC8ypIR3YVGFfEpyFESummAta6sg/edit"", ""Sheet1!B:D""), 2, FALSE), ""Not Found"")"),"ʧɪr")</f>
        <v>ʧɪr</v>
      </c>
      <c r="E627" s="2" t="str">
        <f>IFERROR(__xludf.DUMMYFUNCTION("IFERROR(VLOOKUP(A627, IMPORTRANGE(""https://docs.google.com/spreadsheets/d/1-3Vjw2Cyy-mry5gbC8ypIR3YVGFfEpyFESummAta6sg/edit"", ""Sheet1!B:D""), 3, FALSE), ""Not Found"")"),"ʧ ɪ r ")</f>
        <v>ʧ ɪ r </v>
      </c>
    </row>
    <row r="628">
      <c r="A628" s="1" t="s">
        <v>631</v>
      </c>
      <c r="B628" s="1" t="s">
        <v>5</v>
      </c>
      <c r="C628" s="2">
        <f>IFERROR(__xludf.DUMMYFUNCTION("IFERROR(VLOOKUP(A628, IMPORTRANGE(""https://docs.google.com/spreadsheets/d/1AVX9GT0dgogEBStecCXMMQ29tWz3gBrtNB8yIromXbY/edit?gid=741673867"", ""out1g!A:B""), 2, FALSE), 0)"),2324.0)</f>
        <v>2324</v>
      </c>
      <c r="D628" s="2" t="str">
        <f>IFERROR(__xludf.DUMMYFUNCTION("IFERROR(VLOOKUP(A628, IMPORTRANGE(""https://docs.google.com/spreadsheets/d/1-3Vjw2Cyy-mry5gbC8ypIR3YVGFfEpyFESummAta6sg/edit"", ""Sheet1!B:D""), 2, FALSE), ""Not Found"")"),"steʤ")</f>
        <v>steʤ</v>
      </c>
      <c r="E628" s="2" t="str">
        <f>IFERROR(__xludf.DUMMYFUNCTION("IFERROR(VLOOKUP(A628, IMPORTRANGE(""https://docs.google.com/spreadsheets/d/1-3Vjw2Cyy-mry5gbC8ypIR3YVGFfEpyFESummAta6sg/edit"", ""Sheet1!B:D""), 3, FALSE), ""Not Found"")"),"s t e ʤ ")</f>
        <v>s t e ʤ </v>
      </c>
    </row>
    <row r="629">
      <c r="A629" s="1" t="s">
        <v>632</v>
      </c>
      <c r="B629" s="1" t="s">
        <v>5</v>
      </c>
      <c r="C629" s="2">
        <f>IFERROR(__xludf.DUMMYFUNCTION("IFERROR(VLOOKUP(A629, IMPORTRANGE(""https://docs.google.com/spreadsheets/d/1AVX9GT0dgogEBStecCXMMQ29tWz3gBrtNB8yIromXbY/edit?gid=741673867"", ""out1g!A:B""), 2, FALSE), 0)"),105.0)</f>
        <v>105</v>
      </c>
      <c r="D629" s="2" t="str">
        <f>IFERROR(__xludf.DUMMYFUNCTION("IFERROR(VLOOKUP(A629, IMPORTRANGE(""https://docs.google.com/spreadsheets/d/1-3Vjw2Cyy-mry5gbC8ypIR3YVGFfEpyFESummAta6sg/edit"", ""Sheet1!B:D""), 2, FALSE), ""Not Found"")"),"ekɪŋ")</f>
        <v>ekɪŋ</v>
      </c>
      <c r="E629" s="2" t="str">
        <f>IFERROR(__xludf.DUMMYFUNCTION("IFERROR(VLOOKUP(A629, IMPORTRANGE(""https://docs.google.com/spreadsheets/d/1-3Vjw2Cyy-mry5gbC8ypIR3YVGFfEpyFESummAta6sg/edit"", ""Sheet1!B:D""), 3, FALSE), ""Not Found"")"),"e k ɪ ŋ ")</f>
        <v>e k ɪ ŋ </v>
      </c>
    </row>
    <row r="630">
      <c r="A630" s="1" t="s">
        <v>633</v>
      </c>
      <c r="B630" s="1" t="s">
        <v>5</v>
      </c>
      <c r="C630" s="2">
        <f>IFERROR(__xludf.DUMMYFUNCTION("IFERROR(VLOOKUP(A630, IMPORTRANGE(""https://docs.google.com/spreadsheets/d/1AVX9GT0dgogEBStecCXMMQ29tWz3gBrtNB8yIromXbY/edit?gid=741673867"", ""out1g!A:B""), 2, FALSE), 0)"),1455.0)</f>
        <v>1455</v>
      </c>
      <c r="D630" s="2" t="str">
        <f>IFERROR(__xludf.DUMMYFUNCTION("IFERROR(VLOOKUP(A630, IMPORTRANGE(""https://docs.google.com/spreadsheets/d/1-3Vjw2Cyy-mry5gbC8ypIR3YVGFfEpyFESummAta6sg/edit"", ""Sheet1!B:D""), 2, FALSE), ""Not Found"")"),"plizd")</f>
        <v>plizd</v>
      </c>
      <c r="E630" s="2" t="str">
        <f>IFERROR(__xludf.DUMMYFUNCTION("IFERROR(VLOOKUP(A630, IMPORTRANGE(""https://docs.google.com/spreadsheets/d/1-3Vjw2Cyy-mry5gbC8ypIR3YVGFfEpyFESummAta6sg/edit"", ""Sheet1!B:D""), 3, FALSE), ""Not Found"")"),"p l i z d ")</f>
        <v>p l i z d </v>
      </c>
    </row>
    <row r="631">
      <c r="A631" s="1" t="s">
        <v>634</v>
      </c>
      <c r="B631" s="1" t="s">
        <v>5</v>
      </c>
      <c r="C631" s="2">
        <f>IFERROR(__xludf.DUMMYFUNCTION("IFERROR(VLOOKUP(A631, IMPORTRANGE(""https://docs.google.com/spreadsheets/d/1AVX9GT0dgogEBStecCXMMQ29tWz3gBrtNB8yIromXbY/edit?gid=741673867"", ""out1g!A:B""), 2, FALSE), 0)"),80.0)</f>
        <v>80</v>
      </c>
      <c r="D631" s="2" t="str">
        <f>IFERROR(__xludf.DUMMYFUNCTION("IFERROR(VLOOKUP(A631, IMPORTRANGE(""https://docs.google.com/spreadsheets/d/1-3Vjw2Cyy-mry5gbC8ypIR3YVGFfEpyFESummAta6sg/edit"", ""Sheet1!B:D""), 2, FALSE), ""Not Found"")"),"trelɪŋ")</f>
        <v>trelɪŋ</v>
      </c>
      <c r="E631" s="2" t="str">
        <f>IFERROR(__xludf.DUMMYFUNCTION("IFERROR(VLOOKUP(A631, IMPORTRANGE(""https://docs.google.com/spreadsheets/d/1-3Vjw2Cyy-mry5gbC8ypIR3YVGFfEpyFESummAta6sg/edit"", ""Sheet1!B:D""), 3, FALSE), ""Not Found"")"),"t r e l ɪ ŋ ")</f>
        <v>t r e l ɪ ŋ </v>
      </c>
    </row>
    <row r="632">
      <c r="A632" s="1" t="s">
        <v>635</v>
      </c>
      <c r="B632" s="1" t="s">
        <v>5</v>
      </c>
      <c r="C632" s="2">
        <f>IFERROR(__xludf.DUMMYFUNCTION("IFERROR(VLOOKUP(A632, IMPORTRANGE(""https://docs.google.com/spreadsheets/d/1AVX9GT0dgogEBStecCXMMQ29tWz3gBrtNB8yIromXbY/edit?gid=741673867"", ""out1g!A:B""), 2, FALSE), 0)"),9279.0)</f>
        <v>9279</v>
      </c>
      <c r="D632" s="2" t="str">
        <f>IFERROR(__xludf.DUMMYFUNCTION("IFERROR(VLOOKUP(A632, IMPORTRANGE(""https://docs.google.com/spreadsheets/d/1-3Vjw2Cyy-mry5gbC8ypIR3YVGFfEpyFESummAta6sg/edit"", ""Sheet1!B:D""), 2, FALSE), ""Not Found"")"),"ðoʊ")</f>
        <v>ðoʊ</v>
      </c>
      <c r="E632" s="2" t="str">
        <f>IFERROR(__xludf.DUMMYFUNCTION("IFERROR(VLOOKUP(A632, IMPORTRANGE(""https://docs.google.com/spreadsheets/d/1-3Vjw2Cyy-mry5gbC8ypIR3YVGFfEpyFESummAta6sg/edit"", ""Sheet1!B:D""), 3, FALSE), ""Not Found"")"),"ð o ʊ ")</f>
        <v>ð o ʊ </v>
      </c>
    </row>
    <row r="633">
      <c r="A633" s="1" t="s">
        <v>636</v>
      </c>
      <c r="B633" s="1" t="s">
        <v>5</v>
      </c>
      <c r="C633" s="2">
        <f>IFERROR(__xludf.DUMMYFUNCTION("IFERROR(VLOOKUP(A633, IMPORTRANGE(""https://docs.google.com/spreadsheets/d/1AVX9GT0dgogEBStecCXMMQ29tWz3gBrtNB8yIromXbY/edit?gid=741673867"", ""out1g!A:B""), 2, FALSE), 0)"),193.0)</f>
        <v>193</v>
      </c>
      <c r="D633" s="2" t="str">
        <f>IFERROR(__xludf.DUMMYFUNCTION("IFERROR(VLOOKUP(A633, IMPORTRANGE(""https://docs.google.com/spreadsheets/d/1-3Vjw2Cyy-mry5gbC8ypIR3YVGFfEpyFESummAta6sg/edit"", ""Sheet1!B:D""), 2, FALSE), ""Not Found"")"),"ɛlf")</f>
        <v>ɛlf</v>
      </c>
      <c r="E633" s="2" t="str">
        <f>IFERROR(__xludf.DUMMYFUNCTION("IFERROR(VLOOKUP(A633, IMPORTRANGE(""https://docs.google.com/spreadsheets/d/1-3Vjw2Cyy-mry5gbC8ypIR3YVGFfEpyFESummAta6sg/edit"", ""Sheet1!B:D""), 3, FALSE), ""Not Found"")"),"ɛ l f ")</f>
        <v>ɛ l f </v>
      </c>
    </row>
    <row r="634">
      <c r="A634" s="1" t="s">
        <v>637</v>
      </c>
      <c r="B634" s="1" t="s">
        <v>5</v>
      </c>
      <c r="C634" s="2">
        <f>IFERROR(__xludf.DUMMYFUNCTION("IFERROR(VLOOKUP(A634, IMPORTRANGE(""https://docs.google.com/spreadsheets/d/1AVX9GT0dgogEBStecCXMMQ29tWz3gBrtNB8yIromXbY/edit?gid=741673867"", ""out1g!A:B""), 2, FALSE), 0)"),2353.0)</f>
        <v>2353</v>
      </c>
      <c r="D634" s="2" t="str">
        <f>IFERROR(__xludf.DUMMYFUNCTION("IFERROR(VLOOKUP(A634, IMPORTRANGE(""https://docs.google.com/spreadsheets/d/1-3Vjw2Cyy-mry5gbC8ypIR3YVGFfEpyFESummAta6sg/edit"", ""Sheet1!B:D""), 2, FALSE), ""Not Found"")"),"stɑrz")</f>
        <v>stɑrz</v>
      </c>
      <c r="E634" s="2" t="str">
        <f>IFERROR(__xludf.DUMMYFUNCTION("IFERROR(VLOOKUP(A634, IMPORTRANGE(""https://docs.google.com/spreadsheets/d/1-3Vjw2Cyy-mry5gbC8ypIR3YVGFfEpyFESummAta6sg/edit"", ""Sheet1!B:D""), 3, FALSE), ""Not Found"")"),"s t ɑ r z ")</f>
        <v>s t ɑ r z </v>
      </c>
    </row>
    <row r="635">
      <c r="A635" s="1" t="s">
        <v>638</v>
      </c>
      <c r="B635" s="1" t="s">
        <v>5</v>
      </c>
      <c r="C635" s="2">
        <f>IFERROR(__xludf.DUMMYFUNCTION("IFERROR(VLOOKUP(A635, IMPORTRANGE(""https://docs.google.com/spreadsheets/d/1AVX9GT0dgogEBStecCXMMQ29tWz3gBrtNB8yIromXbY/edit?gid=741673867"", ""out1g!A:B""), 2, FALSE), 0)"),108.0)</f>
        <v>108</v>
      </c>
      <c r="D635" s="2" t="str">
        <f>IFERROR(__xludf.DUMMYFUNCTION("IFERROR(VLOOKUP(A635, IMPORTRANGE(""https://docs.google.com/spreadsheets/d/1-3Vjw2Cyy-mry5gbC8ypIR3YVGFfEpyFESummAta6sg/edit"", ""Sheet1!B:D""), 2, FALSE), ""Not Found"")"),"sæks")</f>
        <v>sæks</v>
      </c>
      <c r="E635" s="2" t="str">
        <f>IFERROR(__xludf.DUMMYFUNCTION("IFERROR(VLOOKUP(A635, IMPORTRANGE(""https://docs.google.com/spreadsheets/d/1-3Vjw2Cyy-mry5gbC8ypIR3YVGFfEpyFESummAta6sg/edit"", ""Sheet1!B:D""), 3, FALSE), ""Not Found"")"),"s æ k s ")</f>
        <v>s æ k s </v>
      </c>
    </row>
    <row r="636">
      <c r="A636" s="1" t="s">
        <v>639</v>
      </c>
      <c r="B636" s="1" t="s">
        <v>5</v>
      </c>
      <c r="C636" s="2">
        <f>IFERROR(__xludf.DUMMYFUNCTION("IFERROR(VLOOKUP(A636, IMPORTRANGE(""https://docs.google.com/spreadsheets/d/1AVX9GT0dgogEBStecCXMMQ29tWz3gBrtNB8yIromXbY/edit?gid=741673867"", ""out1g!A:B""), 2, FALSE), 0)"),49.0)</f>
        <v>49</v>
      </c>
      <c r="D636" s="2" t="str">
        <f>IFERROR(__xludf.DUMMYFUNCTION("IFERROR(VLOOKUP(A636, IMPORTRANGE(""https://docs.google.com/spreadsheets/d/1-3Vjw2Cyy-mry5gbC8ypIR3YVGFfEpyFESummAta6sg/edit"", ""Sheet1!B:D""), 2, FALSE), ""Not Found"")"),"məgər")</f>
        <v>məgər</v>
      </c>
      <c r="E636" s="2" t="str">
        <f>IFERROR(__xludf.DUMMYFUNCTION("IFERROR(VLOOKUP(A636, IMPORTRANGE(""https://docs.google.com/spreadsheets/d/1-3Vjw2Cyy-mry5gbC8ypIR3YVGFfEpyFESummAta6sg/edit"", ""Sheet1!B:D""), 3, FALSE), ""Not Found"")"),"m ə g ə r ")</f>
        <v>m ə g ə r </v>
      </c>
    </row>
    <row r="637">
      <c r="A637" s="1" t="s">
        <v>640</v>
      </c>
      <c r="B637" s="1" t="s">
        <v>5</v>
      </c>
      <c r="C637" s="2">
        <f>IFERROR(__xludf.DUMMYFUNCTION("IFERROR(VLOOKUP(A637, IMPORTRANGE(""https://docs.google.com/spreadsheets/d/1AVX9GT0dgogEBStecCXMMQ29tWz3gBrtNB8yIromXbY/edit?gid=741673867"", ""out1g!A:B""), 2, FALSE), 0)"),87.0)</f>
        <v>87</v>
      </c>
      <c r="D637" s="2" t="str">
        <f>IFERROR(__xludf.DUMMYFUNCTION("IFERROR(VLOOKUP(A637, IMPORTRANGE(""https://docs.google.com/spreadsheets/d/1-3Vjw2Cyy-mry5gbC8ypIR3YVGFfEpyFESummAta6sg/edit"", ""Sheet1!B:D""), 2, FALSE), ""Not Found"")"),"ʃæbi")</f>
        <v>ʃæbi</v>
      </c>
      <c r="E637" s="2" t="str">
        <f>IFERROR(__xludf.DUMMYFUNCTION("IFERROR(VLOOKUP(A637, IMPORTRANGE(""https://docs.google.com/spreadsheets/d/1-3Vjw2Cyy-mry5gbC8ypIR3YVGFfEpyFESummAta6sg/edit"", ""Sheet1!B:D""), 3, FALSE), ""Not Found"")"),"ʃ æ b i ")</f>
        <v>ʃ æ b i </v>
      </c>
    </row>
    <row r="638">
      <c r="A638" s="1" t="s">
        <v>641</v>
      </c>
      <c r="B638" s="1" t="s">
        <v>5</v>
      </c>
      <c r="C638" s="2">
        <f>IFERROR(__xludf.DUMMYFUNCTION("IFERROR(VLOOKUP(A638, IMPORTRANGE(""https://docs.google.com/spreadsheets/d/1AVX9GT0dgogEBStecCXMMQ29tWz3gBrtNB8yIromXbY/edit?gid=741673867"", ""out1g!A:B""), 2, FALSE), 0)"),129.0)</f>
        <v>129</v>
      </c>
      <c r="D638" s="2" t="str">
        <f>IFERROR(__xludf.DUMMYFUNCTION("IFERROR(VLOOKUP(A638, IMPORTRANGE(""https://docs.google.com/spreadsheets/d/1-3Vjw2Cyy-mry5gbC8ypIR3YVGFfEpyFESummAta6sg/edit"", ""Sheet1!B:D""), 2, FALSE), ""Not Found"")"),"rɛf")</f>
        <v>rɛf</v>
      </c>
      <c r="E638" s="2" t="str">
        <f>IFERROR(__xludf.DUMMYFUNCTION("IFERROR(VLOOKUP(A638, IMPORTRANGE(""https://docs.google.com/spreadsheets/d/1-3Vjw2Cyy-mry5gbC8ypIR3YVGFfEpyFESummAta6sg/edit"", ""Sheet1!B:D""), 3, FALSE), ""Not Found"")"),"r ɛ f ")</f>
        <v>r ɛ f </v>
      </c>
    </row>
    <row r="639">
      <c r="A639" s="1" t="s">
        <v>642</v>
      </c>
      <c r="B639" s="1" t="s">
        <v>5</v>
      </c>
      <c r="C639" s="2">
        <f>IFERROR(__xludf.DUMMYFUNCTION("IFERROR(VLOOKUP(A639, IMPORTRANGE(""https://docs.google.com/spreadsheets/d/1AVX9GT0dgogEBStecCXMMQ29tWz3gBrtNB8yIromXbY/edit?gid=741673867"", ""out1g!A:B""), 2, FALSE), 0)"),130.0)</f>
        <v>130</v>
      </c>
      <c r="D639" s="2" t="str">
        <f>IFERROR(__xludf.DUMMYFUNCTION("IFERROR(VLOOKUP(A639, IMPORTRANGE(""https://docs.google.com/spreadsheets/d/1-3Vjw2Cyy-mry5gbC8ypIR3YVGFfEpyFESummAta6sg/edit"", ""Sheet1!B:D""), 2, FALSE), ""Not Found"")"),"mez")</f>
        <v>mez</v>
      </c>
      <c r="E639" s="2" t="str">
        <f>IFERROR(__xludf.DUMMYFUNCTION("IFERROR(VLOOKUP(A639, IMPORTRANGE(""https://docs.google.com/spreadsheets/d/1-3Vjw2Cyy-mry5gbC8ypIR3YVGFfEpyFESummAta6sg/edit"", ""Sheet1!B:D""), 3, FALSE), ""Not Found"")"),"m e z ")</f>
        <v>m e z </v>
      </c>
    </row>
    <row r="640">
      <c r="A640" s="1" t="s">
        <v>643</v>
      </c>
      <c r="B640" s="1" t="s">
        <v>5</v>
      </c>
      <c r="C640" s="2">
        <f>IFERROR(__xludf.DUMMYFUNCTION("IFERROR(VLOOKUP(A640, IMPORTRANGE(""https://docs.google.com/spreadsheets/d/1AVX9GT0dgogEBStecCXMMQ29tWz3gBrtNB8yIromXbY/edit?gid=741673867"", ""out1g!A:B""), 2, FALSE), 0)"),2703.0)</f>
        <v>2703</v>
      </c>
      <c r="D640" s="2" t="str">
        <f>IFERROR(__xludf.DUMMYFUNCTION("IFERROR(VLOOKUP(A640, IMPORTRANGE(""https://docs.google.com/spreadsheets/d/1-3Vjw2Cyy-mry5gbC8ypIR3YVGFfEpyFESummAta6sg/edit"", ""Sheet1!B:D""), 2, FALSE), ""Not Found"")"),"dɪk")</f>
        <v>dɪk</v>
      </c>
      <c r="E640" s="2" t="str">
        <f>IFERROR(__xludf.DUMMYFUNCTION("IFERROR(VLOOKUP(A640, IMPORTRANGE(""https://docs.google.com/spreadsheets/d/1-3Vjw2Cyy-mry5gbC8ypIR3YVGFfEpyFESummAta6sg/edit"", ""Sheet1!B:D""), 3, FALSE), ""Not Found"")"),"d ɪ k ")</f>
        <v>d ɪ k </v>
      </c>
    </row>
    <row r="641">
      <c r="A641" s="1" t="s">
        <v>644</v>
      </c>
      <c r="B641" s="1" t="s">
        <v>5</v>
      </c>
      <c r="C641" s="2">
        <f>IFERROR(__xludf.DUMMYFUNCTION("IFERROR(VLOOKUP(A641, IMPORTRANGE(""https://docs.google.com/spreadsheets/d/1AVX9GT0dgogEBStecCXMMQ29tWz3gBrtNB8yIromXbY/edit?gid=741673867"", ""out1g!A:B""), 2, FALSE), 0)"),2541.0)</f>
        <v>2541</v>
      </c>
      <c r="D641" s="2" t="str">
        <f>IFERROR(__xludf.DUMMYFUNCTION("IFERROR(VLOOKUP(A641, IMPORTRANGE(""https://docs.google.com/spreadsheets/d/1-3Vjw2Cyy-mry5gbC8ypIR3YVGFfEpyFESummAta6sg/edit"", ""Sheet1!B:D""), 2, FALSE), ""Not Found"")"),"əslip")</f>
        <v>əslip</v>
      </c>
      <c r="E641" s="2" t="str">
        <f>IFERROR(__xludf.DUMMYFUNCTION("IFERROR(VLOOKUP(A641, IMPORTRANGE(""https://docs.google.com/spreadsheets/d/1-3Vjw2Cyy-mry5gbC8ypIR3YVGFfEpyFESummAta6sg/edit"", ""Sheet1!B:D""), 3, FALSE), ""Not Found"")"),"ə s l i p ")</f>
        <v>ə s l i p </v>
      </c>
    </row>
    <row r="642">
      <c r="A642" s="1" t="s">
        <v>645</v>
      </c>
      <c r="B642" s="1" t="s">
        <v>5</v>
      </c>
      <c r="C642" s="2">
        <f>IFERROR(__xludf.DUMMYFUNCTION("IFERROR(VLOOKUP(A642, IMPORTRANGE(""https://docs.google.com/spreadsheets/d/1AVX9GT0dgogEBStecCXMMQ29tWz3gBrtNB8yIromXbY/edit?gid=741673867"", ""out1g!A:B""), 2, FALSE), 0)"),109.0)</f>
        <v>109</v>
      </c>
      <c r="D642" s="2" t="str">
        <f>IFERROR(__xludf.DUMMYFUNCTION("IFERROR(VLOOKUP(A642, IMPORTRANGE(""https://docs.google.com/spreadsheets/d/1-3Vjw2Cyy-mry5gbC8ypIR3YVGFfEpyFESummAta6sg/edit"", ""Sheet1!B:D""), 2, FALSE), ""Not Found"")"),"slaɪst")</f>
        <v>slaɪst</v>
      </c>
      <c r="E642" s="2" t="str">
        <f>IFERROR(__xludf.DUMMYFUNCTION("IFERROR(VLOOKUP(A642, IMPORTRANGE(""https://docs.google.com/spreadsheets/d/1-3Vjw2Cyy-mry5gbC8ypIR3YVGFfEpyFESummAta6sg/edit"", ""Sheet1!B:D""), 3, FALSE), ""Not Found"")"),"s l a ɪ s t ")</f>
        <v>s l a ɪ s t </v>
      </c>
    </row>
    <row r="643">
      <c r="A643" s="1" t="s">
        <v>646</v>
      </c>
      <c r="B643" s="1" t="s">
        <v>5</v>
      </c>
      <c r="C643" s="2">
        <f>IFERROR(__xludf.DUMMYFUNCTION("IFERROR(VLOOKUP(A643, IMPORTRANGE(""https://docs.google.com/spreadsheets/d/1AVX9GT0dgogEBStecCXMMQ29tWz3gBrtNB8yIromXbY/edit?gid=741673867"", ""out1g!A:B""), 2, FALSE), 0)"),119.0)</f>
        <v>119</v>
      </c>
      <c r="D643" s="2" t="str">
        <f>IFERROR(__xludf.DUMMYFUNCTION("IFERROR(VLOOKUP(A643, IMPORTRANGE(""https://docs.google.com/spreadsheets/d/1-3Vjw2Cyy-mry5gbC8ypIR3YVGFfEpyFESummAta6sg/edit"", ""Sheet1!B:D""), 2, FALSE), ""Not Found"")"),"mɔroʊ")</f>
        <v>mɔroʊ</v>
      </c>
      <c r="E643" s="2" t="str">
        <f>IFERROR(__xludf.DUMMYFUNCTION("IFERROR(VLOOKUP(A643, IMPORTRANGE(""https://docs.google.com/spreadsheets/d/1-3Vjw2Cyy-mry5gbC8ypIR3YVGFfEpyFESummAta6sg/edit"", ""Sheet1!B:D""), 3, FALSE), ""Not Found"")"),"m ɔ r o ʊ ")</f>
        <v>m ɔ r o ʊ </v>
      </c>
    </row>
    <row r="644">
      <c r="A644" s="1" t="s">
        <v>647</v>
      </c>
      <c r="B644" s="1" t="s">
        <v>5</v>
      </c>
      <c r="C644" s="2">
        <f>IFERROR(__xludf.DUMMYFUNCTION("IFERROR(VLOOKUP(A644, IMPORTRANGE(""https://docs.google.com/spreadsheets/d/1AVX9GT0dgogEBStecCXMMQ29tWz3gBrtNB8yIromXbY/edit?gid=741673867"", ""out1g!A:B""), 2, FALSE), 0)"),3877.0)</f>
        <v>3877</v>
      </c>
      <c r="D644" s="2" t="str">
        <f>IFERROR(__xludf.DUMMYFUNCTION("IFERROR(VLOOKUP(A644, IMPORTRANGE(""https://docs.google.com/spreadsheets/d/1-3Vjw2Cyy-mry5gbC8ypIR3YVGFfEpyFESummAta6sg/edit"", ""Sheet1!B:D""), 2, FALSE), ""Not Found"")"),"sloʊ")</f>
        <v>sloʊ</v>
      </c>
      <c r="E644" s="2" t="str">
        <f>IFERROR(__xludf.DUMMYFUNCTION("IFERROR(VLOOKUP(A644, IMPORTRANGE(""https://docs.google.com/spreadsheets/d/1-3Vjw2Cyy-mry5gbC8ypIR3YVGFfEpyFESummAta6sg/edit"", ""Sheet1!B:D""), 3, FALSE), ""Not Found"")"),"s l o ʊ ")</f>
        <v>s l o ʊ </v>
      </c>
    </row>
    <row r="645">
      <c r="A645" s="1" t="s">
        <v>648</v>
      </c>
      <c r="B645" s="1" t="s">
        <v>5</v>
      </c>
      <c r="C645" s="2">
        <f>IFERROR(__xludf.DUMMYFUNCTION("IFERROR(VLOOKUP(A645, IMPORTRANGE(""https://docs.google.com/spreadsheets/d/1AVX9GT0dgogEBStecCXMMQ29tWz3gBrtNB8yIromXbY/edit?gid=741673867"", ""out1g!A:B""), 2, FALSE), 0)"),140.0)</f>
        <v>140</v>
      </c>
      <c r="D645" s="2" t="str">
        <f>IFERROR(__xludf.DUMMYFUNCTION("IFERROR(VLOOKUP(A645, IMPORTRANGE(""https://docs.google.com/spreadsheets/d/1-3Vjw2Cyy-mry5gbC8ypIR3YVGFfEpyFESummAta6sg/edit"", ""Sheet1!B:D""), 2, FALSE), ""Not Found"")"),"kripɪŋ")</f>
        <v>kripɪŋ</v>
      </c>
      <c r="E645" s="2" t="str">
        <f>IFERROR(__xludf.DUMMYFUNCTION("IFERROR(VLOOKUP(A645, IMPORTRANGE(""https://docs.google.com/spreadsheets/d/1-3Vjw2Cyy-mry5gbC8ypIR3YVGFfEpyFESummAta6sg/edit"", ""Sheet1!B:D""), 3, FALSE), ""Not Found"")"),"k r i p ɪ ŋ ")</f>
        <v>k r i p ɪ ŋ </v>
      </c>
    </row>
    <row r="646">
      <c r="A646" s="1" t="s">
        <v>649</v>
      </c>
      <c r="B646" s="1" t="s">
        <v>5</v>
      </c>
      <c r="C646" s="2">
        <f>IFERROR(__xludf.DUMMYFUNCTION("IFERROR(VLOOKUP(A646, IMPORTRANGE(""https://docs.google.com/spreadsheets/d/1AVX9GT0dgogEBStecCXMMQ29tWz3gBrtNB8yIromXbY/edit?gid=741673867"", ""out1g!A:B""), 2, FALSE), 0)"),720.0)</f>
        <v>720</v>
      </c>
      <c r="D646" s="2" t="str">
        <f>IFERROR(__xludf.DUMMYFUNCTION("IFERROR(VLOOKUP(A646, IMPORTRANGE(""https://docs.google.com/spreadsheets/d/1-3Vjw2Cyy-mry5gbC8ypIR3YVGFfEpyFESummAta6sg/edit"", ""Sheet1!B:D""), 2, FALSE), ""Not Found"")"),"prɪk")</f>
        <v>prɪk</v>
      </c>
      <c r="E646" s="2" t="str">
        <f>IFERROR(__xludf.DUMMYFUNCTION("IFERROR(VLOOKUP(A646, IMPORTRANGE(""https://docs.google.com/spreadsheets/d/1-3Vjw2Cyy-mry5gbC8ypIR3YVGFfEpyFESummAta6sg/edit"", ""Sheet1!B:D""), 3, FALSE), ""Not Found"")"),"p r ɪ k ")</f>
        <v>p r ɪ k </v>
      </c>
    </row>
    <row r="647">
      <c r="A647" s="1" t="s">
        <v>650</v>
      </c>
      <c r="B647" s="1" t="s">
        <v>5</v>
      </c>
      <c r="C647" s="2">
        <f>IFERROR(__xludf.DUMMYFUNCTION("IFERROR(VLOOKUP(A647, IMPORTRANGE(""https://docs.google.com/spreadsheets/d/1AVX9GT0dgogEBStecCXMMQ29tWz3gBrtNB8yIromXbY/edit?gid=741673867"", ""out1g!A:B""), 2, FALSE), 0)"),9439.0)</f>
        <v>9439</v>
      </c>
      <c r="D647" s="2" t="str">
        <f>IFERROR(__xludf.DUMMYFUNCTION("IFERROR(VLOOKUP(A647, IMPORTRANGE(""https://docs.google.com/spreadsheets/d/1-3Vjw2Cyy-mry5gbC8ypIR3YVGFfEpyFESummAta6sg/edit"", ""Sheet1!B:D""), 2, FALSE), ""Not Found"")"),"dædi")</f>
        <v>dædi</v>
      </c>
      <c r="E647" s="2" t="str">
        <f>IFERROR(__xludf.DUMMYFUNCTION("IFERROR(VLOOKUP(A647, IMPORTRANGE(""https://docs.google.com/spreadsheets/d/1-3Vjw2Cyy-mry5gbC8ypIR3YVGFfEpyFESummAta6sg/edit"", ""Sheet1!B:D""), 3, FALSE), ""Not Found"")"),"d æ d i ")</f>
        <v>d æ d i </v>
      </c>
    </row>
    <row r="648">
      <c r="A648" s="1" t="s">
        <v>651</v>
      </c>
      <c r="B648" s="1" t="s">
        <v>5</v>
      </c>
      <c r="C648" s="2">
        <f>IFERROR(__xludf.DUMMYFUNCTION("IFERROR(VLOOKUP(A648, IMPORTRANGE(""https://docs.google.com/spreadsheets/d/1AVX9GT0dgogEBStecCXMMQ29tWz3gBrtNB8yIromXbY/edit?gid=741673867"", ""out1g!A:B""), 2, FALSE), 0)"),66.0)</f>
        <v>66</v>
      </c>
      <c r="D648" s="2" t="str">
        <f>IFERROR(__xludf.DUMMYFUNCTION("IFERROR(VLOOKUP(A648, IMPORTRANGE(""https://docs.google.com/spreadsheets/d/1-3Vjw2Cyy-mry5gbC8ypIR3YVGFfEpyFESummAta6sg/edit"", ""Sheet1!B:D""), 2, FALSE), ""Not Found"")"),"boʊə")</f>
        <v>boʊə</v>
      </c>
      <c r="E648" s="2" t="str">
        <f>IFERROR(__xludf.DUMMYFUNCTION("IFERROR(VLOOKUP(A648, IMPORTRANGE(""https://docs.google.com/spreadsheets/d/1-3Vjw2Cyy-mry5gbC8ypIR3YVGFfEpyFESummAta6sg/edit"", ""Sheet1!B:D""), 3, FALSE), ""Not Found"")"),"b o ʊ ə ")</f>
        <v>b o ʊ ə </v>
      </c>
    </row>
    <row r="649">
      <c r="A649" s="1" t="s">
        <v>652</v>
      </c>
      <c r="B649" s="1" t="s">
        <v>5</v>
      </c>
      <c r="C649" s="2">
        <f>IFERROR(__xludf.DUMMYFUNCTION("IFERROR(VLOOKUP(A649, IMPORTRANGE(""https://docs.google.com/spreadsheets/d/1AVX9GT0dgogEBStecCXMMQ29tWz3gBrtNB8yIromXbY/edit?gid=741673867"", ""out1g!A:B""), 2, FALSE), 0)"),14460.0)</f>
        <v>14460</v>
      </c>
      <c r="D649" s="2" t="str">
        <f>IFERROR(__xludf.DUMMYFUNCTION("IFERROR(VLOOKUP(A649, IMPORTRANGE(""https://docs.google.com/spreadsheets/d/1-3Vjw2Cyy-mry5gbC8ypIR3YVGFfEpyFESummAta6sg/edit"", ""Sheet1!B:D""), 2, FALSE), ""Not Found"")"),"dæm")</f>
        <v>dæm</v>
      </c>
      <c r="E649" s="2" t="str">
        <f>IFERROR(__xludf.DUMMYFUNCTION("IFERROR(VLOOKUP(A649, IMPORTRANGE(""https://docs.google.com/spreadsheets/d/1-3Vjw2Cyy-mry5gbC8ypIR3YVGFfEpyFESummAta6sg/edit"", ""Sheet1!B:D""), 3, FALSE), ""Not Found"")"),"d æ m ")</f>
        <v>d æ m </v>
      </c>
    </row>
    <row r="650">
      <c r="A650" s="1" t="s">
        <v>653</v>
      </c>
      <c r="B650" s="1" t="s">
        <v>5</v>
      </c>
      <c r="C650" s="2">
        <f>IFERROR(__xludf.DUMMYFUNCTION("IFERROR(VLOOKUP(A650, IMPORTRANGE(""https://docs.google.com/spreadsheets/d/1AVX9GT0dgogEBStecCXMMQ29tWz3gBrtNB8yIromXbY/edit?gid=741673867"", ""out1g!A:B""), 2, FALSE), 0)"),85.0)</f>
        <v>85</v>
      </c>
      <c r="D650" s="2" t="str">
        <f>IFERROR(__xludf.DUMMYFUNCTION("IFERROR(VLOOKUP(A650, IMPORTRANGE(""https://docs.google.com/spreadsheets/d/1-3Vjw2Cyy-mry5gbC8ypIR3YVGFfEpyFESummAta6sg/edit"", ""Sheet1!B:D""), 2, FALSE), ""Not Found"")"),"gəmp")</f>
        <v>gəmp</v>
      </c>
      <c r="E650" s="2" t="str">
        <f>IFERROR(__xludf.DUMMYFUNCTION("IFERROR(VLOOKUP(A650, IMPORTRANGE(""https://docs.google.com/spreadsheets/d/1-3Vjw2Cyy-mry5gbC8ypIR3YVGFfEpyFESummAta6sg/edit"", ""Sheet1!B:D""), 3, FALSE), ""Not Found"")"),"g ə m p ")</f>
        <v>g ə m p </v>
      </c>
    </row>
    <row r="651">
      <c r="A651" s="1" t="s">
        <v>654</v>
      </c>
      <c r="B651" s="1" t="s">
        <v>5</v>
      </c>
      <c r="C651" s="2">
        <f>IFERROR(__xludf.DUMMYFUNCTION("IFERROR(VLOOKUP(A651, IMPORTRANGE(""https://docs.google.com/spreadsheets/d/1AVX9GT0dgogEBStecCXMMQ29tWz3gBrtNB8yIromXbY/edit?gid=741673867"", ""out1g!A:B""), 2, FALSE), 0)"),1074.0)</f>
        <v>1074</v>
      </c>
      <c r="D651" s="2" t="str">
        <f>IFERROR(__xludf.DUMMYFUNCTION("IFERROR(VLOOKUP(A651, IMPORTRANGE(""https://docs.google.com/spreadsheets/d/1-3Vjw2Cyy-mry5gbC8ypIR3YVGFfEpyFESummAta6sg/edit"", ""Sheet1!B:D""), 2, FALSE), ""Not Found"")"),"əpɪrz")</f>
        <v>əpɪrz</v>
      </c>
      <c r="E651" s="2" t="str">
        <f>IFERROR(__xludf.DUMMYFUNCTION("IFERROR(VLOOKUP(A651, IMPORTRANGE(""https://docs.google.com/spreadsheets/d/1-3Vjw2Cyy-mry5gbC8ypIR3YVGFfEpyFESummAta6sg/edit"", ""Sheet1!B:D""), 3, FALSE), ""Not Found"")"),"ə p ɪ r z ")</f>
        <v>ə p ɪ r z </v>
      </c>
    </row>
    <row r="652">
      <c r="A652" s="1" t="s">
        <v>655</v>
      </c>
      <c r="B652" s="1" t="s">
        <v>5</v>
      </c>
      <c r="C652" s="2">
        <f>IFERROR(__xludf.DUMMYFUNCTION("IFERROR(VLOOKUP(A652, IMPORTRANGE(""https://docs.google.com/spreadsheets/d/1AVX9GT0dgogEBStecCXMMQ29tWz3gBrtNB8yIromXbY/edit?gid=741673867"", ""out1g!A:B""), 2, FALSE), 0)"),190.0)</f>
        <v>190</v>
      </c>
      <c r="D652" s="2" t="str">
        <f>IFERROR(__xludf.DUMMYFUNCTION("IFERROR(VLOOKUP(A652, IMPORTRANGE(""https://docs.google.com/spreadsheets/d/1-3Vjw2Cyy-mry5gbC8ypIR3YVGFfEpyFESummAta6sg/edit"", ""Sheet1!B:D""), 2, FALSE), ""Not Found"")"),"græbz")</f>
        <v>græbz</v>
      </c>
      <c r="E652" s="2" t="str">
        <f>IFERROR(__xludf.DUMMYFUNCTION("IFERROR(VLOOKUP(A652, IMPORTRANGE(""https://docs.google.com/spreadsheets/d/1-3Vjw2Cyy-mry5gbC8ypIR3YVGFfEpyFESummAta6sg/edit"", ""Sheet1!B:D""), 3, FALSE), ""Not Found"")"),"g r æ b z ")</f>
        <v>g r æ b z </v>
      </c>
    </row>
    <row r="653">
      <c r="A653" s="1" t="s">
        <v>656</v>
      </c>
      <c r="B653" s="1" t="s">
        <v>5</v>
      </c>
      <c r="C653" s="2">
        <f>IFERROR(__xludf.DUMMYFUNCTION("IFERROR(VLOOKUP(A653, IMPORTRANGE(""https://docs.google.com/spreadsheets/d/1AVX9GT0dgogEBStecCXMMQ29tWz3gBrtNB8yIromXbY/edit?gid=741673867"", ""out1g!A:B""), 2, FALSE), 0)"),56.0)</f>
        <v>56</v>
      </c>
      <c r="D653" s="2" t="str">
        <f>IFERROR(__xludf.DUMMYFUNCTION("IFERROR(VLOOKUP(A653, IMPORTRANGE(""https://docs.google.com/spreadsheets/d/1-3Vjw2Cyy-mry5gbC8ypIR3YVGFfEpyFESummAta6sg/edit"", ""Sheet1!B:D""), 2, FALSE), ""Not Found"")"),"broʊkərz")</f>
        <v>broʊkərz</v>
      </c>
      <c r="E653" s="2" t="str">
        <f>IFERROR(__xludf.DUMMYFUNCTION("IFERROR(VLOOKUP(A653, IMPORTRANGE(""https://docs.google.com/spreadsheets/d/1-3Vjw2Cyy-mry5gbC8ypIR3YVGFfEpyFESummAta6sg/edit"", ""Sheet1!B:D""), 3, FALSE), ""Not Found"")"),"b r o ʊ k ə r z ")</f>
        <v>b r o ʊ k ə r z </v>
      </c>
    </row>
    <row r="654">
      <c r="A654" s="1" t="s">
        <v>657</v>
      </c>
      <c r="B654" s="1" t="s">
        <v>5</v>
      </c>
      <c r="C654" s="2">
        <f>IFERROR(__xludf.DUMMYFUNCTION("IFERROR(VLOOKUP(A654, IMPORTRANGE(""https://docs.google.com/spreadsheets/d/1AVX9GT0dgogEBStecCXMMQ29tWz3gBrtNB8yIromXbY/edit?gid=741673867"", ""out1g!A:B""), 2, FALSE), 0)"),982.0)</f>
        <v>982</v>
      </c>
      <c r="D654" s="2" t="str">
        <f>IFERROR(__xludf.DUMMYFUNCTION("IFERROR(VLOOKUP(A654, IMPORTRANGE(""https://docs.google.com/spreadsheets/d/1-3Vjw2Cyy-mry5gbC8ypIR3YVGFfEpyFESummAta6sg/edit"", ""Sheet1!B:D""), 2, FALSE), ""Not Found"")"),"gɪmi")</f>
        <v>gɪmi</v>
      </c>
      <c r="E654" s="2" t="str">
        <f>IFERROR(__xludf.DUMMYFUNCTION("IFERROR(VLOOKUP(A654, IMPORTRANGE(""https://docs.google.com/spreadsheets/d/1-3Vjw2Cyy-mry5gbC8ypIR3YVGFfEpyFESummAta6sg/edit"", ""Sheet1!B:D""), 3, FALSE), ""Not Found"")"),"g ɪ m i ")</f>
        <v>g ɪ m i </v>
      </c>
    </row>
    <row r="655">
      <c r="A655" s="1" t="s">
        <v>658</v>
      </c>
      <c r="B655" s="1" t="s">
        <v>5</v>
      </c>
      <c r="C655" s="2">
        <f>IFERROR(__xludf.DUMMYFUNCTION("IFERROR(VLOOKUP(A655, IMPORTRANGE(""https://docs.google.com/spreadsheets/d/1AVX9GT0dgogEBStecCXMMQ29tWz3gBrtNB8yIromXbY/edit?gid=741673867"", ""out1g!A:B""), 2, FALSE), 0)"),123.0)</f>
        <v>123</v>
      </c>
      <c r="D655" s="2" t="str">
        <f>IFERROR(__xludf.DUMMYFUNCTION("IFERROR(VLOOKUP(A655, IMPORTRANGE(""https://docs.google.com/spreadsheets/d/1-3Vjw2Cyy-mry5gbC8ypIR3YVGFfEpyFESummAta6sg/edit"", ""Sheet1!B:D""), 2, FALSE), ""Not Found"")"),"kwɑn")</f>
        <v>kwɑn</v>
      </c>
      <c r="E655" s="2" t="str">
        <f>IFERROR(__xludf.DUMMYFUNCTION("IFERROR(VLOOKUP(A655, IMPORTRANGE(""https://docs.google.com/spreadsheets/d/1-3Vjw2Cyy-mry5gbC8ypIR3YVGFfEpyFESummAta6sg/edit"", ""Sheet1!B:D""), 3, FALSE), ""Not Found"")"),"k w ɑ n ")</f>
        <v>k w ɑ n </v>
      </c>
    </row>
    <row r="656">
      <c r="A656" s="1" t="s">
        <v>659</v>
      </c>
      <c r="B656" s="1" t="s">
        <v>5</v>
      </c>
      <c r="C656" s="2">
        <f>IFERROR(__xludf.DUMMYFUNCTION("IFERROR(VLOOKUP(A656, IMPORTRANGE(""https://docs.google.com/spreadsheets/d/1AVX9GT0dgogEBStecCXMMQ29tWz3gBrtNB8yIromXbY/edit?gid=741673867"", ""out1g!A:B""), 2, FALSE), 0)"),50.0)</f>
        <v>50</v>
      </c>
      <c r="D656" s="2" t="str">
        <f>IFERROR(__xludf.DUMMYFUNCTION("IFERROR(VLOOKUP(A656, IMPORTRANGE(""https://docs.google.com/spreadsheets/d/1-3Vjw2Cyy-mry5gbC8ypIR3YVGFfEpyFESummAta6sg/edit"", ""Sheet1!B:D""), 2, FALSE), ""Not Found"")"),"glezd")</f>
        <v>glezd</v>
      </c>
      <c r="E656" s="2" t="str">
        <f>IFERROR(__xludf.DUMMYFUNCTION("IFERROR(VLOOKUP(A656, IMPORTRANGE(""https://docs.google.com/spreadsheets/d/1-3Vjw2Cyy-mry5gbC8ypIR3YVGFfEpyFESummAta6sg/edit"", ""Sheet1!B:D""), 3, FALSE), ""Not Found"")"),"g l e z d ")</f>
        <v>g l e z d </v>
      </c>
    </row>
    <row r="657">
      <c r="A657" s="1" t="s">
        <v>660</v>
      </c>
      <c r="B657" s="1" t="s">
        <v>5</v>
      </c>
      <c r="C657" s="2">
        <f>IFERROR(__xludf.DUMMYFUNCTION("IFERROR(VLOOKUP(A657, IMPORTRANGE(""https://docs.google.com/spreadsheets/d/1AVX9GT0dgogEBStecCXMMQ29tWz3gBrtNB8yIromXbY/edit?gid=741673867"", ""out1g!A:B""), 2, FALSE), 0)"),5500.0)</f>
        <v>5500</v>
      </c>
      <c r="D657" s="2" t="str">
        <f>IFERROR(__xludf.DUMMYFUNCTION("IFERROR(VLOOKUP(A657, IMPORTRANGE(""https://docs.google.com/spreadsheets/d/1-3Vjw2Cyy-mry5gbC8ypIR3YVGFfEpyFESummAta6sg/edit"", ""Sheet1!B:D""), 2, FALSE), ""Not Found"")"),"stet")</f>
        <v>stet</v>
      </c>
      <c r="E657" s="2" t="str">
        <f>IFERROR(__xludf.DUMMYFUNCTION("IFERROR(VLOOKUP(A657, IMPORTRANGE(""https://docs.google.com/spreadsheets/d/1-3Vjw2Cyy-mry5gbC8ypIR3YVGFfEpyFESummAta6sg/edit"", ""Sheet1!B:D""), 3, FALSE), ""Not Found"")"),"s t e t ")</f>
        <v>s t e t </v>
      </c>
    </row>
    <row r="658">
      <c r="A658" s="1" t="s">
        <v>661</v>
      </c>
      <c r="B658" s="1" t="s">
        <v>5</v>
      </c>
      <c r="C658" s="2">
        <f>IFERROR(__xludf.DUMMYFUNCTION("IFERROR(VLOOKUP(A658, IMPORTRANGE(""https://docs.google.com/spreadsheets/d/1AVX9GT0dgogEBStecCXMMQ29tWz3gBrtNB8yIromXbY/edit?gid=741673867"", ""out1g!A:B""), 2, FALSE), 0)"),47.0)</f>
        <v>47</v>
      </c>
      <c r="D658" s="2" t="str">
        <f>IFERROR(__xludf.DUMMYFUNCTION("IFERROR(VLOOKUP(A658, IMPORTRANGE(""https://docs.google.com/spreadsheets/d/1-3Vjw2Cyy-mry5gbC8ypIR3YVGFfEpyFESummAta6sg/edit"", ""Sheet1!B:D""), 2, FALSE), ""Not Found"")"),"hoʊ")</f>
        <v>hoʊ</v>
      </c>
      <c r="E658" s="2" t="str">
        <f>IFERROR(__xludf.DUMMYFUNCTION("IFERROR(VLOOKUP(A658, IMPORTRANGE(""https://docs.google.com/spreadsheets/d/1-3Vjw2Cyy-mry5gbC8ypIR3YVGFfEpyFESummAta6sg/edit"", ""Sheet1!B:D""), 3, FALSE), ""Not Found"")"),"h o ʊ ")</f>
        <v>h o ʊ </v>
      </c>
    </row>
    <row r="659">
      <c r="A659" s="1" t="s">
        <v>662</v>
      </c>
      <c r="B659" s="1" t="s">
        <v>5</v>
      </c>
      <c r="C659" s="2">
        <f>IFERROR(__xludf.DUMMYFUNCTION("IFERROR(VLOOKUP(A659, IMPORTRANGE(""https://docs.google.com/spreadsheets/d/1AVX9GT0dgogEBStecCXMMQ29tWz3gBrtNB8yIromXbY/edit?gid=741673867"", ""out1g!A:B""), 2, FALSE), 0)"),60.0)</f>
        <v>60</v>
      </c>
      <c r="D659" s="2" t="str">
        <f>IFERROR(__xludf.DUMMYFUNCTION("IFERROR(VLOOKUP(A659, IMPORTRANGE(""https://docs.google.com/spreadsheets/d/1-3Vjw2Cyy-mry5gbC8ypIR3YVGFfEpyFESummAta6sg/edit"", ""Sheet1!B:D""), 2, FALSE), ""Not Found"")"),"wɪps")</f>
        <v>wɪps</v>
      </c>
      <c r="E659" s="2" t="str">
        <f>IFERROR(__xludf.DUMMYFUNCTION("IFERROR(VLOOKUP(A659, IMPORTRANGE(""https://docs.google.com/spreadsheets/d/1-3Vjw2Cyy-mry5gbC8ypIR3YVGFfEpyFESummAta6sg/edit"", ""Sheet1!B:D""), 3, FALSE), ""Not Found"")"),"w ɪ p s ")</f>
        <v>w ɪ p s </v>
      </c>
    </row>
    <row r="660">
      <c r="A660" s="1" t="s">
        <v>663</v>
      </c>
      <c r="B660" s="1" t="s">
        <v>5</v>
      </c>
      <c r="C660" s="2">
        <f>IFERROR(__xludf.DUMMYFUNCTION("IFERROR(VLOOKUP(A660, IMPORTRANGE(""https://docs.google.com/spreadsheets/d/1AVX9GT0dgogEBStecCXMMQ29tWz3gBrtNB8yIromXbY/edit?gid=741673867"", ""out1g!A:B""), 2, FALSE), 0)"),96.0)</f>
        <v>96</v>
      </c>
      <c r="D660" s="2" t="str">
        <f>IFERROR(__xludf.DUMMYFUNCTION("IFERROR(VLOOKUP(A660, IMPORTRANGE(""https://docs.google.com/spreadsheets/d/1-3Vjw2Cyy-mry5gbC8ypIR3YVGFfEpyFESummAta6sg/edit"", ""Sheet1!B:D""), 2, FALSE), ""Not Found"")"),"stæns")</f>
        <v>stæns</v>
      </c>
      <c r="E660" s="2" t="str">
        <f>IFERROR(__xludf.DUMMYFUNCTION("IFERROR(VLOOKUP(A660, IMPORTRANGE(""https://docs.google.com/spreadsheets/d/1-3Vjw2Cyy-mry5gbC8ypIR3YVGFfEpyFESummAta6sg/edit"", ""Sheet1!B:D""), 3, FALSE), ""Not Found"")"),"s t æ n s ")</f>
        <v>s t æ n s </v>
      </c>
    </row>
    <row r="661">
      <c r="A661" s="1" t="s">
        <v>664</v>
      </c>
      <c r="B661" s="1" t="s">
        <v>5</v>
      </c>
      <c r="C661" s="2">
        <f>IFERROR(__xludf.DUMMYFUNCTION("IFERROR(VLOOKUP(A661, IMPORTRANGE(""https://docs.google.com/spreadsheets/d/1AVX9GT0dgogEBStecCXMMQ29tWz3gBrtNB8yIromXbY/edit?gid=741673867"", ""out1g!A:B""), 2, FALSE), 0)"),379.0)</f>
        <v>379</v>
      </c>
      <c r="D661" s="2" t="str">
        <f>IFERROR(__xludf.DUMMYFUNCTION("IFERROR(VLOOKUP(A661, IMPORTRANGE(""https://docs.google.com/spreadsheets/d/1-3Vjw2Cyy-mry5gbC8ypIR3YVGFfEpyFESummAta6sg/edit"", ""Sheet1!B:D""), 2, FALSE), ""Not Found"")"),"dɛlt")</f>
        <v>dɛlt</v>
      </c>
      <c r="E661" s="2" t="str">
        <f>IFERROR(__xludf.DUMMYFUNCTION("IFERROR(VLOOKUP(A661, IMPORTRANGE(""https://docs.google.com/spreadsheets/d/1-3Vjw2Cyy-mry5gbC8ypIR3YVGFfEpyFESummAta6sg/edit"", ""Sheet1!B:D""), 3, FALSE), ""Not Found"")"),"d ɛ l t ")</f>
        <v>d ɛ l t </v>
      </c>
    </row>
    <row r="662">
      <c r="A662" s="1" t="s">
        <v>665</v>
      </c>
      <c r="B662" s="1" t="s">
        <v>5</v>
      </c>
      <c r="C662" s="2">
        <f>IFERROR(__xludf.DUMMYFUNCTION("IFERROR(VLOOKUP(A662, IMPORTRANGE(""https://docs.google.com/spreadsheets/d/1AVX9GT0dgogEBStecCXMMQ29tWz3gBrtNB8yIromXbY/edit?gid=741673867"", ""out1g!A:B""), 2, FALSE), 0)"),262.0)</f>
        <v>262</v>
      </c>
      <c r="D662" s="2" t="str">
        <f>IFERROR(__xludf.DUMMYFUNCTION("IFERROR(VLOOKUP(A662, IMPORTRANGE(""https://docs.google.com/spreadsheets/d/1-3Vjw2Cyy-mry5gbC8ypIR3YVGFfEpyFESummAta6sg/edit"", ""Sheet1!B:D""), 2, FALSE), ""Not Found"")"),"mɑrk")</f>
        <v>mɑrk</v>
      </c>
      <c r="E662" s="2" t="str">
        <f>IFERROR(__xludf.DUMMYFUNCTION("IFERROR(VLOOKUP(A662, IMPORTRANGE(""https://docs.google.com/spreadsheets/d/1-3Vjw2Cyy-mry5gbC8ypIR3YVGFfEpyFESummAta6sg/edit"", ""Sheet1!B:D""), 3, FALSE), ""Not Found"")"),"m ɑ r k ")</f>
        <v>m ɑ r k </v>
      </c>
    </row>
    <row r="663">
      <c r="A663" s="1" t="s">
        <v>666</v>
      </c>
      <c r="B663" s="1" t="s">
        <v>5</v>
      </c>
      <c r="C663" s="2">
        <f>IFERROR(__xludf.DUMMYFUNCTION("IFERROR(VLOOKUP(A663, IMPORTRANGE(""https://docs.google.com/spreadsheets/d/1AVX9GT0dgogEBStecCXMMQ29tWz3gBrtNB8yIromXbY/edit?gid=741673867"", ""out1g!A:B""), 2, FALSE), 0)"),85.0)</f>
        <v>85</v>
      </c>
      <c r="D663" s="2" t="str">
        <f>IFERROR(__xludf.DUMMYFUNCTION("IFERROR(VLOOKUP(A663, IMPORTRANGE(""https://docs.google.com/spreadsheets/d/1-3Vjw2Cyy-mry5gbC8ypIR3YVGFfEpyFESummAta6sg/edit"", ""Sheet1!B:D""), 2, FALSE), ""Not Found"")"),"ʃɑ")</f>
        <v>ʃɑ</v>
      </c>
      <c r="E663" s="2" t="str">
        <f>IFERROR(__xludf.DUMMYFUNCTION("IFERROR(VLOOKUP(A663, IMPORTRANGE(""https://docs.google.com/spreadsheets/d/1-3Vjw2Cyy-mry5gbC8ypIR3YVGFfEpyFESummAta6sg/edit"", ""Sheet1!B:D""), 3, FALSE), ""Not Found"")"),"ʃ ɑ ")</f>
        <v>ʃ ɑ </v>
      </c>
    </row>
    <row r="664">
      <c r="A664" s="1" t="s">
        <v>667</v>
      </c>
      <c r="B664" s="1" t="s">
        <v>5</v>
      </c>
      <c r="C664" s="2">
        <f>IFERROR(__xludf.DUMMYFUNCTION("IFERROR(VLOOKUP(A664, IMPORTRANGE(""https://docs.google.com/spreadsheets/d/1AVX9GT0dgogEBStecCXMMQ29tWz3gBrtNB8yIromXbY/edit?gid=741673867"", ""out1g!A:B""), 2, FALSE), 0)"),99.0)</f>
        <v>99</v>
      </c>
      <c r="D664" s="2" t="str">
        <f>IFERROR(__xludf.DUMMYFUNCTION("IFERROR(VLOOKUP(A664, IMPORTRANGE(""https://docs.google.com/spreadsheets/d/1-3Vjw2Cyy-mry5gbC8ypIR3YVGFfEpyFESummAta6sg/edit"", ""Sheet1!B:D""), 2, FALSE), ""Not Found"")"),"ʧən")</f>
        <v>ʧən</v>
      </c>
      <c r="E664" s="2" t="str">
        <f>IFERROR(__xludf.DUMMYFUNCTION("IFERROR(VLOOKUP(A664, IMPORTRANGE(""https://docs.google.com/spreadsheets/d/1-3Vjw2Cyy-mry5gbC8ypIR3YVGFfEpyFESummAta6sg/edit"", ""Sheet1!B:D""), 3, FALSE), ""Not Found"")"),"ʧ ə n ")</f>
        <v>ʧ ə n </v>
      </c>
    </row>
    <row r="665">
      <c r="A665" s="1" t="s">
        <v>668</v>
      </c>
      <c r="B665" s="1" t="s">
        <v>5</v>
      </c>
      <c r="C665" s="2">
        <f>IFERROR(__xludf.DUMMYFUNCTION("IFERROR(VLOOKUP(A665, IMPORTRANGE(""https://docs.google.com/spreadsheets/d/1AVX9GT0dgogEBStecCXMMQ29tWz3gBrtNB8yIromXbY/edit?gid=741673867"", ""out1g!A:B""), 2, FALSE), 0)"),81.0)</f>
        <v>81</v>
      </c>
      <c r="D665" s="2" t="str">
        <f>IFERROR(__xludf.DUMMYFUNCTION("IFERROR(VLOOKUP(A665, IMPORTRANGE(""https://docs.google.com/spreadsheets/d/1-3Vjw2Cyy-mry5gbC8ypIR3YVGFfEpyFESummAta6sg/edit"", ""Sheet1!B:D""), 2, FALSE), ""Not Found"")"),"mɪk")</f>
        <v>mɪk</v>
      </c>
      <c r="E665" s="2" t="str">
        <f>IFERROR(__xludf.DUMMYFUNCTION("IFERROR(VLOOKUP(A665, IMPORTRANGE(""https://docs.google.com/spreadsheets/d/1-3Vjw2Cyy-mry5gbC8ypIR3YVGFfEpyFESummAta6sg/edit"", ""Sheet1!B:D""), 3, FALSE), ""Not Found"")"),"m ɪ k ")</f>
        <v>m ɪ k </v>
      </c>
    </row>
    <row r="666">
      <c r="A666" s="1" t="s">
        <v>669</v>
      </c>
      <c r="B666" s="1" t="s">
        <v>5</v>
      </c>
      <c r="C666" s="2">
        <f>IFERROR(__xludf.DUMMYFUNCTION("IFERROR(VLOOKUP(A666, IMPORTRANGE(""https://docs.google.com/spreadsheets/d/1AVX9GT0dgogEBStecCXMMQ29tWz3gBrtNB8yIromXbY/edit?gid=741673867"", ""out1g!A:B""), 2, FALSE), 0)"),838.0)</f>
        <v>838</v>
      </c>
      <c r="D666" s="2" t="str">
        <f>IFERROR(__xludf.DUMMYFUNCTION("IFERROR(VLOOKUP(A666, IMPORTRANGE(""https://docs.google.com/spreadsheets/d/1-3Vjw2Cyy-mry5gbC8ypIR3YVGFfEpyFESummAta6sg/edit"", ""Sheet1!B:D""), 2, FALSE), ""Not Found"")"),"fɪlθi")</f>
        <v>fɪlθi</v>
      </c>
      <c r="E666" s="2" t="str">
        <f>IFERROR(__xludf.DUMMYFUNCTION("IFERROR(VLOOKUP(A666, IMPORTRANGE(""https://docs.google.com/spreadsheets/d/1-3Vjw2Cyy-mry5gbC8ypIR3YVGFfEpyFESummAta6sg/edit"", ""Sheet1!B:D""), 3, FALSE), ""Not Found"")"),"f ɪ l θ i ")</f>
        <v>f ɪ l θ i </v>
      </c>
    </row>
    <row r="667">
      <c r="A667" s="1" t="s">
        <v>670</v>
      </c>
      <c r="B667" s="1" t="s">
        <v>5</v>
      </c>
      <c r="C667" s="2">
        <f>IFERROR(__xludf.DUMMYFUNCTION("IFERROR(VLOOKUP(A667, IMPORTRANGE(""https://docs.google.com/spreadsheets/d/1AVX9GT0dgogEBStecCXMMQ29tWz3gBrtNB8yIromXbY/edit?gid=741673867"", ""out1g!A:B""), 2, FALSE), 0)"),508.0)</f>
        <v>508</v>
      </c>
      <c r="D667" s="2" t="str">
        <f>IFERROR(__xludf.DUMMYFUNCTION("IFERROR(VLOOKUP(A667, IMPORTRANGE(""https://docs.google.com/spreadsheets/d/1-3Vjw2Cyy-mry5gbC8ypIR3YVGFfEpyFESummAta6sg/edit"", ""Sheet1!B:D""), 2, FALSE), ""Not Found"")"),"sɪts")</f>
        <v>sɪts</v>
      </c>
      <c r="E667" s="2" t="str">
        <f>IFERROR(__xludf.DUMMYFUNCTION("IFERROR(VLOOKUP(A667, IMPORTRANGE(""https://docs.google.com/spreadsheets/d/1-3Vjw2Cyy-mry5gbC8ypIR3YVGFfEpyFESummAta6sg/edit"", ""Sheet1!B:D""), 3, FALSE), ""Not Found"")"),"s ɪ t s ")</f>
        <v>s ɪ t s </v>
      </c>
    </row>
    <row r="668">
      <c r="A668" s="1" t="s">
        <v>671</v>
      </c>
      <c r="B668" s="1" t="s">
        <v>5</v>
      </c>
      <c r="C668" s="2">
        <f>IFERROR(__xludf.DUMMYFUNCTION("IFERROR(VLOOKUP(A668, IMPORTRANGE(""https://docs.google.com/spreadsheets/d/1AVX9GT0dgogEBStecCXMMQ29tWz3gBrtNB8yIromXbY/edit?gid=741673867"", ""out1g!A:B""), 2, FALSE), 0)"),202.0)</f>
        <v>202</v>
      </c>
      <c r="D668" s="2" t="str">
        <f>IFERROR(__xludf.DUMMYFUNCTION("IFERROR(VLOOKUP(A668, IMPORTRANGE(""https://docs.google.com/spreadsheets/d/1-3Vjw2Cyy-mry5gbC8ypIR3YVGFfEpyFESummAta6sg/edit"", ""Sheet1!B:D""), 2, FALSE), ""Not Found"")"),"krɔld")</f>
        <v>krɔld</v>
      </c>
      <c r="E668" s="2" t="str">
        <f>IFERROR(__xludf.DUMMYFUNCTION("IFERROR(VLOOKUP(A668, IMPORTRANGE(""https://docs.google.com/spreadsheets/d/1-3Vjw2Cyy-mry5gbC8ypIR3YVGFfEpyFESummAta6sg/edit"", ""Sheet1!B:D""), 3, FALSE), ""Not Found"")"),"k r ɔ l d ")</f>
        <v>k r ɔ l d </v>
      </c>
    </row>
    <row r="669">
      <c r="A669" s="1" t="s">
        <v>672</v>
      </c>
      <c r="B669" s="1" t="s">
        <v>5</v>
      </c>
      <c r="C669" s="2">
        <f>IFERROR(__xludf.DUMMYFUNCTION("IFERROR(VLOOKUP(A669, IMPORTRANGE(""https://docs.google.com/spreadsheets/d/1AVX9GT0dgogEBStecCXMMQ29tWz3gBrtNB8yIromXbY/edit?gid=741673867"", ""out1g!A:B""), 2, FALSE), 0)"),169.0)</f>
        <v>169</v>
      </c>
      <c r="D669" s="2" t="str">
        <f>IFERROR(__xludf.DUMMYFUNCTION("IFERROR(VLOOKUP(A669, IMPORTRANGE(""https://docs.google.com/spreadsheets/d/1-3Vjw2Cyy-mry5gbC8ypIR3YVGFfEpyFESummAta6sg/edit"", ""Sheet1!B:D""), 2, FALSE), ""Not Found"")"),"smæʃɪŋ")</f>
        <v>smæʃɪŋ</v>
      </c>
      <c r="E669" s="2" t="str">
        <f>IFERROR(__xludf.DUMMYFUNCTION("IFERROR(VLOOKUP(A669, IMPORTRANGE(""https://docs.google.com/spreadsheets/d/1-3Vjw2Cyy-mry5gbC8ypIR3YVGFfEpyFESummAta6sg/edit"", ""Sheet1!B:D""), 3, FALSE), ""Not Found"")"),"s m æ ʃ ɪ ŋ ")</f>
        <v>s m æ ʃ ɪ ŋ </v>
      </c>
    </row>
    <row r="670">
      <c r="A670" s="1" t="s">
        <v>673</v>
      </c>
      <c r="B670" s="1" t="s">
        <v>5</v>
      </c>
      <c r="C670" s="2">
        <f>IFERROR(__xludf.DUMMYFUNCTION("IFERROR(VLOOKUP(A670, IMPORTRANGE(""https://docs.google.com/spreadsheets/d/1AVX9GT0dgogEBStecCXMMQ29tWz3gBrtNB8yIromXbY/edit?gid=741673867"", ""out1g!A:B""), 2, FALSE), 0)"),58.0)</f>
        <v>58</v>
      </c>
      <c r="D670" s="2" t="str">
        <f>IFERROR(__xludf.DUMMYFUNCTION("IFERROR(VLOOKUP(A670, IMPORTRANGE(""https://docs.google.com/spreadsheets/d/1-3Vjw2Cyy-mry5gbC8ypIR3YVGFfEpyFESummAta6sg/edit"", ""Sheet1!B:D""), 2, FALSE), ""Not Found"")"),"roʊv")</f>
        <v>roʊv</v>
      </c>
      <c r="E670" s="2" t="str">
        <f>IFERROR(__xludf.DUMMYFUNCTION("IFERROR(VLOOKUP(A670, IMPORTRANGE(""https://docs.google.com/spreadsheets/d/1-3Vjw2Cyy-mry5gbC8ypIR3YVGFfEpyFESummAta6sg/edit"", ""Sheet1!B:D""), 3, FALSE), ""Not Found"")"),"r o ʊ v ")</f>
        <v>r o ʊ v </v>
      </c>
    </row>
    <row r="671">
      <c r="A671" s="1" t="s">
        <v>674</v>
      </c>
      <c r="B671" s="1" t="s">
        <v>5</v>
      </c>
      <c r="C671" s="2">
        <f>IFERROR(__xludf.DUMMYFUNCTION("IFERROR(VLOOKUP(A671, IMPORTRANGE(""https://docs.google.com/spreadsheets/d/1AVX9GT0dgogEBStecCXMMQ29tWz3gBrtNB8yIromXbY/edit?gid=741673867"", ""out1g!A:B""), 2, FALSE), 0)"),23650.0)</f>
        <v>23650</v>
      </c>
      <c r="D671" s="2" t="str">
        <f>IFERROR(__xludf.DUMMYFUNCTION("IFERROR(VLOOKUP(A671, IMPORTRANGE(""https://docs.google.com/spreadsheets/d/1-3Vjw2Cyy-mry5gbC8ypIR3YVGFfEpyFESummAta6sg/edit"", ""Sheet1!B:D""), 2, FALSE), ""Not Found"")"),"kem")</f>
        <v>kem</v>
      </c>
      <c r="E671" s="2" t="str">
        <f>IFERROR(__xludf.DUMMYFUNCTION("IFERROR(VLOOKUP(A671, IMPORTRANGE(""https://docs.google.com/spreadsheets/d/1-3Vjw2Cyy-mry5gbC8ypIR3YVGFfEpyFESummAta6sg/edit"", ""Sheet1!B:D""), 3, FALSE), ""Not Found"")"),"k e m ")</f>
        <v>k e m </v>
      </c>
    </row>
    <row r="672">
      <c r="A672" s="1" t="s">
        <v>675</v>
      </c>
      <c r="B672" s="1" t="s">
        <v>5</v>
      </c>
      <c r="C672" s="2">
        <f>IFERROR(__xludf.DUMMYFUNCTION("IFERROR(VLOOKUP(A672, IMPORTRANGE(""https://docs.google.com/spreadsheets/d/1AVX9GT0dgogEBStecCXMMQ29tWz3gBrtNB8yIromXbY/edit?gid=741673867"", ""out1g!A:B""), 2, FALSE), 0)"),24314.0)</f>
        <v>24314</v>
      </c>
      <c r="D672" s="2" t="str">
        <f>IFERROR(__xludf.DUMMYFUNCTION("IFERROR(VLOOKUP(A672, IMPORTRANGE(""https://docs.google.com/spreadsheets/d/1-3Vjw2Cyy-mry5gbC8ypIR3YVGFfEpyFESummAta6sg/edit"", ""Sheet1!B:D""), 2, FALSE), ""Not Found"")"),"traɪ")</f>
        <v>traɪ</v>
      </c>
      <c r="E672" s="2" t="str">
        <f>IFERROR(__xludf.DUMMYFUNCTION("IFERROR(VLOOKUP(A672, IMPORTRANGE(""https://docs.google.com/spreadsheets/d/1-3Vjw2Cyy-mry5gbC8ypIR3YVGFfEpyFESummAta6sg/edit"", ""Sheet1!B:D""), 3, FALSE), ""Not Found"")"),"t r a ɪ ")</f>
        <v>t r a ɪ </v>
      </c>
    </row>
    <row r="673">
      <c r="A673" s="1" t="s">
        <v>676</v>
      </c>
      <c r="B673" s="1" t="s">
        <v>5</v>
      </c>
      <c r="C673" s="2">
        <f>IFERROR(__xludf.DUMMYFUNCTION("IFERROR(VLOOKUP(A673, IMPORTRANGE(""https://docs.google.com/spreadsheets/d/1AVX9GT0dgogEBStecCXMMQ29tWz3gBrtNB8yIromXbY/edit?gid=741673867"", ""out1g!A:B""), 2, FALSE), 0)"),482.0)</f>
        <v>482</v>
      </c>
      <c r="D673" s="2" t="str">
        <f>IFERROR(__xludf.DUMMYFUNCTION("IFERROR(VLOOKUP(A673, IMPORTRANGE(""https://docs.google.com/spreadsheets/d/1-3Vjw2Cyy-mry5gbC8ypIR3YVGFfEpyFESummAta6sg/edit"", ""Sheet1!B:D""), 2, FALSE), ""Not Found"")"),"stæbd")</f>
        <v>stæbd</v>
      </c>
      <c r="E673" s="2" t="str">
        <f>IFERROR(__xludf.DUMMYFUNCTION("IFERROR(VLOOKUP(A673, IMPORTRANGE(""https://docs.google.com/spreadsheets/d/1-3Vjw2Cyy-mry5gbC8ypIR3YVGFfEpyFESummAta6sg/edit"", ""Sheet1!B:D""), 3, FALSE), ""Not Found"")"),"s t æ b d ")</f>
        <v>s t æ b d </v>
      </c>
    </row>
    <row r="674">
      <c r="A674" s="1" t="s">
        <v>677</v>
      </c>
      <c r="B674" s="1" t="s">
        <v>5</v>
      </c>
      <c r="C674" s="2">
        <f>IFERROR(__xludf.DUMMYFUNCTION("IFERROR(VLOOKUP(A674, IMPORTRANGE(""https://docs.google.com/spreadsheets/d/1AVX9GT0dgogEBStecCXMMQ29tWz3gBrtNB8yIromXbY/edit?gid=741673867"", ""out1g!A:B""), 2, FALSE), 0)"),97.0)</f>
        <v>97</v>
      </c>
      <c r="D674" s="2" t="str">
        <f>IFERROR(__xludf.DUMMYFUNCTION("IFERROR(VLOOKUP(A674, IMPORTRANGE(""https://docs.google.com/spreadsheets/d/1-3Vjw2Cyy-mry5gbC8ypIR3YVGFfEpyFESummAta6sg/edit"", ""Sheet1!B:D""), 2, FALSE), ""Not Found"")"),"nɪt")</f>
        <v>nɪt</v>
      </c>
      <c r="E674" s="2" t="str">
        <f>IFERROR(__xludf.DUMMYFUNCTION("IFERROR(VLOOKUP(A674, IMPORTRANGE(""https://docs.google.com/spreadsheets/d/1-3Vjw2Cyy-mry5gbC8ypIR3YVGFfEpyFESummAta6sg/edit"", ""Sheet1!B:D""), 3, FALSE), ""Not Found"")"),"n ɪ t ")</f>
        <v>n ɪ t </v>
      </c>
    </row>
    <row r="675">
      <c r="A675" s="1" t="s">
        <v>678</v>
      </c>
      <c r="B675" s="1" t="s">
        <v>5</v>
      </c>
      <c r="C675" s="2">
        <f>IFERROR(__xludf.DUMMYFUNCTION("IFERROR(VLOOKUP(A675, IMPORTRANGE(""https://docs.google.com/spreadsheets/d/1AVX9GT0dgogEBStecCXMMQ29tWz3gBrtNB8yIromXbY/edit?gid=741673867"", ""out1g!A:B""), 2, FALSE), 0)"),115.0)</f>
        <v>115</v>
      </c>
      <c r="D675" s="2" t="str">
        <f>IFERROR(__xludf.DUMMYFUNCTION("IFERROR(VLOOKUP(A675, IMPORTRANGE(""https://docs.google.com/spreadsheets/d/1-3Vjw2Cyy-mry5gbC8ypIR3YVGFfEpyFESummAta6sg/edit"", ""Sheet1!B:D""), 2, FALSE), ""Not Found"")"),"ɪʧɪŋ")</f>
        <v>ɪʧɪŋ</v>
      </c>
      <c r="E675" s="2" t="str">
        <f>IFERROR(__xludf.DUMMYFUNCTION("IFERROR(VLOOKUP(A675, IMPORTRANGE(""https://docs.google.com/spreadsheets/d/1-3Vjw2Cyy-mry5gbC8ypIR3YVGFfEpyFESummAta6sg/edit"", ""Sheet1!B:D""), 3, FALSE), ""Not Found"")"),"ɪ ʧ ɪ ŋ ")</f>
        <v>ɪ ʧ ɪ ŋ </v>
      </c>
    </row>
    <row r="676">
      <c r="A676" s="1" t="s">
        <v>679</v>
      </c>
      <c r="B676" s="1" t="s">
        <v>5</v>
      </c>
      <c r="C676" s="2">
        <f>IFERROR(__xludf.DUMMYFUNCTION("IFERROR(VLOOKUP(A676, IMPORTRANGE(""https://docs.google.com/spreadsheets/d/1AVX9GT0dgogEBStecCXMMQ29tWz3gBrtNB8yIromXbY/edit?gid=741673867"", ""out1g!A:B""), 2, FALSE), 0)"),126.0)</f>
        <v>126</v>
      </c>
      <c r="D676" s="2" t="str">
        <f>IFERROR(__xludf.DUMMYFUNCTION("IFERROR(VLOOKUP(A676, IMPORTRANGE(""https://docs.google.com/spreadsheets/d/1-3Vjw2Cyy-mry5gbC8ypIR3YVGFfEpyFESummAta6sg/edit"", ""Sheet1!B:D""), 2, FALSE), ""Not Found"")"),"oʊti")</f>
        <v>oʊti</v>
      </c>
      <c r="E676" s="2" t="str">
        <f>IFERROR(__xludf.DUMMYFUNCTION("IFERROR(VLOOKUP(A676, IMPORTRANGE(""https://docs.google.com/spreadsheets/d/1-3Vjw2Cyy-mry5gbC8ypIR3YVGFfEpyFESummAta6sg/edit"", ""Sheet1!B:D""), 3, FALSE), ""Not Found"")"),"o ʊ t i ")</f>
        <v>o ʊ t i </v>
      </c>
    </row>
    <row r="677">
      <c r="A677" s="1" t="s">
        <v>680</v>
      </c>
      <c r="B677" s="1" t="s">
        <v>5</v>
      </c>
      <c r="C677" s="2">
        <f>IFERROR(__xludf.DUMMYFUNCTION("IFERROR(VLOOKUP(A677, IMPORTRANGE(""https://docs.google.com/spreadsheets/d/1AVX9GT0dgogEBStecCXMMQ29tWz3gBrtNB8yIromXbY/edit?gid=741673867"", ""out1g!A:B""), 2, FALSE), 0)"),48.0)</f>
        <v>48</v>
      </c>
      <c r="D677" s="2" t="str">
        <f>IFERROR(__xludf.DUMMYFUNCTION("IFERROR(VLOOKUP(A677, IMPORTRANGE(""https://docs.google.com/spreadsheets/d/1-3Vjw2Cyy-mry5gbC8ypIR3YVGFfEpyFESummAta6sg/edit"", ""Sheet1!B:D""), 2, FALSE), ""Not Found"")"),"moʊ")</f>
        <v>moʊ</v>
      </c>
      <c r="E677" s="2" t="str">
        <f>IFERROR(__xludf.DUMMYFUNCTION("IFERROR(VLOOKUP(A677, IMPORTRANGE(""https://docs.google.com/spreadsheets/d/1-3Vjw2Cyy-mry5gbC8ypIR3YVGFfEpyFESummAta6sg/edit"", ""Sheet1!B:D""), 3, FALSE), ""Not Found"")"),"m o ʊ ")</f>
        <v>m o ʊ </v>
      </c>
    </row>
    <row r="678">
      <c r="A678" s="1" t="s">
        <v>681</v>
      </c>
      <c r="B678" s="1" t="s">
        <v>5</v>
      </c>
      <c r="C678" s="2">
        <f>IFERROR(__xludf.DUMMYFUNCTION("IFERROR(VLOOKUP(A678, IMPORTRANGE(""https://docs.google.com/spreadsheets/d/1AVX9GT0dgogEBStecCXMMQ29tWz3gBrtNB8yIromXbY/edit?gid=741673867"", ""out1g!A:B""), 2, FALSE), 0)"),7046.0)</f>
        <v>7046</v>
      </c>
      <c r="D678" s="2" t="str">
        <f>IFERROR(__xludf.DUMMYFUNCTION("IFERROR(VLOOKUP(A678, IMPORTRANGE(""https://docs.google.com/spreadsheets/d/1-3Vjw2Cyy-mry5gbC8ypIR3YVGFfEpyFESummAta6sg/edit"", ""Sheet1!B:D""), 2, FALSE), ""Not Found"")"),"lɔrd")</f>
        <v>lɔrd</v>
      </c>
      <c r="E678" s="2" t="str">
        <f>IFERROR(__xludf.DUMMYFUNCTION("IFERROR(VLOOKUP(A678, IMPORTRANGE(""https://docs.google.com/spreadsheets/d/1-3Vjw2Cyy-mry5gbC8ypIR3YVGFfEpyFESummAta6sg/edit"", ""Sheet1!B:D""), 3, FALSE), ""Not Found"")"),"l ɔ r d ")</f>
        <v>l ɔ r d </v>
      </c>
    </row>
    <row r="679">
      <c r="A679" s="1" t="s">
        <v>682</v>
      </c>
      <c r="B679" s="1" t="s">
        <v>5</v>
      </c>
      <c r="C679" s="2">
        <f>IFERROR(__xludf.DUMMYFUNCTION("IFERROR(VLOOKUP(A679, IMPORTRANGE(""https://docs.google.com/spreadsheets/d/1AVX9GT0dgogEBStecCXMMQ29tWz3gBrtNB8yIromXbY/edit?gid=741673867"", ""out1g!A:B""), 2, FALSE), 0)"),1362.0)</f>
        <v>1362</v>
      </c>
      <c r="D679" s="2" t="str">
        <f>IFERROR(__xludf.DUMMYFUNCTION("IFERROR(VLOOKUP(A679, IMPORTRANGE(""https://docs.google.com/spreadsheets/d/1-3Vjw2Cyy-mry5gbC8ypIR3YVGFfEpyFESummAta6sg/edit"", ""Sheet1!B:D""), 2, FALSE), ""Not Found"")"),"fɔt")</f>
        <v>fɔt</v>
      </c>
      <c r="E679" s="2" t="str">
        <f>IFERROR(__xludf.DUMMYFUNCTION("IFERROR(VLOOKUP(A679, IMPORTRANGE(""https://docs.google.com/spreadsheets/d/1-3Vjw2Cyy-mry5gbC8ypIR3YVGFfEpyFESummAta6sg/edit"", ""Sheet1!B:D""), 3, FALSE), ""Not Found"")"),"f ɔ t ")</f>
        <v>f ɔ t </v>
      </c>
    </row>
    <row r="680">
      <c r="A680" s="1" t="s">
        <v>683</v>
      </c>
      <c r="B680" s="1" t="s">
        <v>5</v>
      </c>
      <c r="C680" s="2">
        <f>IFERROR(__xludf.DUMMYFUNCTION("IFERROR(VLOOKUP(A680, IMPORTRANGE(""https://docs.google.com/spreadsheets/d/1AVX9GT0dgogEBStecCXMMQ29tWz3gBrtNB8yIromXbY/edit?gid=741673867"", ""out1g!A:B""), 2, FALSE), 0)"),3416.0)</f>
        <v>3416</v>
      </c>
      <c r="D680" s="2" t="str">
        <f>IFERROR(__xludf.DUMMYFUNCTION("IFERROR(VLOOKUP(A680, IMPORTRANGE(""https://docs.google.com/spreadsheets/d/1-3Vjw2Cyy-mry5gbC8ypIR3YVGFfEpyFESummAta6sg/edit"", ""Sheet1!B:D""), 2, FALSE), ""Not Found"")"),"daɪɪŋ")</f>
        <v>daɪɪŋ</v>
      </c>
      <c r="E680" s="2" t="str">
        <f>IFERROR(__xludf.DUMMYFUNCTION("IFERROR(VLOOKUP(A680, IMPORTRANGE(""https://docs.google.com/spreadsheets/d/1-3Vjw2Cyy-mry5gbC8ypIR3YVGFfEpyFESummAta6sg/edit"", ""Sheet1!B:D""), 3, FALSE), ""Not Found"")"),"d a ɪ ɪ ŋ ")</f>
        <v>d a ɪ ɪ ŋ </v>
      </c>
    </row>
    <row r="681">
      <c r="A681" s="1" t="s">
        <v>684</v>
      </c>
      <c r="B681" s="1" t="s">
        <v>5</v>
      </c>
      <c r="C681" s="2">
        <f>IFERROR(__xludf.DUMMYFUNCTION("IFERROR(VLOOKUP(A681, IMPORTRANGE(""https://docs.google.com/spreadsheets/d/1AVX9GT0dgogEBStecCXMMQ29tWz3gBrtNB8yIromXbY/edit?gid=741673867"", ""out1g!A:B""), 2, FALSE), 0)"),262.0)</f>
        <v>262</v>
      </c>
      <c r="D681" s="2" t="str">
        <f>IFERROR(__xludf.DUMMYFUNCTION("IFERROR(VLOOKUP(A681, IMPORTRANGE(""https://docs.google.com/spreadsheets/d/1-3Vjw2Cyy-mry5gbC8ypIR3YVGFfEpyFESummAta6sg/edit"", ""Sheet1!B:D""), 2, FALSE), ""Not Found"")"),"dɑm")</f>
        <v>dɑm</v>
      </c>
      <c r="E681" s="2" t="str">
        <f>IFERROR(__xludf.DUMMYFUNCTION("IFERROR(VLOOKUP(A681, IMPORTRANGE(""https://docs.google.com/spreadsheets/d/1-3Vjw2Cyy-mry5gbC8ypIR3YVGFfEpyFESummAta6sg/edit"", ""Sheet1!B:D""), 3, FALSE), ""Not Found"")"),"d ɑ m ")</f>
        <v>d ɑ m </v>
      </c>
    </row>
    <row r="682">
      <c r="A682" s="1" t="s">
        <v>685</v>
      </c>
      <c r="B682" s="1" t="s">
        <v>5</v>
      </c>
      <c r="C682" s="2">
        <f>IFERROR(__xludf.DUMMYFUNCTION("IFERROR(VLOOKUP(A682, IMPORTRANGE(""https://docs.google.com/spreadsheets/d/1AVX9GT0dgogEBStecCXMMQ29tWz3gBrtNB8yIromXbY/edit?gid=741673867"", ""out1g!A:B""), 2, FALSE), 0)"),79.0)</f>
        <v>79</v>
      </c>
      <c r="D682" s="2" t="str">
        <f>IFERROR(__xludf.DUMMYFUNCTION("IFERROR(VLOOKUP(A682, IMPORTRANGE(""https://docs.google.com/spreadsheets/d/1-3Vjw2Cyy-mry5gbC8ypIR3YVGFfEpyFESummAta6sg/edit"", ""Sheet1!B:D""), 2, FALSE), ""Not Found"")"),"vk")</f>
        <v>vk</v>
      </c>
      <c r="E682" s="2" t="str">
        <f>IFERROR(__xludf.DUMMYFUNCTION("IFERROR(VLOOKUP(A682, IMPORTRANGE(""https://docs.google.com/spreadsheets/d/1-3Vjw2Cyy-mry5gbC8ypIR3YVGFfEpyFESummAta6sg/edit"", ""Sheet1!B:D""), 3, FALSE), ""Not Found"")"),"v k ")</f>
        <v>v k </v>
      </c>
    </row>
    <row r="683">
      <c r="A683" s="1" t="s">
        <v>686</v>
      </c>
      <c r="B683" s="1" t="s">
        <v>5</v>
      </c>
      <c r="C683" s="2">
        <f>IFERROR(__xludf.DUMMYFUNCTION("IFERROR(VLOOKUP(A683, IMPORTRANGE(""https://docs.google.com/spreadsheets/d/1AVX9GT0dgogEBStecCXMMQ29tWz3gBrtNB8yIromXbY/edit?gid=741673867"", ""out1g!A:B""), 2, FALSE), 0)"),2298.0)</f>
        <v>2298</v>
      </c>
      <c r="D683" s="2" t="str">
        <f>IFERROR(__xludf.DUMMYFUNCTION("IFERROR(VLOOKUP(A683, IMPORTRANGE(""https://docs.google.com/spreadsheets/d/1-3Vjw2Cyy-mry5gbC8ypIR3YVGFfEpyFESummAta6sg/edit"", ""Sheet1!B:D""), 2, FALSE), ""Not Found"")"),"kek")</f>
        <v>kek</v>
      </c>
      <c r="E683" s="2" t="str">
        <f>IFERROR(__xludf.DUMMYFUNCTION("IFERROR(VLOOKUP(A683, IMPORTRANGE(""https://docs.google.com/spreadsheets/d/1-3Vjw2Cyy-mry5gbC8ypIR3YVGFfEpyFESummAta6sg/edit"", ""Sheet1!B:D""), 3, FALSE), ""Not Found"")"),"k e k ")</f>
        <v>k e k </v>
      </c>
    </row>
    <row r="684">
      <c r="A684" s="1" t="s">
        <v>687</v>
      </c>
      <c r="B684" s="1" t="s">
        <v>5</v>
      </c>
      <c r="C684" s="2">
        <f>IFERROR(__xludf.DUMMYFUNCTION("IFERROR(VLOOKUP(A684, IMPORTRANGE(""https://docs.google.com/spreadsheets/d/1AVX9GT0dgogEBStecCXMMQ29tWz3gBrtNB8yIromXbY/edit?gid=741673867"", ""out1g!A:B""), 2, FALSE), 0)"),491.0)</f>
        <v>491</v>
      </c>
      <c r="D684" s="2" t="str">
        <f>IFERROR(__xludf.DUMMYFUNCTION("IFERROR(VLOOKUP(A684, IMPORTRANGE(""https://docs.google.com/spreadsheets/d/1-3Vjw2Cyy-mry5gbC8ypIR3YVGFfEpyFESummAta6sg/edit"", ""Sheet1!B:D""), 2, FALSE), ""Not Found"")"),"luzərz")</f>
        <v>luzərz</v>
      </c>
      <c r="E684" s="2" t="str">
        <f>IFERROR(__xludf.DUMMYFUNCTION("IFERROR(VLOOKUP(A684, IMPORTRANGE(""https://docs.google.com/spreadsheets/d/1-3Vjw2Cyy-mry5gbC8ypIR3YVGFfEpyFESummAta6sg/edit"", ""Sheet1!B:D""), 3, FALSE), ""Not Found"")"),"l u z ə r z ")</f>
        <v>l u z ə r z </v>
      </c>
    </row>
    <row r="685">
      <c r="A685" s="1" t="s">
        <v>688</v>
      </c>
      <c r="B685" s="1" t="s">
        <v>5</v>
      </c>
      <c r="C685" s="2">
        <f>IFERROR(__xludf.DUMMYFUNCTION("IFERROR(VLOOKUP(A685, IMPORTRANGE(""https://docs.google.com/spreadsheets/d/1AVX9GT0dgogEBStecCXMMQ29tWz3gBrtNB8yIromXbY/edit?gid=741673867"", ""out1g!A:B""), 2, FALSE), 0)"),150.0)</f>
        <v>150</v>
      </c>
      <c r="D685" s="2" t="str">
        <f>IFERROR(__xludf.DUMMYFUNCTION("IFERROR(VLOOKUP(A685, IMPORTRANGE(""https://docs.google.com/spreadsheets/d/1-3Vjw2Cyy-mry5gbC8ypIR3YVGFfEpyFESummAta6sg/edit"", ""Sheet1!B:D""), 2, FALSE), ""Not Found"")"),"sniz")</f>
        <v>sniz</v>
      </c>
      <c r="E685" s="2" t="str">
        <f>IFERROR(__xludf.DUMMYFUNCTION("IFERROR(VLOOKUP(A685, IMPORTRANGE(""https://docs.google.com/spreadsheets/d/1-3Vjw2Cyy-mry5gbC8ypIR3YVGFfEpyFESummAta6sg/edit"", ""Sheet1!B:D""), 3, FALSE), ""Not Found"")"),"s n i z ")</f>
        <v>s n i z </v>
      </c>
    </row>
    <row r="686">
      <c r="A686" s="1" t="s">
        <v>689</v>
      </c>
      <c r="B686" s="1" t="s">
        <v>5</v>
      </c>
      <c r="C686" s="2">
        <f>IFERROR(__xludf.DUMMYFUNCTION("IFERROR(VLOOKUP(A686, IMPORTRANGE(""https://docs.google.com/spreadsheets/d/1AVX9GT0dgogEBStecCXMMQ29tWz3gBrtNB8yIromXbY/edit?gid=741673867"", ""out1g!A:B""), 2, FALSE), 0)"),228.0)</f>
        <v>228</v>
      </c>
      <c r="D686" s="2" t="str">
        <f>IFERROR(__xludf.DUMMYFUNCTION("IFERROR(VLOOKUP(A686, IMPORTRANGE(""https://docs.google.com/spreadsheets/d/1-3Vjw2Cyy-mry5gbC8ypIR3YVGFfEpyFESummAta6sg/edit"", ""Sheet1!B:D""), 2, FALSE), ""Not Found"")"),"piɛm")</f>
        <v>piɛm</v>
      </c>
      <c r="E686" s="2" t="str">
        <f>IFERROR(__xludf.DUMMYFUNCTION("IFERROR(VLOOKUP(A686, IMPORTRANGE(""https://docs.google.com/spreadsheets/d/1-3Vjw2Cyy-mry5gbC8ypIR3YVGFfEpyFESummAta6sg/edit"", ""Sheet1!B:D""), 3, FALSE), ""Not Found"")"),"p i ɛ m ")</f>
        <v>p i ɛ m </v>
      </c>
    </row>
    <row r="687">
      <c r="A687" s="1" t="s">
        <v>690</v>
      </c>
      <c r="B687" s="1" t="s">
        <v>5</v>
      </c>
      <c r="C687" s="2">
        <f>IFERROR(__xludf.DUMMYFUNCTION("IFERROR(VLOOKUP(A687, IMPORTRANGE(""https://docs.google.com/spreadsheets/d/1AVX9GT0dgogEBStecCXMMQ29tWz3gBrtNB8yIromXbY/edit?gid=741673867"", ""out1g!A:B""), 2, FALSE), 0)"),13551.0)</f>
        <v>13551</v>
      </c>
      <c r="D687" s="2" t="str">
        <f>IFERROR(__xludf.DUMMYFUNCTION("IFERROR(VLOOKUP(A687, IMPORTRANGE(""https://docs.google.com/spreadsheets/d/1-3Vjw2Cyy-mry5gbC8ypIR3YVGFfEpyFESummAta6sg/edit"", ""Sheet1!B:D""), 2, FALSE), ""Not Found"")"),"izi")</f>
        <v>izi</v>
      </c>
      <c r="E687" s="2" t="str">
        <f>IFERROR(__xludf.DUMMYFUNCTION("IFERROR(VLOOKUP(A687, IMPORTRANGE(""https://docs.google.com/spreadsheets/d/1-3Vjw2Cyy-mry5gbC8ypIR3YVGFfEpyFESummAta6sg/edit"", ""Sheet1!B:D""), 3, FALSE), ""Not Found"")"),"i z i ")</f>
        <v>i z i </v>
      </c>
    </row>
    <row r="688">
      <c r="A688" s="1" t="s">
        <v>691</v>
      </c>
      <c r="B688" s="1" t="s">
        <v>5</v>
      </c>
      <c r="C688" s="2">
        <f>IFERROR(__xludf.DUMMYFUNCTION("IFERROR(VLOOKUP(A688, IMPORTRANGE(""https://docs.google.com/spreadsheets/d/1AVX9GT0dgogEBStecCXMMQ29tWz3gBrtNB8yIromXbY/edit?gid=741673867"", ""out1g!A:B""), 2, FALSE), 0)"),190.0)</f>
        <v>190</v>
      </c>
      <c r="D688" s="2" t="str">
        <f>IFERROR(__xludf.DUMMYFUNCTION("IFERROR(VLOOKUP(A688, IMPORTRANGE(""https://docs.google.com/spreadsheets/d/1-3Vjw2Cyy-mry5gbC8ypIR3YVGFfEpyFESummAta6sg/edit"", ""Sheet1!B:D""), 2, FALSE), ""Not Found"")"),"bəmz")</f>
        <v>bəmz</v>
      </c>
      <c r="E688" s="2" t="str">
        <f>IFERROR(__xludf.DUMMYFUNCTION("IFERROR(VLOOKUP(A688, IMPORTRANGE(""https://docs.google.com/spreadsheets/d/1-3Vjw2Cyy-mry5gbC8ypIR3YVGFfEpyFESummAta6sg/edit"", ""Sheet1!B:D""), 3, FALSE), ""Not Found"")"),"b ə m z ")</f>
        <v>b ə m z </v>
      </c>
    </row>
    <row r="689">
      <c r="A689" s="1" t="s">
        <v>692</v>
      </c>
      <c r="B689" s="1" t="s">
        <v>5</v>
      </c>
      <c r="C689" s="2">
        <f>IFERROR(__xludf.DUMMYFUNCTION("IFERROR(VLOOKUP(A689, IMPORTRANGE(""https://docs.google.com/spreadsheets/d/1AVX9GT0dgogEBStecCXMMQ29tWz3gBrtNB8yIromXbY/edit?gid=741673867"", ""out1g!A:B""), 2, FALSE), 0)"),48.0)</f>
        <v>48</v>
      </c>
      <c r="D689" s="2" t="str">
        <f>IFERROR(__xludf.DUMMYFUNCTION("IFERROR(VLOOKUP(A689, IMPORTRANGE(""https://docs.google.com/spreadsheets/d/1-3Vjw2Cyy-mry5gbC8ypIR3YVGFfEpyFESummAta6sg/edit"", ""Sheet1!B:D""), 2, FALSE), ""Not Found"")"),"sənz")</f>
        <v>sənz</v>
      </c>
      <c r="E689" s="2" t="str">
        <f>IFERROR(__xludf.DUMMYFUNCTION("IFERROR(VLOOKUP(A689, IMPORTRANGE(""https://docs.google.com/spreadsheets/d/1-3Vjw2Cyy-mry5gbC8ypIR3YVGFfEpyFESummAta6sg/edit"", ""Sheet1!B:D""), 3, FALSE), ""Not Found"")"),"s ə n z ")</f>
        <v>s ə n z </v>
      </c>
    </row>
    <row r="690">
      <c r="A690" s="1" t="s">
        <v>693</v>
      </c>
      <c r="B690" s="1" t="s">
        <v>5</v>
      </c>
      <c r="C690" s="2">
        <f>IFERROR(__xludf.DUMMYFUNCTION("IFERROR(VLOOKUP(A690, IMPORTRANGE(""https://docs.google.com/spreadsheets/d/1AVX9GT0dgogEBStecCXMMQ29tWz3gBrtNB8yIromXbY/edit?gid=741673867"", ""out1g!A:B""), 2, FALSE), 0)"),375.0)</f>
        <v>375</v>
      </c>
      <c r="D690" s="2" t="str">
        <f>IFERROR(__xludf.DUMMYFUNCTION("IFERROR(VLOOKUP(A690, IMPORTRANGE(""https://docs.google.com/spreadsheets/d/1-3Vjw2Cyy-mry5gbC8ypIR3YVGFfEpyFESummAta6sg/edit"", ""Sheet1!B:D""), 2, FALSE), ""Not Found"")"),"ɑlɪv")</f>
        <v>ɑlɪv</v>
      </c>
      <c r="E690" s="2" t="str">
        <f>IFERROR(__xludf.DUMMYFUNCTION("IFERROR(VLOOKUP(A690, IMPORTRANGE(""https://docs.google.com/spreadsheets/d/1-3Vjw2Cyy-mry5gbC8ypIR3YVGFfEpyFESummAta6sg/edit"", ""Sheet1!B:D""), 3, FALSE), ""Not Found"")"),"ɑ l ɪ v ")</f>
        <v>ɑ l ɪ v </v>
      </c>
    </row>
    <row r="691">
      <c r="A691" s="1" t="s">
        <v>694</v>
      </c>
      <c r="B691" s="1" t="s">
        <v>5</v>
      </c>
      <c r="C691" s="2">
        <f>IFERROR(__xludf.DUMMYFUNCTION("IFERROR(VLOOKUP(A691, IMPORTRANGE(""https://docs.google.com/spreadsheets/d/1AVX9GT0dgogEBStecCXMMQ29tWz3gBrtNB8yIromXbY/edit?gid=741673867"", ""out1g!A:B""), 2, FALSE), 0)"),229.0)</f>
        <v>229</v>
      </c>
      <c r="D691" s="2" t="str">
        <f>IFERROR(__xludf.DUMMYFUNCTION("IFERROR(VLOOKUP(A691, IMPORTRANGE(""https://docs.google.com/spreadsheets/d/1-3Vjw2Cyy-mry5gbC8ypIR3YVGFfEpyFESummAta6sg/edit"", ""Sheet1!B:D""), 2, FALSE), ""Not Found"")"),"pɪnz")</f>
        <v>pɪnz</v>
      </c>
      <c r="E691" s="2" t="str">
        <f>IFERROR(__xludf.DUMMYFUNCTION("IFERROR(VLOOKUP(A691, IMPORTRANGE(""https://docs.google.com/spreadsheets/d/1-3Vjw2Cyy-mry5gbC8ypIR3YVGFfEpyFESummAta6sg/edit"", ""Sheet1!B:D""), 3, FALSE), ""Not Found"")"),"p ɪ n z ")</f>
        <v>p ɪ n z </v>
      </c>
    </row>
    <row r="692">
      <c r="A692" s="1" t="s">
        <v>695</v>
      </c>
      <c r="B692" s="1" t="s">
        <v>5</v>
      </c>
      <c r="C692" s="2">
        <f>IFERROR(__xludf.DUMMYFUNCTION("IFERROR(VLOOKUP(A692, IMPORTRANGE(""https://docs.google.com/spreadsheets/d/1AVX9GT0dgogEBStecCXMMQ29tWz3gBrtNB8yIromXbY/edit?gid=741673867"", ""out1g!A:B""), 2, FALSE), 0)"),146.0)</f>
        <v>146</v>
      </c>
      <c r="D692" s="2" t="str">
        <f>IFERROR(__xludf.DUMMYFUNCTION("IFERROR(VLOOKUP(A692, IMPORTRANGE(""https://docs.google.com/spreadsheets/d/1-3Vjw2Cyy-mry5gbC8ypIR3YVGFfEpyFESummAta6sg/edit"", ""Sheet1!B:D""), 2, FALSE), ""Not Found"")"),"ʧəki")</f>
        <v>ʧəki</v>
      </c>
      <c r="E692" s="2" t="str">
        <f>IFERROR(__xludf.DUMMYFUNCTION("IFERROR(VLOOKUP(A692, IMPORTRANGE(""https://docs.google.com/spreadsheets/d/1-3Vjw2Cyy-mry5gbC8ypIR3YVGFfEpyFESummAta6sg/edit"", ""Sheet1!B:D""), 3, FALSE), ""Not Found"")"),"ʧ ə k i ")</f>
        <v>ʧ ə k i </v>
      </c>
    </row>
    <row r="693">
      <c r="A693" s="1" t="s">
        <v>696</v>
      </c>
      <c r="B693" s="1" t="s">
        <v>5</v>
      </c>
      <c r="C693" s="2">
        <f>IFERROR(__xludf.DUMMYFUNCTION("IFERROR(VLOOKUP(A693, IMPORTRANGE(""https://docs.google.com/spreadsheets/d/1AVX9GT0dgogEBStecCXMMQ29tWz3gBrtNB8yIromXbY/edit?gid=741673867"", ""out1g!A:B""), 2, FALSE), 0)"),88.0)</f>
        <v>88</v>
      </c>
      <c r="D693" s="2" t="str">
        <f>IFERROR(__xludf.DUMMYFUNCTION("IFERROR(VLOOKUP(A693, IMPORTRANGE(""https://docs.google.com/spreadsheets/d/1-3Vjw2Cyy-mry5gbC8ypIR3YVGFfEpyFESummAta6sg/edit"", ""Sheet1!B:D""), 2, FALSE), ""Not Found"")"),"rɪt")</f>
        <v>rɪt</v>
      </c>
      <c r="E693" s="2" t="str">
        <f>IFERROR(__xludf.DUMMYFUNCTION("IFERROR(VLOOKUP(A693, IMPORTRANGE(""https://docs.google.com/spreadsheets/d/1-3Vjw2Cyy-mry5gbC8ypIR3YVGFfEpyFESummAta6sg/edit"", ""Sheet1!B:D""), 3, FALSE), ""Not Found"")"),"r ɪ t ")</f>
        <v>r ɪ t </v>
      </c>
    </row>
    <row r="694">
      <c r="A694" s="1" t="s">
        <v>697</v>
      </c>
      <c r="B694" s="1" t="s">
        <v>5</v>
      </c>
      <c r="C694" s="2">
        <f>IFERROR(__xludf.DUMMYFUNCTION("IFERROR(VLOOKUP(A694, IMPORTRANGE(""https://docs.google.com/spreadsheets/d/1AVX9GT0dgogEBStecCXMMQ29tWz3gBrtNB8yIromXbY/edit?gid=741673867"", ""out1g!A:B""), 2, FALSE), 0)"),407.0)</f>
        <v>407</v>
      </c>
      <c r="D694" s="2" t="str">
        <f>IFERROR(__xludf.DUMMYFUNCTION("IFERROR(VLOOKUP(A694, IMPORTRANGE(""https://docs.google.com/spreadsheets/d/1-3Vjw2Cyy-mry5gbC8ypIR3YVGFfEpyFESummAta6sg/edit"", ""Sheet1!B:D""), 2, FALSE), ""Not Found"")"),"flɔrz")</f>
        <v>flɔrz</v>
      </c>
      <c r="E694" s="2" t="str">
        <f>IFERROR(__xludf.DUMMYFUNCTION("IFERROR(VLOOKUP(A694, IMPORTRANGE(""https://docs.google.com/spreadsheets/d/1-3Vjw2Cyy-mry5gbC8ypIR3YVGFfEpyFESummAta6sg/edit"", ""Sheet1!B:D""), 3, FALSE), ""Not Found"")"),"f l ɔ r z ")</f>
        <v>f l ɔ r z </v>
      </c>
    </row>
    <row r="695">
      <c r="A695" s="1" t="s">
        <v>698</v>
      </c>
      <c r="B695" s="1" t="s">
        <v>5</v>
      </c>
      <c r="C695" s="2">
        <f>IFERROR(__xludf.DUMMYFUNCTION("IFERROR(VLOOKUP(A695, IMPORTRANGE(""https://docs.google.com/spreadsheets/d/1AVX9GT0dgogEBStecCXMMQ29tWz3gBrtNB8yIromXbY/edit?gid=741673867"", ""out1g!A:B""), 2, FALSE), 0)"),335.0)</f>
        <v>335</v>
      </c>
      <c r="D695" s="2" t="str">
        <f>IFERROR(__xludf.DUMMYFUNCTION("IFERROR(VLOOKUP(A695, IMPORTRANGE(""https://docs.google.com/spreadsheets/d/1-3Vjw2Cyy-mry5gbC8ypIR3YVGFfEpyFESummAta6sg/edit"", ""Sheet1!B:D""), 2, FALSE), ""Not Found"")"),"koʊl")</f>
        <v>koʊl</v>
      </c>
      <c r="E695" s="2" t="str">
        <f>IFERROR(__xludf.DUMMYFUNCTION("IFERROR(VLOOKUP(A695, IMPORTRANGE(""https://docs.google.com/spreadsheets/d/1-3Vjw2Cyy-mry5gbC8ypIR3YVGFfEpyFESummAta6sg/edit"", ""Sheet1!B:D""), 3, FALSE), ""Not Found"")"),"k o ʊ l ")</f>
        <v>k o ʊ l </v>
      </c>
    </row>
    <row r="696">
      <c r="A696" s="1" t="s">
        <v>699</v>
      </c>
      <c r="B696" s="1" t="s">
        <v>5</v>
      </c>
      <c r="C696" s="2">
        <f>IFERROR(__xludf.DUMMYFUNCTION("IFERROR(VLOOKUP(A696, IMPORTRANGE(""https://docs.google.com/spreadsheets/d/1AVX9GT0dgogEBStecCXMMQ29tWz3gBrtNB8yIromXbY/edit?gid=741673867"", ""out1g!A:B""), 2, FALSE), 0)"),342.0)</f>
        <v>342</v>
      </c>
      <c r="D696" s="2" t="str">
        <f>IFERROR(__xludf.DUMMYFUNCTION("IFERROR(VLOOKUP(A696, IMPORTRANGE(""https://docs.google.com/spreadsheets/d/1-3Vjw2Cyy-mry5gbC8ypIR3YVGFfEpyFESummAta6sg/edit"", ""Sheet1!B:D""), 2, FALSE), ""Not Found"")"),"hərst")</f>
        <v>hərst</v>
      </c>
      <c r="E696" s="2" t="str">
        <f>IFERROR(__xludf.DUMMYFUNCTION("IFERROR(VLOOKUP(A696, IMPORTRANGE(""https://docs.google.com/spreadsheets/d/1-3Vjw2Cyy-mry5gbC8ypIR3YVGFfEpyFESummAta6sg/edit"", ""Sheet1!B:D""), 3, FALSE), ""Not Found"")"),"h ə r s t ")</f>
        <v>h ə r s t </v>
      </c>
    </row>
    <row r="697">
      <c r="A697" s="1" t="s">
        <v>700</v>
      </c>
      <c r="B697" s="1" t="s">
        <v>5</v>
      </c>
      <c r="C697" s="2">
        <f>IFERROR(__xludf.DUMMYFUNCTION("IFERROR(VLOOKUP(A697, IMPORTRANGE(""https://docs.google.com/spreadsheets/d/1AVX9GT0dgogEBStecCXMMQ29tWz3gBrtNB8yIromXbY/edit?gid=741673867"", ""out1g!A:B""), 2, FALSE), 0)"),122.0)</f>
        <v>122</v>
      </c>
      <c r="D697" s="2" t="str">
        <f>IFERROR(__xludf.DUMMYFUNCTION("IFERROR(VLOOKUP(A697, IMPORTRANGE(""https://docs.google.com/spreadsheets/d/1-3Vjw2Cyy-mry5gbC8ypIR3YVGFfEpyFESummAta6sg/edit"", ""Sheet1!B:D""), 2, FALSE), ""Not Found"")"),"slæʃ")</f>
        <v>slæʃ</v>
      </c>
      <c r="E697" s="2" t="str">
        <f>IFERROR(__xludf.DUMMYFUNCTION("IFERROR(VLOOKUP(A697, IMPORTRANGE(""https://docs.google.com/spreadsheets/d/1-3Vjw2Cyy-mry5gbC8ypIR3YVGFfEpyFESummAta6sg/edit"", ""Sheet1!B:D""), 3, FALSE), ""Not Found"")"),"s l æ ʃ ")</f>
        <v>s l æ ʃ </v>
      </c>
    </row>
    <row r="698">
      <c r="A698" s="1" t="s">
        <v>701</v>
      </c>
      <c r="B698" s="1" t="s">
        <v>5</v>
      </c>
      <c r="C698" s="2">
        <f>IFERROR(__xludf.DUMMYFUNCTION("IFERROR(VLOOKUP(A698, IMPORTRANGE(""https://docs.google.com/spreadsheets/d/1AVX9GT0dgogEBStecCXMMQ29tWz3gBrtNB8yIromXbY/edit?gid=741673867"", ""out1g!A:B""), 2, FALSE), 0)"),84.0)</f>
        <v>84</v>
      </c>
      <c r="D698" s="2" t="str">
        <f>IFERROR(__xludf.DUMMYFUNCTION("IFERROR(VLOOKUP(A698, IMPORTRANGE(""https://docs.google.com/spreadsheets/d/1-3Vjw2Cyy-mry5gbC8ypIR3YVGFfEpyFESummAta6sg/edit"", ""Sheet1!B:D""), 2, FALSE), ""Not Found"")"),"træpər")</f>
        <v>træpər</v>
      </c>
      <c r="E698" s="2" t="str">
        <f>IFERROR(__xludf.DUMMYFUNCTION("IFERROR(VLOOKUP(A698, IMPORTRANGE(""https://docs.google.com/spreadsheets/d/1-3Vjw2Cyy-mry5gbC8ypIR3YVGFfEpyFESummAta6sg/edit"", ""Sheet1!B:D""), 3, FALSE), ""Not Found"")"),"t r æ p ə r ")</f>
        <v>t r æ p ə r </v>
      </c>
    </row>
    <row r="699">
      <c r="A699" s="1" t="s">
        <v>702</v>
      </c>
      <c r="B699" s="1" t="s">
        <v>5</v>
      </c>
      <c r="C699" s="2">
        <f>IFERROR(__xludf.DUMMYFUNCTION("IFERROR(VLOOKUP(A699, IMPORTRANGE(""https://docs.google.com/spreadsheets/d/1AVX9GT0dgogEBStecCXMMQ29tWz3gBrtNB8yIromXbY/edit?gid=741673867"", ""out1g!A:B""), 2, FALSE), 0)"),149.0)</f>
        <v>149</v>
      </c>
      <c r="D699" s="2" t="str">
        <f>IFERROR(__xludf.DUMMYFUNCTION("IFERROR(VLOOKUP(A699, IMPORTRANGE(""https://docs.google.com/spreadsheets/d/1-3Vjw2Cyy-mry5gbC8ypIR3YVGFfEpyFESummAta6sg/edit"", ""Sheet1!B:D""), 2, FALSE), ""Not Found"")"),"kɔstɑ")</f>
        <v>kɔstɑ</v>
      </c>
      <c r="E699" s="2" t="str">
        <f>IFERROR(__xludf.DUMMYFUNCTION("IFERROR(VLOOKUP(A699, IMPORTRANGE(""https://docs.google.com/spreadsheets/d/1-3Vjw2Cyy-mry5gbC8ypIR3YVGFfEpyFESummAta6sg/edit"", ""Sheet1!B:D""), 3, FALSE), ""Not Found"")"),"k ɔ s t ɑ ")</f>
        <v>k ɔ s t ɑ </v>
      </c>
    </row>
    <row r="700">
      <c r="A700" s="1" t="s">
        <v>703</v>
      </c>
      <c r="B700" s="1" t="s">
        <v>5</v>
      </c>
      <c r="C700" s="2">
        <f>IFERROR(__xludf.DUMMYFUNCTION("IFERROR(VLOOKUP(A700, IMPORTRANGE(""https://docs.google.com/spreadsheets/d/1AVX9GT0dgogEBStecCXMMQ29tWz3gBrtNB8yIromXbY/edit?gid=741673867"", ""out1g!A:B""), 2, FALSE), 0)"),809.0)</f>
        <v>809</v>
      </c>
      <c r="D700" s="2" t="str">
        <f>IFERROR(__xludf.DUMMYFUNCTION("IFERROR(VLOOKUP(A700, IMPORTRANGE(""https://docs.google.com/spreadsheets/d/1-3Vjw2Cyy-mry5gbC8ypIR3YVGFfEpyFESummAta6sg/edit"", ""Sheet1!B:D""), 2, FALSE), ""Not Found"")"),"l")</f>
        <v>l</v>
      </c>
      <c r="E700" s="2" t="str">
        <f>IFERROR(__xludf.DUMMYFUNCTION("IFERROR(VLOOKUP(A700, IMPORTRANGE(""https://docs.google.com/spreadsheets/d/1-3Vjw2Cyy-mry5gbC8ypIR3YVGFfEpyFESummAta6sg/edit"", ""Sheet1!B:D""), 3, FALSE), ""Not Found"")"),"l ")</f>
        <v>l </v>
      </c>
    </row>
    <row r="701">
      <c r="A701" s="1" t="s">
        <v>704</v>
      </c>
      <c r="B701" s="1" t="s">
        <v>5</v>
      </c>
      <c r="C701" s="2">
        <f>IFERROR(__xludf.DUMMYFUNCTION("IFERROR(VLOOKUP(A701, IMPORTRANGE(""https://docs.google.com/spreadsheets/d/1AVX9GT0dgogEBStecCXMMQ29tWz3gBrtNB8yIromXbY/edit?gid=741673867"", ""out1g!A:B""), 2, FALSE), 0)"),10.0)</f>
        <v>10</v>
      </c>
      <c r="D701" s="2" t="str">
        <f>IFERROR(__xludf.DUMMYFUNCTION("IFERROR(VLOOKUP(A701, IMPORTRANGE(""https://docs.google.com/spreadsheets/d/1-3Vjw2Cyy-mry5gbC8ypIR3YVGFfEpyFESummAta6sg/edit"", ""Sheet1!B:D""), 2, FALSE), ""Not Found"")"),"biti")</f>
        <v>biti</v>
      </c>
      <c r="E701" s="2" t="str">
        <f>IFERROR(__xludf.DUMMYFUNCTION("IFERROR(VLOOKUP(A701, IMPORTRANGE(""https://docs.google.com/spreadsheets/d/1-3Vjw2Cyy-mry5gbC8ypIR3YVGFfEpyFESummAta6sg/edit"", ""Sheet1!B:D""), 3, FALSE), ""Not Found"")"),"b i t i ")</f>
        <v>b i t i </v>
      </c>
    </row>
    <row r="702">
      <c r="A702" s="1" t="s">
        <v>705</v>
      </c>
      <c r="B702" s="1" t="s">
        <v>5</v>
      </c>
      <c r="C702" s="2">
        <f>IFERROR(__xludf.DUMMYFUNCTION("IFERROR(VLOOKUP(A702, IMPORTRANGE(""https://docs.google.com/spreadsheets/d/1AVX9GT0dgogEBStecCXMMQ29tWz3gBrtNB8yIromXbY/edit?gid=741673867"", ""out1g!A:B""), 2, FALSE), 0)"),226.0)</f>
        <v>226</v>
      </c>
      <c r="D702" s="2" t="str">
        <f>IFERROR(__xludf.DUMMYFUNCTION("IFERROR(VLOOKUP(A702, IMPORTRANGE(""https://docs.google.com/spreadsheets/d/1-3Vjw2Cyy-mry5gbC8ypIR3YVGFfEpyFESummAta6sg/edit"", ""Sheet1!B:D""), 2, FALSE), ""Not Found"")"),"ʧæŋ")</f>
        <v>ʧæŋ</v>
      </c>
      <c r="E702" s="2" t="str">
        <f>IFERROR(__xludf.DUMMYFUNCTION("IFERROR(VLOOKUP(A702, IMPORTRANGE(""https://docs.google.com/spreadsheets/d/1-3Vjw2Cyy-mry5gbC8ypIR3YVGFfEpyFESummAta6sg/edit"", ""Sheet1!B:D""), 3, FALSE), ""Not Found"")"),"ʧ æ ŋ ")</f>
        <v>ʧ æ ŋ </v>
      </c>
    </row>
    <row r="703">
      <c r="A703" s="1" t="s">
        <v>706</v>
      </c>
      <c r="B703" s="1" t="s">
        <v>5</v>
      </c>
      <c r="C703" s="2">
        <f>IFERROR(__xludf.DUMMYFUNCTION("IFERROR(VLOOKUP(A703, IMPORTRANGE(""https://docs.google.com/spreadsheets/d/1AVX9GT0dgogEBStecCXMMQ29tWz3gBrtNB8yIromXbY/edit?gid=741673867"", ""out1g!A:B""), 2, FALSE), 0)"),1032.0)</f>
        <v>1032</v>
      </c>
      <c r="D703" s="2" t="str">
        <f>IFERROR(__xludf.DUMMYFUNCTION("IFERROR(VLOOKUP(A703, IMPORTRANGE(""https://docs.google.com/spreadsheets/d/1-3Vjw2Cyy-mry5gbC8ypIR3YVGFfEpyFESummAta6sg/edit"", ""Sheet1!B:D""), 2, FALSE), ""Not Found"")"),"wɪŋ")</f>
        <v>wɪŋ</v>
      </c>
      <c r="E703" s="2" t="str">
        <f>IFERROR(__xludf.DUMMYFUNCTION("IFERROR(VLOOKUP(A703, IMPORTRANGE(""https://docs.google.com/spreadsheets/d/1-3Vjw2Cyy-mry5gbC8ypIR3YVGFfEpyFESummAta6sg/edit"", ""Sheet1!B:D""), 3, FALSE), ""Not Found"")"),"w ɪ ŋ ")</f>
        <v>w ɪ ŋ </v>
      </c>
    </row>
    <row r="704">
      <c r="A704" s="1" t="s">
        <v>707</v>
      </c>
      <c r="B704" s="1" t="s">
        <v>5</v>
      </c>
      <c r="C704" s="2">
        <f>IFERROR(__xludf.DUMMYFUNCTION("IFERROR(VLOOKUP(A704, IMPORTRANGE(""https://docs.google.com/spreadsheets/d/1AVX9GT0dgogEBStecCXMMQ29tWz3gBrtNB8yIromXbY/edit?gid=741673867"", ""out1g!A:B""), 2, FALSE), 0)"),4057.0)</f>
        <v>4057</v>
      </c>
      <c r="D704" s="2" t="str">
        <f>IFERROR(__xludf.DUMMYFUNCTION("IFERROR(VLOOKUP(A704, IMPORTRANGE(""https://docs.google.com/spreadsheets/d/1-3Vjw2Cyy-mry5gbC8ypIR3YVGFfEpyFESummAta6sg/edit"", ""Sheet1!B:D""), 2, FALSE), ""Not Found"")"),"aɪs")</f>
        <v>aɪs</v>
      </c>
      <c r="E704" s="2" t="str">
        <f>IFERROR(__xludf.DUMMYFUNCTION("IFERROR(VLOOKUP(A704, IMPORTRANGE(""https://docs.google.com/spreadsheets/d/1-3Vjw2Cyy-mry5gbC8ypIR3YVGFfEpyFESummAta6sg/edit"", ""Sheet1!B:D""), 3, FALSE), ""Not Found"")"),"a ɪ s ")</f>
        <v>a ɪ s </v>
      </c>
    </row>
    <row r="705">
      <c r="A705" s="1" t="s">
        <v>708</v>
      </c>
      <c r="B705" s="1" t="s">
        <v>5</v>
      </c>
      <c r="C705" s="2">
        <f>IFERROR(__xludf.DUMMYFUNCTION("IFERROR(VLOOKUP(A705, IMPORTRANGE(""https://docs.google.com/spreadsheets/d/1AVX9GT0dgogEBStecCXMMQ29tWz3gBrtNB8yIromXbY/edit?gid=741673867"", ""out1g!A:B""), 2, FALSE), 0)"),251.0)</f>
        <v>251</v>
      </c>
      <c r="D705" s="2" t="str">
        <f>IFERROR(__xludf.DUMMYFUNCTION("IFERROR(VLOOKUP(A705, IMPORTRANGE(""https://docs.google.com/spreadsheets/d/1-3Vjw2Cyy-mry5gbC8ypIR3YVGFfEpyFESummAta6sg/edit"", ""Sheet1!B:D""), 2, FALSE), ""Not Found"")"),"fɪn")</f>
        <v>fɪn</v>
      </c>
      <c r="E705" s="2" t="str">
        <f>IFERROR(__xludf.DUMMYFUNCTION("IFERROR(VLOOKUP(A705, IMPORTRANGE(""https://docs.google.com/spreadsheets/d/1-3Vjw2Cyy-mry5gbC8ypIR3YVGFfEpyFESummAta6sg/edit"", ""Sheet1!B:D""), 3, FALSE), ""Not Found"")"),"f ɪ n ")</f>
        <v>f ɪ n </v>
      </c>
    </row>
    <row r="706">
      <c r="A706" s="1" t="s">
        <v>709</v>
      </c>
      <c r="B706" s="1" t="s">
        <v>5</v>
      </c>
      <c r="C706" s="2">
        <f>IFERROR(__xludf.DUMMYFUNCTION("IFERROR(VLOOKUP(A706, IMPORTRANGE(""https://docs.google.com/spreadsheets/d/1AVX9GT0dgogEBStecCXMMQ29tWz3gBrtNB8yIromXbY/edit?gid=741673867"", ""out1g!A:B""), 2, FALSE), 0)"),92.0)</f>
        <v>92</v>
      </c>
      <c r="D706" s="2" t="str">
        <f>IFERROR(__xludf.DUMMYFUNCTION("IFERROR(VLOOKUP(A706, IMPORTRANGE(""https://docs.google.com/spreadsheets/d/1-3Vjw2Cyy-mry5gbC8ypIR3YVGFfEpyFESummAta6sg/edit"", ""Sheet1!B:D""), 2, FALSE), ""Not Found"")"),"swed")</f>
        <v>swed</v>
      </c>
      <c r="E706" s="2" t="str">
        <f>IFERROR(__xludf.DUMMYFUNCTION("IFERROR(VLOOKUP(A706, IMPORTRANGE(""https://docs.google.com/spreadsheets/d/1-3Vjw2Cyy-mry5gbC8ypIR3YVGFfEpyFESummAta6sg/edit"", ""Sheet1!B:D""), 3, FALSE), ""Not Found"")"),"s w e d ")</f>
        <v>s w e d </v>
      </c>
    </row>
    <row r="707">
      <c r="A707" s="1" t="s">
        <v>710</v>
      </c>
      <c r="B707" s="1" t="s">
        <v>5</v>
      </c>
      <c r="C707" s="2">
        <f>IFERROR(__xludf.DUMMYFUNCTION("IFERROR(VLOOKUP(A707, IMPORTRANGE(""https://docs.google.com/spreadsheets/d/1AVX9GT0dgogEBStecCXMMQ29tWz3gBrtNB8yIromXbY/edit?gid=741673867"", ""out1g!A:B""), 2, FALSE), 0)"),41864.0)</f>
        <v>41864</v>
      </c>
      <c r="D707" s="2" t="str">
        <f>IFERROR(__xludf.DUMMYFUNCTION("IFERROR(VLOOKUP(A707, IMPORTRANGE(""https://docs.google.com/spreadsheets/d/1-3Vjw2Cyy-mry5gbC8ypIR3YVGFfEpyFESummAta6sg/edit"", ""Sheet1!B:D""), 2, FALSE), ""Not Found"")"),"gret")</f>
        <v>gret</v>
      </c>
      <c r="E707" s="2" t="str">
        <f>IFERROR(__xludf.DUMMYFUNCTION("IFERROR(VLOOKUP(A707, IMPORTRANGE(""https://docs.google.com/spreadsheets/d/1-3Vjw2Cyy-mry5gbC8ypIR3YVGFfEpyFESummAta6sg/edit"", ""Sheet1!B:D""), 3, FALSE), ""Not Found"")"),"g r e t ")</f>
        <v>g r e t </v>
      </c>
    </row>
    <row r="708">
      <c r="A708" s="1" t="s">
        <v>711</v>
      </c>
      <c r="B708" s="1" t="s">
        <v>5</v>
      </c>
      <c r="C708" s="2">
        <f>IFERROR(__xludf.DUMMYFUNCTION("IFERROR(VLOOKUP(A708, IMPORTRANGE(""https://docs.google.com/spreadsheets/d/1AVX9GT0dgogEBStecCXMMQ29tWz3gBrtNB8yIromXbY/edit?gid=741673867"", ""out1g!A:B""), 2, FALSE), 0)"),67.0)</f>
        <v>67</v>
      </c>
      <c r="D708" s="2" t="str">
        <f>IFERROR(__xludf.DUMMYFUNCTION("IFERROR(VLOOKUP(A708, IMPORTRANGE(""https://docs.google.com/spreadsheets/d/1-3Vjw2Cyy-mry5gbC8ypIR3YVGFfEpyFESummAta6sg/edit"", ""Sheet1!B:D""), 2, FALSE), ""Not Found"")"),"hɪpiz")</f>
        <v>hɪpiz</v>
      </c>
      <c r="E708" s="2" t="str">
        <f>IFERROR(__xludf.DUMMYFUNCTION("IFERROR(VLOOKUP(A708, IMPORTRANGE(""https://docs.google.com/spreadsheets/d/1-3Vjw2Cyy-mry5gbC8ypIR3YVGFfEpyFESummAta6sg/edit"", ""Sheet1!B:D""), 3, FALSE), ""Not Found"")"),"h ɪ p i z ")</f>
        <v>h ɪ p i z </v>
      </c>
    </row>
    <row r="709">
      <c r="A709" s="1" t="s">
        <v>712</v>
      </c>
      <c r="B709" s="1" t="s">
        <v>5</v>
      </c>
      <c r="C709" s="2">
        <f>IFERROR(__xludf.DUMMYFUNCTION("IFERROR(VLOOKUP(A709, IMPORTRANGE(""https://docs.google.com/spreadsheets/d/1AVX9GT0dgogEBStecCXMMQ29tWz3gBrtNB8yIromXbY/edit?gid=741673867"", ""out1g!A:B""), 2, FALSE), 0)"),233.0)</f>
        <v>233</v>
      </c>
      <c r="D709" s="2" t="str">
        <f>IFERROR(__xludf.DUMMYFUNCTION("IFERROR(VLOOKUP(A709, IMPORTRANGE(""https://docs.google.com/spreadsheets/d/1-3Vjw2Cyy-mry5gbC8ypIR3YVGFfEpyFESummAta6sg/edit"", ""Sheet1!B:D""), 2, FALSE), ""Not Found"")"),"bie")</f>
        <v>bie</v>
      </c>
      <c r="E709" s="2" t="str">
        <f>IFERROR(__xludf.DUMMYFUNCTION("IFERROR(VLOOKUP(A709, IMPORTRANGE(""https://docs.google.com/spreadsheets/d/1-3Vjw2Cyy-mry5gbC8ypIR3YVGFfEpyFESummAta6sg/edit"", ""Sheet1!B:D""), 3, FALSE), ""Not Found"")"),"b i e ")</f>
        <v>b i e </v>
      </c>
    </row>
    <row r="710">
      <c r="A710" s="1" t="s">
        <v>713</v>
      </c>
      <c r="B710" s="1" t="s">
        <v>5</v>
      </c>
      <c r="C710" s="2">
        <f>IFERROR(__xludf.DUMMYFUNCTION("IFERROR(VLOOKUP(A710, IMPORTRANGE(""https://docs.google.com/spreadsheets/d/1AVX9GT0dgogEBStecCXMMQ29tWz3gBrtNB8yIromXbY/edit?gid=741673867"", ""out1g!A:B""), 2, FALSE), 0)"),15.0)</f>
        <v>15</v>
      </c>
      <c r="D710" s="2" t="str">
        <f>IFERROR(__xludf.DUMMYFUNCTION("IFERROR(VLOOKUP(A710, IMPORTRANGE(""https://docs.google.com/spreadsheets/d/1-3Vjw2Cyy-mry5gbC8ypIR3YVGFfEpyFESummAta6sg/edit"", ""Sheet1!B:D""), 2, FALSE), ""Not Found"")"),"wefər")</f>
        <v>wefər</v>
      </c>
      <c r="E710" s="2" t="str">
        <f>IFERROR(__xludf.DUMMYFUNCTION("IFERROR(VLOOKUP(A710, IMPORTRANGE(""https://docs.google.com/spreadsheets/d/1-3Vjw2Cyy-mry5gbC8ypIR3YVGFfEpyFESummAta6sg/edit"", ""Sheet1!B:D""), 3, FALSE), ""Not Found"")"),"w e f ə r ")</f>
        <v>w e f ə r </v>
      </c>
    </row>
    <row r="711">
      <c r="A711" s="1" t="s">
        <v>714</v>
      </c>
      <c r="B711" s="1" t="s">
        <v>5</v>
      </c>
      <c r="C711" s="2">
        <f>IFERROR(__xludf.DUMMYFUNCTION("IFERROR(VLOOKUP(A711, IMPORTRANGE(""https://docs.google.com/spreadsheets/d/1AVX9GT0dgogEBStecCXMMQ29tWz3gBrtNB8yIromXbY/edit?gid=741673867"", ""out1g!A:B""), 2, FALSE), 0)"),52.0)</f>
        <v>52</v>
      </c>
      <c r="D711" s="2" t="str">
        <f>IFERROR(__xludf.DUMMYFUNCTION("IFERROR(VLOOKUP(A711, IMPORTRANGE(""https://docs.google.com/spreadsheets/d/1-3Vjw2Cyy-mry5gbC8ypIR3YVGFfEpyFESummAta6sg/edit"", ""Sheet1!B:D""), 2, FALSE), ""Not Found"")"),"blæstər")</f>
        <v>blæstər</v>
      </c>
      <c r="E711" s="2" t="str">
        <f>IFERROR(__xludf.DUMMYFUNCTION("IFERROR(VLOOKUP(A711, IMPORTRANGE(""https://docs.google.com/spreadsheets/d/1-3Vjw2Cyy-mry5gbC8ypIR3YVGFfEpyFESummAta6sg/edit"", ""Sheet1!B:D""), 3, FALSE), ""Not Found"")"),"b l æ s t ə r ")</f>
        <v>b l æ s t ə r </v>
      </c>
    </row>
    <row r="712">
      <c r="A712" s="1" t="s">
        <v>715</v>
      </c>
      <c r="B712" s="1" t="s">
        <v>5</v>
      </c>
      <c r="C712" s="2">
        <f>IFERROR(__xludf.DUMMYFUNCTION("IFERROR(VLOOKUP(A712, IMPORTRANGE(""https://docs.google.com/spreadsheets/d/1AVX9GT0dgogEBStecCXMMQ29tWz3gBrtNB8yIromXbY/edit?gid=741673867"", ""out1g!A:B""), 2, FALSE), 0)"),7090.0)</f>
        <v>7090</v>
      </c>
      <c r="D712" s="2" t="str">
        <f>IFERROR(__xludf.DUMMYFUNCTION("IFERROR(VLOOKUP(A712, IMPORTRANGE(""https://docs.google.com/spreadsheets/d/1-3Vjw2Cyy-mry5gbC8ypIR3YVGFfEpyFESummAta6sg/edit"", ""Sheet1!B:D""), 2, FALSE), ""Not Found"")"),"ɛr")</f>
        <v>ɛr</v>
      </c>
      <c r="E712" s="2" t="str">
        <f>IFERROR(__xludf.DUMMYFUNCTION("IFERROR(VLOOKUP(A712, IMPORTRANGE(""https://docs.google.com/spreadsheets/d/1-3Vjw2Cyy-mry5gbC8ypIR3YVGFfEpyFESummAta6sg/edit"", ""Sheet1!B:D""), 3, FALSE), ""Not Found"")"),"ɛ r ")</f>
        <v>ɛ r </v>
      </c>
    </row>
    <row r="713">
      <c r="A713" s="1" t="s">
        <v>716</v>
      </c>
      <c r="B713" s="1" t="s">
        <v>5</v>
      </c>
      <c r="C713" s="2">
        <f>IFERROR(__xludf.DUMMYFUNCTION("IFERROR(VLOOKUP(A713, IMPORTRANGE(""https://docs.google.com/spreadsheets/d/1AVX9GT0dgogEBStecCXMMQ29tWz3gBrtNB8yIromXbY/edit?gid=741673867"", ""out1g!A:B""), 2, FALSE), 0)"),227.0)</f>
        <v>227</v>
      </c>
      <c r="D713" s="2" t="str">
        <f>IFERROR(__xludf.DUMMYFUNCTION("IFERROR(VLOOKUP(A713, IMPORTRANGE(""https://docs.google.com/spreadsheets/d/1-3Vjw2Cyy-mry5gbC8ypIR3YVGFfEpyFESummAta6sg/edit"", ""Sheet1!B:D""), 2, FALSE), ""Not Found"")"),"sərve")</f>
        <v>sərve</v>
      </c>
      <c r="E713" s="2" t="str">
        <f>IFERROR(__xludf.DUMMYFUNCTION("IFERROR(VLOOKUP(A713, IMPORTRANGE(""https://docs.google.com/spreadsheets/d/1-3Vjw2Cyy-mry5gbC8ypIR3YVGFfEpyFESummAta6sg/edit"", ""Sheet1!B:D""), 3, FALSE), ""Not Found"")"),"s ə r v e ")</f>
        <v>s ə r v e </v>
      </c>
    </row>
    <row r="714">
      <c r="A714" s="1" t="s">
        <v>717</v>
      </c>
      <c r="B714" s="1" t="s">
        <v>5</v>
      </c>
      <c r="C714" s="2">
        <f>IFERROR(__xludf.DUMMYFUNCTION("IFERROR(VLOOKUP(A714, IMPORTRANGE(""https://docs.google.com/spreadsheets/d/1AVX9GT0dgogEBStecCXMMQ29tWz3gBrtNB8yIromXbY/edit?gid=741673867"", ""out1g!A:B""), 2, FALSE), 0)"),675.0)</f>
        <v>675</v>
      </c>
      <c r="D714" s="2" t="str">
        <f>IFERROR(__xludf.DUMMYFUNCTION("IFERROR(VLOOKUP(A714, IMPORTRANGE(""https://docs.google.com/spreadsheets/d/1-3Vjw2Cyy-mry5gbC8ypIR3YVGFfEpyFESummAta6sg/edit"", ""Sheet1!B:D""), 2, FALSE), ""Not Found"")"),"pɑm")</f>
        <v>pɑm</v>
      </c>
      <c r="E714" s="2" t="str">
        <f>IFERROR(__xludf.DUMMYFUNCTION("IFERROR(VLOOKUP(A714, IMPORTRANGE(""https://docs.google.com/spreadsheets/d/1-3Vjw2Cyy-mry5gbC8ypIR3YVGFfEpyFESummAta6sg/edit"", ""Sheet1!B:D""), 3, FALSE), ""Not Found"")"),"p ɑ m ")</f>
        <v>p ɑ m </v>
      </c>
    </row>
    <row r="715">
      <c r="A715" s="1" t="s">
        <v>718</v>
      </c>
      <c r="B715" s="1" t="s">
        <v>5</v>
      </c>
      <c r="C715" s="2">
        <f>IFERROR(__xludf.DUMMYFUNCTION("IFERROR(VLOOKUP(A715, IMPORTRANGE(""https://docs.google.com/spreadsheets/d/1AVX9GT0dgogEBStecCXMMQ29tWz3gBrtNB8yIromXbY/edit?gid=741673867"", ""out1g!A:B""), 2, FALSE), 0)"),85.0)</f>
        <v>85</v>
      </c>
      <c r="D715" s="2" t="str">
        <f>IFERROR(__xludf.DUMMYFUNCTION("IFERROR(VLOOKUP(A715, IMPORTRANGE(""https://docs.google.com/spreadsheets/d/1-3Vjw2Cyy-mry5gbC8ypIR3YVGFfEpyFESummAta6sg/edit"", ""Sheet1!B:D""), 2, FALSE), ""Not Found"")"),"pərki")</f>
        <v>pərki</v>
      </c>
      <c r="E715" s="2" t="str">
        <f>IFERROR(__xludf.DUMMYFUNCTION("IFERROR(VLOOKUP(A715, IMPORTRANGE(""https://docs.google.com/spreadsheets/d/1-3Vjw2Cyy-mry5gbC8ypIR3YVGFfEpyFESummAta6sg/edit"", ""Sheet1!B:D""), 3, FALSE), ""Not Found"")"),"p ə r k i ")</f>
        <v>p ə r k i </v>
      </c>
    </row>
    <row r="716">
      <c r="A716" s="1" t="s">
        <v>719</v>
      </c>
      <c r="B716" s="1" t="s">
        <v>5</v>
      </c>
      <c r="C716" s="2">
        <f>IFERROR(__xludf.DUMMYFUNCTION("IFERROR(VLOOKUP(A716, IMPORTRANGE(""https://docs.google.com/spreadsheets/d/1AVX9GT0dgogEBStecCXMMQ29tWz3gBrtNB8yIromXbY/edit?gid=741673867"", ""out1g!A:B""), 2, FALSE), 0)"),219.0)</f>
        <v>219</v>
      </c>
      <c r="D716" s="2" t="str">
        <f>IFERROR(__xludf.DUMMYFUNCTION("IFERROR(VLOOKUP(A716, IMPORTRANGE(""https://docs.google.com/spreadsheets/d/1-3Vjw2Cyy-mry5gbC8ypIR3YVGFfEpyFESummAta6sg/edit"", ""Sheet1!B:D""), 2, FALSE), ""Not Found"")"),"gənθər")</f>
        <v>gənθər</v>
      </c>
      <c r="E716" s="2" t="str">
        <f>IFERROR(__xludf.DUMMYFUNCTION("IFERROR(VLOOKUP(A716, IMPORTRANGE(""https://docs.google.com/spreadsheets/d/1-3Vjw2Cyy-mry5gbC8ypIR3YVGFfEpyFESummAta6sg/edit"", ""Sheet1!B:D""), 3, FALSE), ""Not Found"")"),"g ə n θ ə r ")</f>
        <v>g ə n θ ə r </v>
      </c>
    </row>
    <row r="717">
      <c r="A717" s="1" t="s">
        <v>720</v>
      </c>
      <c r="B717" s="1" t="s">
        <v>5</v>
      </c>
      <c r="C717" s="2">
        <f>IFERROR(__xludf.DUMMYFUNCTION("IFERROR(VLOOKUP(A717, IMPORTRANGE(""https://docs.google.com/spreadsheets/d/1AVX9GT0dgogEBStecCXMMQ29tWz3gBrtNB8yIromXbY/edit?gid=741673867"", ""out1g!A:B""), 2, FALSE), 0)"),20.0)</f>
        <v>20</v>
      </c>
      <c r="D717" s="2" t="str">
        <f>IFERROR(__xludf.DUMMYFUNCTION("IFERROR(VLOOKUP(A717, IMPORTRANGE(""https://docs.google.com/spreadsheets/d/1-3Vjw2Cyy-mry5gbC8ypIR3YVGFfEpyFESummAta6sg/edit"", ""Sheet1!B:D""), 2, FALSE), ""Not Found"")"),"ɪmɪt")</f>
        <v>ɪmɪt</v>
      </c>
      <c r="E717" s="2" t="str">
        <f>IFERROR(__xludf.DUMMYFUNCTION("IFERROR(VLOOKUP(A717, IMPORTRANGE(""https://docs.google.com/spreadsheets/d/1-3Vjw2Cyy-mry5gbC8ypIR3YVGFfEpyFESummAta6sg/edit"", ""Sheet1!B:D""), 3, FALSE), ""Not Found"")"),"ɪ m ɪ t ")</f>
        <v>ɪ m ɪ t </v>
      </c>
    </row>
    <row r="718">
      <c r="A718" s="1" t="s">
        <v>721</v>
      </c>
      <c r="B718" s="1" t="s">
        <v>5</v>
      </c>
      <c r="C718" s="2">
        <f>IFERROR(__xludf.DUMMYFUNCTION("IFERROR(VLOOKUP(A718, IMPORTRANGE(""https://docs.google.com/spreadsheets/d/1AVX9GT0dgogEBStecCXMMQ29tWz3gBrtNB8yIromXbY/edit?gid=741673867"", ""out1g!A:B""), 2, FALSE), 0)"),2363.0)</f>
        <v>2363</v>
      </c>
      <c r="D718" s="2" t="str">
        <f>IFERROR(__xludf.DUMMYFUNCTION("IFERROR(VLOOKUP(A718, IMPORTRANGE(""https://docs.google.com/spreadsheets/d/1-3Vjw2Cyy-mry5gbC8ypIR3YVGFfEpyFESummAta6sg/edit"", ""Sheet1!B:D""), 2, FALSE), ""Not Found"")"),"feθ")</f>
        <v>feθ</v>
      </c>
      <c r="E718" s="2" t="str">
        <f>IFERROR(__xludf.DUMMYFUNCTION("IFERROR(VLOOKUP(A718, IMPORTRANGE(""https://docs.google.com/spreadsheets/d/1-3Vjw2Cyy-mry5gbC8ypIR3YVGFfEpyFESummAta6sg/edit"", ""Sheet1!B:D""), 3, FALSE), ""Not Found"")"),"f e θ ")</f>
        <v>f e θ </v>
      </c>
    </row>
    <row r="719">
      <c r="A719" s="1" t="s">
        <v>722</v>
      </c>
      <c r="B719" s="1" t="s">
        <v>5</v>
      </c>
      <c r="C719" s="2">
        <f>IFERROR(__xludf.DUMMYFUNCTION("IFERROR(VLOOKUP(A719, IMPORTRANGE(""https://docs.google.com/spreadsheets/d/1AVX9GT0dgogEBStecCXMMQ29tWz3gBrtNB8yIromXbY/edit?gid=741673867"", ""out1g!A:B""), 2, FALSE), 0)"),179.0)</f>
        <v>179</v>
      </c>
      <c r="D719" s="2" t="str">
        <f>IFERROR(__xludf.DUMMYFUNCTION("IFERROR(VLOOKUP(A719, IMPORTRANGE(""https://docs.google.com/spreadsheets/d/1-3Vjw2Cyy-mry5gbC8ypIR3YVGFfEpyFESummAta6sg/edit"", ""Sheet1!B:D""), 2, FALSE), ""Not Found"")"),"krənʧ")</f>
        <v>krənʧ</v>
      </c>
      <c r="E719" s="2" t="str">
        <f>IFERROR(__xludf.DUMMYFUNCTION("IFERROR(VLOOKUP(A719, IMPORTRANGE(""https://docs.google.com/spreadsheets/d/1-3Vjw2Cyy-mry5gbC8ypIR3YVGFfEpyFESummAta6sg/edit"", ""Sheet1!B:D""), 3, FALSE), ""Not Found"")"),"k r ə n ʧ ")</f>
        <v>k r ə n ʧ </v>
      </c>
    </row>
    <row r="720">
      <c r="A720" s="1" t="s">
        <v>723</v>
      </c>
      <c r="B720" s="1" t="s">
        <v>5</v>
      </c>
      <c r="C720" s="2">
        <f>IFERROR(__xludf.DUMMYFUNCTION("IFERROR(VLOOKUP(A720, IMPORTRANGE(""https://docs.google.com/spreadsheets/d/1AVX9GT0dgogEBStecCXMMQ29tWz3gBrtNB8yIromXbY/edit?gid=741673867"", ""out1g!A:B""), 2, FALSE), 0)"),58.0)</f>
        <v>58</v>
      </c>
      <c r="D720" s="2" t="str">
        <f>IFERROR(__xludf.DUMMYFUNCTION("IFERROR(VLOOKUP(A720, IMPORTRANGE(""https://docs.google.com/spreadsheets/d/1-3Vjw2Cyy-mry5gbC8ypIR3YVGFfEpyFESummAta6sg/edit"", ""Sheet1!B:D""), 2, FALSE), ""Not Found"")"),"sɪkoʊ")</f>
        <v>sɪkoʊ</v>
      </c>
      <c r="E720" s="2" t="str">
        <f>IFERROR(__xludf.DUMMYFUNCTION("IFERROR(VLOOKUP(A720, IMPORTRANGE(""https://docs.google.com/spreadsheets/d/1-3Vjw2Cyy-mry5gbC8ypIR3YVGFfEpyFESummAta6sg/edit"", ""Sheet1!B:D""), 3, FALSE), ""Not Found"")"),"s ɪ k o ʊ ")</f>
        <v>s ɪ k o ʊ </v>
      </c>
    </row>
    <row r="721">
      <c r="A721" s="1" t="s">
        <v>724</v>
      </c>
      <c r="B721" s="1" t="s">
        <v>5</v>
      </c>
      <c r="C721" s="2">
        <f>IFERROR(__xludf.DUMMYFUNCTION("IFERROR(VLOOKUP(A721, IMPORTRANGE(""https://docs.google.com/spreadsheets/d/1AVX9GT0dgogEBStecCXMMQ29tWz3gBrtNB8yIromXbY/edit?gid=741673867"", ""out1g!A:B""), 2, FALSE), 0)"),181.0)</f>
        <v>181</v>
      </c>
      <c r="D721" s="2" t="str">
        <f>IFERROR(__xludf.DUMMYFUNCTION("IFERROR(VLOOKUP(A721, IMPORTRANGE(""https://docs.google.com/spreadsheets/d/1-3Vjw2Cyy-mry5gbC8ypIR3YVGFfEpyFESummAta6sg/edit"", ""Sheet1!B:D""), 2, FALSE), ""Not Found"")"),"mɪst")</f>
        <v>mɪst</v>
      </c>
      <c r="E721" s="2" t="str">
        <f>IFERROR(__xludf.DUMMYFUNCTION("IFERROR(VLOOKUP(A721, IMPORTRANGE(""https://docs.google.com/spreadsheets/d/1-3Vjw2Cyy-mry5gbC8ypIR3YVGFfEpyFESummAta6sg/edit"", ""Sheet1!B:D""), 3, FALSE), ""Not Found"")"),"m ɪ s t ")</f>
        <v>m ɪ s t </v>
      </c>
    </row>
    <row r="722">
      <c r="A722" s="1" t="s">
        <v>725</v>
      </c>
      <c r="B722" s="1" t="s">
        <v>5</v>
      </c>
      <c r="C722" s="2">
        <f>IFERROR(__xludf.DUMMYFUNCTION("IFERROR(VLOOKUP(A722, IMPORTRANGE(""https://docs.google.com/spreadsheets/d/1AVX9GT0dgogEBStecCXMMQ29tWz3gBrtNB8yIromXbY/edit?gid=741673867"", ""out1g!A:B""), 2, FALSE), 0)"),103.0)</f>
        <v>103</v>
      </c>
      <c r="D722" s="2" t="str">
        <f>IFERROR(__xludf.DUMMYFUNCTION("IFERROR(VLOOKUP(A722, IMPORTRANGE(""https://docs.google.com/spreadsheets/d/1-3Vjw2Cyy-mry5gbC8ypIR3YVGFfEpyFESummAta6sg/edit"", ""Sheet1!B:D""), 2, FALSE), ""Not Found"")"),"ed")</f>
        <v>ed</v>
      </c>
      <c r="E722" s="2" t="str">
        <f>IFERROR(__xludf.DUMMYFUNCTION("IFERROR(VLOOKUP(A722, IMPORTRANGE(""https://docs.google.com/spreadsheets/d/1-3Vjw2Cyy-mry5gbC8ypIR3YVGFfEpyFESummAta6sg/edit"", ""Sheet1!B:D""), 3, FALSE), ""Not Found"")"),"e d ")</f>
        <v>e d </v>
      </c>
    </row>
    <row r="723">
      <c r="A723" s="1" t="s">
        <v>726</v>
      </c>
      <c r="B723" s="1" t="s">
        <v>5</v>
      </c>
      <c r="C723" s="2">
        <f>IFERROR(__xludf.DUMMYFUNCTION("IFERROR(VLOOKUP(A723, IMPORTRANGE(""https://docs.google.com/spreadsheets/d/1AVX9GT0dgogEBStecCXMMQ29tWz3gBrtNB8yIromXbY/edit?gid=741673867"", ""out1g!A:B""), 2, FALSE), 0)"),68.0)</f>
        <v>68</v>
      </c>
      <c r="D723" s="2" t="str">
        <f>IFERROR(__xludf.DUMMYFUNCTION("IFERROR(VLOOKUP(A723, IMPORTRANGE(""https://docs.google.com/spreadsheets/d/1-3Vjw2Cyy-mry5gbC8ypIR3YVGFfEpyFESummAta6sg/edit"", ""Sheet1!B:D""), 2, FALSE), ""Not Found"")"),"dɑr")</f>
        <v>dɑr</v>
      </c>
      <c r="E723" s="2" t="str">
        <f>IFERROR(__xludf.DUMMYFUNCTION("IFERROR(VLOOKUP(A723, IMPORTRANGE(""https://docs.google.com/spreadsheets/d/1-3Vjw2Cyy-mry5gbC8ypIR3YVGFfEpyFESummAta6sg/edit"", ""Sheet1!B:D""), 3, FALSE), ""Not Found"")"),"d ɑ r ")</f>
        <v>d ɑ r </v>
      </c>
    </row>
    <row r="724">
      <c r="A724" s="1" t="s">
        <v>727</v>
      </c>
      <c r="B724" s="1" t="s">
        <v>5</v>
      </c>
      <c r="C724" s="2">
        <f>IFERROR(__xludf.DUMMYFUNCTION("IFERROR(VLOOKUP(A724, IMPORTRANGE(""https://docs.google.com/spreadsheets/d/1AVX9GT0dgogEBStecCXMMQ29tWz3gBrtNB8yIromXbY/edit?gid=741673867"", ""out1g!A:B""), 2, FALSE), 0)"),47.0)</f>
        <v>47</v>
      </c>
      <c r="D724" s="2" t="str">
        <f>IFERROR(__xludf.DUMMYFUNCTION("IFERROR(VLOOKUP(A724, IMPORTRANGE(""https://docs.google.com/spreadsheets/d/1-3Vjw2Cyy-mry5gbC8ypIR3YVGFfEpyFESummAta6sg/edit"", ""Sheet1!B:D""), 2, FALSE), ""Not Found"")"),"kwɪrz")</f>
        <v>kwɪrz</v>
      </c>
      <c r="E724" s="2" t="str">
        <f>IFERROR(__xludf.DUMMYFUNCTION("IFERROR(VLOOKUP(A724, IMPORTRANGE(""https://docs.google.com/spreadsheets/d/1-3Vjw2Cyy-mry5gbC8ypIR3YVGFfEpyFESummAta6sg/edit"", ""Sheet1!B:D""), 3, FALSE), ""Not Found"")"),"k w ɪ r z ")</f>
        <v>k w ɪ r z </v>
      </c>
    </row>
    <row r="725">
      <c r="A725" s="1" t="s">
        <v>728</v>
      </c>
      <c r="B725" s="1" t="s">
        <v>5</v>
      </c>
      <c r="C725" s="2">
        <f>IFERROR(__xludf.DUMMYFUNCTION("IFERROR(VLOOKUP(A725, IMPORTRANGE(""https://docs.google.com/spreadsheets/d/1AVX9GT0dgogEBStecCXMMQ29tWz3gBrtNB8yIromXbY/edit?gid=741673867"", ""out1g!A:B""), 2, FALSE), 0)"),185.0)</f>
        <v>185</v>
      </c>
      <c r="D725" s="2" t="str">
        <f>IFERROR(__xludf.DUMMYFUNCTION("IFERROR(VLOOKUP(A725, IMPORTRANGE(""https://docs.google.com/spreadsheets/d/1-3Vjw2Cyy-mry5gbC8ypIR3YVGFfEpyFESummAta6sg/edit"", ""Sheet1!B:D""), 2, FALSE), ""Not Found"")"),"stəfi")</f>
        <v>stəfi</v>
      </c>
      <c r="E725" s="2" t="str">
        <f>IFERROR(__xludf.DUMMYFUNCTION("IFERROR(VLOOKUP(A725, IMPORTRANGE(""https://docs.google.com/spreadsheets/d/1-3Vjw2Cyy-mry5gbC8ypIR3YVGFfEpyFESummAta6sg/edit"", ""Sheet1!B:D""), 3, FALSE), ""Not Found"")"),"s t ə f i ")</f>
        <v>s t ə f i </v>
      </c>
    </row>
    <row r="726">
      <c r="A726" s="1" t="s">
        <v>729</v>
      </c>
      <c r="B726" s="1" t="s">
        <v>5</v>
      </c>
      <c r="C726" s="2">
        <f>IFERROR(__xludf.DUMMYFUNCTION("IFERROR(VLOOKUP(A726, IMPORTRANGE(""https://docs.google.com/spreadsheets/d/1AVX9GT0dgogEBStecCXMMQ29tWz3gBrtNB8yIromXbY/edit?gid=741673867"", ""out1g!A:B""), 2, FALSE), 0)"),1454.0)</f>
        <v>1454</v>
      </c>
      <c r="D726" s="2" t="str">
        <f>IFERROR(__xludf.DUMMYFUNCTION("IFERROR(VLOOKUP(A726, IMPORTRANGE(""https://docs.google.com/spreadsheets/d/1-3Vjw2Cyy-mry5gbC8ypIR3YVGFfEpyFESummAta6sg/edit"", ""Sheet1!B:D""), 2, FALSE), ""Not Found"")"),"kɪst")</f>
        <v>kɪst</v>
      </c>
      <c r="E726" s="2" t="str">
        <f>IFERROR(__xludf.DUMMYFUNCTION("IFERROR(VLOOKUP(A726, IMPORTRANGE(""https://docs.google.com/spreadsheets/d/1-3Vjw2Cyy-mry5gbC8ypIR3YVGFfEpyFESummAta6sg/edit"", ""Sheet1!B:D""), 3, FALSE), ""Not Found"")"),"k ɪ s t ")</f>
        <v>k ɪ s t </v>
      </c>
    </row>
    <row r="727">
      <c r="A727" s="1" t="s">
        <v>730</v>
      </c>
      <c r="B727" s="1" t="s">
        <v>5</v>
      </c>
      <c r="C727" s="2">
        <f>IFERROR(__xludf.DUMMYFUNCTION("IFERROR(VLOOKUP(A727, IMPORTRANGE(""https://docs.google.com/spreadsheets/d/1AVX9GT0dgogEBStecCXMMQ29tWz3gBrtNB8yIromXbY/edit?gid=741673867"", ""out1g!A:B""), 2, FALSE), 0)"),145.0)</f>
        <v>145</v>
      </c>
      <c r="D727" s="2" t="str">
        <f>IFERROR(__xludf.DUMMYFUNCTION("IFERROR(VLOOKUP(A727, IMPORTRANGE(""https://docs.google.com/spreadsheets/d/1-3Vjw2Cyy-mry5gbC8ypIR3YVGFfEpyFESummAta6sg/edit"", ""Sheet1!B:D""), 2, FALSE), ""Not Found"")"),"pudəl")</f>
        <v>pudəl</v>
      </c>
      <c r="E727" s="2" t="str">
        <f>IFERROR(__xludf.DUMMYFUNCTION("IFERROR(VLOOKUP(A727, IMPORTRANGE(""https://docs.google.com/spreadsheets/d/1-3Vjw2Cyy-mry5gbC8ypIR3YVGFfEpyFESummAta6sg/edit"", ""Sheet1!B:D""), 3, FALSE), ""Not Found"")"),"p u d ə l ")</f>
        <v>p u d ə l </v>
      </c>
    </row>
    <row r="728">
      <c r="A728" s="1" t="s">
        <v>731</v>
      </c>
      <c r="B728" s="1" t="s">
        <v>5</v>
      </c>
      <c r="C728" s="2">
        <f>IFERROR(__xludf.DUMMYFUNCTION("IFERROR(VLOOKUP(A728, IMPORTRANGE(""https://docs.google.com/spreadsheets/d/1AVX9GT0dgogEBStecCXMMQ29tWz3gBrtNB8yIromXbY/edit?gid=741673867"", ""out1g!A:B""), 2, FALSE), 0)"),41.0)</f>
        <v>41</v>
      </c>
      <c r="D728" s="2" t="str">
        <f>IFERROR(__xludf.DUMMYFUNCTION("IFERROR(VLOOKUP(A728, IMPORTRANGE(""https://docs.google.com/spreadsheets/d/1-3Vjw2Cyy-mry5gbC8ypIR3YVGFfEpyFESummAta6sg/edit"", ""Sheet1!B:D""), 2, FALSE), ""Not Found"")"),"bɔrz")</f>
        <v>bɔrz</v>
      </c>
      <c r="E728" s="2" t="str">
        <f>IFERROR(__xludf.DUMMYFUNCTION("IFERROR(VLOOKUP(A728, IMPORTRANGE(""https://docs.google.com/spreadsheets/d/1-3Vjw2Cyy-mry5gbC8ypIR3YVGFfEpyFESummAta6sg/edit"", ""Sheet1!B:D""), 3, FALSE), ""Not Found"")"),"b ɔ r z ")</f>
        <v>b ɔ r z </v>
      </c>
    </row>
    <row r="729">
      <c r="A729" s="1" t="s">
        <v>732</v>
      </c>
      <c r="B729" s="1" t="s">
        <v>5</v>
      </c>
      <c r="C729" s="2">
        <f>IFERROR(__xludf.DUMMYFUNCTION("IFERROR(VLOOKUP(A729, IMPORTRANGE(""https://docs.google.com/spreadsheets/d/1AVX9GT0dgogEBStecCXMMQ29tWz3gBrtNB8yIromXbY/edit?gid=741673867"", ""out1g!A:B""), 2, FALSE), 0)"),709.0)</f>
        <v>709</v>
      </c>
      <c r="D729" s="2" t="str">
        <f>IFERROR(__xludf.DUMMYFUNCTION("IFERROR(VLOOKUP(A729, IMPORTRANGE(""https://docs.google.com/spreadsheets/d/1-3Vjw2Cyy-mry5gbC8ypIR3YVGFfEpyFESummAta6sg/edit"", ""Sheet1!B:D""), 2, FALSE), ""Not Found"")"),"ed")</f>
        <v>ed</v>
      </c>
      <c r="E729" s="2" t="str">
        <f>IFERROR(__xludf.DUMMYFUNCTION("IFERROR(VLOOKUP(A729, IMPORTRANGE(""https://docs.google.com/spreadsheets/d/1-3Vjw2Cyy-mry5gbC8ypIR3YVGFfEpyFESummAta6sg/edit"", ""Sheet1!B:D""), 3, FALSE), ""Not Found"")"),"e d ")</f>
        <v>e d </v>
      </c>
    </row>
    <row r="730">
      <c r="A730" s="1" t="s">
        <v>733</v>
      </c>
      <c r="B730" s="1" t="s">
        <v>5</v>
      </c>
      <c r="C730" s="2">
        <f>IFERROR(__xludf.DUMMYFUNCTION("IFERROR(VLOOKUP(A730, IMPORTRANGE(""https://docs.google.com/spreadsheets/d/1AVX9GT0dgogEBStecCXMMQ29tWz3gBrtNB8yIromXbY/edit?gid=741673867"", ""out1g!A:B""), 2, FALSE), 0)"),645.0)</f>
        <v>645</v>
      </c>
      <c r="D730" s="2" t="str">
        <f>IFERROR(__xludf.DUMMYFUNCTION("IFERROR(VLOOKUP(A730, IMPORTRANGE(""https://docs.google.com/spreadsheets/d/1-3Vjw2Cyy-mry5gbC8ypIR3YVGFfEpyFESummAta6sg/edit"", ""Sheet1!B:D""), 2, FALSE), ""Not Found"")"),"næp")</f>
        <v>næp</v>
      </c>
      <c r="E730" s="2" t="str">
        <f>IFERROR(__xludf.DUMMYFUNCTION("IFERROR(VLOOKUP(A730, IMPORTRANGE(""https://docs.google.com/spreadsheets/d/1-3Vjw2Cyy-mry5gbC8ypIR3YVGFfEpyFESummAta6sg/edit"", ""Sheet1!B:D""), 3, FALSE), ""Not Found"")"),"n æ p ")</f>
        <v>n æ p </v>
      </c>
    </row>
    <row r="731">
      <c r="A731" s="1" t="s">
        <v>734</v>
      </c>
      <c r="B731" s="1" t="s">
        <v>5</v>
      </c>
      <c r="C731" s="2">
        <f>IFERROR(__xludf.DUMMYFUNCTION("IFERROR(VLOOKUP(A731, IMPORTRANGE(""https://docs.google.com/spreadsheets/d/1AVX9GT0dgogEBStecCXMMQ29tWz3gBrtNB8yIromXbY/edit?gid=741673867"", ""out1g!A:B""), 2, FALSE), 0)"),2316.0)</f>
        <v>2316</v>
      </c>
      <c r="D731" s="2" t="str">
        <f>IFERROR(__xludf.DUMMYFUNCTION("IFERROR(VLOOKUP(A731, IMPORTRANGE(""https://docs.google.com/spreadsheets/d/1-3Vjw2Cyy-mry5gbC8ypIR3YVGFfEpyFESummAta6sg/edit"", ""Sheet1!B:D""), 2, FALSE), ""Not Found"")"),"livz")</f>
        <v>livz</v>
      </c>
      <c r="E731" s="2" t="str">
        <f>IFERROR(__xludf.DUMMYFUNCTION("IFERROR(VLOOKUP(A731, IMPORTRANGE(""https://docs.google.com/spreadsheets/d/1-3Vjw2Cyy-mry5gbC8ypIR3YVGFfEpyFESummAta6sg/edit"", ""Sheet1!B:D""), 3, FALSE), ""Not Found"")"),"l i v z ")</f>
        <v>l i v z </v>
      </c>
    </row>
    <row r="732">
      <c r="A732" s="1" t="s">
        <v>735</v>
      </c>
      <c r="B732" s="1" t="s">
        <v>5</v>
      </c>
      <c r="C732" s="2">
        <f>IFERROR(__xludf.DUMMYFUNCTION("IFERROR(VLOOKUP(A732, IMPORTRANGE(""https://docs.google.com/spreadsheets/d/1AVX9GT0dgogEBStecCXMMQ29tWz3gBrtNB8yIromXbY/edit?gid=741673867"", ""out1g!A:B""), 2, FALSE), 0)"),14403.0)</f>
        <v>14403</v>
      </c>
      <c r="D732" s="2" t="str">
        <f>IFERROR(__xludf.DUMMYFUNCTION("IFERROR(VLOOKUP(A732, IMPORTRANGE(""https://docs.google.com/spreadsheets/d/1-3Vjw2Cyy-mry5gbC8ypIR3YVGFfEpyFESummAta6sg/edit"", ""Sheet1!B:D""), 2, FALSE), ""Not Found"")"),"kes")</f>
        <v>kes</v>
      </c>
      <c r="E732" s="2" t="str">
        <f>IFERROR(__xludf.DUMMYFUNCTION("IFERROR(VLOOKUP(A732, IMPORTRANGE(""https://docs.google.com/spreadsheets/d/1-3Vjw2Cyy-mry5gbC8ypIR3YVGFfEpyFESummAta6sg/edit"", ""Sheet1!B:D""), 3, FALSE), ""Not Found"")"),"k e s ")</f>
        <v>k e s </v>
      </c>
    </row>
    <row r="733">
      <c r="A733" s="1" t="s">
        <v>736</v>
      </c>
      <c r="B733" s="1" t="s">
        <v>5</v>
      </c>
      <c r="C733" s="2">
        <f>IFERROR(__xludf.DUMMYFUNCTION("IFERROR(VLOOKUP(A733, IMPORTRANGE(""https://docs.google.com/spreadsheets/d/1AVX9GT0dgogEBStecCXMMQ29tWz3gBrtNB8yIromXbY/edit?gid=741673867"", ""out1g!A:B""), 2, FALSE), 0)"),1034.0)</f>
        <v>1034</v>
      </c>
      <c r="D733" s="2" t="str">
        <f>IFERROR(__xludf.DUMMYFUNCTION("IFERROR(VLOOKUP(A733, IMPORTRANGE(""https://docs.google.com/spreadsheets/d/1-3Vjw2Cyy-mry5gbC8ypIR3YVGFfEpyFESummAta6sg/edit"", ""Sheet1!B:D""), 2, FALSE), ""Not Found"")"),"boʊ")</f>
        <v>boʊ</v>
      </c>
      <c r="E733" s="2" t="str">
        <f>IFERROR(__xludf.DUMMYFUNCTION("IFERROR(VLOOKUP(A733, IMPORTRANGE(""https://docs.google.com/spreadsheets/d/1-3Vjw2Cyy-mry5gbC8ypIR3YVGFfEpyFESummAta6sg/edit"", ""Sheet1!B:D""), 3, FALSE), ""Not Found"")"),"b o ʊ ")</f>
        <v>b o ʊ </v>
      </c>
    </row>
    <row r="734">
      <c r="A734" s="1" t="s">
        <v>737</v>
      </c>
      <c r="B734" s="1" t="s">
        <v>5</v>
      </c>
      <c r="C734" s="2">
        <f>IFERROR(__xludf.DUMMYFUNCTION("IFERROR(VLOOKUP(A734, IMPORTRANGE(""https://docs.google.com/spreadsheets/d/1AVX9GT0dgogEBStecCXMMQ29tWz3gBrtNB8yIromXbY/edit?gid=741673867"", ""out1g!A:B""), 2, FALSE), 0)"),161.0)</f>
        <v>161</v>
      </c>
      <c r="D734" s="2" t="str">
        <f>IFERROR(__xludf.DUMMYFUNCTION("IFERROR(VLOOKUP(A734, IMPORTRANGE(""https://docs.google.com/spreadsheets/d/1-3Vjw2Cyy-mry5gbC8ypIR3YVGFfEpyFESummAta6sg/edit"", ""Sheet1!B:D""), 2, FALSE), ""Not Found"")"),"fætsoʊ")</f>
        <v>fætsoʊ</v>
      </c>
      <c r="E734" s="2" t="str">
        <f>IFERROR(__xludf.DUMMYFUNCTION("IFERROR(VLOOKUP(A734, IMPORTRANGE(""https://docs.google.com/spreadsheets/d/1-3Vjw2Cyy-mry5gbC8ypIR3YVGFfEpyFESummAta6sg/edit"", ""Sheet1!B:D""), 3, FALSE), ""Not Found"")"),"f æ t s o ʊ ")</f>
        <v>f æ t s o ʊ </v>
      </c>
    </row>
    <row r="735">
      <c r="A735" s="1" t="s">
        <v>738</v>
      </c>
      <c r="B735" s="1" t="s">
        <v>5</v>
      </c>
      <c r="C735" s="2">
        <f>IFERROR(__xludf.DUMMYFUNCTION("IFERROR(VLOOKUP(A735, IMPORTRANGE(""https://docs.google.com/spreadsheets/d/1AVX9GT0dgogEBStecCXMMQ29tWz3gBrtNB8yIromXbY/edit?gid=741673867"", ""out1g!A:B""), 2, FALSE), 0)"),396.0)</f>
        <v>396</v>
      </c>
      <c r="D735" s="2" t="str">
        <f>IFERROR(__xludf.DUMMYFUNCTION("IFERROR(VLOOKUP(A735, IMPORTRANGE(""https://docs.google.com/spreadsheets/d/1-3Vjw2Cyy-mry5gbC8ypIR3YVGFfEpyFESummAta6sg/edit"", ""Sheet1!B:D""), 2, FALSE), ""Not Found"")"),"dɑʤ")</f>
        <v>dɑʤ</v>
      </c>
      <c r="E735" s="2" t="str">
        <f>IFERROR(__xludf.DUMMYFUNCTION("IFERROR(VLOOKUP(A735, IMPORTRANGE(""https://docs.google.com/spreadsheets/d/1-3Vjw2Cyy-mry5gbC8ypIR3YVGFfEpyFESummAta6sg/edit"", ""Sheet1!B:D""), 3, FALSE), ""Not Found"")"),"d ɑ ʤ ")</f>
        <v>d ɑ ʤ </v>
      </c>
    </row>
    <row r="736">
      <c r="A736" s="1" t="s">
        <v>739</v>
      </c>
      <c r="B736" s="1" t="s">
        <v>5</v>
      </c>
      <c r="C736" s="2">
        <f>IFERROR(__xludf.DUMMYFUNCTION("IFERROR(VLOOKUP(A736, IMPORTRANGE(""https://docs.google.com/spreadsheets/d/1AVX9GT0dgogEBStecCXMMQ29tWz3gBrtNB8yIromXbY/edit?gid=741673867"", ""out1g!A:B""), 2, FALSE), 0)"),940.0)</f>
        <v>940</v>
      </c>
      <c r="D736" s="2" t="str">
        <f>IFERROR(__xludf.DUMMYFUNCTION("IFERROR(VLOOKUP(A736, IMPORTRANGE(""https://docs.google.com/spreadsheets/d/1-3Vjw2Cyy-mry5gbC8ypIR3YVGFfEpyFESummAta6sg/edit"", ""Sheet1!B:D""), 2, FALSE), ""Not Found"")"),"slev")</f>
        <v>slev</v>
      </c>
      <c r="E736" s="2" t="str">
        <f>IFERROR(__xludf.DUMMYFUNCTION("IFERROR(VLOOKUP(A736, IMPORTRANGE(""https://docs.google.com/spreadsheets/d/1-3Vjw2Cyy-mry5gbC8ypIR3YVGFfEpyFESummAta6sg/edit"", ""Sheet1!B:D""), 3, FALSE), ""Not Found"")"),"s l e v ")</f>
        <v>s l e v </v>
      </c>
    </row>
    <row r="737">
      <c r="A737" s="1" t="s">
        <v>740</v>
      </c>
      <c r="B737" s="1" t="s">
        <v>5</v>
      </c>
      <c r="C737" s="2">
        <f>IFERROR(__xludf.DUMMYFUNCTION("IFERROR(VLOOKUP(A737, IMPORTRANGE(""https://docs.google.com/spreadsheets/d/1AVX9GT0dgogEBStecCXMMQ29tWz3gBrtNB8yIromXbY/edit?gid=741673867"", ""out1g!A:B""), 2, FALSE), 0)"),575.0)</f>
        <v>575</v>
      </c>
      <c r="D737" s="2" t="str">
        <f>IFERROR(__xludf.DUMMYFUNCTION("IFERROR(VLOOKUP(A737, IMPORTRANGE(""https://docs.google.com/spreadsheets/d/1-3Vjw2Cyy-mry5gbC8ypIR3YVGFfEpyFESummAta6sg/edit"", ""Sheet1!B:D""), 2, FALSE), ""Not Found"")"),"ʤiz")</f>
        <v>ʤiz</v>
      </c>
      <c r="E737" s="2" t="str">
        <f>IFERROR(__xludf.DUMMYFUNCTION("IFERROR(VLOOKUP(A737, IMPORTRANGE(""https://docs.google.com/spreadsheets/d/1-3Vjw2Cyy-mry5gbC8ypIR3YVGFfEpyFESummAta6sg/edit"", ""Sheet1!B:D""), 3, FALSE), ""Not Found"")"),"ʤ i z ")</f>
        <v>ʤ i z </v>
      </c>
    </row>
    <row r="738">
      <c r="A738" s="1" t="s">
        <v>741</v>
      </c>
      <c r="B738" s="1" t="s">
        <v>5</v>
      </c>
      <c r="C738" s="2">
        <f>IFERROR(__xludf.DUMMYFUNCTION("IFERROR(VLOOKUP(A738, IMPORTRANGE(""https://docs.google.com/spreadsheets/d/1AVX9GT0dgogEBStecCXMMQ29tWz3gBrtNB8yIromXbY/edit?gid=741673867"", ""out1g!A:B""), 2, FALSE), 0)"),1146.0)</f>
        <v>1146</v>
      </c>
      <c r="D738" s="2" t="str">
        <f>IFERROR(__xludf.DUMMYFUNCTION("IFERROR(VLOOKUP(A738, IMPORTRANGE(""https://docs.google.com/spreadsheets/d/1-3Vjw2Cyy-mry5gbC8ypIR3YVGFfEpyFESummAta6sg/edit"", ""Sheet1!B:D""), 2, FALSE), ""Not Found"")"),"træʃ")</f>
        <v>træʃ</v>
      </c>
      <c r="E738" s="2" t="str">
        <f>IFERROR(__xludf.DUMMYFUNCTION("IFERROR(VLOOKUP(A738, IMPORTRANGE(""https://docs.google.com/spreadsheets/d/1-3Vjw2Cyy-mry5gbC8ypIR3YVGFfEpyFESummAta6sg/edit"", ""Sheet1!B:D""), 3, FALSE), ""Not Found"")"),"t r æ ʃ ")</f>
        <v>t r æ ʃ </v>
      </c>
    </row>
    <row r="739">
      <c r="A739" s="1" t="s">
        <v>742</v>
      </c>
      <c r="B739" s="1" t="s">
        <v>5</v>
      </c>
      <c r="C739" s="2">
        <f>IFERROR(__xludf.DUMMYFUNCTION("IFERROR(VLOOKUP(A739, IMPORTRANGE(""https://docs.google.com/spreadsheets/d/1AVX9GT0dgogEBStecCXMMQ29tWz3gBrtNB8yIromXbY/edit?gid=741673867"", ""out1g!A:B""), 2, FALSE), 0)"),2835.0)</f>
        <v>2835</v>
      </c>
      <c r="D739" s="2" t="str">
        <f>IFERROR(__xludf.DUMMYFUNCTION("IFERROR(VLOOKUP(A739, IMPORTRANGE(""https://docs.google.com/spreadsheets/d/1-3Vjw2Cyy-mry5gbC8ypIR3YVGFfEpyFESummAta6sg/edit"", ""Sheet1!B:D""), 2, FALSE), ""Not Found"")"),"lɛgz")</f>
        <v>lɛgz</v>
      </c>
      <c r="E739" s="2" t="str">
        <f>IFERROR(__xludf.DUMMYFUNCTION("IFERROR(VLOOKUP(A739, IMPORTRANGE(""https://docs.google.com/spreadsheets/d/1-3Vjw2Cyy-mry5gbC8ypIR3YVGFfEpyFESummAta6sg/edit"", ""Sheet1!B:D""), 3, FALSE), ""Not Found"")"),"l ɛ g z ")</f>
        <v>l ɛ g z </v>
      </c>
    </row>
    <row r="740">
      <c r="A740" s="1" t="s">
        <v>743</v>
      </c>
      <c r="B740" s="1" t="s">
        <v>5</v>
      </c>
      <c r="C740" s="2">
        <f>IFERROR(__xludf.DUMMYFUNCTION("IFERROR(VLOOKUP(A740, IMPORTRANGE(""https://docs.google.com/spreadsheets/d/1AVX9GT0dgogEBStecCXMMQ29tWz3gBrtNB8yIromXbY/edit?gid=741673867"", ""out1g!A:B""), 2, FALSE), 0)"),93.0)</f>
        <v>93</v>
      </c>
      <c r="D740" s="2" t="str">
        <f>IFERROR(__xludf.DUMMYFUNCTION("IFERROR(VLOOKUP(A740, IMPORTRANGE(""https://docs.google.com/spreadsheets/d/1-3Vjw2Cyy-mry5gbC8ypIR3YVGFfEpyFESummAta6sg/edit"", ""Sheet1!B:D""), 2, FALSE), ""Not Found"")"),"ɔrə")</f>
        <v>ɔrə</v>
      </c>
      <c r="E740" s="2" t="str">
        <f>IFERROR(__xludf.DUMMYFUNCTION("IFERROR(VLOOKUP(A740, IMPORTRANGE(""https://docs.google.com/spreadsheets/d/1-3Vjw2Cyy-mry5gbC8ypIR3YVGFfEpyFESummAta6sg/edit"", ""Sheet1!B:D""), 3, FALSE), ""Not Found"")"),"ɔ r ə ")</f>
        <v>ɔ r ə </v>
      </c>
    </row>
    <row r="741">
      <c r="A741" s="1" t="s">
        <v>744</v>
      </c>
      <c r="B741" s="1" t="s">
        <v>5</v>
      </c>
      <c r="C741" s="2">
        <f>IFERROR(__xludf.DUMMYFUNCTION("IFERROR(VLOOKUP(A741, IMPORTRANGE(""https://docs.google.com/spreadsheets/d/1AVX9GT0dgogEBStecCXMMQ29tWz3gBrtNB8yIromXbY/edit?gid=741673867"", ""out1g!A:B""), 2, FALSE), 0)"),3475.0)</f>
        <v>3475</v>
      </c>
      <c r="D741" s="2" t="str">
        <f>IFERROR(__xludf.DUMMYFUNCTION("IFERROR(VLOOKUP(A741, IMPORTRANGE(""https://docs.google.com/spreadsheets/d/1-3Vjw2Cyy-mry5gbC8ypIR3YVGFfEpyFESummAta6sg/edit"", ""Sheet1!B:D""), 2, FALSE), ""Not Found"")"),"hoʊli")</f>
        <v>hoʊli</v>
      </c>
      <c r="E741" s="2" t="str">
        <f>IFERROR(__xludf.DUMMYFUNCTION("IFERROR(VLOOKUP(A741, IMPORTRANGE(""https://docs.google.com/spreadsheets/d/1-3Vjw2Cyy-mry5gbC8ypIR3YVGFfEpyFESummAta6sg/edit"", ""Sheet1!B:D""), 3, FALSE), ""Not Found"")"),"h o ʊ l i ")</f>
        <v>h o ʊ l i </v>
      </c>
    </row>
    <row r="742">
      <c r="A742" s="1" t="s">
        <v>745</v>
      </c>
      <c r="B742" s="1" t="s">
        <v>5</v>
      </c>
      <c r="C742" s="2">
        <f>IFERROR(__xludf.DUMMYFUNCTION("IFERROR(VLOOKUP(A742, IMPORTRANGE(""https://docs.google.com/spreadsheets/d/1AVX9GT0dgogEBStecCXMMQ29tWz3gBrtNB8yIromXbY/edit?gid=741673867"", ""out1g!A:B""), 2, FALSE), 0)"),61.0)</f>
        <v>61</v>
      </c>
      <c r="D742" s="2" t="str">
        <f>IFERROR(__xludf.DUMMYFUNCTION("IFERROR(VLOOKUP(A742, IMPORTRANGE(""https://docs.google.com/spreadsheets/d/1-3Vjw2Cyy-mry5gbC8ypIR3YVGFfEpyFESummAta6sg/edit"", ""Sheet1!B:D""), 2, FALSE), ""Not Found"")"),"mæts")</f>
        <v>mæts</v>
      </c>
      <c r="E742" s="2" t="str">
        <f>IFERROR(__xludf.DUMMYFUNCTION("IFERROR(VLOOKUP(A742, IMPORTRANGE(""https://docs.google.com/spreadsheets/d/1-3Vjw2Cyy-mry5gbC8ypIR3YVGFfEpyFESummAta6sg/edit"", ""Sheet1!B:D""), 3, FALSE), ""Not Found"")"),"m æ t s ")</f>
        <v>m æ t s </v>
      </c>
    </row>
    <row r="743">
      <c r="A743" s="1" t="s">
        <v>746</v>
      </c>
      <c r="B743" s="1" t="s">
        <v>5</v>
      </c>
      <c r="C743" s="2">
        <f>IFERROR(__xludf.DUMMYFUNCTION("IFERROR(VLOOKUP(A743, IMPORTRANGE(""https://docs.google.com/spreadsheets/d/1AVX9GT0dgogEBStecCXMMQ29tWz3gBrtNB8yIromXbY/edit?gid=741673867"", ""out1g!A:B""), 2, FALSE), 0)"),25568.0)</f>
        <v>25568</v>
      </c>
      <c r="D743" s="2" t="str">
        <f>IFERROR(__xludf.DUMMYFUNCTION("IFERROR(VLOOKUP(A743, IMPORTRANGE(""https://docs.google.com/spreadsheets/d/1-3Vjw2Cyy-mry5gbC8ypIR3YVGFfEpyFESummAta6sg/edit"", ""Sheet1!B:D""), 2, FALSE), ""Not Found"")"),"ɪnəf")</f>
        <v>ɪnəf</v>
      </c>
      <c r="E743" s="2" t="str">
        <f>IFERROR(__xludf.DUMMYFUNCTION("IFERROR(VLOOKUP(A743, IMPORTRANGE(""https://docs.google.com/spreadsheets/d/1-3Vjw2Cyy-mry5gbC8ypIR3YVGFfEpyFESummAta6sg/edit"", ""Sheet1!B:D""), 3, FALSE), ""Not Found"")"),"ɪ n ə f ")</f>
        <v>ɪ n ə f </v>
      </c>
    </row>
    <row r="744">
      <c r="A744" s="1" t="s">
        <v>747</v>
      </c>
      <c r="B744" s="1" t="s">
        <v>5</v>
      </c>
      <c r="C744" s="2">
        <f>IFERROR(__xludf.DUMMYFUNCTION("IFERROR(VLOOKUP(A744, IMPORTRANGE(""https://docs.google.com/spreadsheets/d/1AVX9GT0dgogEBStecCXMMQ29tWz3gBrtNB8yIromXbY/edit?gid=741673867"", ""out1g!A:B""), 2, FALSE), 0)"),334.0)</f>
        <v>334</v>
      </c>
      <c r="D744" s="2" t="str">
        <f>IFERROR(__xludf.DUMMYFUNCTION("IFERROR(VLOOKUP(A744, IMPORTRANGE(""https://docs.google.com/spreadsheets/d/1-3Vjw2Cyy-mry5gbC8ypIR3YVGFfEpyFESummAta6sg/edit"", ""Sheet1!B:D""), 2, FALSE), ""Not Found"")"),"pɪr")</f>
        <v>pɪr</v>
      </c>
      <c r="E744" s="2" t="str">
        <f>IFERROR(__xludf.DUMMYFUNCTION("IFERROR(VLOOKUP(A744, IMPORTRANGE(""https://docs.google.com/spreadsheets/d/1-3Vjw2Cyy-mry5gbC8ypIR3YVGFfEpyFESummAta6sg/edit"", ""Sheet1!B:D""), 3, FALSE), ""Not Found"")"),"p ɪ r ")</f>
        <v>p ɪ r </v>
      </c>
    </row>
    <row r="745">
      <c r="A745" s="1" t="s">
        <v>748</v>
      </c>
      <c r="B745" s="1" t="s">
        <v>5</v>
      </c>
      <c r="C745" s="2">
        <f>IFERROR(__xludf.DUMMYFUNCTION("IFERROR(VLOOKUP(A745, IMPORTRANGE(""https://docs.google.com/spreadsheets/d/1AVX9GT0dgogEBStecCXMMQ29tWz3gBrtNB8yIromXbY/edit?gid=741673867"", ""out1g!A:B""), 2, FALSE), 0)"),431.0)</f>
        <v>431</v>
      </c>
      <c r="D745" s="2" t="str">
        <f>IFERROR(__xludf.DUMMYFUNCTION("IFERROR(VLOOKUP(A745, IMPORTRANGE(""https://docs.google.com/spreadsheets/d/1-3Vjw2Cyy-mry5gbC8ypIR3YVGFfEpyFESummAta6sg/edit"", ""Sheet1!B:D""), 2, FALSE), ""Not Found"")"),"krəʃt")</f>
        <v>krəʃt</v>
      </c>
      <c r="E745" s="2" t="str">
        <f>IFERROR(__xludf.DUMMYFUNCTION("IFERROR(VLOOKUP(A745, IMPORTRANGE(""https://docs.google.com/spreadsheets/d/1-3Vjw2Cyy-mry5gbC8ypIR3YVGFfEpyFESummAta6sg/edit"", ""Sheet1!B:D""), 3, FALSE), ""Not Found"")"),"k r ə ʃ t ")</f>
        <v>k r ə ʃ t </v>
      </c>
    </row>
    <row r="746">
      <c r="A746" s="1" t="s">
        <v>749</v>
      </c>
      <c r="B746" s="1" t="s">
        <v>5</v>
      </c>
      <c r="C746" s="2">
        <f>IFERROR(__xludf.DUMMYFUNCTION("IFERROR(VLOOKUP(A746, IMPORTRANGE(""https://docs.google.com/spreadsheets/d/1AVX9GT0dgogEBStecCXMMQ29tWz3gBrtNB8yIromXbY/edit?gid=741673867"", ""out1g!A:B""), 2, FALSE), 0)"),65.0)</f>
        <v>65</v>
      </c>
      <c r="D746" s="2" t="str">
        <f>IFERROR(__xludf.DUMMYFUNCTION("IFERROR(VLOOKUP(A746, IMPORTRANGE(""https://docs.google.com/spreadsheets/d/1-3Vjw2Cyy-mry5gbC8ypIR3YVGFfEpyFESummAta6sg/edit"", ""Sheet1!B:D""), 2, FALSE), ""Not Found"")"),"lækt")</f>
        <v>lækt</v>
      </c>
      <c r="E746" s="2" t="str">
        <f>IFERROR(__xludf.DUMMYFUNCTION("IFERROR(VLOOKUP(A746, IMPORTRANGE(""https://docs.google.com/spreadsheets/d/1-3Vjw2Cyy-mry5gbC8ypIR3YVGFfEpyFESummAta6sg/edit"", ""Sheet1!B:D""), 3, FALSE), ""Not Found"")"),"l æ k t ")</f>
        <v>l æ k t </v>
      </c>
    </row>
    <row r="747">
      <c r="A747" s="1" t="s">
        <v>750</v>
      </c>
      <c r="B747" s="1" t="s">
        <v>5</v>
      </c>
      <c r="C747" s="2">
        <f>IFERROR(__xludf.DUMMYFUNCTION("IFERROR(VLOOKUP(A747, IMPORTRANGE(""https://docs.google.com/spreadsheets/d/1AVX9GT0dgogEBStecCXMMQ29tWz3gBrtNB8yIromXbY/edit?gid=741673867"", ""out1g!A:B""), 2, FALSE), 0)"),278.0)</f>
        <v>278</v>
      </c>
      <c r="D747" s="2" t="str">
        <f>IFERROR(__xludf.DUMMYFUNCTION("IFERROR(VLOOKUP(A747, IMPORTRANGE(""https://docs.google.com/spreadsheets/d/1-3Vjw2Cyy-mry5gbC8ypIR3YVGFfEpyFESummAta6sg/edit"", ""Sheet1!B:D""), 2, FALSE), ""Not Found"")"),"slɔtər")</f>
        <v>slɔtər</v>
      </c>
      <c r="E747" s="2" t="str">
        <f>IFERROR(__xludf.DUMMYFUNCTION("IFERROR(VLOOKUP(A747, IMPORTRANGE(""https://docs.google.com/spreadsheets/d/1-3Vjw2Cyy-mry5gbC8ypIR3YVGFfEpyFESummAta6sg/edit"", ""Sheet1!B:D""), 3, FALSE), ""Not Found"")"),"s l ɔ t ə r ")</f>
        <v>s l ɔ t ə r </v>
      </c>
    </row>
    <row r="748">
      <c r="A748" s="1" t="s">
        <v>751</v>
      </c>
      <c r="B748" s="1" t="s">
        <v>5</v>
      </c>
      <c r="C748" s="2">
        <f>IFERROR(__xludf.DUMMYFUNCTION("IFERROR(VLOOKUP(A748, IMPORTRANGE(""https://docs.google.com/spreadsheets/d/1AVX9GT0dgogEBStecCXMMQ29tWz3gBrtNB8yIromXbY/edit?gid=741673867"", ""out1g!A:B""), 2, FALSE), 0)"),1801.0)</f>
        <v>1801</v>
      </c>
      <c r="D748" s="2" t="str">
        <f>IFERROR(__xludf.DUMMYFUNCTION("IFERROR(VLOOKUP(A748, IMPORTRANGE(""https://docs.google.com/spreadsheets/d/1-3Vjw2Cyy-mry5gbC8ypIR3YVGFfEpyFESummAta6sg/edit"", ""Sheet1!B:D""), 2, FALSE), ""Not Found"")"),"ɑrz")</f>
        <v>ɑrz</v>
      </c>
      <c r="E748" s="2" t="str">
        <f>IFERROR(__xludf.DUMMYFUNCTION("IFERROR(VLOOKUP(A748, IMPORTRANGE(""https://docs.google.com/spreadsheets/d/1-3Vjw2Cyy-mry5gbC8ypIR3YVGFfEpyFESummAta6sg/edit"", ""Sheet1!B:D""), 3, FALSE), ""Not Found"")"),"ɑ r z ")</f>
        <v>ɑ r z </v>
      </c>
    </row>
    <row r="749">
      <c r="A749" s="1" t="s">
        <v>752</v>
      </c>
      <c r="B749" s="1" t="s">
        <v>5</v>
      </c>
      <c r="C749" s="2">
        <f>IFERROR(__xludf.DUMMYFUNCTION("IFERROR(VLOOKUP(A749, IMPORTRANGE(""https://docs.google.com/spreadsheets/d/1AVX9GT0dgogEBStecCXMMQ29tWz3gBrtNB8yIromXbY/edit?gid=741673867"", ""out1g!A:B""), 2, FALSE), 0)"),657.0)</f>
        <v>657</v>
      </c>
      <c r="D749" s="2" t="str">
        <f>IFERROR(__xludf.DUMMYFUNCTION("IFERROR(VLOOKUP(A749, IMPORTRANGE(""https://docs.google.com/spreadsheets/d/1-3Vjw2Cyy-mry5gbC8ypIR3YVGFfEpyFESummAta6sg/edit"", ""Sheet1!B:D""), 2, FALSE), ""Not Found"")"),"skaʊt")</f>
        <v>skaʊt</v>
      </c>
      <c r="E749" s="2" t="str">
        <f>IFERROR(__xludf.DUMMYFUNCTION("IFERROR(VLOOKUP(A749, IMPORTRANGE(""https://docs.google.com/spreadsheets/d/1-3Vjw2Cyy-mry5gbC8ypIR3YVGFfEpyFESummAta6sg/edit"", ""Sheet1!B:D""), 3, FALSE), ""Not Found"")"),"s k a ʊ t ")</f>
        <v>s k a ʊ t </v>
      </c>
    </row>
    <row r="750">
      <c r="A750" s="1" t="s">
        <v>753</v>
      </c>
      <c r="B750" s="1" t="s">
        <v>5</v>
      </c>
      <c r="C750" s="2">
        <f>IFERROR(__xludf.DUMMYFUNCTION("IFERROR(VLOOKUP(A750, IMPORTRANGE(""https://docs.google.com/spreadsheets/d/1AVX9GT0dgogEBStecCXMMQ29tWz3gBrtNB8yIromXbY/edit?gid=741673867"", ""out1g!A:B""), 2, FALSE), 0)"),409.0)</f>
        <v>409</v>
      </c>
      <c r="D750" s="2" t="str">
        <f>IFERROR(__xludf.DUMMYFUNCTION("IFERROR(VLOOKUP(A750, IMPORTRANGE(""https://docs.google.com/spreadsheets/d/1-3Vjw2Cyy-mry5gbC8ypIR3YVGFfEpyFESummAta6sg/edit"", ""Sheet1!B:D""), 2, FALSE), ""Not Found"")"),"setən")</f>
        <v>setən</v>
      </c>
      <c r="E750" s="2" t="str">
        <f>IFERROR(__xludf.DUMMYFUNCTION("IFERROR(VLOOKUP(A750, IMPORTRANGE(""https://docs.google.com/spreadsheets/d/1-3Vjw2Cyy-mry5gbC8ypIR3YVGFfEpyFESummAta6sg/edit"", ""Sheet1!B:D""), 3, FALSE), ""Not Found"")"),"s e t ə n ")</f>
        <v>s e t ə n </v>
      </c>
    </row>
    <row r="751">
      <c r="A751" s="1" t="s">
        <v>754</v>
      </c>
      <c r="B751" s="1" t="s">
        <v>5</v>
      </c>
      <c r="C751" s="2">
        <f>IFERROR(__xludf.DUMMYFUNCTION("IFERROR(VLOOKUP(A751, IMPORTRANGE(""https://docs.google.com/spreadsheets/d/1AVX9GT0dgogEBStecCXMMQ29tWz3gBrtNB8yIromXbY/edit?gid=741673867"", ""out1g!A:B""), 2, FALSE), 0)"),555.0)</f>
        <v>555</v>
      </c>
      <c r="D751" s="2" t="str">
        <f>IFERROR(__xludf.DUMMYFUNCTION("IFERROR(VLOOKUP(A751, IMPORTRANGE(""https://docs.google.com/spreadsheets/d/1-3Vjw2Cyy-mry5gbC8ypIR3YVGFfEpyFESummAta6sg/edit"", ""Sheet1!B:D""), 2, FALSE), ""Not Found"")"),"raʊnz")</f>
        <v>raʊnz</v>
      </c>
      <c r="E751" s="2" t="str">
        <f>IFERROR(__xludf.DUMMYFUNCTION("IFERROR(VLOOKUP(A751, IMPORTRANGE(""https://docs.google.com/spreadsheets/d/1-3Vjw2Cyy-mry5gbC8ypIR3YVGFfEpyFESummAta6sg/edit"", ""Sheet1!B:D""), 3, FALSE), ""Not Found"")"),"r a ʊ n z ")</f>
        <v>r a ʊ n z </v>
      </c>
    </row>
    <row r="752">
      <c r="A752" s="1" t="s">
        <v>755</v>
      </c>
      <c r="B752" s="1" t="s">
        <v>5</v>
      </c>
      <c r="C752" s="2">
        <f>IFERROR(__xludf.DUMMYFUNCTION("IFERROR(VLOOKUP(A752, IMPORTRANGE(""https://docs.google.com/spreadsheets/d/1AVX9GT0dgogEBStecCXMMQ29tWz3gBrtNB8yIromXbY/edit?gid=741673867"", ""out1g!A:B""), 2, FALSE), 0)"),807.0)</f>
        <v>807</v>
      </c>
      <c r="D752" s="2" t="str">
        <f>IFERROR(__xludf.DUMMYFUNCTION("IFERROR(VLOOKUP(A752, IMPORTRANGE(""https://docs.google.com/spreadsheets/d/1-3Vjw2Cyy-mry5gbC8ypIR3YVGFfEpyFESummAta6sg/edit"", ""Sheet1!B:D""), 2, FALSE), ""Not Found"")"),"klaʊn")</f>
        <v>klaʊn</v>
      </c>
      <c r="E752" s="2" t="str">
        <f>IFERROR(__xludf.DUMMYFUNCTION("IFERROR(VLOOKUP(A752, IMPORTRANGE(""https://docs.google.com/spreadsheets/d/1-3Vjw2Cyy-mry5gbC8ypIR3YVGFfEpyFESummAta6sg/edit"", ""Sheet1!B:D""), 3, FALSE), ""Not Found"")"),"k l a ʊ n ")</f>
        <v>k l a ʊ n </v>
      </c>
    </row>
    <row r="753">
      <c r="A753" s="1" t="s">
        <v>756</v>
      </c>
      <c r="B753" s="1" t="s">
        <v>5</v>
      </c>
      <c r="C753" s="2">
        <f>IFERROR(__xludf.DUMMYFUNCTION("IFERROR(VLOOKUP(A753, IMPORTRANGE(""https://docs.google.com/spreadsheets/d/1AVX9GT0dgogEBStecCXMMQ29tWz3gBrtNB8yIromXbY/edit?gid=741673867"", ""out1g!A:B""), 2, FALSE), 0)"),389.0)</f>
        <v>389</v>
      </c>
      <c r="D753" s="2" t="str">
        <f>IFERROR(__xludf.DUMMYFUNCTION("IFERROR(VLOOKUP(A753, IMPORTRANGE(""https://docs.google.com/spreadsheets/d/1-3Vjw2Cyy-mry5gbC8ypIR3YVGFfEpyFESummAta6sg/edit"", ""Sheet1!B:D""), 2, FALSE), ""Not Found"")"),"juɛn")</f>
        <v>juɛn</v>
      </c>
      <c r="E753" s="2" t="str">
        <f>IFERROR(__xludf.DUMMYFUNCTION("IFERROR(VLOOKUP(A753, IMPORTRANGE(""https://docs.google.com/spreadsheets/d/1-3Vjw2Cyy-mry5gbC8ypIR3YVGFfEpyFESummAta6sg/edit"", ""Sheet1!B:D""), 3, FALSE), ""Not Found"")"),"j u ɛ n ")</f>
        <v>j u ɛ n </v>
      </c>
    </row>
    <row r="754">
      <c r="A754" s="1" t="s">
        <v>757</v>
      </c>
      <c r="B754" s="1" t="s">
        <v>5</v>
      </c>
      <c r="C754" s="2">
        <f>IFERROR(__xludf.DUMMYFUNCTION("IFERROR(VLOOKUP(A754, IMPORTRANGE(""https://docs.google.com/spreadsheets/d/1AVX9GT0dgogEBStecCXMMQ29tWz3gBrtNB8yIromXbY/edit?gid=741673867"", ""out1g!A:B""), 2, FALSE), 0)"),382.0)</f>
        <v>382</v>
      </c>
      <c r="D754" s="2" t="str">
        <f>IFERROR(__xludf.DUMMYFUNCTION("IFERROR(VLOOKUP(A754, IMPORTRANGE(""https://docs.google.com/spreadsheets/d/1-3Vjw2Cyy-mry5gbC8ypIR3YVGFfEpyFESummAta6sg/edit"", ""Sheet1!B:D""), 2, FALSE), ""Not Found"")"),"bækt")</f>
        <v>bækt</v>
      </c>
      <c r="E754" s="2" t="str">
        <f>IFERROR(__xludf.DUMMYFUNCTION("IFERROR(VLOOKUP(A754, IMPORTRANGE(""https://docs.google.com/spreadsheets/d/1-3Vjw2Cyy-mry5gbC8ypIR3YVGFfEpyFESummAta6sg/edit"", ""Sheet1!B:D""), 3, FALSE), ""Not Found"")"),"b æ k t ")</f>
        <v>b æ k t </v>
      </c>
    </row>
    <row r="755">
      <c r="A755" s="1" t="s">
        <v>758</v>
      </c>
      <c r="B755" s="1" t="s">
        <v>5</v>
      </c>
      <c r="C755" s="2">
        <f>IFERROR(__xludf.DUMMYFUNCTION("IFERROR(VLOOKUP(A755, IMPORTRANGE(""https://docs.google.com/spreadsheets/d/1AVX9GT0dgogEBStecCXMMQ29tWz3gBrtNB8yIromXbY/edit?gid=741673867"", ""out1g!A:B""), 2, FALSE), 0)"),558.0)</f>
        <v>558</v>
      </c>
      <c r="D755" s="2" t="str">
        <f>IFERROR(__xludf.DUMMYFUNCTION("IFERROR(VLOOKUP(A755, IMPORTRANGE(""https://docs.google.com/spreadsheets/d/1-3Vjw2Cyy-mry5gbC8ypIR3YVGFfEpyFESummAta6sg/edit"", ""Sheet1!B:D""), 2, FALSE), ""Not Found"")"),"wərkər")</f>
        <v>wərkər</v>
      </c>
      <c r="E755" s="2" t="str">
        <f>IFERROR(__xludf.DUMMYFUNCTION("IFERROR(VLOOKUP(A755, IMPORTRANGE(""https://docs.google.com/spreadsheets/d/1-3Vjw2Cyy-mry5gbC8ypIR3YVGFfEpyFESummAta6sg/edit"", ""Sheet1!B:D""), 3, FALSE), ""Not Found"")"),"w ə r k ə r ")</f>
        <v>w ə r k ə r </v>
      </c>
    </row>
    <row r="756">
      <c r="A756" s="1" t="s">
        <v>759</v>
      </c>
      <c r="B756" s="1" t="s">
        <v>5</v>
      </c>
      <c r="C756" s="2">
        <f>IFERROR(__xludf.DUMMYFUNCTION("IFERROR(VLOOKUP(A756, IMPORTRANGE(""https://docs.google.com/spreadsheets/d/1AVX9GT0dgogEBStecCXMMQ29tWz3gBrtNB8yIromXbY/edit?gid=741673867"", ""out1g!A:B""), 2, FALSE), 0)"),1470.0)</f>
        <v>1470</v>
      </c>
      <c r="D756" s="2" t="str">
        <f>IFERROR(__xludf.DUMMYFUNCTION("IFERROR(VLOOKUP(A756, IMPORTRANGE(""https://docs.google.com/spreadsheets/d/1-3Vjw2Cyy-mry5gbC8ypIR3YVGFfEpyFESummAta6sg/edit"", ""Sheet1!B:D""), 2, FALSE), ""Not Found"")"),"dəmp")</f>
        <v>dəmp</v>
      </c>
      <c r="E756" s="2" t="str">
        <f>IFERROR(__xludf.DUMMYFUNCTION("IFERROR(VLOOKUP(A756, IMPORTRANGE(""https://docs.google.com/spreadsheets/d/1-3Vjw2Cyy-mry5gbC8ypIR3YVGFfEpyFESummAta6sg/edit"", ""Sheet1!B:D""), 3, FALSE), ""Not Found"")"),"d ə m p ")</f>
        <v>d ə m p </v>
      </c>
    </row>
    <row r="757">
      <c r="A757" s="1" t="s">
        <v>760</v>
      </c>
      <c r="B757" s="1" t="s">
        <v>5</v>
      </c>
      <c r="C757" s="2">
        <f>IFERROR(__xludf.DUMMYFUNCTION("IFERROR(VLOOKUP(A757, IMPORTRANGE(""https://docs.google.com/spreadsheets/d/1AVX9GT0dgogEBStecCXMMQ29tWz3gBrtNB8yIromXbY/edit?gid=741673867"", ""out1g!A:B""), 2, FALSE), 0)"),106.0)</f>
        <v>106</v>
      </c>
      <c r="D757" s="2" t="str">
        <f>IFERROR(__xludf.DUMMYFUNCTION("IFERROR(VLOOKUP(A757, IMPORTRANGE(""https://docs.google.com/spreadsheets/d/1-3Vjw2Cyy-mry5gbC8ypIR3YVGFfEpyFESummAta6sg/edit"", ""Sheet1!B:D""), 2, FALSE), ""Not Found"")"),"meld")</f>
        <v>meld</v>
      </c>
      <c r="E757" s="2" t="str">
        <f>IFERROR(__xludf.DUMMYFUNCTION("IFERROR(VLOOKUP(A757, IMPORTRANGE(""https://docs.google.com/spreadsheets/d/1-3Vjw2Cyy-mry5gbC8ypIR3YVGFfEpyFESummAta6sg/edit"", ""Sheet1!B:D""), 3, FALSE), ""Not Found"")"),"m e l d ")</f>
        <v>m e l d </v>
      </c>
    </row>
    <row r="758">
      <c r="A758" s="1" t="s">
        <v>761</v>
      </c>
      <c r="B758" s="1" t="s">
        <v>5</v>
      </c>
      <c r="C758" s="2">
        <f>IFERROR(__xludf.DUMMYFUNCTION("IFERROR(VLOOKUP(A758, IMPORTRANGE(""https://docs.google.com/spreadsheets/d/1AVX9GT0dgogEBStecCXMMQ29tWz3gBrtNB8yIromXbY/edit?gid=741673867"", ""out1g!A:B""), 2, FALSE), 0)"),113.0)</f>
        <v>113</v>
      </c>
      <c r="D758" s="2" t="str">
        <f>IFERROR(__xludf.DUMMYFUNCTION("IFERROR(VLOOKUP(A758, IMPORTRANGE(""https://docs.google.com/spreadsheets/d/1-3Vjw2Cyy-mry5gbC8ypIR3YVGFfEpyFESummAta6sg/edit"", ""Sheet1!B:D""), 2, FALSE), ""Not Found"")"),"kəbz")</f>
        <v>kəbz</v>
      </c>
      <c r="E758" s="2" t="str">
        <f>IFERROR(__xludf.DUMMYFUNCTION("IFERROR(VLOOKUP(A758, IMPORTRANGE(""https://docs.google.com/spreadsheets/d/1-3Vjw2Cyy-mry5gbC8ypIR3YVGFfEpyFESummAta6sg/edit"", ""Sheet1!B:D""), 3, FALSE), ""Not Found"")"),"k ə b z ")</f>
        <v>k ə b z </v>
      </c>
    </row>
    <row r="759">
      <c r="A759" s="1" t="s">
        <v>762</v>
      </c>
      <c r="B759" s="1" t="s">
        <v>5</v>
      </c>
      <c r="C759" s="2">
        <f>IFERROR(__xludf.DUMMYFUNCTION("IFERROR(VLOOKUP(A759, IMPORTRANGE(""https://docs.google.com/spreadsheets/d/1AVX9GT0dgogEBStecCXMMQ29tWz3gBrtNB8yIromXbY/edit?gid=741673867"", ""out1g!A:B""), 2, FALSE), 0)"),301.0)</f>
        <v>301</v>
      </c>
      <c r="D759" s="2" t="str">
        <f>IFERROR(__xludf.DUMMYFUNCTION("IFERROR(VLOOKUP(A759, IMPORTRANGE(""https://docs.google.com/spreadsheets/d/1-3Vjw2Cyy-mry5gbC8ypIR3YVGFfEpyFESummAta6sg/edit"", ""Sheet1!B:D""), 2, FALSE), ""Not Found"")"),"stər")</f>
        <v>stər</v>
      </c>
      <c r="E759" s="2" t="str">
        <f>IFERROR(__xludf.DUMMYFUNCTION("IFERROR(VLOOKUP(A759, IMPORTRANGE(""https://docs.google.com/spreadsheets/d/1-3Vjw2Cyy-mry5gbC8ypIR3YVGFfEpyFESummAta6sg/edit"", ""Sheet1!B:D""), 3, FALSE), ""Not Found"")"),"s t ə r ")</f>
        <v>s t ə r </v>
      </c>
    </row>
    <row r="760">
      <c r="A760" s="1" t="s">
        <v>763</v>
      </c>
      <c r="B760" s="1" t="s">
        <v>5</v>
      </c>
      <c r="C760" s="2">
        <f>IFERROR(__xludf.DUMMYFUNCTION("IFERROR(VLOOKUP(A760, IMPORTRANGE(""https://docs.google.com/spreadsheets/d/1AVX9GT0dgogEBStecCXMMQ29tWz3gBrtNB8yIromXbY/edit?gid=741673867"", ""out1g!A:B""), 2, FALSE), 0)"),160.0)</f>
        <v>160</v>
      </c>
      <c r="D760" s="2" t="str">
        <f>IFERROR(__xludf.DUMMYFUNCTION("IFERROR(VLOOKUP(A760, IMPORTRANGE(""https://docs.google.com/spreadsheets/d/1-3Vjw2Cyy-mry5gbC8ypIR3YVGFfEpyFESummAta6sg/edit"", ""Sheet1!B:D""), 2, FALSE), ""Not Found"")"),"blɪs")</f>
        <v>blɪs</v>
      </c>
      <c r="E760" s="2" t="str">
        <f>IFERROR(__xludf.DUMMYFUNCTION("IFERROR(VLOOKUP(A760, IMPORTRANGE(""https://docs.google.com/spreadsheets/d/1-3Vjw2Cyy-mry5gbC8ypIR3YVGFfEpyFESummAta6sg/edit"", ""Sheet1!B:D""), 3, FALSE), ""Not Found"")"),"b l ɪ s ")</f>
        <v>b l ɪ s </v>
      </c>
    </row>
    <row r="761">
      <c r="A761" s="1" t="s">
        <v>764</v>
      </c>
      <c r="B761" s="1" t="s">
        <v>5</v>
      </c>
      <c r="C761" s="2">
        <f>IFERROR(__xludf.DUMMYFUNCTION("IFERROR(VLOOKUP(A761, IMPORTRANGE(""https://docs.google.com/spreadsheets/d/1AVX9GT0dgogEBStecCXMMQ29tWz3gBrtNB8yIromXbY/edit?gid=741673867"", ""out1g!A:B""), 2, FALSE), 0)"),2117.0)</f>
        <v>2117</v>
      </c>
      <c r="D761" s="2" t="str">
        <f>IFERROR(__xludf.DUMMYFUNCTION("IFERROR(VLOOKUP(A761, IMPORTRANGE(""https://docs.google.com/spreadsheets/d/1-3Vjw2Cyy-mry5gbC8ypIR3YVGFfEpyFESummAta6sg/edit"", ""Sheet1!B:D""), 2, FALSE), ""Not Found"")"),"ʃoʊz")</f>
        <v>ʃoʊz</v>
      </c>
      <c r="E761" s="2" t="str">
        <f>IFERROR(__xludf.DUMMYFUNCTION("IFERROR(VLOOKUP(A761, IMPORTRANGE(""https://docs.google.com/spreadsheets/d/1-3Vjw2Cyy-mry5gbC8ypIR3YVGFfEpyFESummAta6sg/edit"", ""Sheet1!B:D""), 3, FALSE), ""Not Found"")"),"ʃ o ʊ z ")</f>
        <v>ʃ o ʊ z </v>
      </c>
    </row>
    <row r="762">
      <c r="A762" s="1" t="s">
        <v>765</v>
      </c>
      <c r="B762" s="1" t="s">
        <v>5</v>
      </c>
      <c r="C762" s="2">
        <f>IFERROR(__xludf.DUMMYFUNCTION("IFERROR(VLOOKUP(A762, IMPORTRANGE(""https://docs.google.com/spreadsheets/d/1AVX9GT0dgogEBStecCXMMQ29tWz3gBrtNB8yIromXbY/edit?gid=741673867"", ""out1g!A:B""), 2, FALSE), 0)"),49.0)</f>
        <v>49</v>
      </c>
      <c r="D762" s="2" t="str">
        <f>IFERROR(__xludf.DUMMYFUNCTION("IFERROR(VLOOKUP(A762, IMPORTRANGE(""https://docs.google.com/spreadsheets/d/1-3Vjw2Cyy-mry5gbC8ypIR3YVGFfEpyFESummAta6sg/edit"", ""Sheet1!B:D""), 2, FALSE), ""Not Found"")"),"bɔg")</f>
        <v>bɔg</v>
      </c>
      <c r="E762" s="2" t="str">
        <f>IFERROR(__xludf.DUMMYFUNCTION("IFERROR(VLOOKUP(A762, IMPORTRANGE(""https://docs.google.com/spreadsheets/d/1-3Vjw2Cyy-mry5gbC8ypIR3YVGFfEpyFESummAta6sg/edit"", ""Sheet1!B:D""), 3, FALSE), ""Not Found"")"),"b ɔ g ")</f>
        <v>b ɔ g </v>
      </c>
    </row>
    <row r="763">
      <c r="A763" s="1" t="s">
        <v>766</v>
      </c>
      <c r="B763" s="1" t="s">
        <v>5</v>
      </c>
      <c r="C763" s="2">
        <f>IFERROR(__xludf.DUMMYFUNCTION("IFERROR(VLOOKUP(A763, IMPORTRANGE(""https://docs.google.com/spreadsheets/d/1AVX9GT0dgogEBStecCXMMQ29tWz3gBrtNB8yIromXbY/edit?gid=741673867"", ""out1g!A:B""), 2, FALSE), 0)"),4450.0)</f>
        <v>4450</v>
      </c>
      <c r="D763" s="2" t="str">
        <f>IFERROR(__xludf.DUMMYFUNCTION("IFERROR(VLOOKUP(A763, IMPORTRANGE(""https://docs.google.com/spreadsheets/d/1-3Vjw2Cyy-mry5gbC8ypIR3YVGFfEpyFESummAta6sg/edit"", ""Sheet1!B:D""), 2, FALSE), ""Not Found"")"),"mæstər")</f>
        <v>mæstər</v>
      </c>
      <c r="E763" s="2" t="str">
        <f>IFERROR(__xludf.DUMMYFUNCTION("IFERROR(VLOOKUP(A763, IMPORTRANGE(""https://docs.google.com/spreadsheets/d/1-3Vjw2Cyy-mry5gbC8ypIR3YVGFfEpyFESummAta6sg/edit"", ""Sheet1!B:D""), 3, FALSE), ""Not Found"")"),"m æ s t ə r ")</f>
        <v>m æ s t ə r </v>
      </c>
    </row>
    <row r="764">
      <c r="A764" s="1" t="s">
        <v>767</v>
      </c>
      <c r="B764" s="1" t="s">
        <v>5</v>
      </c>
      <c r="C764" s="2">
        <f>IFERROR(__xludf.DUMMYFUNCTION("IFERROR(VLOOKUP(A764, IMPORTRANGE(""https://docs.google.com/spreadsheets/d/1AVX9GT0dgogEBStecCXMMQ29tWz3gBrtNB8yIromXbY/edit?gid=741673867"", ""out1g!A:B""), 2, FALSE), 0)"),304.0)</f>
        <v>304</v>
      </c>
      <c r="D764" s="2" t="str">
        <f>IFERROR(__xludf.DUMMYFUNCTION("IFERROR(VLOOKUP(A764, IMPORTRANGE(""https://docs.google.com/spreadsheets/d/1-3Vjw2Cyy-mry5gbC8ypIR3YVGFfEpyFESummAta6sg/edit"", ""Sheet1!B:D""), 2, FALSE), ""Not Found"")"),"ʃed")</f>
        <v>ʃed</v>
      </c>
      <c r="E764" s="2" t="str">
        <f>IFERROR(__xludf.DUMMYFUNCTION("IFERROR(VLOOKUP(A764, IMPORTRANGE(""https://docs.google.com/spreadsheets/d/1-3Vjw2Cyy-mry5gbC8ypIR3YVGFfEpyFESummAta6sg/edit"", ""Sheet1!B:D""), 3, FALSE), ""Not Found"")"),"ʃ e d ")</f>
        <v>ʃ e d </v>
      </c>
    </row>
    <row r="765">
      <c r="A765" s="1" t="s">
        <v>768</v>
      </c>
      <c r="B765" s="1" t="s">
        <v>5</v>
      </c>
      <c r="C765" s="2">
        <f>IFERROR(__xludf.DUMMYFUNCTION("IFERROR(VLOOKUP(A765, IMPORTRANGE(""https://docs.google.com/spreadsheets/d/1AVX9GT0dgogEBStecCXMMQ29tWz3gBrtNB8yIromXbY/edit?gid=741673867"", ""out1g!A:B""), 2, FALSE), 0)"),298.0)</f>
        <v>298</v>
      </c>
      <c r="D765" s="2" t="str">
        <f>IFERROR(__xludf.DUMMYFUNCTION("IFERROR(VLOOKUP(A765, IMPORTRANGE(""https://docs.google.com/spreadsheets/d/1-3Vjw2Cyy-mry5gbC8ypIR3YVGFfEpyFESummAta6sg/edit"", ""Sheet1!B:D""), 2, FALSE), ""Not Found"")"),"boʊ")</f>
        <v>boʊ</v>
      </c>
      <c r="E765" s="2" t="str">
        <f>IFERROR(__xludf.DUMMYFUNCTION("IFERROR(VLOOKUP(A765, IMPORTRANGE(""https://docs.google.com/spreadsheets/d/1-3Vjw2Cyy-mry5gbC8ypIR3YVGFfEpyFESummAta6sg/edit"", ""Sheet1!B:D""), 3, FALSE), ""Not Found"")"),"b o ʊ ")</f>
        <v>b o ʊ </v>
      </c>
    </row>
    <row r="766">
      <c r="A766" s="1" t="s">
        <v>769</v>
      </c>
      <c r="B766" s="1" t="s">
        <v>5</v>
      </c>
      <c r="C766" s="2">
        <f>IFERROR(__xludf.DUMMYFUNCTION("IFERROR(VLOOKUP(A766, IMPORTRANGE(""https://docs.google.com/spreadsheets/d/1AVX9GT0dgogEBStecCXMMQ29tWz3gBrtNB8yIromXbY/edit?gid=741673867"", ""out1g!A:B""), 2, FALSE), 0)"),7124.0)</f>
        <v>7124</v>
      </c>
      <c r="D766" s="2" t="str">
        <f>IFERROR(__xludf.DUMMYFUNCTION("IFERROR(VLOOKUP(A766, IMPORTRANGE(""https://docs.google.com/spreadsheets/d/1-3Vjw2Cyy-mry5gbC8ypIR3YVGFfEpyFESummAta6sg/edit"", ""Sheet1!B:D""), 2, FALSE), ""Not Found"")"),"lɪvz")</f>
        <v>lɪvz</v>
      </c>
      <c r="E766" s="2" t="str">
        <f>IFERROR(__xludf.DUMMYFUNCTION("IFERROR(VLOOKUP(A766, IMPORTRANGE(""https://docs.google.com/spreadsheets/d/1-3Vjw2Cyy-mry5gbC8ypIR3YVGFfEpyFESummAta6sg/edit"", ""Sheet1!B:D""), 3, FALSE), ""Not Found"")"),"l ɪ v z ")</f>
        <v>l ɪ v z </v>
      </c>
    </row>
    <row r="767">
      <c r="A767" s="1" t="s">
        <v>770</v>
      </c>
      <c r="B767" s="1" t="s">
        <v>5</v>
      </c>
      <c r="C767" s="2">
        <f>IFERROR(__xludf.DUMMYFUNCTION("IFERROR(VLOOKUP(A767, IMPORTRANGE(""https://docs.google.com/spreadsheets/d/1AVX9GT0dgogEBStecCXMMQ29tWz3gBrtNB8yIromXbY/edit?gid=741673867"", ""out1g!A:B""), 2, FALSE), 0)"),159.0)</f>
        <v>159</v>
      </c>
      <c r="D767" s="2" t="str">
        <f>IFERROR(__xludf.DUMMYFUNCTION("IFERROR(VLOOKUP(A767, IMPORTRANGE(""https://docs.google.com/spreadsheets/d/1-3Vjw2Cyy-mry5gbC8ypIR3YVGFfEpyFESummAta6sg/edit"", ""Sheet1!B:D""), 2, FALSE), ""Not Found"")"),"pɔ")</f>
        <v>pɔ</v>
      </c>
      <c r="E767" s="2" t="str">
        <f>IFERROR(__xludf.DUMMYFUNCTION("IFERROR(VLOOKUP(A767, IMPORTRANGE(""https://docs.google.com/spreadsheets/d/1-3Vjw2Cyy-mry5gbC8ypIR3YVGFfEpyFESummAta6sg/edit"", ""Sheet1!B:D""), 3, FALSE), ""Not Found"")"),"p ɔ ")</f>
        <v>p ɔ </v>
      </c>
    </row>
    <row r="768">
      <c r="A768" s="1" t="s">
        <v>771</v>
      </c>
      <c r="B768" s="1" t="s">
        <v>5</v>
      </c>
      <c r="C768" s="2">
        <f>IFERROR(__xludf.DUMMYFUNCTION("IFERROR(VLOOKUP(A768, IMPORTRANGE(""https://docs.google.com/spreadsheets/d/1AVX9GT0dgogEBStecCXMMQ29tWz3gBrtNB8yIromXbY/edit?gid=741673867"", ""out1g!A:B""), 2, FALSE), 0)"),1691.0)</f>
        <v>1691</v>
      </c>
      <c r="D768" s="2" t="str">
        <f>IFERROR(__xludf.DUMMYFUNCTION("IFERROR(VLOOKUP(A768, IMPORTRANGE(""https://docs.google.com/spreadsheets/d/1-3Vjw2Cyy-mry5gbC8ypIR3YVGFfEpyFESummAta6sg/edit"", ""Sheet1!B:D""), 2, FALSE), ""Not Found"")"),"sɛnətər")</f>
        <v>sɛnətər</v>
      </c>
      <c r="E768" s="2" t="str">
        <f>IFERROR(__xludf.DUMMYFUNCTION("IFERROR(VLOOKUP(A768, IMPORTRANGE(""https://docs.google.com/spreadsheets/d/1-3Vjw2Cyy-mry5gbC8ypIR3YVGFfEpyFESummAta6sg/edit"", ""Sheet1!B:D""), 3, FALSE), ""Not Found"")"),"s ɛ n ə t ə r ")</f>
        <v>s ɛ n ə t ə r </v>
      </c>
    </row>
    <row r="769">
      <c r="A769" s="1" t="s">
        <v>772</v>
      </c>
      <c r="B769" s="1" t="s">
        <v>5</v>
      </c>
      <c r="C769" s="2">
        <f>IFERROR(__xludf.DUMMYFUNCTION("IFERROR(VLOOKUP(A769, IMPORTRANGE(""https://docs.google.com/spreadsheets/d/1AVX9GT0dgogEBStecCXMMQ29tWz3gBrtNB8yIromXbY/edit?gid=741673867"", ""out1g!A:B""), 2, FALSE), 0)"),189.0)</f>
        <v>189</v>
      </c>
      <c r="D769" s="2" t="str">
        <f>IFERROR(__xludf.DUMMYFUNCTION("IFERROR(VLOOKUP(A769, IMPORTRANGE(""https://docs.google.com/spreadsheets/d/1-3Vjw2Cyy-mry5gbC8ypIR3YVGFfEpyFESummAta6sg/edit"", ""Sheet1!B:D""), 2, FALSE), ""Not Found"")"),"hoʊmoʊ")</f>
        <v>hoʊmoʊ</v>
      </c>
      <c r="E769" s="2" t="str">
        <f>IFERROR(__xludf.DUMMYFUNCTION("IFERROR(VLOOKUP(A769, IMPORTRANGE(""https://docs.google.com/spreadsheets/d/1-3Vjw2Cyy-mry5gbC8ypIR3YVGFfEpyFESummAta6sg/edit"", ""Sheet1!B:D""), 3, FALSE), ""Not Found"")"),"h o ʊ m o ʊ ")</f>
        <v>h o ʊ m o ʊ </v>
      </c>
    </row>
    <row r="770">
      <c r="A770" s="1" t="s">
        <v>773</v>
      </c>
      <c r="B770" s="1" t="s">
        <v>5</v>
      </c>
      <c r="C770" s="2">
        <f>IFERROR(__xludf.DUMMYFUNCTION("IFERROR(VLOOKUP(A770, IMPORTRANGE(""https://docs.google.com/spreadsheets/d/1AVX9GT0dgogEBStecCXMMQ29tWz3gBrtNB8yIromXbY/edit?gid=741673867"", ""out1g!A:B""), 2, FALSE), 0)"),268.0)</f>
        <v>268</v>
      </c>
      <c r="D770" s="2" t="str">
        <f>IFERROR(__xludf.DUMMYFUNCTION("IFERROR(VLOOKUP(A770, IMPORTRANGE(""https://docs.google.com/spreadsheets/d/1-3Vjw2Cyy-mry5gbC8ypIR3YVGFfEpyFESummAta6sg/edit"", ""Sheet1!B:D""), 2, FALSE), ""Not Found"")"),"loʊn")</f>
        <v>loʊn</v>
      </c>
      <c r="E770" s="2" t="str">
        <f>IFERROR(__xludf.DUMMYFUNCTION("IFERROR(VLOOKUP(A770, IMPORTRANGE(""https://docs.google.com/spreadsheets/d/1-3Vjw2Cyy-mry5gbC8ypIR3YVGFfEpyFESummAta6sg/edit"", ""Sheet1!B:D""), 3, FALSE), ""Not Found"")"),"l o ʊ n ")</f>
        <v>l o ʊ n </v>
      </c>
    </row>
    <row r="771">
      <c r="A771" s="1" t="s">
        <v>774</v>
      </c>
      <c r="B771" s="1" t="s">
        <v>5</v>
      </c>
      <c r="C771" s="2">
        <f>IFERROR(__xludf.DUMMYFUNCTION("IFERROR(VLOOKUP(A771, IMPORTRANGE(""https://docs.google.com/spreadsheets/d/1AVX9GT0dgogEBStecCXMMQ29tWz3gBrtNB8yIromXbY/edit?gid=741673867"", ""out1g!A:B""), 2, FALSE), 0)"),137.0)</f>
        <v>137</v>
      </c>
      <c r="D771" s="2" t="str">
        <f>IFERROR(__xludf.DUMMYFUNCTION("IFERROR(VLOOKUP(A771, IMPORTRANGE(""https://docs.google.com/spreadsheets/d/1-3Vjw2Cyy-mry5gbC8ypIR3YVGFfEpyFESummAta6sg/edit"", ""Sheet1!B:D""), 2, FALSE), ""Not Found"")"),"hup")</f>
        <v>hup</v>
      </c>
      <c r="E771" s="2" t="str">
        <f>IFERROR(__xludf.DUMMYFUNCTION("IFERROR(VLOOKUP(A771, IMPORTRANGE(""https://docs.google.com/spreadsheets/d/1-3Vjw2Cyy-mry5gbC8ypIR3YVGFfEpyFESummAta6sg/edit"", ""Sheet1!B:D""), 3, FALSE), ""Not Found"")"),"h u p ")</f>
        <v>h u p </v>
      </c>
    </row>
    <row r="772">
      <c r="A772" s="1" t="s">
        <v>775</v>
      </c>
      <c r="B772" s="1" t="s">
        <v>5</v>
      </c>
      <c r="C772" s="2">
        <f>IFERROR(__xludf.DUMMYFUNCTION("IFERROR(VLOOKUP(A772, IMPORTRANGE(""https://docs.google.com/spreadsheets/d/1AVX9GT0dgogEBStecCXMMQ29tWz3gBrtNB8yIromXbY/edit?gid=741673867"", ""out1g!A:B""), 2, FALSE), 0)"),111.0)</f>
        <v>111</v>
      </c>
      <c r="D772" s="2" t="str">
        <f>IFERROR(__xludf.DUMMYFUNCTION("IFERROR(VLOOKUP(A772, IMPORTRANGE(""https://docs.google.com/spreadsheets/d/1-3Vjw2Cyy-mry5gbC8ypIR3YVGFfEpyFESummAta6sg/edit"", ""Sheet1!B:D""), 2, FALSE), ""Not Found"")"),"dædz")</f>
        <v>dædz</v>
      </c>
      <c r="E772" s="2" t="str">
        <f>IFERROR(__xludf.DUMMYFUNCTION("IFERROR(VLOOKUP(A772, IMPORTRANGE(""https://docs.google.com/spreadsheets/d/1-3Vjw2Cyy-mry5gbC8ypIR3YVGFfEpyFESummAta6sg/edit"", ""Sheet1!B:D""), 3, FALSE), ""Not Found"")"),"d æ d z ")</f>
        <v>d æ d z </v>
      </c>
    </row>
    <row r="773">
      <c r="A773" s="1" t="s">
        <v>776</v>
      </c>
      <c r="B773" s="1" t="s">
        <v>5</v>
      </c>
      <c r="C773" s="2">
        <f>IFERROR(__xludf.DUMMYFUNCTION("IFERROR(VLOOKUP(A773, IMPORTRANGE(""https://docs.google.com/spreadsheets/d/1AVX9GT0dgogEBStecCXMMQ29tWz3gBrtNB8yIromXbY/edit?gid=741673867"", ""out1g!A:B""), 2, FALSE), 0)"),1336.0)</f>
        <v>1336</v>
      </c>
      <c r="D773" s="2" t="str">
        <f>IFERROR(__xludf.DUMMYFUNCTION("IFERROR(VLOOKUP(A773, IMPORTRANGE(""https://docs.google.com/spreadsheets/d/1-3Vjw2Cyy-mry5gbC8ypIR3YVGFfEpyFESummAta6sg/edit"", ""Sheet1!B:D""), 2, FALSE), ""Not Found"")"),"prist")</f>
        <v>prist</v>
      </c>
      <c r="E773" s="2" t="str">
        <f>IFERROR(__xludf.DUMMYFUNCTION("IFERROR(VLOOKUP(A773, IMPORTRANGE(""https://docs.google.com/spreadsheets/d/1-3Vjw2Cyy-mry5gbC8ypIR3YVGFfEpyFESummAta6sg/edit"", ""Sheet1!B:D""), 3, FALSE), ""Not Found"")"),"p r i s t ")</f>
        <v>p r i s t </v>
      </c>
    </row>
    <row r="774">
      <c r="A774" s="1" t="s">
        <v>777</v>
      </c>
      <c r="B774" s="1" t="s">
        <v>5</v>
      </c>
      <c r="C774" s="2">
        <f>IFERROR(__xludf.DUMMYFUNCTION("IFERROR(VLOOKUP(A774, IMPORTRANGE(""https://docs.google.com/spreadsheets/d/1AVX9GT0dgogEBStecCXMMQ29tWz3gBrtNB8yIromXbY/edit?gid=741673867"", ""out1g!A:B""), 2, FALSE), 0)"),463.0)</f>
        <v>463</v>
      </c>
      <c r="D774" s="2" t="str">
        <f>IFERROR(__xludf.DUMMYFUNCTION("IFERROR(VLOOKUP(A774, IMPORTRANGE(""https://docs.google.com/spreadsheets/d/1-3Vjw2Cyy-mry5gbC8ypIR3YVGFfEpyFESummAta6sg/edit"", ""Sheet1!B:D""), 2, FALSE), ""Not Found"")"),"aʊtər")</f>
        <v>aʊtər</v>
      </c>
      <c r="E774" s="2" t="str">
        <f>IFERROR(__xludf.DUMMYFUNCTION("IFERROR(VLOOKUP(A774, IMPORTRANGE(""https://docs.google.com/spreadsheets/d/1-3Vjw2Cyy-mry5gbC8ypIR3YVGFfEpyFESummAta6sg/edit"", ""Sheet1!B:D""), 3, FALSE), ""Not Found"")"),"a ʊ t ə r ")</f>
        <v>a ʊ t ə r </v>
      </c>
    </row>
    <row r="775">
      <c r="A775" s="1" t="s">
        <v>778</v>
      </c>
      <c r="B775" s="1" t="s">
        <v>5</v>
      </c>
      <c r="C775" s="2">
        <f>IFERROR(__xludf.DUMMYFUNCTION("IFERROR(VLOOKUP(A775, IMPORTRANGE(""https://docs.google.com/spreadsheets/d/1AVX9GT0dgogEBStecCXMMQ29tWz3gBrtNB8yIromXbY/edit?gid=741673867"", ""out1g!A:B""), 2, FALSE), 0)"),220.0)</f>
        <v>220</v>
      </c>
      <c r="D775" s="2" t="str">
        <f>IFERROR(__xludf.DUMMYFUNCTION("IFERROR(VLOOKUP(A775, IMPORTRANGE(""https://docs.google.com/spreadsheets/d/1-3Vjw2Cyy-mry5gbC8ypIR3YVGFfEpyFESummAta6sg/edit"", ""Sheet1!B:D""), 2, FALSE), ""Not Found"")"),"hild")</f>
        <v>hild</v>
      </c>
      <c r="E775" s="2" t="str">
        <f>IFERROR(__xludf.DUMMYFUNCTION("IFERROR(VLOOKUP(A775, IMPORTRANGE(""https://docs.google.com/spreadsheets/d/1-3Vjw2Cyy-mry5gbC8ypIR3YVGFfEpyFESummAta6sg/edit"", ""Sheet1!B:D""), 3, FALSE), ""Not Found"")"),"h i l d ")</f>
        <v>h i l d </v>
      </c>
    </row>
    <row r="776">
      <c r="A776" s="1" t="s">
        <v>779</v>
      </c>
      <c r="B776" s="1" t="s">
        <v>5</v>
      </c>
      <c r="C776" s="2">
        <f>IFERROR(__xludf.DUMMYFUNCTION("IFERROR(VLOOKUP(A776, IMPORTRANGE(""https://docs.google.com/spreadsheets/d/1AVX9GT0dgogEBStecCXMMQ29tWz3gBrtNB8yIromXbY/edit?gid=741673867"", ""out1g!A:B""), 2, FALSE), 0)"),123.0)</f>
        <v>123</v>
      </c>
      <c r="D776" s="2" t="str">
        <f>IFERROR(__xludf.DUMMYFUNCTION("IFERROR(VLOOKUP(A776, IMPORTRANGE(""https://docs.google.com/spreadsheets/d/1-3Vjw2Cyy-mry5gbC8ypIR3YVGFfEpyFESummAta6sg/edit"", ""Sheet1!B:D""), 2, FALSE), ""Not Found"")"),"lɛr")</f>
        <v>lɛr</v>
      </c>
      <c r="E776" s="2" t="str">
        <f>IFERROR(__xludf.DUMMYFUNCTION("IFERROR(VLOOKUP(A776, IMPORTRANGE(""https://docs.google.com/spreadsheets/d/1-3Vjw2Cyy-mry5gbC8ypIR3YVGFfEpyFESummAta6sg/edit"", ""Sheet1!B:D""), 3, FALSE), ""Not Found"")"),"l ɛ r ")</f>
        <v>l ɛ r </v>
      </c>
    </row>
    <row r="777">
      <c r="A777" s="1" t="s">
        <v>780</v>
      </c>
      <c r="B777" s="1" t="s">
        <v>5</v>
      </c>
      <c r="C777" s="2">
        <f>IFERROR(__xludf.DUMMYFUNCTION("IFERROR(VLOOKUP(A777, IMPORTRANGE(""https://docs.google.com/spreadsheets/d/1AVX9GT0dgogEBStecCXMMQ29tWz3gBrtNB8yIromXbY/edit?gid=741673867"", ""out1g!A:B""), 2, FALSE), 0)"),146.0)</f>
        <v>146</v>
      </c>
      <c r="D777" s="2" t="str">
        <f>IFERROR(__xludf.DUMMYFUNCTION("IFERROR(VLOOKUP(A777, IMPORTRANGE(""https://docs.google.com/spreadsheets/d/1-3Vjw2Cyy-mry5gbC8ypIR3YVGFfEpyFESummAta6sg/edit"", ""Sheet1!B:D""), 2, FALSE), ""Not Found"")"),"ʧe")</f>
        <v>ʧe</v>
      </c>
      <c r="E777" s="2" t="str">
        <f>IFERROR(__xludf.DUMMYFUNCTION("IFERROR(VLOOKUP(A777, IMPORTRANGE(""https://docs.google.com/spreadsheets/d/1-3Vjw2Cyy-mry5gbC8ypIR3YVGFfEpyFESummAta6sg/edit"", ""Sheet1!B:D""), 3, FALSE), ""Not Found"")"),"ʧ e ")</f>
        <v>ʧ e </v>
      </c>
    </row>
    <row r="778">
      <c r="A778" s="1" t="s">
        <v>781</v>
      </c>
      <c r="B778" s="1" t="s">
        <v>5</v>
      </c>
      <c r="C778" s="2">
        <f>IFERROR(__xludf.DUMMYFUNCTION("IFERROR(VLOOKUP(A778, IMPORTRANGE(""https://docs.google.com/spreadsheets/d/1AVX9GT0dgogEBStecCXMMQ29tWz3gBrtNB8yIromXbY/edit?gid=741673867"", ""out1g!A:B""), 2, FALSE), 0)"),29857.0)</f>
        <v>29857</v>
      </c>
      <c r="D778" s="2" t="str">
        <f>IFERROR(__xludf.DUMMYFUNCTION("IFERROR(VLOOKUP(A778, IMPORTRANGE(""https://docs.google.com/spreadsheets/d/1-3Vjw2Cyy-mry5gbC8ypIR3YVGFfEpyFESummAta6sg/edit"", ""Sheet1!B:D""), 2, FALSE), ""Not Found"")"),"hɛloʊ")</f>
        <v>hɛloʊ</v>
      </c>
      <c r="E778" s="2" t="str">
        <f>IFERROR(__xludf.DUMMYFUNCTION("IFERROR(VLOOKUP(A778, IMPORTRANGE(""https://docs.google.com/spreadsheets/d/1-3Vjw2Cyy-mry5gbC8ypIR3YVGFfEpyFESummAta6sg/edit"", ""Sheet1!B:D""), 3, FALSE), ""Not Found"")"),"h ɛ l o ʊ ")</f>
        <v>h ɛ l o ʊ </v>
      </c>
    </row>
    <row r="779">
      <c r="A779" s="1" t="s">
        <v>782</v>
      </c>
      <c r="B779" s="1" t="s">
        <v>5</v>
      </c>
      <c r="C779" s="2">
        <f>IFERROR(__xludf.DUMMYFUNCTION("IFERROR(VLOOKUP(A779, IMPORTRANGE(""https://docs.google.com/spreadsheets/d/1AVX9GT0dgogEBStecCXMMQ29tWz3gBrtNB8yIromXbY/edit?gid=741673867"", ""out1g!A:B""), 2, FALSE), 0)"),288391.0)</f>
        <v>288391</v>
      </c>
      <c r="D779" s="2" t="str">
        <f>IFERROR(__xludf.DUMMYFUNCTION("IFERROR(VLOOKUP(A779, IMPORTRANGE(""https://docs.google.com/spreadsheets/d/1-3Vjw2Cyy-mry5gbC8ypIR3YVGFfEpyFESummAta6sg/edit"", ""Sheet1!B:D""), 2, FALSE), ""Not Found"")"),"wɑz")</f>
        <v>wɑz</v>
      </c>
      <c r="E779" s="2" t="str">
        <f>IFERROR(__xludf.DUMMYFUNCTION("IFERROR(VLOOKUP(A779, IMPORTRANGE(""https://docs.google.com/spreadsheets/d/1-3Vjw2Cyy-mry5gbC8ypIR3YVGFfEpyFESummAta6sg/edit"", ""Sheet1!B:D""), 3, FALSE), ""Not Found"")"),"w ɑ z ")</f>
        <v>w ɑ z </v>
      </c>
    </row>
    <row r="780">
      <c r="A780" s="1" t="s">
        <v>783</v>
      </c>
      <c r="B780" s="1" t="s">
        <v>5</v>
      </c>
      <c r="C780" s="2">
        <f>IFERROR(__xludf.DUMMYFUNCTION("IFERROR(VLOOKUP(A780, IMPORTRANGE(""https://docs.google.com/spreadsheets/d/1AVX9GT0dgogEBStecCXMMQ29tWz3gBrtNB8yIromXbY/edit?gid=741673867"", ""out1g!A:B""), 2, FALSE), 0)"),284.0)</f>
        <v>284</v>
      </c>
      <c r="D780" s="2" t="str">
        <f>IFERROR(__xludf.DUMMYFUNCTION("IFERROR(VLOOKUP(A780, IMPORTRANGE(""https://docs.google.com/spreadsheets/d/1-3Vjw2Cyy-mry5gbC8ypIR3YVGFfEpyFESummAta6sg/edit"", ""Sheet1!B:D""), 2, FALSE), ""Not Found"")"),"ʃɛlz")</f>
        <v>ʃɛlz</v>
      </c>
      <c r="E780" s="2" t="str">
        <f>IFERROR(__xludf.DUMMYFUNCTION("IFERROR(VLOOKUP(A780, IMPORTRANGE(""https://docs.google.com/spreadsheets/d/1-3Vjw2Cyy-mry5gbC8ypIR3YVGFfEpyFESummAta6sg/edit"", ""Sheet1!B:D""), 3, FALSE), ""Not Found"")"),"ʃ ɛ l z ")</f>
        <v>ʃ ɛ l z </v>
      </c>
    </row>
    <row r="781">
      <c r="A781" s="1" t="s">
        <v>784</v>
      </c>
      <c r="B781" s="1" t="s">
        <v>5</v>
      </c>
      <c r="C781" s="2">
        <f>IFERROR(__xludf.DUMMYFUNCTION("IFERROR(VLOOKUP(A781, IMPORTRANGE(""https://docs.google.com/spreadsheets/d/1AVX9GT0dgogEBStecCXMMQ29tWz3gBrtNB8yIromXbY/edit?gid=741673867"", ""out1g!A:B""), 2, FALSE), 0)"),49.0)</f>
        <v>49</v>
      </c>
      <c r="D781" s="2" t="str">
        <f>IFERROR(__xludf.DUMMYFUNCTION("IFERROR(VLOOKUP(A781, IMPORTRANGE(""https://docs.google.com/spreadsheets/d/1-3Vjw2Cyy-mry5gbC8ypIR3YVGFfEpyFESummAta6sg/edit"", ""Sheet1!B:D""), 2, FALSE), ""Not Found"")"),"wevər")</f>
        <v>wevər</v>
      </c>
      <c r="E781" s="2" t="str">
        <f>IFERROR(__xludf.DUMMYFUNCTION("IFERROR(VLOOKUP(A781, IMPORTRANGE(""https://docs.google.com/spreadsheets/d/1-3Vjw2Cyy-mry5gbC8ypIR3YVGFfEpyFESummAta6sg/edit"", ""Sheet1!B:D""), 3, FALSE), ""Not Found"")"),"w e v ə r ")</f>
        <v>w e v ə r </v>
      </c>
    </row>
    <row r="782">
      <c r="A782" s="1" t="s">
        <v>785</v>
      </c>
      <c r="B782" s="1" t="s">
        <v>5</v>
      </c>
      <c r="C782" s="2">
        <f>IFERROR(__xludf.DUMMYFUNCTION("IFERROR(VLOOKUP(A782, IMPORTRANGE(""https://docs.google.com/spreadsheets/d/1AVX9GT0dgogEBStecCXMMQ29tWz3gBrtNB8yIromXbY/edit?gid=741673867"", ""out1g!A:B""), 2, FALSE), 0)"),578.0)</f>
        <v>578</v>
      </c>
      <c r="D782" s="2" t="str">
        <f>IFERROR(__xludf.DUMMYFUNCTION("IFERROR(VLOOKUP(A782, IMPORTRANGE(""https://docs.google.com/spreadsheets/d/1-3Vjw2Cyy-mry5gbC8ypIR3YVGFfEpyFESummAta6sg/edit"", ""Sheet1!B:D""), 2, FALSE), ""Not Found"")"),"ətæks")</f>
        <v>ətæks</v>
      </c>
      <c r="E782" s="2" t="str">
        <f>IFERROR(__xludf.DUMMYFUNCTION("IFERROR(VLOOKUP(A782, IMPORTRANGE(""https://docs.google.com/spreadsheets/d/1-3Vjw2Cyy-mry5gbC8ypIR3YVGFfEpyFESummAta6sg/edit"", ""Sheet1!B:D""), 3, FALSE), ""Not Found"")"),"ə t æ k s ")</f>
        <v>ə t æ k s </v>
      </c>
    </row>
    <row r="783">
      <c r="A783" s="1" t="s">
        <v>786</v>
      </c>
      <c r="B783" s="1" t="s">
        <v>5</v>
      </c>
      <c r="C783" s="2">
        <f>IFERROR(__xludf.DUMMYFUNCTION("IFERROR(VLOOKUP(A783, IMPORTRANGE(""https://docs.google.com/spreadsheets/d/1AVX9GT0dgogEBStecCXMMQ29tWz3gBrtNB8yIromXbY/edit?gid=741673867"", ""out1g!A:B""), 2, FALSE), 0)"),74.0)</f>
        <v>74</v>
      </c>
      <c r="D783" s="2" t="str">
        <f>IFERROR(__xludf.DUMMYFUNCTION("IFERROR(VLOOKUP(A783, IMPORTRANGE(""https://docs.google.com/spreadsheets/d/1-3Vjw2Cyy-mry5gbC8ypIR3YVGFfEpyFESummAta6sg/edit"", ""Sheet1!B:D""), 2, FALSE), ""Not Found"")"),"maɪnər")</f>
        <v>maɪnər</v>
      </c>
      <c r="E783" s="2" t="str">
        <f>IFERROR(__xludf.DUMMYFUNCTION("IFERROR(VLOOKUP(A783, IMPORTRANGE(""https://docs.google.com/spreadsheets/d/1-3Vjw2Cyy-mry5gbC8ypIR3YVGFfEpyFESummAta6sg/edit"", ""Sheet1!B:D""), 3, FALSE), ""Not Found"")"),"m a ɪ n ə r ")</f>
        <v>m a ɪ n ə r </v>
      </c>
    </row>
    <row r="784">
      <c r="A784" s="1" t="s">
        <v>787</v>
      </c>
      <c r="B784" s="1" t="s">
        <v>5</v>
      </c>
      <c r="C784" s="2">
        <f>IFERROR(__xludf.DUMMYFUNCTION("IFERROR(VLOOKUP(A784, IMPORTRANGE(""https://docs.google.com/spreadsheets/d/1AVX9GT0dgogEBStecCXMMQ29tWz3gBrtNB8yIromXbY/edit?gid=741673867"", ""out1g!A:B""), 2, FALSE), 0)"),1452.0)</f>
        <v>1452</v>
      </c>
      <c r="D784" s="2" t="str">
        <f>IFERROR(__xludf.DUMMYFUNCTION("IFERROR(VLOOKUP(A784, IMPORTRANGE(""https://docs.google.com/spreadsheets/d/1-3Vjw2Cyy-mry5gbC8ypIR3YVGFfEpyFESummAta6sg/edit"", ""Sheet1!B:D""), 2, FALSE), ""Not Found"")"),"pɪŋk")</f>
        <v>pɪŋk</v>
      </c>
      <c r="E784" s="2" t="str">
        <f>IFERROR(__xludf.DUMMYFUNCTION("IFERROR(VLOOKUP(A784, IMPORTRANGE(""https://docs.google.com/spreadsheets/d/1-3Vjw2Cyy-mry5gbC8ypIR3YVGFfEpyFESummAta6sg/edit"", ""Sheet1!B:D""), 3, FALSE), ""Not Found"")"),"p ɪ ŋ k ")</f>
        <v>p ɪ ŋ k </v>
      </c>
    </row>
    <row r="785">
      <c r="A785" s="1" t="s">
        <v>788</v>
      </c>
      <c r="B785" s="1" t="s">
        <v>5</v>
      </c>
      <c r="C785" s="2">
        <f>IFERROR(__xludf.DUMMYFUNCTION("IFERROR(VLOOKUP(A785, IMPORTRANGE(""https://docs.google.com/spreadsheets/d/1AVX9GT0dgogEBStecCXMMQ29tWz3gBrtNB8yIromXbY/edit?gid=741673867"", ""out1g!A:B""), 2, FALSE), 0)"),517.0)</f>
        <v>517</v>
      </c>
      <c r="D785" s="2" t="str">
        <f>IFERROR(__xludf.DUMMYFUNCTION("IFERROR(VLOOKUP(A785, IMPORTRANGE(""https://docs.google.com/spreadsheets/d/1-3Vjw2Cyy-mry5gbC8ypIR3YVGFfEpyFESummAta6sg/edit"", ""Sheet1!B:D""), 2, FALSE), ""Not Found"")"),"lik")</f>
        <v>lik</v>
      </c>
      <c r="E785" s="2" t="str">
        <f>IFERROR(__xludf.DUMMYFUNCTION("IFERROR(VLOOKUP(A785, IMPORTRANGE(""https://docs.google.com/spreadsheets/d/1-3Vjw2Cyy-mry5gbC8ypIR3YVGFfEpyFESummAta6sg/edit"", ""Sheet1!B:D""), 3, FALSE), ""Not Found"")"),"l i k ")</f>
        <v>l i k </v>
      </c>
    </row>
    <row r="786">
      <c r="A786" s="1" t="s">
        <v>789</v>
      </c>
      <c r="B786" s="1" t="s">
        <v>5</v>
      </c>
      <c r="C786" s="2">
        <f>IFERROR(__xludf.DUMMYFUNCTION("IFERROR(VLOOKUP(A786, IMPORTRANGE(""https://docs.google.com/spreadsheets/d/1AVX9GT0dgogEBStecCXMMQ29tWz3gBrtNB8yIromXbY/edit?gid=741673867"", ""out1g!A:B""), 2, FALSE), 0)"),3598.0)</f>
        <v>3598</v>
      </c>
      <c r="D786" s="2" t="str">
        <f>IFERROR(__xludf.DUMMYFUNCTION("IFERROR(VLOOKUP(A786, IMPORTRANGE(""https://docs.google.com/spreadsheets/d/1-3Vjw2Cyy-mry5gbC8ypIR3YVGFfEpyFESummAta6sg/edit"", ""Sheet1!B:D""), 2, FALSE), ""Not Found"")"),"pʊʃ")</f>
        <v>pʊʃ</v>
      </c>
      <c r="E786" s="2" t="str">
        <f>IFERROR(__xludf.DUMMYFUNCTION("IFERROR(VLOOKUP(A786, IMPORTRANGE(""https://docs.google.com/spreadsheets/d/1-3Vjw2Cyy-mry5gbC8ypIR3YVGFfEpyFESummAta6sg/edit"", ""Sheet1!B:D""), 3, FALSE), ""Not Found"")"),"p ʊ ʃ ")</f>
        <v>p ʊ ʃ </v>
      </c>
    </row>
    <row r="787">
      <c r="A787" s="1" t="s">
        <v>790</v>
      </c>
      <c r="B787" s="1" t="s">
        <v>5</v>
      </c>
      <c r="C787" s="2">
        <f>IFERROR(__xludf.DUMMYFUNCTION("IFERROR(VLOOKUP(A787, IMPORTRANGE(""https://docs.google.com/spreadsheets/d/1AVX9GT0dgogEBStecCXMMQ29tWz3gBrtNB8yIromXbY/edit?gid=741673867"", ""out1g!A:B""), 2, FALSE), 0)"),58.0)</f>
        <v>58</v>
      </c>
      <c r="D787" s="2" t="str">
        <f>IFERROR(__xludf.DUMMYFUNCTION("IFERROR(VLOOKUP(A787, IMPORTRANGE(""https://docs.google.com/spreadsheets/d/1-3Vjw2Cyy-mry5gbC8ypIR3YVGFfEpyFESummAta6sg/edit"", ""Sheet1!B:D""), 2, FALSE), ""Not Found"")"),"toʊtəld")</f>
        <v>toʊtəld</v>
      </c>
      <c r="E787" s="2" t="str">
        <f>IFERROR(__xludf.DUMMYFUNCTION("IFERROR(VLOOKUP(A787, IMPORTRANGE(""https://docs.google.com/spreadsheets/d/1-3Vjw2Cyy-mry5gbC8ypIR3YVGFfEpyFESummAta6sg/edit"", ""Sheet1!B:D""), 3, FALSE), ""Not Found"")"),"t o ʊ t ə l d ")</f>
        <v>t o ʊ t ə l d </v>
      </c>
    </row>
    <row r="788">
      <c r="A788" s="1" t="s">
        <v>791</v>
      </c>
      <c r="B788" s="1" t="s">
        <v>5</v>
      </c>
      <c r="C788" s="2">
        <f>IFERROR(__xludf.DUMMYFUNCTION("IFERROR(VLOOKUP(A788, IMPORTRANGE(""https://docs.google.com/spreadsheets/d/1AVX9GT0dgogEBStecCXMMQ29tWz3gBrtNB8yIromXbY/edit?gid=741673867"", ""out1g!A:B""), 2, FALSE), 0)"),73.0)</f>
        <v>73</v>
      </c>
      <c r="D788" s="2" t="str">
        <f>IFERROR(__xludf.DUMMYFUNCTION("IFERROR(VLOOKUP(A788, IMPORTRANGE(""https://docs.google.com/spreadsheets/d/1-3Vjw2Cyy-mry5gbC8ypIR3YVGFfEpyFESummAta6sg/edit"", ""Sheet1!B:D""), 2, FALSE), ""Not Found"")"),"kæmpər")</f>
        <v>kæmpər</v>
      </c>
      <c r="E788" s="2" t="str">
        <f>IFERROR(__xludf.DUMMYFUNCTION("IFERROR(VLOOKUP(A788, IMPORTRANGE(""https://docs.google.com/spreadsheets/d/1-3Vjw2Cyy-mry5gbC8ypIR3YVGFfEpyFESummAta6sg/edit"", ""Sheet1!B:D""), 3, FALSE), ""Not Found"")"),"k æ m p ə r ")</f>
        <v>k æ m p ə r </v>
      </c>
    </row>
    <row r="789">
      <c r="A789" s="1" t="s">
        <v>792</v>
      </c>
      <c r="B789" s="1" t="s">
        <v>5</v>
      </c>
      <c r="C789" s="2">
        <f>IFERROR(__xludf.DUMMYFUNCTION("IFERROR(VLOOKUP(A789, IMPORTRANGE(""https://docs.google.com/spreadsheets/d/1AVX9GT0dgogEBStecCXMMQ29tWz3gBrtNB8yIromXbY/edit?gid=741673867"", ""out1g!A:B""), 2, FALSE), 0)"),366.0)</f>
        <v>366</v>
      </c>
      <c r="D789" s="2" t="str">
        <f>IFERROR(__xludf.DUMMYFUNCTION("IFERROR(VLOOKUP(A789, IMPORTRANGE(""https://docs.google.com/spreadsheets/d/1-3Vjw2Cyy-mry5gbC8ypIR3YVGFfEpyFESummAta6sg/edit"", ""Sheet1!B:D""), 2, FALSE), ""Not Found"")"),"moʊ")</f>
        <v>moʊ</v>
      </c>
      <c r="E789" s="2" t="str">
        <f>IFERROR(__xludf.DUMMYFUNCTION("IFERROR(VLOOKUP(A789, IMPORTRANGE(""https://docs.google.com/spreadsheets/d/1-3Vjw2Cyy-mry5gbC8ypIR3YVGFfEpyFESummAta6sg/edit"", ""Sheet1!B:D""), 3, FALSE), ""Not Found"")"),"m o ʊ ")</f>
        <v>m o ʊ </v>
      </c>
    </row>
    <row r="790">
      <c r="A790" s="1" t="s">
        <v>793</v>
      </c>
      <c r="B790" s="1" t="s">
        <v>5</v>
      </c>
      <c r="C790" s="2">
        <f>IFERROR(__xludf.DUMMYFUNCTION("IFERROR(VLOOKUP(A790, IMPORTRANGE(""https://docs.google.com/spreadsheets/d/1AVX9GT0dgogEBStecCXMMQ29tWz3gBrtNB8yIromXbY/edit?gid=741673867"", ""out1g!A:B""), 2, FALSE), 0)"),30736.0)</f>
        <v>30736</v>
      </c>
      <c r="D790" s="2" t="str">
        <f>IFERROR(__xludf.DUMMYFUNCTION("IFERROR(VLOOKUP(A790, IMPORTRANGE(""https://docs.google.com/spreadsheets/d/1-3Vjw2Cyy-mry5gbC8ypIR3YVGFfEpyFESummAta6sg/edit"", ""Sheet1!B:D""), 2, FALSE), ""Not Found"")"),"ples")</f>
        <v>ples</v>
      </c>
      <c r="E790" s="2" t="str">
        <f>IFERROR(__xludf.DUMMYFUNCTION("IFERROR(VLOOKUP(A790, IMPORTRANGE(""https://docs.google.com/spreadsheets/d/1-3Vjw2Cyy-mry5gbC8ypIR3YVGFfEpyFESummAta6sg/edit"", ""Sheet1!B:D""), 3, FALSE), ""Not Found"")"),"p l e s ")</f>
        <v>p l e s </v>
      </c>
    </row>
    <row r="791">
      <c r="A791" s="1" t="s">
        <v>794</v>
      </c>
      <c r="B791" s="1" t="s">
        <v>5</v>
      </c>
      <c r="C791" s="2">
        <f>IFERROR(__xludf.DUMMYFUNCTION("IFERROR(VLOOKUP(A791, IMPORTRANGE(""https://docs.google.com/spreadsheets/d/1AVX9GT0dgogEBStecCXMMQ29tWz3gBrtNB8yIromXbY/edit?gid=741673867"", ""out1g!A:B""), 2, FALSE), 0)"),433.0)</f>
        <v>433</v>
      </c>
      <c r="D791" s="2" t="str">
        <f>IFERROR(__xludf.DUMMYFUNCTION("IFERROR(VLOOKUP(A791, IMPORTRANGE(""https://docs.google.com/spreadsheets/d/1-3Vjw2Cyy-mry5gbC8ypIR3YVGFfEpyFESummAta6sg/edit"", ""Sheet1!B:D""), 2, FALSE), ""Not Found"")"),"roʊb")</f>
        <v>roʊb</v>
      </c>
      <c r="E791" s="2" t="str">
        <f>IFERROR(__xludf.DUMMYFUNCTION("IFERROR(VLOOKUP(A791, IMPORTRANGE(""https://docs.google.com/spreadsheets/d/1-3Vjw2Cyy-mry5gbC8ypIR3YVGFfEpyFESummAta6sg/edit"", ""Sheet1!B:D""), 3, FALSE), ""Not Found"")"),"r o ʊ b ")</f>
        <v>r o ʊ b </v>
      </c>
    </row>
    <row r="792">
      <c r="A792" s="1" t="s">
        <v>795</v>
      </c>
      <c r="B792" s="1" t="s">
        <v>5</v>
      </c>
      <c r="C792" s="2">
        <f>IFERROR(__xludf.DUMMYFUNCTION("IFERROR(VLOOKUP(A792, IMPORTRANGE(""https://docs.google.com/spreadsheets/d/1AVX9GT0dgogEBStecCXMMQ29tWz3gBrtNB8yIromXbY/edit?gid=741673867"", ""out1g!A:B""), 2, FALSE), 0)"),78.0)</f>
        <v>78</v>
      </c>
      <c r="D792" s="2" t="str">
        <f>IFERROR(__xludf.DUMMYFUNCTION("IFERROR(VLOOKUP(A792, IMPORTRANGE(""https://docs.google.com/spreadsheets/d/1-3Vjw2Cyy-mry5gbC8ypIR3YVGFfEpyFESummAta6sg/edit"", ""Sheet1!B:D""), 2, FALSE), ""Not Found"")"),"pæsʧər")</f>
        <v>pæsʧər</v>
      </c>
      <c r="E792" s="2" t="str">
        <f>IFERROR(__xludf.DUMMYFUNCTION("IFERROR(VLOOKUP(A792, IMPORTRANGE(""https://docs.google.com/spreadsheets/d/1-3Vjw2Cyy-mry5gbC8ypIR3YVGFfEpyFESummAta6sg/edit"", ""Sheet1!B:D""), 3, FALSE), ""Not Found"")"),"p æ s ʧ ə r ")</f>
        <v>p æ s ʧ ə r </v>
      </c>
    </row>
    <row r="793">
      <c r="A793" s="1" t="s">
        <v>796</v>
      </c>
      <c r="B793" s="1" t="s">
        <v>5</v>
      </c>
      <c r="C793" s="2">
        <f>IFERROR(__xludf.DUMMYFUNCTION("IFERROR(VLOOKUP(A793, IMPORTRANGE(""https://docs.google.com/spreadsheets/d/1AVX9GT0dgogEBStecCXMMQ29tWz3gBrtNB8yIromXbY/edit?gid=741673867"", ""out1g!A:B""), 2, FALSE), 0)"),120.0)</f>
        <v>120</v>
      </c>
      <c r="D793" s="2" t="str">
        <f>IFERROR(__xludf.DUMMYFUNCTION("IFERROR(VLOOKUP(A793, IMPORTRANGE(""https://docs.google.com/spreadsheets/d/1-3Vjw2Cyy-mry5gbC8ypIR3YVGFfEpyFESummAta6sg/edit"", ""Sheet1!B:D""), 2, FALSE), ""Not Found"")"),"gunz")</f>
        <v>gunz</v>
      </c>
      <c r="E793" s="2" t="str">
        <f>IFERROR(__xludf.DUMMYFUNCTION("IFERROR(VLOOKUP(A793, IMPORTRANGE(""https://docs.google.com/spreadsheets/d/1-3Vjw2Cyy-mry5gbC8ypIR3YVGFfEpyFESummAta6sg/edit"", ""Sheet1!B:D""), 3, FALSE), ""Not Found"")"),"g u n z ")</f>
        <v>g u n z </v>
      </c>
    </row>
    <row r="794">
      <c r="A794" s="1" t="s">
        <v>797</v>
      </c>
      <c r="B794" s="1" t="s">
        <v>5</v>
      </c>
      <c r="C794" s="2">
        <f>IFERROR(__xludf.DUMMYFUNCTION("IFERROR(VLOOKUP(A794, IMPORTRANGE(""https://docs.google.com/spreadsheets/d/1AVX9GT0dgogEBStecCXMMQ29tWz3gBrtNB8yIromXbY/edit?gid=741673867"", ""out1g!A:B""), 2, FALSE), 0)"),342.0)</f>
        <v>342</v>
      </c>
      <c r="D794" s="2" t="str">
        <f>IFERROR(__xludf.DUMMYFUNCTION("IFERROR(VLOOKUP(A794, IMPORTRANGE(""https://docs.google.com/spreadsheets/d/1-3Vjw2Cyy-mry5gbC8ypIR3YVGFfEpyFESummAta6sg/edit"", ""Sheet1!B:D""), 2, FALSE), ""Not Found"")"),"petən")</f>
        <v>petən</v>
      </c>
      <c r="E794" s="2" t="str">
        <f>IFERROR(__xludf.DUMMYFUNCTION("IFERROR(VLOOKUP(A794, IMPORTRANGE(""https://docs.google.com/spreadsheets/d/1-3Vjw2Cyy-mry5gbC8ypIR3YVGFfEpyFESummAta6sg/edit"", ""Sheet1!B:D""), 3, FALSE), ""Not Found"")"),"p e t ə n ")</f>
        <v>p e t ə n </v>
      </c>
    </row>
    <row r="795">
      <c r="A795" s="1" t="s">
        <v>798</v>
      </c>
      <c r="B795" s="1" t="s">
        <v>5</v>
      </c>
      <c r="C795" s="2">
        <f>IFERROR(__xludf.DUMMYFUNCTION("IFERROR(VLOOKUP(A795, IMPORTRANGE(""https://docs.google.com/spreadsheets/d/1AVX9GT0dgogEBStecCXMMQ29tWz3gBrtNB8yIromXbY/edit?gid=741673867"", ""out1g!A:B""), 2, FALSE), 0)"),17.0)</f>
        <v>17</v>
      </c>
      <c r="D795" s="2" t="str">
        <f>IFERROR(__xludf.DUMMYFUNCTION("IFERROR(VLOOKUP(A795, IMPORTRANGE(""https://docs.google.com/spreadsheets/d/1-3Vjw2Cyy-mry5gbC8ypIR3YVGFfEpyFESummAta6sg/edit"", ""Sheet1!B:D""), 2, FALSE), ""Not Found"")"),"lezər")</f>
        <v>lezər</v>
      </c>
      <c r="E795" s="2" t="str">
        <f>IFERROR(__xludf.DUMMYFUNCTION("IFERROR(VLOOKUP(A795, IMPORTRANGE(""https://docs.google.com/spreadsheets/d/1-3Vjw2Cyy-mry5gbC8ypIR3YVGFfEpyFESummAta6sg/edit"", ""Sheet1!B:D""), 3, FALSE), ""Not Found"")"),"l e z ə r ")</f>
        <v>l e z ə r </v>
      </c>
    </row>
    <row r="796">
      <c r="A796" s="1" t="s">
        <v>799</v>
      </c>
      <c r="B796" s="1" t="s">
        <v>5</v>
      </c>
      <c r="C796" s="2">
        <f>IFERROR(__xludf.DUMMYFUNCTION("IFERROR(VLOOKUP(A796, IMPORTRANGE(""https://docs.google.com/spreadsheets/d/1AVX9GT0dgogEBStecCXMMQ29tWz3gBrtNB8yIromXbY/edit?gid=741673867"", ""out1g!A:B""), 2, FALSE), 0)"),3579.0)</f>
        <v>3579</v>
      </c>
      <c r="D796" s="2" t="str">
        <f>IFERROR(__xludf.DUMMYFUNCTION("IFERROR(VLOOKUP(A796, IMPORTRANGE(""https://docs.google.com/spreadsheets/d/1-3Vjw2Cyy-mry5gbC8ypIR3YVGFfEpyFESummAta6sg/edit"", ""Sheet1!B:D""), 2, FALSE), ""Not Found"")"),"ɑr")</f>
        <v>ɑr</v>
      </c>
      <c r="E796" s="2" t="str">
        <f>IFERROR(__xludf.DUMMYFUNCTION("IFERROR(VLOOKUP(A796, IMPORTRANGE(""https://docs.google.com/spreadsheets/d/1-3Vjw2Cyy-mry5gbC8ypIR3YVGFfEpyFESummAta6sg/edit"", ""Sheet1!B:D""), 3, FALSE), ""Not Found"")"),"ɑ r ")</f>
        <v>ɑ r </v>
      </c>
    </row>
    <row r="797">
      <c r="A797" s="1" t="s">
        <v>800</v>
      </c>
      <c r="B797" s="1" t="s">
        <v>5</v>
      </c>
      <c r="C797" s="2">
        <f>IFERROR(__xludf.DUMMYFUNCTION("IFERROR(VLOOKUP(A797, IMPORTRANGE(""https://docs.google.com/spreadsheets/d/1AVX9GT0dgogEBStecCXMMQ29tWz3gBrtNB8yIromXbY/edit?gid=741673867"", ""out1g!A:B""), 2, FALSE), 0)"),2179.0)</f>
        <v>2179</v>
      </c>
      <c r="D797" s="2" t="str">
        <f>IFERROR(__xludf.DUMMYFUNCTION("IFERROR(VLOOKUP(A797, IMPORTRANGE(""https://docs.google.com/spreadsheets/d/1-3Vjw2Cyy-mry5gbC8ypIR3YVGFfEpyFESummAta6sg/edit"", ""Sheet1!B:D""), 2, FALSE), ""Not Found"")"),"men")</f>
        <v>men</v>
      </c>
      <c r="E797" s="2" t="str">
        <f>IFERROR(__xludf.DUMMYFUNCTION("IFERROR(VLOOKUP(A797, IMPORTRANGE(""https://docs.google.com/spreadsheets/d/1-3Vjw2Cyy-mry5gbC8ypIR3YVGFfEpyFESummAta6sg/edit"", ""Sheet1!B:D""), 3, FALSE), ""Not Found"")"),"m e n ")</f>
        <v>m e n </v>
      </c>
    </row>
    <row r="798">
      <c r="A798" s="1" t="s">
        <v>801</v>
      </c>
      <c r="B798" s="1" t="s">
        <v>5</v>
      </c>
      <c r="C798" s="2">
        <f>IFERROR(__xludf.DUMMYFUNCTION("IFERROR(VLOOKUP(A798, IMPORTRANGE(""https://docs.google.com/spreadsheets/d/1AVX9GT0dgogEBStecCXMMQ29tWz3gBrtNB8yIromXbY/edit?gid=741673867"", ""out1g!A:B""), 2, FALSE), 0)"),70.0)</f>
        <v>70</v>
      </c>
      <c r="D798" s="2" t="str">
        <f>IFERROR(__xludf.DUMMYFUNCTION("IFERROR(VLOOKUP(A798, IMPORTRANGE(""https://docs.google.com/spreadsheets/d/1-3Vjw2Cyy-mry5gbC8ypIR3YVGFfEpyFESummAta6sg/edit"", ""Sheet1!B:D""), 2, FALSE), ""Not Found"")"),"bæntər")</f>
        <v>bæntər</v>
      </c>
      <c r="E798" s="2" t="str">
        <f>IFERROR(__xludf.DUMMYFUNCTION("IFERROR(VLOOKUP(A798, IMPORTRANGE(""https://docs.google.com/spreadsheets/d/1-3Vjw2Cyy-mry5gbC8ypIR3YVGFfEpyFESummAta6sg/edit"", ""Sheet1!B:D""), 3, FALSE), ""Not Found"")"),"b æ n t ə r ")</f>
        <v>b æ n t ə r </v>
      </c>
    </row>
    <row r="799">
      <c r="A799" s="1" t="s">
        <v>802</v>
      </c>
      <c r="B799" s="1" t="s">
        <v>5</v>
      </c>
      <c r="C799" s="2">
        <f>IFERROR(__xludf.DUMMYFUNCTION("IFERROR(VLOOKUP(A799, IMPORTRANGE(""https://docs.google.com/spreadsheets/d/1AVX9GT0dgogEBStecCXMMQ29tWz3gBrtNB8yIromXbY/edit?gid=741673867"", ""out1g!A:B""), 2, FALSE), 0)"),759.0)</f>
        <v>759</v>
      </c>
      <c r="D799" s="2" t="str">
        <f>IFERROR(__xludf.DUMMYFUNCTION("IFERROR(VLOOKUP(A799, IMPORTRANGE(""https://docs.google.com/spreadsheets/d/1-3Vjw2Cyy-mry5gbC8ypIR3YVGFfEpyFESummAta6sg/edit"", ""Sheet1!B:D""), 2, FALSE), ""Not Found"")"),"nɑkɪŋ")</f>
        <v>nɑkɪŋ</v>
      </c>
      <c r="E799" s="2" t="str">
        <f>IFERROR(__xludf.DUMMYFUNCTION("IFERROR(VLOOKUP(A799, IMPORTRANGE(""https://docs.google.com/spreadsheets/d/1-3Vjw2Cyy-mry5gbC8ypIR3YVGFfEpyFESummAta6sg/edit"", ""Sheet1!B:D""), 3, FALSE), ""Not Found"")"),"n ɑ k ɪ ŋ ")</f>
        <v>n ɑ k ɪ ŋ </v>
      </c>
    </row>
    <row r="800">
      <c r="A800" s="1" t="s">
        <v>803</v>
      </c>
      <c r="B800" s="1" t="s">
        <v>5</v>
      </c>
      <c r="C800" s="2">
        <f>IFERROR(__xludf.DUMMYFUNCTION("IFERROR(VLOOKUP(A800, IMPORTRANGE(""https://docs.google.com/spreadsheets/d/1AVX9GT0dgogEBStecCXMMQ29tWz3gBrtNB8yIromXbY/edit?gid=741673867"", ""out1g!A:B""), 2, FALSE), 0)"),46.0)</f>
        <v>46</v>
      </c>
      <c r="D800" s="2" t="str">
        <f>IFERROR(__xludf.DUMMYFUNCTION("IFERROR(VLOOKUP(A800, IMPORTRANGE(""https://docs.google.com/spreadsheets/d/1-3Vjw2Cyy-mry5gbC8ypIR3YVGFfEpyFESummAta6sg/edit"", ""Sheet1!B:D""), 2, FALSE), ""Not Found"")"),"pæli")</f>
        <v>pæli</v>
      </c>
      <c r="E800" s="2" t="str">
        <f>IFERROR(__xludf.DUMMYFUNCTION("IFERROR(VLOOKUP(A800, IMPORTRANGE(""https://docs.google.com/spreadsheets/d/1-3Vjw2Cyy-mry5gbC8ypIR3YVGFfEpyFESummAta6sg/edit"", ""Sheet1!B:D""), 3, FALSE), ""Not Found"")"),"p æ l i ")</f>
        <v>p æ l i </v>
      </c>
    </row>
    <row r="801">
      <c r="A801" s="1" t="s">
        <v>804</v>
      </c>
      <c r="B801" s="1" t="s">
        <v>5</v>
      </c>
      <c r="C801" s="2">
        <f>IFERROR(__xludf.DUMMYFUNCTION("IFERROR(VLOOKUP(A801, IMPORTRANGE(""https://docs.google.com/spreadsheets/d/1AVX9GT0dgogEBStecCXMMQ29tWz3gBrtNB8yIromXbY/edit?gid=741673867"", ""out1g!A:B""), 2, FALSE), 0)"),121.0)</f>
        <v>121</v>
      </c>
      <c r="D801" s="2" t="str">
        <f>IFERROR(__xludf.DUMMYFUNCTION("IFERROR(VLOOKUP(A801, IMPORTRANGE(""https://docs.google.com/spreadsheets/d/1-3Vjw2Cyy-mry5gbC8ypIR3YVGFfEpyFESummAta6sg/edit"", ""Sheet1!B:D""), 2, FALSE), ""Not Found"")"),"swɑb")</f>
        <v>swɑb</v>
      </c>
      <c r="E801" s="2" t="str">
        <f>IFERROR(__xludf.DUMMYFUNCTION("IFERROR(VLOOKUP(A801, IMPORTRANGE(""https://docs.google.com/spreadsheets/d/1-3Vjw2Cyy-mry5gbC8ypIR3YVGFfEpyFESummAta6sg/edit"", ""Sheet1!B:D""), 3, FALSE), ""Not Found"")"),"s w ɑ b ")</f>
        <v>s w ɑ b </v>
      </c>
    </row>
    <row r="802">
      <c r="A802" s="1" t="s">
        <v>805</v>
      </c>
      <c r="B802" s="1" t="s">
        <v>5</v>
      </c>
      <c r="C802" s="2">
        <f>IFERROR(__xludf.DUMMYFUNCTION("IFERROR(VLOOKUP(A802, IMPORTRANGE(""https://docs.google.com/spreadsheets/d/1AVX9GT0dgogEBStecCXMMQ29tWz3gBrtNB8yIromXbY/edit?gid=741673867"", ""out1g!A:B""), 2, FALSE), 0)"),90.0)</f>
        <v>90</v>
      </c>
      <c r="D802" s="2" t="str">
        <f>IFERROR(__xludf.DUMMYFUNCTION("IFERROR(VLOOKUP(A802, IMPORTRANGE(""https://docs.google.com/spreadsheets/d/1-3Vjw2Cyy-mry5gbC8ypIR3YVGFfEpyFESummAta6sg/edit"", ""Sheet1!B:D""), 2, FALSE), ""Not Found"")"),"kepər")</f>
        <v>kepər</v>
      </c>
      <c r="E802" s="2" t="str">
        <f>IFERROR(__xludf.DUMMYFUNCTION("IFERROR(VLOOKUP(A802, IMPORTRANGE(""https://docs.google.com/spreadsheets/d/1-3Vjw2Cyy-mry5gbC8ypIR3YVGFfEpyFESummAta6sg/edit"", ""Sheet1!B:D""), 3, FALSE), ""Not Found"")"),"k e p ə r ")</f>
        <v>k e p ə r </v>
      </c>
    </row>
    <row r="803">
      <c r="A803" s="1" t="s">
        <v>806</v>
      </c>
      <c r="B803" s="1" t="s">
        <v>5</v>
      </c>
      <c r="C803" s="2">
        <f>IFERROR(__xludf.DUMMYFUNCTION("IFERROR(VLOOKUP(A803, IMPORTRANGE(""https://docs.google.com/spreadsheets/d/1AVX9GT0dgogEBStecCXMMQ29tWz3gBrtNB8yIromXbY/edit?gid=741673867"", ""out1g!A:B""), 2, FALSE), 0)"),34.0)</f>
        <v>34</v>
      </c>
      <c r="D803" s="2" t="str">
        <f>IFERROR(__xludf.DUMMYFUNCTION("IFERROR(VLOOKUP(A803, IMPORTRANGE(""https://docs.google.com/spreadsheets/d/1-3Vjw2Cyy-mry5gbC8ypIR3YVGFfEpyFESummAta6sg/edit"", ""Sheet1!B:D""), 2, FALSE), ""Not Found"")"),"dɪz")</f>
        <v>dɪz</v>
      </c>
      <c r="E803" s="2" t="str">
        <f>IFERROR(__xludf.DUMMYFUNCTION("IFERROR(VLOOKUP(A803, IMPORTRANGE(""https://docs.google.com/spreadsheets/d/1-3Vjw2Cyy-mry5gbC8ypIR3YVGFfEpyFESummAta6sg/edit"", ""Sheet1!B:D""), 3, FALSE), ""Not Found"")"),"d ɪ z ")</f>
        <v>d ɪ z </v>
      </c>
    </row>
    <row r="804">
      <c r="A804" s="1" t="s">
        <v>807</v>
      </c>
      <c r="B804" s="1" t="s">
        <v>5</v>
      </c>
      <c r="C804" s="2">
        <f>IFERROR(__xludf.DUMMYFUNCTION("IFERROR(VLOOKUP(A804, IMPORTRANGE(""https://docs.google.com/spreadsheets/d/1AVX9GT0dgogEBStecCXMMQ29tWz3gBrtNB8yIromXbY/edit?gid=741673867"", ""out1g!A:B""), 2, FALSE), 0)"),382.0)</f>
        <v>382</v>
      </c>
      <c r="D804" s="2" t="str">
        <f>IFERROR(__xludf.DUMMYFUNCTION("IFERROR(VLOOKUP(A804, IMPORTRANGE(""https://docs.google.com/spreadsheets/d/1-3Vjw2Cyy-mry5gbC8ypIR3YVGFfEpyFESummAta6sg/edit"", ""Sheet1!B:D""), 2, FALSE), ""Not Found"")"),"rəm")</f>
        <v>rəm</v>
      </c>
      <c r="E804" s="2" t="str">
        <f>IFERROR(__xludf.DUMMYFUNCTION("IFERROR(VLOOKUP(A804, IMPORTRANGE(""https://docs.google.com/spreadsheets/d/1-3Vjw2Cyy-mry5gbC8ypIR3YVGFfEpyFESummAta6sg/edit"", ""Sheet1!B:D""), 3, FALSE), ""Not Found"")"),"r ə m ")</f>
        <v>r ə m </v>
      </c>
    </row>
    <row r="805">
      <c r="A805" s="1" t="s">
        <v>808</v>
      </c>
      <c r="B805" s="1" t="s">
        <v>5</v>
      </c>
      <c r="C805" s="2">
        <f>IFERROR(__xludf.DUMMYFUNCTION("IFERROR(VLOOKUP(A805, IMPORTRANGE(""https://docs.google.com/spreadsheets/d/1AVX9GT0dgogEBStecCXMMQ29tWz3gBrtNB8yIromXbY/edit?gid=741673867"", ""out1g!A:B""), 2, FALSE), 0)"),65.0)</f>
        <v>65</v>
      </c>
      <c r="D805" s="2" t="str">
        <f>IFERROR(__xludf.DUMMYFUNCTION("IFERROR(VLOOKUP(A805, IMPORTRANGE(""https://docs.google.com/spreadsheets/d/1-3Vjw2Cyy-mry5gbC8ypIR3YVGFfEpyFESummAta6sg/edit"", ""Sheet1!B:D""), 2, FALSE), ""Not Found"")"),"moʊpɪŋ")</f>
        <v>moʊpɪŋ</v>
      </c>
      <c r="E805" s="2" t="str">
        <f>IFERROR(__xludf.DUMMYFUNCTION("IFERROR(VLOOKUP(A805, IMPORTRANGE(""https://docs.google.com/spreadsheets/d/1-3Vjw2Cyy-mry5gbC8ypIR3YVGFfEpyFESummAta6sg/edit"", ""Sheet1!B:D""), 3, FALSE), ""Not Found"")"),"m o ʊ p ɪ ŋ ")</f>
        <v>m o ʊ p ɪ ŋ </v>
      </c>
    </row>
    <row r="806">
      <c r="A806" s="1" t="s">
        <v>809</v>
      </c>
      <c r="B806" s="1" t="s">
        <v>5</v>
      </c>
      <c r="C806" s="2">
        <f>IFERROR(__xludf.DUMMYFUNCTION("IFERROR(VLOOKUP(A806, IMPORTRANGE(""https://docs.google.com/spreadsheets/d/1AVX9GT0dgogEBStecCXMMQ29tWz3gBrtNB8yIromXbY/edit?gid=741673867"", ""out1g!A:B""), 2, FALSE), 0)"),6237.0)</f>
        <v>6237</v>
      </c>
      <c r="D806" s="2" t="str">
        <f>IFERROR(__xludf.DUMMYFUNCTION("IFERROR(VLOOKUP(A806, IMPORTRANGE(""https://docs.google.com/spreadsheets/d/1-3Vjw2Cyy-mry5gbC8ypIR3YVGFfEpyFESummAta6sg/edit"", ""Sheet1!B:D""), 2, FALSE), ""Not Found"")"),"wɛrən")</f>
        <v>wɛrən</v>
      </c>
      <c r="E806" s="2" t="str">
        <f>IFERROR(__xludf.DUMMYFUNCTION("IFERROR(VLOOKUP(A806, IMPORTRANGE(""https://docs.google.com/spreadsheets/d/1-3Vjw2Cyy-mry5gbC8ypIR3YVGFfEpyFESummAta6sg/edit"", ""Sheet1!B:D""), 3, FALSE), ""Not Found"")"),"w ɛ r ə n ")</f>
        <v>w ɛ r ə n </v>
      </c>
    </row>
    <row r="807">
      <c r="A807" s="1" t="s">
        <v>810</v>
      </c>
      <c r="B807" s="1" t="s">
        <v>5</v>
      </c>
      <c r="C807" s="2">
        <f>IFERROR(__xludf.DUMMYFUNCTION("IFERROR(VLOOKUP(A807, IMPORTRANGE(""https://docs.google.com/spreadsheets/d/1AVX9GT0dgogEBStecCXMMQ29tWz3gBrtNB8yIromXbY/edit?gid=741673867"", ""out1g!A:B""), 2, FALSE), 0)"),49.0)</f>
        <v>49</v>
      </c>
      <c r="D807" s="2" t="str">
        <f>IFERROR(__xludf.DUMMYFUNCTION("IFERROR(VLOOKUP(A807, IMPORTRANGE(""https://docs.google.com/spreadsheets/d/1-3Vjw2Cyy-mry5gbC8ypIR3YVGFfEpyFESummAta6sg/edit"", ""Sheet1!B:D""), 2, FALSE), ""Not Found"")"),"rifər")</f>
        <v>rifər</v>
      </c>
      <c r="E807" s="2" t="str">
        <f>IFERROR(__xludf.DUMMYFUNCTION("IFERROR(VLOOKUP(A807, IMPORTRANGE(""https://docs.google.com/spreadsheets/d/1-3Vjw2Cyy-mry5gbC8ypIR3YVGFfEpyFESummAta6sg/edit"", ""Sheet1!B:D""), 3, FALSE), ""Not Found"")"),"r i f ə r ")</f>
        <v>r i f ə r </v>
      </c>
    </row>
    <row r="808">
      <c r="A808" s="1" t="s">
        <v>811</v>
      </c>
      <c r="B808" s="1" t="s">
        <v>5</v>
      </c>
      <c r="C808" s="2">
        <f>IFERROR(__xludf.DUMMYFUNCTION("IFERROR(VLOOKUP(A808, IMPORTRANGE(""https://docs.google.com/spreadsheets/d/1AVX9GT0dgogEBStecCXMMQ29tWz3gBrtNB8yIromXbY/edit?gid=741673867"", ""out1g!A:B""), 2, FALSE), 0)"),80.0)</f>
        <v>80</v>
      </c>
      <c r="D808" s="2" t="str">
        <f>IFERROR(__xludf.DUMMYFUNCTION("IFERROR(VLOOKUP(A808, IMPORTRANGE(""https://docs.google.com/spreadsheets/d/1-3Vjw2Cyy-mry5gbC8ypIR3YVGFfEpyFESummAta6sg/edit"", ""Sheet1!B:D""), 2, FALSE), ""Not Found"")"),"drimi")</f>
        <v>drimi</v>
      </c>
      <c r="E808" s="2" t="str">
        <f>IFERROR(__xludf.DUMMYFUNCTION("IFERROR(VLOOKUP(A808, IMPORTRANGE(""https://docs.google.com/spreadsheets/d/1-3Vjw2Cyy-mry5gbC8ypIR3YVGFfEpyFESummAta6sg/edit"", ""Sheet1!B:D""), 3, FALSE), ""Not Found"")"),"d r i m i ")</f>
        <v>d r i m i </v>
      </c>
    </row>
    <row r="809">
      <c r="A809" s="1" t="s">
        <v>812</v>
      </c>
      <c r="B809" s="1" t="s">
        <v>5</v>
      </c>
      <c r="C809" s="2">
        <f>IFERROR(__xludf.DUMMYFUNCTION("IFERROR(VLOOKUP(A809, IMPORTRANGE(""https://docs.google.com/spreadsheets/d/1AVX9GT0dgogEBStecCXMMQ29tWz3gBrtNB8yIromXbY/edit?gid=741673867"", ""out1g!A:B""), 2, FALSE), 0)"),49.0)</f>
        <v>49</v>
      </c>
      <c r="D809" s="2" t="str">
        <f>IFERROR(__xludf.DUMMYFUNCTION("IFERROR(VLOOKUP(A809, IMPORTRANGE(""https://docs.google.com/spreadsheets/d/1-3Vjw2Cyy-mry5gbC8ypIR3YVGFfEpyFESummAta6sg/edit"", ""Sheet1!B:D""), 2, FALSE), ""Not Found"")"),"rɛge")</f>
        <v>rɛge</v>
      </c>
      <c r="E809" s="2" t="str">
        <f>IFERROR(__xludf.DUMMYFUNCTION("IFERROR(VLOOKUP(A809, IMPORTRANGE(""https://docs.google.com/spreadsheets/d/1-3Vjw2Cyy-mry5gbC8ypIR3YVGFfEpyFESummAta6sg/edit"", ""Sheet1!B:D""), 3, FALSE), ""Not Found"")"),"r ɛ g e ")</f>
        <v>r ɛ g e </v>
      </c>
    </row>
    <row r="810">
      <c r="A810" s="1" t="s">
        <v>813</v>
      </c>
      <c r="B810" s="1" t="s">
        <v>5</v>
      </c>
      <c r="C810" s="2">
        <f>IFERROR(__xludf.DUMMYFUNCTION("IFERROR(VLOOKUP(A810, IMPORTRANGE(""https://docs.google.com/spreadsheets/d/1AVX9GT0dgogEBStecCXMMQ29tWz3gBrtNB8yIromXbY/edit?gid=741673867"", ""out1g!A:B""), 2, FALSE), 0)"),53.0)</f>
        <v>53</v>
      </c>
      <c r="D810" s="2" t="str">
        <f>IFERROR(__xludf.DUMMYFUNCTION("IFERROR(VLOOKUP(A810, IMPORTRANGE(""https://docs.google.com/spreadsheets/d/1-3Vjw2Cyy-mry5gbC8ypIR3YVGFfEpyFESummAta6sg/edit"", ""Sheet1!B:D""), 2, FALSE), ""Not Found"")"),"drep")</f>
        <v>drep</v>
      </c>
      <c r="E810" s="2" t="str">
        <f>IFERROR(__xludf.DUMMYFUNCTION("IFERROR(VLOOKUP(A810, IMPORTRANGE(""https://docs.google.com/spreadsheets/d/1-3Vjw2Cyy-mry5gbC8ypIR3YVGFfEpyFESummAta6sg/edit"", ""Sheet1!B:D""), 3, FALSE), ""Not Found"")"),"d r e p ")</f>
        <v>d r e p </v>
      </c>
    </row>
    <row r="811">
      <c r="A811" s="1" t="s">
        <v>814</v>
      </c>
      <c r="B811" s="1" t="s">
        <v>5</v>
      </c>
      <c r="C811" s="2">
        <f>IFERROR(__xludf.DUMMYFUNCTION("IFERROR(VLOOKUP(A811, IMPORTRANGE(""https://docs.google.com/spreadsheets/d/1AVX9GT0dgogEBStecCXMMQ29tWz3gBrtNB8yIromXbY/edit?gid=741673867"", ""out1g!A:B""), 2, FALSE), 0)"),16.0)</f>
        <v>16</v>
      </c>
      <c r="D811" s="2" t="str">
        <f>IFERROR(__xludf.DUMMYFUNCTION("IFERROR(VLOOKUP(A811, IMPORTRANGE(""https://docs.google.com/spreadsheets/d/1-3Vjw2Cyy-mry5gbC8ypIR3YVGFfEpyFESummAta6sg/edit"", ""Sheet1!B:D""), 2, FALSE), ""Not Found"")"),"ʤaʊlz")</f>
        <v>ʤaʊlz</v>
      </c>
      <c r="E811" s="2" t="str">
        <f>IFERROR(__xludf.DUMMYFUNCTION("IFERROR(VLOOKUP(A811, IMPORTRANGE(""https://docs.google.com/spreadsheets/d/1-3Vjw2Cyy-mry5gbC8ypIR3YVGFfEpyFESummAta6sg/edit"", ""Sheet1!B:D""), 3, FALSE), ""Not Found"")"),"ʤ a ʊ l z ")</f>
        <v>ʤ a ʊ l z </v>
      </c>
    </row>
    <row r="812">
      <c r="A812" s="1" t="s">
        <v>815</v>
      </c>
      <c r="B812" s="1" t="s">
        <v>5</v>
      </c>
      <c r="C812" s="2">
        <f>IFERROR(__xludf.DUMMYFUNCTION("IFERROR(VLOOKUP(A812, IMPORTRANGE(""https://docs.google.com/spreadsheets/d/1AVX9GT0dgogEBStecCXMMQ29tWz3gBrtNB8yIromXbY/edit?gid=741673867"", ""out1g!A:B""), 2, FALSE), 0)"),11545.0)</f>
        <v>11545</v>
      </c>
      <c r="D812" s="2" t="str">
        <f>IFERROR(__xludf.DUMMYFUNCTION("IFERROR(VLOOKUP(A812, IMPORTRANGE(""https://docs.google.com/spreadsheets/d/1-3Vjw2Cyy-mry5gbC8ypIR3YVGFfEpyFESummAta6sg/edit"", ""Sheet1!B:D""), 2, FALSE), ""Not Found"")"),"æs")</f>
        <v>æs</v>
      </c>
      <c r="E812" s="2" t="str">
        <f>IFERROR(__xludf.DUMMYFUNCTION("IFERROR(VLOOKUP(A812, IMPORTRANGE(""https://docs.google.com/spreadsheets/d/1-3Vjw2Cyy-mry5gbC8ypIR3YVGFfEpyFESummAta6sg/edit"", ""Sheet1!B:D""), 3, FALSE), ""Not Found"")"),"æ s ")</f>
        <v>æ s </v>
      </c>
    </row>
    <row r="813">
      <c r="A813" s="1" t="s">
        <v>816</v>
      </c>
      <c r="B813" s="1" t="s">
        <v>5</v>
      </c>
      <c r="C813" s="2">
        <f>IFERROR(__xludf.DUMMYFUNCTION("IFERROR(VLOOKUP(A813, IMPORTRANGE(""https://docs.google.com/spreadsheets/d/1AVX9GT0dgogEBStecCXMMQ29tWz3gBrtNB8yIromXbY/edit?gid=741673867"", ""out1g!A:B""), 2, FALSE), 0)"),932.0)</f>
        <v>932</v>
      </c>
      <c r="D813" s="2" t="str">
        <f>IFERROR(__xludf.DUMMYFUNCTION("IFERROR(VLOOKUP(A813, IMPORTRANGE(""https://docs.google.com/spreadsheets/d/1-3Vjw2Cyy-mry5gbC8ypIR3YVGFfEpyFESummAta6sg/edit"", ""Sheet1!B:D""), 2, FALSE), ""Not Found"")"),"smuð")</f>
        <v>smuð</v>
      </c>
      <c r="E813" s="2" t="str">
        <f>IFERROR(__xludf.DUMMYFUNCTION("IFERROR(VLOOKUP(A813, IMPORTRANGE(""https://docs.google.com/spreadsheets/d/1-3Vjw2Cyy-mry5gbC8ypIR3YVGFfEpyFESummAta6sg/edit"", ""Sheet1!B:D""), 3, FALSE), ""Not Found"")"),"s m u ð ")</f>
        <v>s m u ð </v>
      </c>
    </row>
    <row r="814">
      <c r="A814" s="1" t="s">
        <v>817</v>
      </c>
      <c r="B814" s="1" t="s">
        <v>5</v>
      </c>
      <c r="C814" s="2">
        <f>IFERROR(__xludf.DUMMYFUNCTION("IFERROR(VLOOKUP(A814, IMPORTRANGE(""https://docs.google.com/spreadsheets/d/1AVX9GT0dgogEBStecCXMMQ29tWz3gBrtNB8yIromXbY/edit?gid=741673867"", ""out1g!A:B""), 2, FALSE), 0)"),83.0)</f>
        <v>83</v>
      </c>
      <c r="D814" s="2" t="str">
        <f>IFERROR(__xludf.DUMMYFUNCTION("IFERROR(VLOOKUP(A814, IMPORTRANGE(""https://docs.google.com/spreadsheets/d/1-3Vjw2Cyy-mry5gbC8ypIR3YVGFfEpyFESummAta6sg/edit"", ""Sheet1!B:D""), 2, FALSE), ""Not Found"")"),"waɪn")</f>
        <v>waɪn</v>
      </c>
      <c r="E814" s="2" t="str">
        <f>IFERROR(__xludf.DUMMYFUNCTION("IFERROR(VLOOKUP(A814, IMPORTRANGE(""https://docs.google.com/spreadsheets/d/1-3Vjw2Cyy-mry5gbC8ypIR3YVGFfEpyFESummAta6sg/edit"", ""Sheet1!B:D""), 3, FALSE), ""Not Found"")"),"w a ɪ n ")</f>
        <v>w a ɪ n </v>
      </c>
    </row>
    <row r="815">
      <c r="A815" s="1" t="s">
        <v>818</v>
      </c>
      <c r="B815" s="1" t="s">
        <v>5</v>
      </c>
      <c r="C815" s="2">
        <f>IFERROR(__xludf.DUMMYFUNCTION("IFERROR(VLOOKUP(A815, IMPORTRANGE(""https://docs.google.com/spreadsheets/d/1AVX9GT0dgogEBStecCXMMQ29tWz3gBrtNB8yIromXbY/edit?gid=741673867"", ""out1g!A:B""), 2, FALSE), 0)"),15655.0)</f>
        <v>15655</v>
      </c>
      <c r="D815" s="2" t="str">
        <f>IFERROR(__xludf.DUMMYFUNCTION("IFERROR(VLOOKUP(A815, IMPORTRANGE(""https://docs.google.com/spreadsheets/d/1-3Vjw2Cyy-mry5gbC8ypIR3YVGFfEpyFESummAta6sg/edit"", ""Sheet1!B:D""), 2, FALSE), ""Not Found"")"),"wɔnts")</f>
        <v>wɔnts</v>
      </c>
      <c r="E815" s="2" t="str">
        <f>IFERROR(__xludf.DUMMYFUNCTION("IFERROR(VLOOKUP(A815, IMPORTRANGE(""https://docs.google.com/spreadsheets/d/1-3Vjw2Cyy-mry5gbC8ypIR3YVGFfEpyFESummAta6sg/edit"", ""Sheet1!B:D""), 3, FALSE), ""Not Found"")"),"w ɔ n t s ")</f>
        <v>w ɔ n t s </v>
      </c>
    </row>
    <row r="816">
      <c r="A816" s="1" t="s">
        <v>819</v>
      </c>
      <c r="B816" s="1" t="s">
        <v>5</v>
      </c>
      <c r="C816" s="2">
        <f>IFERROR(__xludf.DUMMYFUNCTION("IFERROR(VLOOKUP(A816, IMPORTRANGE(""https://docs.google.com/spreadsheets/d/1AVX9GT0dgogEBStecCXMMQ29tWz3gBrtNB8yIromXbY/edit?gid=741673867"", ""out1g!A:B""), 2, FALSE), 0)"),2928.0)</f>
        <v>2928</v>
      </c>
      <c r="D816" s="2" t="str">
        <f>IFERROR(__xludf.DUMMYFUNCTION("IFERROR(VLOOKUP(A816, IMPORTRANGE(""https://docs.google.com/spreadsheets/d/1-3Vjw2Cyy-mry5gbC8ypIR3YVGFfEpyFESummAta6sg/edit"", ""Sheet1!B:D""), 2, FALSE), ""Not Found"")"),"bɛr")</f>
        <v>bɛr</v>
      </c>
      <c r="E816" s="2" t="str">
        <f>IFERROR(__xludf.DUMMYFUNCTION("IFERROR(VLOOKUP(A816, IMPORTRANGE(""https://docs.google.com/spreadsheets/d/1-3Vjw2Cyy-mry5gbC8ypIR3YVGFfEpyFESummAta6sg/edit"", ""Sheet1!B:D""), 3, FALSE), ""Not Found"")"),"b ɛ r ")</f>
        <v>b ɛ r </v>
      </c>
    </row>
    <row r="817">
      <c r="A817" s="1" t="s">
        <v>820</v>
      </c>
      <c r="B817" s="1" t="s">
        <v>5</v>
      </c>
      <c r="C817" s="2">
        <f>IFERROR(__xludf.DUMMYFUNCTION("IFERROR(VLOOKUP(A817, IMPORTRANGE(""https://docs.google.com/spreadsheets/d/1AVX9GT0dgogEBStecCXMMQ29tWz3gBrtNB8yIromXbY/edit?gid=741673867"", ""out1g!A:B""), 2, FALSE), 0)"),2266.0)</f>
        <v>2266</v>
      </c>
      <c r="D817" s="2" t="str">
        <f>IFERROR(__xludf.DUMMYFUNCTION("IFERROR(VLOOKUP(A817, IMPORTRANGE(""https://docs.google.com/spreadsheets/d/1-3Vjw2Cyy-mry5gbC8ypIR3YVGFfEpyFESummAta6sg/edit"", ""Sheet1!B:D""), 2, FALSE), ""Not Found"")"),"taɪ")</f>
        <v>taɪ</v>
      </c>
      <c r="E817" s="2" t="str">
        <f>IFERROR(__xludf.DUMMYFUNCTION("IFERROR(VLOOKUP(A817, IMPORTRANGE(""https://docs.google.com/spreadsheets/d/1-3Vjw2Cyy-mry5gbC8ypIR3YVGFfEpyFESummAta6sg/edit"", ""Sheet1!B:D""), 3, FALSE), ""Not Found"")"),"t a ɪ ")</f>
        <v>t a ɪ </v>
      </c>
    </row>
    <row r="818">
      <c r="A818" s="1" t="s">
        <v>821</v>
      </c>
      <c r="B818" s="1" t="s">
        <v>5</v>
      </c>
      <c r="C818" s="2">
        <f>IFERROR(__xludf.DUMMYFUNCTION("IFERROR(VLOOKUP(A818, IMPORTRANGE(""https://docs.google.com/spreadsheets/d/1AVX9GT0dgogEBStecCXMMQ29tWz3gBrtNB8yIromXbY/edit?gid=741673867"", ""out1g!A:B""), 2, FALSE), 0)"),482.0)</f>
        <v>482</v>
      </c>
      <c r="D818" s="2" t="str">
        <f>IFERROR(__xludf.DUMMYFUNCTION("IFERROR(VLOOKUP(A818, IMPORTRANGE(""https://docs.google.com/spreadsheets/d/1-3Vjw2Cyy-mry5gbC8ypIR3YVGFfEpyFESummAta6sg/edit"", ""Sheet1!B:D""), 2, FALSE), ""Not Found"")"),"fɑðərz")</f>
        <v>fɑðərz</v>
      </c>
      <c r="E818" s="2" t="str">
        <f>IFERROR(__xludf.DUMMYFUNCTION("IFERROR(VLOOKUP(A818, IMPORTRANGE(""https://docs.google.com/spreadsheets/d/1-3Vjw2Cyy-mry5gbC8ypIR3YVGFfEpyFESummAta6sg/edit"", ""Sheet1!B:D""), 3, FALSE), ""Not Found"")"),"f ɑ ð ə r z ")</f>
        <v>f ɑ ð ə r z </v>
      </c>
    </row>
    <row r="819">
      <c r="A819" s="1" t="s">
        <v>822</v>
      </c>
      <c r="B819" s="1" t="s">
        <v>5</v>
      </c>
      <c r="C819" s="2">
        <f>IFERROR(__xludf.DUMMYFUNCTION("IFERROR(VLOOKUP(A819, IMPORTRANGE(""https://docs.google.com/spreadsheets/d/1AVX9GT0dgogEBStecCXMMQ29tWz3gBrtNB8yIromXbY/edit?gid=741673867"", ""out1g!A:B""), 2, FALSE), 0)"),54.0)</f>
        <v>54</v>
      </c>
      <c r="D819" s="2" t="str">
        <f>IFERROR(__xludf.DUMMYFUNCTION("IFERROR(VLOOKUP(A819, IMPORTRANGE(""https://docs.google.com/spreadsheets/d/1-3Vjw2Cyy-mry5gbC8ypIR3YVGFfEpyFESummAta6sg/edit"", ""Sheet1!B:D""), 2, FALSE), ""Not Found"")"),"klɪkt")</f>
        <v>klɪkt</v>
      </c>
      <c r="E819" s="2" t="str">
        <f>IFERROR(__xludf.DUMMYFUNCTION("IFERROR(VLOOKUP(A819, IMPORTRANGE(""https://docs.google.com/spreadsheets/d/1-3Vjw2Cyy-mry5gbC8ypIR3YVGFfEpyFESummAta6sg/edit"", ""Sheet1!B:D""), 3, FALSE), ""Not Found"")"),"k l ɪ k t ")</f>
        <v>k l ɪ k t </v>
      </c>
    </row>
    <row r="820">
      <c r="A820" s="1" t="s">
        <v>823</v>
      </c>
      <c r="B820" s="1" t="s">
        <v>5</v>
      </c>
      <c r="C820" s="2">
        <f>IFERROR(__xludf.DUMMYFUNCTION("IFERROR(VLOOKUP(A820, IMPORTRANGE(""https://docs.google.com/spreadsheets/d/1AVX9GT0dgogEBStecCXMMQ29tWz3gBrtNB8yIromXbY/edit?gid=741673867"", ""out1g!A:B""), 2, FALSE), 0)"),1325.0)</f>
        <v>1325</v>
      </c>
      <c r="D820" s="2" t="str">
        <f>IFERROR(__xludf.DUMMYFUNCTION("IFERROR(VLOOKUP(A820, IMPORTRANGE(""https://docs.google.com/spreadsheets/d/1-3Vjw2Cyy-mry5gbC8ypIR3YVGFfEpyFESummAta6sg/edit"", ""Sheet1!B:D""), 2, FALSE), ""Not Found"")"),"ɑmɛn")</f>
        <v>ɑmɛn</v>
      </c>
      <c r="E820" s="2" t="str">
        <f>IFERROR(__xludf.DUMMYFUNCTION("IFERROR(VLOOKUP(A820, IMPORTRANGE(""https://docs.google.com/spreadsheets/d/1-3Vjw2Cyy-mry5gbC8ypIR3YVGFfEpyFESummAta6sg/edit"", ""Sheet1!B:D""), 3, FALSE), ""Not Found"")"),"ɑ m ɛ n ")</f>
        <v>ɑ m ɛ n </v>
      </c>
    </row>
    <row r="821">
      <c r="A821" s="1" t="s">
        <v>824</v>
      </c>
      <c r="B821" s="1" t="s">
        <v>5</v>
      </c>
      <c r="C821" s="2">
        <f>IFERROR(__xludf.DUMMYFUNCTION("IFERROR(VLOOKUP(A821, IMPORTRANGE(""https://docs.google.com/spreadsheets/d/1AVX9GT0dgogEBStecCXMMQ29tWz3gBrtNB8yIromXbY/edit?gid=741673867"", ""out1g!A:B""), 2, FALSE), 0)"),322.0)</f>
        <v>322</v>
      </c>
      <c r="D821" s="2" t="str">
        <f>IFERROR(__xludf.DUMMYFUNCTION("IFERROR(VLOOKUP(A821, IMPORTRANGE(""https://docs.google.com/spreadsheets/d/1-3Vjw2Cyy-mry5gbC8ypIR3YVGFfEpyFESummAta6sg/edit"", ""Sheet1!B:D""), 2, FALSE), ""Not Found"")"),"hɛri")</f>
        <v>hɛri</v>
      </c>
      <c r="E821" s="2" t="str">
        <f>IFERROR(__xludf.DUMMYFUNCTION("IFERROR(VLOOKUP(A821, IMPORTRANGE(""https://docs.google.com/spreadsheets/d/1-3Vjw2Cyy-mry5gbC8ypIR3YVGFfEpyFESummAta6sg/edit"", ""Sheet1!B:D""), 3, FALSE), ""Not Found"")"),"h ɛ r i ")</f>
        <v>h ɛ r i </v>
      </c>
    </row>
    <row r="822">
      <c r="A822" s="1" t="s">
        <v>825</v>
      </c>
      <c r="B822" s="1" t="s">
        <v>5</v>
      </c>
      <c r="C822" s="2">
        <f>IFERROR(__xludf.DUMMYFUNCTION("IFERROR(VLOOKUP(A822, IMPORTRANGE(""https://docs.google.com/spreadsheets/d/1AVX9GT0dgogEBStecCXMMQ29tWz3gBrtNB8yIromXbY/edit?gid=741673867"", ""out1g!A:B""), 2, FALSE), 0)"),194.0)</f>
        <v>194</v>
      </c>
      <c r="D822" s="2" t="str">
        <f>IFERROR(__xludf.DUMMYFUNCTION("IFERROR(VLOOKUP(A822, IMPORTRANGE(""https://docs.google.com/spreadsheets/d/1-3Vjw2Cyy-mry5gbC8ypIR3YVGFfEpyFESummAta6sg/edit"", ""Sheet1!B:D""), 2, FALSE), ""Not Found"")"),"sərrz")</f>
        <v>sərrz</v>
      </c>
      <c r="E822" s="2" t="str">
        <f>IFERROR(__xludf.DUMMYFUNCTION("IFERROR(VLOOKUP(A822, IMPORTRANGE(""https://docs.google.com/spreadsheets/d/1-3Vjw2Cyy-mry5gbC8ypIR3YVGFfEpyFESummAta6sg/edit"", ""Sheet1!B:D""), 3, FALSE), ""Not Found"")"),"s ə r r z ")</f>
        <v>s ə r r z </v>
      </c>
    </row>
    <row r="823">
      <c r="A823" s="1" t="s">
        <v>826</v>
      </c>
      <c r="B823" s="1" t="s">
        <v>5</v>
      </c>
      <c r="C823" s="2">
        <f>IFERROR(__xludf.DUMMYFUNCTION("IFERROR(VLOOKUP(A823, IMPORTRANGE(""https://docs.google.com/spreadsheets/d/1AVX9GT0dgogEBStecCXMMQ29tWz3gBrtNB8yIromXbY/edit?gid=741673867"", ""out1g!A:B""), 2, FALSE), 0)"),99.0)</f>
        <v>99</v>
      </c>
      <c r="D823" s="2" t="str">
        <f>IFERROR(__xludf.DUMMYFUNCTION("IFERROR(VLOOKUP(A823, IMPORTRANGE(""https://docs.google.com/spreadsheets/d/1-3Vjw2Cyy-mry5gbC8ypIR3YVGFfEpyFESummAta6sg/edit"", ""Sheet1!B:D""), 2, FALSE), ""Not Found"")"),"əpɔlɪŋ")</f>
        <v>əpɔlɪŋ</v>
      </c>
      <c r="E823" s="2" t="str">
        <f>IFERROR(__xludf.DUMMYFUNCTION("IFERROR(VLOOKUP(A823, IMPORTRANGE(""https://docs.google.com/spreadsheets/d/1-3Vjw2Cyy-mry5gbC8ypIR3YVGFfEpyFESummAta6sg/edit"", ""Sheet1!B:D""), 3, FALSE), ""Not Found"")"),"ə p ɔ l ɪ ŋ ")</f>
        <v>ə p ɔ l ɪ ŋ </v>
      </c>
    </row>
    <row r="824">
      <c r="A824" s="1" t="s">
        <v>827</v>
      </c>
      <c r="B824" s="1" t="s">
        <v>5</v>
      </c>
      <c r="C824" s="2">
        <f>IFERROR(__xludf.DUMMYFUNCTION("IFERROR(VLOOKUP(A824, IMPORTRANGE(""https://docs.google.com/spreadsheets/d/1AVX9GT0dgogEBStecCXMMQ29tWz3gBrtNB8yIromXbY/edit?gid=741673867"", ""out1g!A:B""), 2, FALSE), 0)"),492.0)</f>
        <v>492</v>
      </c>
      <c r="D824" s="2" t="str">
        <f>IFERROR(__xludf.DUMMYFUNCTION("IFERROR(VLOOKUP(A824, IMPORTRANGE(""https://docs.google.com/spreadsheets/d/1-3Vjw2Cyy-mry5gbC8ypIR3YVGFfEpyFESummAta6sg/edit"", ""Sheet1!B:D""), 2, FALSE), ""Not Found"")"),"krækt")</f>
        <v>krækt</v>
      </c>
      <c r="E824" s="2" t="str">
        <f>IFERROR(__xludf.DUMMYFUNCTION("IFERROR(VLOOKUP(A824, IMPORTRANGE(""https://docs.google.com/spreadsheets/d/1-3Vjw2Cyy-mry5gbC8ypIR3YVGFfEpyFESummAta6sg/edit"", ""Sheet1!B:D""), 3, FALSE), ""Not Found"")"),"k r æ k t ")</f>
        <v>k r æ k t </v>
      </c>
    </row>
    <row r="825">
      <c r="A825" s="1" t="s">
        <v>828</v>
      </c>
      <c r="B825" s="1" t="s">
        <v>5</v>
      </c>
      <c r="C825" s="2">
        <f>IFERROR(__xludf.DUMMYFUNCTION("IFERROR(VLOOKUP(A825, IMPORTRANGE(""https://docs.google.com/spreadsheets/d/1AVX9GT0dgogEBStecCXMMQ29tWz3gBrtNB8yIromXbY/edit?gid=741673867"", ""out1g!A:B""), 2, FALSE), 0)"),84.0)</f>
        <v>84</v>
      </c>
      <c r="D825" s="2" t="str">
        <f>IFERROR(__xludf.DUMMYFUNCTION("IFERROR(VLOOKUP(A825, IMPORTRANGE(""https://docs.google.com/spreadsheets/d/1-3Vjw2Cyy-mry5gbC8ypIR3YVGFfEpyFESummAta6sg/edit"", ""Sheet1!B:D""), 2, FALSE), ""Not Found"")"),"mɔlt")</f>
        <v>mɔlt</v>
      </c>
      <c r="E825" s="2" t="str">
        <f>IFERROR(__xludf.DUMMYFUNCTION("IFERROR(VLOOKUP(A825, IMPORTRANGE(""https://docs.google.com/spreadsheets/d/1-3Vjw2Cyy-mry5gbC8ypIR3YVGFfEpyFESummAta6sg/edit"", ""Sheet1!B:D""), 3, FALSE), ""Not Found"")"),"m ɔ l t ")</f>
        <v>m ɔ l t </v>
      </c>
    </row>
    <row r="826">
      <c r="A826" s="1" t="s">
        <v>829</v>
      </c>
      <c r="B826" s="1" t="s">
        <v>5</v>
      </c>
      <c r="C826" s="2">
        <f>IFERROR(__xludf.DUMMYFUNCTION("IFERROR(VLOOKUP(A826, IMPORTRANGE(""https://docs.google.com/spreadsheets/d/1AVX9GT0dgogEBStecCXMMQ29tWz3gBrtNB8yIromXbY/edit?gid=741673867"", ""out1g!A:B""), 2, FALSE), 0)"),353.0)</f>
        <v>353</v>
      </c>
      <c r="D826" s="2" t="str">
        <f>IFERROR(__xludf.DUMMYFUNCTION("IFERROR(VLOOKUP(A826, IMPORTRANGE(""https://docs.google.com/spreadsheets/d/1-3Vjw2Cyy-mry5gbC8ypIR3YVGFfEpyFESummAta6sg/edit"", ""Sheet1!B:D""), 2, FALSE), ""Not Found"")"),"toʊbi")</f>
        <v>toʊbi</v>
      </c>
      <c r="E826" s="2" t="str">
        <f>IFERROR(__xludf.DUMMYFUNCTION("IFERROR(VLOOKUP(A826, IMPORTRANGE(""https://docs.google.com/spreadsheets/d/1-3Vjw2Cyy-mry5gbC8ypIR3YVGFfEpyFESummAta6sg/edit"", ""Sheet1!B:D""), 3, FALSE), ""Not Found"")"),"t o ʊ b i ")</f>
        <v>t o ʊ b i </v>
      </c>
    </row>
    <row r="827">
      <c r="A827" s="1" t="s">
        <v>830</v>
      </c>
      <c r="B827" s="1" t="s">
        <v>5</v>
      </c>
      <c r="C827" s="2">
        <f>IFERROR(__xludf.DUMMYFUNCTION("IFERROR(VLOOKUP(A827, IMPORTRANGE(""https://docs.google.com/spreadsheets/d/1AVX9GT0dgogEBStecCXMMQ29tWz3gBrtNB8yIromXbY/edit?gid=741673867"", ""out1g!A:B""), 2, FALSE), 0)"),130393.0)</f>
        <v>130393</v>
      </c>
      <c r="D827" s="2" t="str">
        <f>IFERROR(__xludf.DUMMYFUNCTION("IFERROR(VLOOKUP(A827, IMPORTRANGE(""https://docs.google.com/spreadsheets/d/1-3Vjw2Cyy-mry5gbC8ypIR3YVGFfEpyFESummAta6sg/edit"", ""Sheet1!B:D""), 2, FALSE), ""Not Found"")"),"si")</f>
        <v>si</v>
      </c>
      <c r="E827" s="2" t="str">
        <f>IFERROR(__xludf.DUMMYFUNCTION("IFERROR(VLOOKUP(A827, IMPORTRANGE(""https://docs.google.com/spreadsheets/d/1-3Vjw2Cyy-mry5gbC8ypIR3YVGFfEpyFESummAta6sg/edit"", ""Sheet1!B:D""), 3, FALSE), ""Not Found"")"),"s i ")</f>
        <v>s i </v>
      </c>
    </row>
    <row r="828">
      <c r="A828" s="1" t="s">
        <v>831</v>
      </c>
      <c r="B828" s="1" t="s">
        <v>5</v>
      </c>
      <c r="C828" s="2">
        <f>IFERROR(__xludf.DUMMYFUNCTION("IFERROR(VLOOKUP(A828, IMPORTRANGE(""https://docs.google.com/spreadsheets/d/1AVX9GT0dgogEBStecCXMMQ29tWz3gBrtNB8yIromXbY/edit?gid=741673867"", ""out1g!A:B""), 2, FALSE), 0)"),153.0)</f>
        <v>153</v>
      </c>
      <c r="D828" s="2" t="str">
        <f>IFERROR(__xludf.DUMMYFUNCTION("IFERROR(VLOOKUP(A828, IMPORTRANGE(""https://docs.google.com/spreadsheets/d/1-3Vjw2Cyy-mry5gbC8ypIR3YVGFfEpyFESummAta6sg/edit"", ""Sheet1!B:D""), 2, FALSE), ""Not Found"")"),"fləʃt")</f>
        <v>fləʃt</v>
      </c>
      <c r="E828" s="2" t="str">
        <f>IFERROR(__xludf.DUMMYFUNCTION("IFERROR(VLOOKUP(A828, IMPORTRANGE(""https://docs.google.com/spreadsheets/d/1-3Vjw2Cyy-mry5gbC8ypIR3YVGFfEpyFESummAta6sg/edit"", ""Sheet1!B:D""), 3, FALSE), ""Not Found"")"),"f l ə ʃ t ")</f>
        <v>f l ə ʃ t </v>
      </c>
    </row>
    <row r="829">
      <c r="A829" s="1" t="s">
        <v>832</v>
      </c>
      <c r="B829" s="1" t="s">
        <v>5</v>
      </c>
      <c r="C829" s="2">
        <f>IFERROR(__xludf.DUMMYFUNCTION("IFERROR(VLOOKUP(A829, IMPORTRANGE(""https://docs.google.com/spreadsheets/d/1AVX9GT0dgogEBStecCXMMQ29tWz3gBrtNB8yIromXbY/edit?gid=741673867"", ""out1g!A:B""), 2, FALSE), 0)"),8399.0)</f>
        <v>8399</v>
      </c>
      <c r="D829" s="2" t="str">
        <f>IFERROR(__xludf.DUMMYFUNCTION("IFERROR(VLOOKUP(A829, IMPORTRANGE(""https://docs.google.com/spreadsheets/d/1-3Vjw2Cyy-mry5gbC8ypIR3YVGFfEpyFESummAta6sg/edit"", ""Sheet1!B:D""), 2, FALSE), ""Not Found"")"),"nuz")</f>
        <v>nuz</v>
      </c>
      <c r="E829" s="2" t="str">
        <f>IFERROR(__xludf.DUMMYFUNCTION("IFERROR(VLOOKUP(A829, IMPORTRANGE(""https://docs.google.com/spreadsheets/d/1-3Vjw2Cyy-mry5gbC8ypIR3YVGFfEpyFESummAta6sg/edit"", ""Sheet1!B:D""), 3, FALSE), ""Not Found"")"),"n u z ")</f>
        <v>n u z </v>
      </c>
    </row>
    <row r="830">
      <c r="A830" s="1" t="s">
        <v>833</v>
      </c>
      <c r="B830" s="1" t="s">
        <v>5</v>
      </c>
      <c r="C830" s="2">
        <f>IFERROR(__xludf.DUMMYFUNCTION("IFERROR(VLOOKUP(A830, IMPORTRANGE(""https://docs.google.com/spreadsheets/d/1AVX9GT0dgogEBStecCXMMQ29tWz3gBrtNB8yIromXbY/edit?gid=741673867"", ""out1g!A:B""), 2, FALSE), 0)"),305.0)</f>
        <v>305</v>
      </c>
      <c r="D830" s="2" t="str">
        <f>IFERROR(__xludf.DUMMYFUNCTION("IFERROR(VLOOKUP(A830, IMPORTRANGE(""https://docs.google.com/spreadsheets/d/1-3Vjw2Cyy-mry5gbC8ypIR3YVGFfEpyFESummAta6sg/edit"", ""Sheet1!B:D""), 2, FALSE), ""Not Found"")"),"stɪr")</f>
        <v>stɪr</v>
      </c>
      <c r="E830" s="2" t="str">
        <f>IFERROR(__xludf.DUMMYFUNCTION("IFERROR(VLOOKUP(A830, IMPORTRANGE(""https://docs.google.com/spreadsheets/d/1-3Vjw2Cyy-mry5gbC8ypIR3YVGFfEpyFESummAta6sg/edit"", ""Sheet1!B:D""), 3, FALSE), ""Not Found"")"),"s t ɪ r ")</f>
        <v>s t ɪ r </v>
      </c>
    </row>
    <row r="831">
      <c r="A831" s="1" t="s">
        <v>834</v>
      </c>
      <c r="B831" s="1" t="s">
        <v>5</v>
      </c>
      <c r="C831" s="2">
        <f>IFERROR(__xludf.DUMMYFUNCTION("IFERROR(VLOOKUP(A831, IMPORTRANGE(""https://docs.google.com/spreadsheets/d/1AVX9GT0dgogEBStecCXMMQ29tWz3gBrtNB8yIromXbY/edit?gid=741673867"", ""out1g!A:B""), 2, FALSE), 0)"),9990.0)</f>
        <v>9990</v>
      </c>
      <c r="D831" s="2" t="str">
        <f>IFERROR(__xludf.DUMMYFUNCTION("IFERROR(VLOOKUP(A831, IMPORTRANGE(""https://docs.google.com/spreadsheets/d/1-3Vjw2Cyy-mry5gbC8ypIR3YVGFfEpyFESummAta6sg/edit"", ""Sheet1!B:D""), 2, FALSE), ""Not Found"")"),"kul")</f>
        <v>kul</v>
      </c>
      <c r="E831" s="2" t="str">
        <f>IFERROR(__xludf.DUMMYFUNCTION("IFERROR(VLOOKUP(A831, IMPORTRANGE(""https://docs.google.com/spreadsheets/d/1-3Vjw2Cyy-mry5gbC8ypIR3YVGFfEpyFESummAta6sg/edit"", ""Sheet1!B:D""), 3, FALSE), ""Not Found"")"),"k u l ")</f>
        <v>k u l </v>
      </c>
    </row>
    <row r="832">
      <c r="A832" s="1" t="s">
        <v>835</v>
      </c>
      <c r="B832" s="1" t="s">
        <v>5</v>
      </c>
      <c r="C832" s="2">
        <f>IFERROR(__xludf.DUMMYFUNCTION("IFERROR(VLOOKUP(A832, IMPORTRANGE(""https://docs.google.com/spreadsheets/d/1AVX9GT0dgogEBStecCXMMQ29tWz3gBrtNB8yIromXbY/edit?gid=741673867"", ""out1g!A:B""), 2, FALSE), 0)"),157.0)</f>
        <v>157</v>
      </c>
      <c r="D832" s="2" t="str">
        <f>IFERROR(__xludf.DUMMYFUNCTION("IFERROR(VLOOKUP(A832, IMPORTRANGE(""https://docs.google.com/spreadsheets/d/1-3Vjw2Cyy-mry5gbC8ypIR3YVGFfEpyFESummAta6sg/edit"", ""Sheet1!B:D""), 2, FALSE), ""Not Found"")"),"bərθə")</f>
        <v>bərθə</v>
      </c>
      <c r="E832" s="2" t="str">
        <f>IFERROR(__xludf.DUMMYFUNCTION("IFERROR(VLOOKUP(A832, IMPORTRANGE(""https://docs.google.com/spreadsheets/d/1-3Vjw2Cyy-mry5gbC8ypIR3YVGFfEpyFESummAta6sg/edit"", ""Sheet1!B:D""), 3, FALSE), ""Not Found"")"),"b ə r θ ə ")</f>
        <v>b ə r θ ə </v>
      </c>
    </row>
    <row r="833">
      <c r="A833" s="1" t="s">
        <v>836</v>
      </c>
      <c r="B833" s="1" t="s">
        <v>5</v>
      </c>
      <c r="C833" s="2">
        <f>IFERROR(__xludf.DUMMYFUNCTION("IFERROR(VLOOKUP(A833, IMPORTRANGE(""https://docs.google.com/spreadsheets/d/1AVX9GT0dgogEBStecCXMMQ29tWz3gBrtNB8yIromXbY/edit?gid=741673867"", ""out1g!A:B""), 2, FALSE), 0)"),106.0)</f>
        <v>106</v>
      </c>
      <c r="D833" s="2" t="str">
        <f>IFERROR(__xludf.DUMMYFUNCTION("IFERROR(VLOOKUP(A833, IMPORTRANGE(""https://docs.google.com/spreadsheets/d/1-3Vjw2Cyy-mry5gbC8ypIR3YVGFfEpyFESummAta6sg/edit"", ""Sheet1!B:D""), 2, FALSE), ""Not Found"")"),"vɑ")</f>
        <v>vɑ</v>
      </c>
      <c r="E833" s="2" t="str">
        <f>IFERROR(__xludf.DUMMYFUNCTION("IFERROR(VLOOKUP(A833, IMPORTRANGE(""https://docs.google.com/spreadsheets/d/1-3Vjw2Cyy-mry5gbC8ypIR3YVGFfEpyFESummAta6sg/edit"", ""Sheet1!B:D""), 3, FALSE), ""Not Found"")"),"v ɑ ")</f>
        <v>v ɑ </v>
      </c>
    </row>
    <row r="834">
      <c r="A834" s="1" t="s">
        <v>837</v>
      </c>
      <c r="B834" s="1" t="s">
        <v>5</v>
      </c>
      <c r="C834" s="2">
        <f>IFERROR(__xludf.DUMMYFUNCTION("IFERROR(VLOOKUP(A834, IMPORTRANGE(""https://docs.google.com/spreadsheets/d/1AVX9GT0dgogEBStecCXMMQ29tWz3gBrtNB8yIromXbY/edit?gid=741673867"", ""out1g!A:B""), 2, FALSE), 0)"),124.0)</f>
        <v>124</v>
      </c>
      <c r="D834" s="2" t="str">
        <f>IFERROR(__xludf.DUMMYFUNCTION("IFERROR(VLOOKUP(A834, IMPORTRANGE(""https://docs.google.com/spreadsheets/d/1-3Vjw2Cyy-mry5gbC8ypIR3YVGFfEpyFESummAta6sg/edit"", ""Sheet1!B:D""), 2, FALSE), ""Not Found"")"),"əndrɛs")</f>
        <v>əndrɛs</v>
      </c>
      <c r="E834" s="2" t="str">
        <f>IFERROR(__xludf.DUMMYFUNCTION("IFERROR(VLOOKUP(A834, IMPORTRANGE(""https://docs.google.com/spreadsheets/d/1-3Vjw2Cyy-mry5gbC8ypIR3YVGFfEpyFESummAta6sg/edit"", ""Sheet1!B:D""), 3, FALSE), ""Not Found"")"),"ə n d r ɛ s ")</f>
        <v>ə n d r ɛ s </v>
      </c>
    </row>
    <row r="835">
      <c r="A835" s="1" t="s">
        <v>838</v>
      </c>
      <c r="B835" s="1" t="s">
        <v>5</v>
      </c>
      <c r="C835" s="2">
        <f>IFERROR(__xludf.DUMMYFUNCTION("IFERROR(VLOOKUP(A835, IMPORTRANGE(""https://docs.google.com/spreadsheets/d/1AVX9GT0dgogEBStecCXMMQ29tWz3gBrtNB8yIromXbY/edit?gid=741673867"", ""out1g!A:B""), 2, FALSE), 0)"),43931.0)</f>
        <v>43931</v>
      </c>
      <c r="D835" s="2" t="str">
        <f>IFERROR(__xludf.DUMMYFUNCTION("IFERROR(VLOOKUP(A835, IMPORTRANGE(""https://docs.google.com/spreadsheets/d/1-3Vjw2Cyy-mry5gbC8ypIR3YVGFfEpyFESummAta6sg/edit"", ""Sheet1!B:D""), 2, FALSE), ""Not Found"")"),"kɔl")</f>
        <v>kɔl</v>
      </c>
      <c r="E835" s="2" t="str">
        <f>IFERROR(__xludf.DUMMYFUNCTION("IFERROR(VLOOKUP(A835, IMPORTRANGE(""https://docs.google.com/spreadsheets/d/1-3Vjw2Cyy-mry5gbC8ypIR3YVGFfEpyFESummAta6sg/edit"", ""Sheet1!B:D""), 3, FALSE), ""Not Found"")"),"k ɔ l ")</f>
        <v>k ɔ l </v>
      </c>
    </row>
    <row r="836">
      <c r="A836" s="1" t="s">
        <v>839</v>
      </c>
      <c r="B836" s="1" t="s">
        <v>5</v>
      </c>
      <c r="C836" s="2">
        <f>IFERROR(__xludf.DUMMYFUNCTION("IFERROR(VLOOKUP(A836, IMPORTRANGE(""https://docs.google.com/spreadsheets/d/1AVX9GT0dgogEBStecCXMMQ29tWz3gBrtNB8yIromXbY/edit?gid=741673867"", ""out1g!A:B""), 2, FALSE), 0)"),57.0)</f>
        <v>57</v>
      </c>
      <c r="D836" s="2" t="str">
        <f>IFERROR(__xludf.DUMMYFUNCTION("IFERROR(VLOOKUP(A836, IMPORTRANGE(""https://docs.google.com/spreadsheets/d/1-3Vjw2Cyy-mry5gbC8ypIR3YVGFfEpyFESummAta6sg/edit"", ""Sheet1!B:D""), 2, FALSE), ""Not Found"")"),"nəʤ")</f>
        <v>nəʤ</v>
      </c>
      <c r="E836" s="2" t="str">
        <f>IFERROR(__xludf.DUMMYFUNCTION("IFERROR(VLOOKUP(A836, IMPORTRANGE(""https://docs.google.com/spreadsheets/d/1-3Vjw2Cyy-mry5gbC8ypIR3YVGFfEpyFESummAta6sg/edit"", ""Sheet1!B:D""), 3, FALSE), ""Not Found"")"),"n ə ʤ ")</f>
        <v>n ə ʤ </v>
      </c>
    </row>
    <row r="837">
      <c r="A837" s="1" t="s">
        <v>840</v>
      </c>
      <c r="B837" s="1" t="s">
        <v>5</v>
      </c>
      <c r="C837" s="2">
        <f>IFERROR(__xludf.DUMMYFUNCTION("IFERROR(VLOOKUP(A837, IMPORTRANGE(""https://docs.google.com/spreadsheets/d/1AVX9GT0dgogEBStecCXMMQ29tWz3gBrtNB8yIromXbY/edit?gid=741673867"", ""out1g!A:B""), 2, FALSE), 0)"),77.0)</f>
        <v>77</v>
      </c>
      <c r="D837" s="2" t="str">
        <f>IFERROR(__xludf.DUMMYFUNCTION("IFERROR(VLOOKUP(A837, IMPORTRANGE(""https://docs.google.com/spreadsheets/d/1-3Vjw2Cyy-mry5gbC8ypIR3YVGFfEpyFESummAta6sg/edit"", ""Sheet1!B:D""), 2, FALSE), ""Not Found"")"),"loʊ")</f>
        <v>loʊ</v>
      </c>
      <c r="E837" s="2" t="str">
        <f>IFERROR(__xludf.DUMMYFUNCTION("IFERROR(VLOOKUP(A837, IMPORTRANGE(""https://docs.google.com/spreadsheets/d/1-3Vjw2Cyy-mry5gbC8ypIR3YVGFfEpyFESummAta6sg/edit"", ""Sheet1!B:D""), 3, FALSE), ""Not Found"")"),"l o ʊ ")</f>
        <v>l o ʊ </v>
      </c>
    </row>
    <row r="838">
      <c r="A838" s="1" t="s">
        <v>841</v>
      </c>
      <c r="B838" s="1" t="s">
        <v>5</v>
      </c>
      <c r="C838" s="2">
        <f>IFERROR(__xludf.DUMMYFUNCTION("IFERROR(VLOOKUP(A838, IMPORTRANGE(""https://docs.google.com/spreadsheets/d/1AVX9GT0dgogEBStecCXMMQ29tWz3gBrtNB8yIromXbY/edit?gid=741673867"", ""out1g!A:B""), 2, FALSE), 0)"),82.0)</f>
        <v>82</v>
      </c>
      <c r="D838" s="2" t="str">
        <f>IFERROR(__xludf.DUMMYFUNCTION("IFERROR(VLOOKUP(A838, IMPORTRANGE(""https://docs.google.com/spreadsheets/d/1-3Vjw2Cyy-mry5gbC8ypIR3YVGFfEpyFESummAta6sg/edit"", ""Sheet1!B:D""), 2, FALSE), ""Not Found"")"),"baɪəs")</f>
        <v>baɪəs</v>
      </c>
      <c r="E838" s="2" t="str">
        <f>IFERROR(__xludf.DUMMYFUNCTION("IFERROR(VLOOKUP(A838, IMPORTRANGE(""https://docs.google.com/spreadsheets/d/1-3Vjw2Cyy-mry5gbC8ypIR3YVGFfEpyFESummAta6sg/edit"", ""Sheet1!B:D""), 3, FALSE), ""Not Found"")"),"b a ɪ ə s ")</f>
        <v>b a ɪ ə s </v>
      </c>
    </row>
    <row r="839">
      <c r="A839" s="1" t="s">
        <v>842</v>
      </c>
      <c r="B839" s="1" t="s">
        <v>5</v>
      </c>
      <c r="C839" s="2">
        <f>IFERROR(__xludf.DUMMYFUNCTION("IFERROR(VLOOKUP(A839, IMPORTRANGE(""https://docs.google.com/spreadsheets/d/1AVX9GT0dgogEBStecCXMMQ29tWz3gBrtNB8yIromXbY/edit?gid=741673867"", ""out1g!A:B""), 2, FALSE), 0)"),743.0)</f>
        <v>743</v>
      </c>
      <c r="D839" s="2" t="str">
        <f>IFERROR(__xludf.DUMMYFUNCTION("IFERROR(VLOOKUP(A839, IMPORTRANGE(""https://docs.google.com/spreadsheets/d/1-3Vjw2Cyy-mry5gbC8ypIR3YVGFfEpyFESummAta6sg/edit"", ""Sheet1!B:D""), 2, FALSE), ""Not Found"")"),"skɪlz")</f>
        <v>skɪlz</v>
      </c>
      <c r="E839" s="2" t="str">
        <f>IFERROR(__xludf.DUMMYFUNCTION("IFERROR(VLOOKUP(A839, IMPORTRANGE(""https://docs.google.com/spreadsheets/d/1-3Vjw2Cyy-mry5gbC8ypIR3YVGFfEpyFESummAta6sg/edit"", ""Sheet1!B:D""), 3, FALSE), ""Not Found"")"),"s k ɪ l z ")</f>
        <v>s k ɪ l z </v>
      </c>
    </row>
    <row r="840">
      <c r="A840" s="1" t="s">
        <v>843</v>
      </c>
      <c r="B840" s="1" t="s">
        <v>5</v>
      </c>
      <c r="C840" s="2">
        <f>IFERROR(__xludf.DUMMYFUNCTION("IFERROR(VLOOKUP(A840, IMPORTRANGE(""https://docs.google.com/spreadsheets/d/1AVX9GT0dgogEBStecCXMMQ29tWz3gBrtNB8yIromXbY/edit?gid=741673867"", ""out1g!A:B""), 2, FALSE), 0)"),83.0)</f>
        <v>83</v>
      </c>
      <c r="D840" s="2" t="str">
        <f>IFERROR(__xludf.DUMMYFUNCTION("IFERROR(VLOOKUP(A840, IMPORTRANGE(""https://docs.google.com/spreadsheets/d/1-3Vjw2Cyy-mry5gbC8ypIR3YVGFfEpyFESummAta6sg/edit"", ""Sheet1!B:D""), 2, FALSE), ""Not Found"")"),"vaʊd")</f>
        <v>vaʊd</v>
      </c>
      <c r="E840" s="2" t="str">
        <f>IFERROR(__xludf.DUMMYFUNCTION("IFERROR(VLOOKUP(A840, IMPORTRANGE(""https://docs.google.com/spreadsheets/d/1-3Vjw2Cyy-mry5gbC8ypIR3YVGFfEpyFESummAta6sg/edit"", ""Sheet1!B:D""), 3, FALSE), ""Not Found"")"),"v a ʊ d ")</f>
        <v>v a ʊ d </v>
      </c>
    </row>
    <row r="841">
      <c r="A841" s="1" t="s">
        <v>844</v>
      </c>
      <c r="B841" s="1" t="s">
        <v>5</v>
      </c>
      <c r="C841" s="2">
        <f>IFERROR(__xludf.DUMMYFUNCTION("IFERROR(VLOOKUP(A841, IMPORTRANGE(""https://docs.google.com/spreadsheets/d/1AVX9GT0dgogEBStecCXMMQ29tWz3gBrtNB8yIromXbY/edit?gid=741673867"", ""out1g!A:B""), 2, FALSE), 0)"),390.0)</f>
        <v>390</v>
      </c>
      <c r="D841" s="2" t="str">
        <f>IFERROR(__xludf.DUMMYFUNCTION("IFERROR(VLOOKUP(A841, IMPORTRANGE(""https://docs.google.com/spreadsheets/d/1-3Vjw2Cyy-mry5gbC8ypIR3YVGFfEpyFESummAta6sg/edit"", ""Sheet1!B:D""), 2, FALSE), ""Not Found"")"),"moʊnə")</f>
        <v>moʊnə</v>
      </c>
      <c r="E841" s="2" t="str">
        <f>IFERROR(__xludf.DUMMYFUNCTION("IFERROR(VLOOKUP(A841, IMPORTRANGE(""https://docs.google.com/spreadsheets/d/1-3Vjw2Cyy-mry5gbC8ypIR3YVGFfEpyFESummAta6sg/edit"", ""Sheet1!B:D""), 3, FALSE), ""Not Found"")"),"m o ʊ n ə ")</f>
        <v>m o ʊ n ə </v>
      </c>
    </row>
    <row r="842">
      <c r="A842" s="1" t="s">
        <v>845</v>
      </c>
      <c r="B842" s="1" t="s">
        <v>5</v>
      </c>
      <c r="C842" s="2">
        <f>IFERROR(__xludf.DUMMYFUNCTION("IFERROR(VLOOKUP(A842, IMPORTRANGE(""https://docs.google.com/spreadsheets/d/1AVX9GT0dgogEBStecCXMMQ29tWz3gBrtNB8yIromXbY/edit?gid=741673867"", ""out1g!A:B""), 2, FALSE), 0)"),66.0)</f>
        <v>66</v>
      </c>
      <c r="D842" s="2" t="str">
        <f>IFERROR(__xludf.DUMMYFUNCTION("IFERROR(VLOOKUP(A842, IMPORTRANGE(""https://docs.google.com/spreadsheets/d/1-3Vjw2Cyy-mry5gbC8ypIR3YVGFfEpyFESummAta6sg/edit"", ""Sheet1!B:D""), 2, FALSE), ""Not Found"")"),"sniks")</f>
        <v>sniks</v>
      </c>
      <c r="E842" s="2" t="str">
        <f>IFERROR(__xludf.DUMMYFUNCTION("IFERROR(VLOOKUP(A842, IMPORTRANGE(""https://docs.google.com/spreadsheets/d/1-3Vjw2Cyy-mry5gbC8ypIR3YVGFfEpyFESummAta6sg/edit"", ""Sheet1!B:D""), 3, FALSE), ""Not Found"")"),"s n i k s ")</f>
        <v>s n i k s </v>
      </c>
    </row>
    <row r="843">
      <c r="A843" s="1" t="s">
        <v>846</v>
      </c>
      <c r="B843" s="1" t="s">
        <v>5</v>
      </c>
      <c r="C843" s="2">
        <f>IFERROR(__xludf.DUMMYFUNCTION("IFERROR(VLOOKUP(A843, IMPORTRANGE(""https://docs.google.com/spreadsheets/d/1AVX9GT0dgogEBStecCXMMQ29tWz3gBrtNB8yIromXbY/edit?gid=741673867"", ""out1g!A:B""), 2, FALSE), 0)"),4280.0)</f>
        <v>4280</v>
      </c>
      <c r="D843" s="2" t="str">
        <f>IFERROR(__xludf.DUMMYFUNCTION("IFERROR(VLOOKUP(A843, IMPORTRANGE(""https://docs.google.com/spreadsheets/d/1-3Vjw2Cyy-mry5gbC8ypIR3YVGFfEpyFESummAta6sg/edit"", ""Sheet1!B:D""), 2, FALSE), ""Not Found"")"),"hɪstəri")</f>
        <v>hɪstəri</v>
      </c>
      <c r="E843" s="2" t="str">
        <f>IFERROR(__xludf.DUMMYFUNCTION("IFERROR(VLOOKUP(A843, IMPORTRANGE(""https://docs.google.com/spreadsheets/d/1-3Vjw2Cyy-mry5gbC8ypIR3YVGFfEpyFESummAta6sg/edit"", ""Sheet1!B:D""), 3, FALSE), ""Not Found"")"),"h ɪ s t ə r i ")</f>
        <v>h ɪ s t ə r i </v>
      </c>
    </row>
    <row r="844">
      <c r="A844" s="1" t="s">
        <v>847</v>
      </c>
      <c r="B844" s="1" t="s">
        <v>5</v>
      </c>
      <c r="C844" s="2">
        <f>IFERROR(__xludf.DUMMYFUNCTION("IFERROR(VLOOKUP(A844, IMPORTRANGE(""https://docs.google.com/spreadsheets/d/1AVX9GT0dgogEBStecCXMMQ29tWz3gBrtNB8yIromXbY/edit?gid=741673867"", ""out1g!A:B""), 2, FALSE), 0)"),62.0)</f>
        <v>62</v>
      </c>
      <c r="D844" s="2" t="str">
        <f>IFERROR(__xludf.DUMMYFUNCTION("IFERROR(VLOOKUP(A844, IMPORTRANGE(""https://docs.google.com/spreadsheets/d/1-3Vjw2Cyy-mry5gbC8ypIR3YVGFfEpyFESummAta6sg/edit"", ""Sheet1!B:D""), 2, FALSE), ""Not Found"")"),"mɛriər")</f>
        <v>mɛriər</v>
      </c>
      <c r="E844" s="2" t="str">
        <f>IFERROR(__xludf.DUMMYFUNCTION("IFERROR(VLOOKUP(A844, IMPORTRANGE(""https://docs.google.com/spreadsheets/d/1-3Vjw2Cyy-mry5gbC8ypIR3YVGFfEpyFESummAta6sg/edit"", ""Sheet1!B:D""), 3, FALSE), ""Not Found"")"),"m ɛ r i ə r ")</f>
        <v>m ɛ r i ə r </v>
      </c>
    </row>
    <row r="845">
      <c r="A845" s="1" t="s">
        <v>848</v>
      </c>
      <c r="B845" s="1" t="s">
        <v>5</v>
      </c>
      <c r="C845" s="2">
        <f>IFERROR(__xludf.DUMMYFUNCTION("IFERROR(VLOOKUP(A845, IMPORTRANGE(""https://docs.google.com/spreadsheets/d/1AVX9GT0dgogEBStecCXMMQ29tWz3gBrtNB8yIromXbY/edit?gid=741673867"", ""out1g!A:B""), 2, FALSE), 0)"),177.0)</f>
        <v>177</v>
      </c>
      <c r="D845" s="2" t="str">
        <f>IFERROR(__xludf.DUMMYFUNCTION("IFERROR(VLOOKUP(A845, IMPORTRANGE(""https://docs.google.com/spreadsheets/d/1-3Vjw2Cyy-mry5gbC8ypIR3YVGFfEpyFESummAta6sg/edit"", ""Sheet1!B:D""), 2, FALSE), ""Not Found"")"),"kɑb")</f>
        <v>kɑb</v>
      </c>
      <c r="E845" s="2" t="str">
        <f>IFERROR(__xludf.DUMMYFUNCTION("IFERROR(VLOOKUP(A845, IMPORTRANGE(""https://docs.google.com/spreadsheets/d/1-3Vjw2Cyy-mry5gbC8ypIR3YVGFfEpyFESummAta6sg/edit"", ""Sheet1!B:D""), 3, FALSE), ""Not Found"")"),"k ɑ b ")</f>
        <v>k ɑ b </v>
      </c>
    </row>
    <row r="846">
      <c r="A846" s="1" t="s">
        <v>849</v>
      </c>
      <c r="B846" s="1" t="s">
        <v>5</v>
      </c>
      <c r="C846" s="2">
        <f>IFERROR(__xludf.DUMMYFUNCTION("IFERROR(VLOOKUP(A846, IMPORTRANGE(""https://docs.google.com/spreadsheets/d/1AVX9GT0dgogEBStecCXMMQ29tWz3gBrtNB8yIromXbY/edit?gid=741673867"", ""out1g!A:B""), 2, FALSE), 0)"),2072.0)</f>
        <v>2072</v>
      </c>
      <c r="D846" s="2" t="str">
        <f>IFERROR(__xludf.DUMMYFUNCTION("IFERROR(VLOOKUP(A846, IMPORTRANGE(""https://docs.google.com/spreadsheets/d/1-3Vjw2Cyy-mry5gbC8ypIR3YVGFfEpyFESummAta6sg/edit"", ""Sheet1!B:D""), 2, FALSE), ""Not Found"")"),"stoʊn")</f>
        <v>stoʊn</v>
      </c>
      <c r="E846" s="2" t="str">
        <f>IFERROR(__xludf.DUMMYFUNCTION("IFERROR(VLOOKUP(A846, IMPORTRANGE(""https://docs.google.com/spreadsheets/d/1-3Vjw2Cyy-mry5gbC8ypIR3YVGFfEpyFESummAta6sg/edit"", ""Sheet1!B:D""), 3, FALSE), ""Not Found"")"),"s t o ʊ n ")</f>
        <v>s t o ʊ n </v>
      </c>
    </row>
    <row r="847">
      <c r="A847" s="1" t="s">
        <v>850</v>
      </c>
      <c r="B847" s="1" t="s">
        <v>5</v>
      </c>
      <c r="C847" s="2">
        <f>IFERROR(__xludf.DUMMYFUNCTION("IFERROR(VLOOKUP(A847, IMPORTRANGE(""https://docs.google.com/spreadsheets/d/1AVX9GT0dgogEBStecCXMMQ29tWz3gBrtNB8yIromXbY/edit?gid=741673867"", ""out1g!A:B""), 2, FALSE), 0)"),56.0)</f>
        <v>56</v>
      </c>
      <c r="D847" s="2" t="str">
        <f>IFERROR(__xludf.DUMMYFUNCTION("IFERROR(VLOOKUP(A847, IMPORTRANGE(""https://docs.google.com/spreadsheets/d/1-3Vjw2Cyy-mry5gbC8ypIR3YVGFfEpyFESummAta6sg/edit"", ""Sheet1!B:D""), 2, FALSE), ""Not Found"")"),"tælən")</f>
        <v>tælən</v>
      </c>
      <c r="E847" s="2" t="str">
        <f>IFERROR(__xludf.DUMMYFUNCTION("IFERROR(VLOOKUP(A847, IMPORTRANGE(""https://docs.google.com/spreadsheets/d/1-3Vjw2Cyy-mry5gbC8ypIR3YVGFfEpyFESummAta6sg/edit"", ""Sheet1!B:D""), 3, FALSE), ""Not Found"")"),"t æ l ə n ")</f>
        <v>t æ l ə n </v>
      </c>
    </row>
    <row r="848">
      <c r="A848" s="1" t="s">
        <v>851</v>
      </c>
      <c r="B848" s="1" t="s">
        <v>5</v>
      </c>
      <c r="C848" s="2">
        <f>IFERROR(__xludf.DUMMYFUNCTION("IFERROR(VLOOKUP(A848, IMPORTRANGE(""https://docs.google.com/spreadsheets/d/1AVX9GT0dgogEBStecCXMMQ29tWz3gBrtNB8yIromXbY/edit?gid=741673867"", ""out1g!A:B""), 2, FALSE), 0)"),1539.0)</f>
        <v>1539</v>
      </c>
      <c r="D848" s="2" t="str">
        <f>IFERROR(__xludf.DUMMYFUNCTION("IFERROR(VLOOKUP(A848, IMPORTRANGE(""https://docs.google.com/spreadsheets/d/1-3Vjw2Cyy-mry5gbC8ypIR3YVGFfEpyFESummAta6sg/edit"", ""Sheet1!B:D""), 2, FALSE), ""Not Found"")"),"ʤɛf")</f>
        <v>ʤɛf</v>
      </c>
      <c r="E848" s="2" t="str">
        <f>IFERROR(__xludf.DUMMYFUNCTION("IFERROR(VLOOKUP(A848, IMPORTRANGE(""https://docs.google.com/spreadsheets/d/1-3Vjw2Cyy-mry5gbC8ypIR3YVGFfEpyFESummAta6sg/edit"", ""Sheet1!B:D""), 3, FALSE), ""Not Found"")"),"ʤ ɛ f ")</f>
        <v>ʤ ɛ f </v>
      </c>
    </row>
    <row r="849">
      <c r="A849" s="1" t="s">
        <v>852</v>
      </c>
      <c r="B849" s="1" t="s">
        <v>5</v>
      </c>
      <c r="C849" s="2">
        <f>IFERROR(__xludf.DUMMYFUNCTION("IFERROR(VLOOKUP(A849, IMPORTRANGE(""https://docs.google.com/spreadsheets/d/1AVX9GT0dgogEBStecCXMMQ29tWz3gBrtNB8yIromXbY/edit?gid=741673867"", ""out1g!A:B""), 2, FALSE), 0)"),5613.0)</f>
        <v>5613</v>
      </c>
      <c r="D849" s="2" t="str">
        <f>IFERROR(__xludf.DUMMYFUNCTION("IFERROR(VLOOKUP(A849, IMPORTRANGE(""https://docs.google.com/spreadsheets/d/1-3Vjw2Cyy-mry5gbC8ypIR3YVGFfEpyFESummAta6sg/edit"", ""Sheet1!B:D""), 2, FALSE), ""Not Found"")"),"gɪvɪŋ")</f>
        <v>gɪvɪŋ</v>
      </c>
      <c r="E849" s="2" t="str">
        <f>IFERROR(__xludf.DUMMYFUNCTION("IFERROR(VLOOKUP(A849, IMPORTRANGE(""https://docs.google.com/spreadsheets/d/1-3Vjw2Cyy-mry5gbC8ypIR3YVGFfEpyFESummAta6sg/edit"", ""Sheet1!B:D""), 3, FALSE), ""Not Found"")"),"g ɪ v ɪ ŋ ")</f>
        <v>g ɪ v ɪ ŋ </v>
      </c>
    </row>
    <row r="850">
      <c r="A850" s="1" t="s">
        <v>853</v>
      </c>
      <c r="B850" s="1" t="s">
        <v>5</v>
      </c>
      <c r="C850" s="2">
        <f>IFERROR(__xludf.DUMMYFUNCTION("IFERROR(VLOOKUP(A850, IMPORTRANGE(""https://docs.google.com/spreadsheets/d/1AVX9GT0dgogEBStecCXMMQ29tWz3gBrtNB8yIromXbY/edit?gid=741673867"", ""out1g!A:B""), 2, FALSE), 0)"),82.0)</f>
        <v>82</v>
      </c>
      <c r="D850" s="2" t="str">
        <f>IFERROR(__xludf.DUMMYFUNCTION("IFERROR(VLOOKUP(A850, IMPORTRANGE(""https://docs.google.com/spreadsheets/d/1-3Vjw2Cyy-mry5gbC8ypIR3YVGFfEpyFESummAta6sg/edit"", ""Sheet1!B:D""), 2, FALSE), ""Not Found"")"),"roʊlərz")</f>
        <v>roʊlərz</v>
      </c>
      <c r="E850" s="2" t="str">
        <f>IFERROR(__xludf.DUMMYFUNCTION("IFERROR(VLOOKUP(A850, IMPORTRANGE(""https://docs.google.com/spreadsheets/d/1-3Vjw2Cyy-mry5gbC8ypIR3YVGFfEpyFESummAta6sg/edit"", ""Sheet1!B:D""), 3, FALSE), ""Not Found"")"),"r o ʊ l ə r z ")</f>
        <v>r o ʊ l ə r z </v>
      </c>
    </row>
    <row r="851">
      <c r="A851" s="1" t="s">
        <v>854</v>
      </c>
      <c r="B851" s="1" t="s">
        <v>5</v>
      </c>
      <c r="C851" s="2">
        <f>IFERROR(__xludf.DUMMYFUNCTION("IFERROR(VLOOKUP(A851, IMPORTRANGE(""https://docs.google.com/spreadsheets/d/1AVX9GT0dgogEBStecCXMMQ29tWz3gBrtNB8yIromXbY/edit?gid=741673867"", ""out1g!A:B""), 2, FALSE), 0)"),132.0)</f>
        <v>132</v>
      </c>
      <c r="D851" s="2" t="str">
        <f>IFERROR(__xludf.DUMMYFUNCTION("IFERROR(VLOOKUP(A851, IMPORTRANGE(""https://docs.google.com/spreadsheets/d/1-3Vjw2Cyy-mry5gbC8ypIR3YVGFfEpyFESummAta6sg/edit"", ""Sheet1!B:D""), 2, FALSE), ""Not Found"")"),"waɪzər")</f>
        <v>waɪzər</v>
      </c>
      <c r="E851" s="2" t="str">
        <f>IFERROR(__xludf.DUMMYFUNCTION("IFERROR(VLOOKUP(A851, IMPORTRANGE(""https://docs.google.com/spreadsheets/d/1-3Vjw2Cyy-mry5gbC8ypIR3YVGFfEpyFESummAta6sg/edit"", ""Sheet1!B:D""), 3, FALSE), ""Not Found"")"),"w a ɪ z ə r ")</f>
        <v>w a ɪ z ə r </v>
      </c>
    </row>
    <row r="852">
      <c r="A852" s="1" t="s">
        <v>855</v>
      </c>
      <c r="B852" s="1" t="s">
        <v>5</v>
      </c>
      <c r="C852" s="2">
        <f>IFERROR(__xludf.DUMMYFUNCTION("IFERROR(VLOOKUP(A852, IMPORTRANGE(""https://docs.google.com/spreadsheets/d/1AVX9GT0dgogEBStecCXMMQ29tWz3gBrtNB8yIromXbY/edit?gid=741673867"", ""out1g!A:B""), 2, FALSE), 0)"),567.0)</f>
        <v>567</v>
      </c>
      <c r="D852" s="2" t="str">
        <f>IFERROR(__xludf.DUMMYFUNCTION("IFERROR(VLOOKUP(A852, IMPORTRANGE(""https://docs.google.com/spreadsheets/d/1-3Vjw2Cyy-mry5gbC8ypIR3YVGFfEpyFESummAta6sg/edit"", ""Sheet1!B:D""), 2, FALSE), ""Not Found"")"),"tulz")</f>
        <v>tulz</v>
      </c>
      <c r="E852" s="2" t="str">
        <f>IFERROR(__xludf.DUMMYFUNCTION("IFERROR(VLOOKUP(A852, IMPORTRANGE(""https://docs.google.com/spreadsheets/d/1-3Vjw2Cyy-mry5gbC8ypIR3YVGFfEpyFESummAta6sg/edit"", ""Sheet1!B:D""), 3, FALSE), ""Not Found"")"),"t u l z ")</f>
        <v>t u l z </v>
      </c>
    </row>
    <row r="853">
      <c r="A853" s="1" t="s">
        <v>856</v>
      </c>
      <c r="B853" s="1" t="s">
        <v>5</v>
      </c>
      <c r="C853" s="2">
        <f>IFERROR(__xludf.DUMMYFUNCTION("IFERROR(VLOOKUP(A853, IMPORTRANGE(""https://docs.google.com/spreadsheets/d/1AVX9GT0dgogEBStecCXMMQ29tWz3gBrtNB8yIromXbY/edit?gid=741673867"", ""out1g!A:B""), 2, FALSE), 0)"),1320.0)</f>
        <v>1320</v>
      </c>
      <c r="D853" s="2" t="str">
        <f>IFERROR(__xludf.DUMMYFUNCTION("IFERROR(VLOOKUP(A853, IMPORTRANGE(""https://docs.google.com/spreadsheets/d/1-3Vjw2Cyy-mry5gbC8ypIR3YVGFfEpyFESummAta6sg/edit"", ""Sheet1!B:D""), 2, FALSE), ""Not Found"")"),"baɪk")</f>
        <v>baɪk</v>
      </c>
      <c r="E853" s="2" t="str">
        <f>IFERROR(__xludf.DUMMYFUNCTION("IFERROR(VLOOKUP(A853, IMPORTRANGE(""https://docs.google.com/spreadsheets/d/1-3Vjw2Cyy-mry5gbC8ypIR3YVGFfEpyFESummAta6sg/edit"", ""Sheet1!B:D""), 3, FALSE), ""Not Found"")"),"b a ɪ k ")</f>
        <v>b a ɪ k </v>
      </c>
    </row>
    <row r="854">
      <c r="A854" s="1" t="s">
        <v>857</v>
      </c>
      <c r="B854" s="1" t="s">
        <v>5</v>
      </c>
      <c r="C854" s="2">
        <f>IFERROR(__xludf.DUMMYFUNCTION("IFERROR(VLOOKUP(A854, IMPORTRANGE(""https://docs.google.com/spreadsheets/d/1AVX9GT0dgogEBStecCXMMQ29tWz3gBrtNB8yIromXbY/edit?gid=741673867"", ""out1g!A:B""), 2, FALSE), 0)"),428.0)</f>
        <v>428</v>
      </c>
      <c r="D854" s="2" t="str">
        <f>IFERROR(__xludf.DUMMYFUNCTION("IFERROR(VLOOKUP(A854, IMPORTRANGE(""https://docs.google.com/spreadsheets/d/1-3Vjw2Cyy-mry5gbC8ypIR3YVGFfEpyFESummAta6sg/edit"", ""Sheet1!B:D""), 2, FALSE), ""Not Found"")"),"sinz")</f>
        <v>sinz</v>
      </c>
      <c r="E854" s="2" t="str">
        <f>IFERROR(__xludf.DUMMYFUNCTION("IFERROR(VLOOKUP(A854, IMPORTRANGE(""https://docs.google.com/spreadsheets/d/1-3Vjw2Cyy-mry5gbC8ypIR3YVGFfEpyFESummAta6sg/edit"", ""Sheet1!B:D""), 3, FALSE), ""Not Found"")"),"s i n z ")</f>
        <v>s i n z </v>
      </c>
    </row>
    <row r="855">
      <c r="A855" s="1" t="s">
        <v>858</v>
      </c>
      <c r="B855" s="1" t="s">
        <v>5</v>
      </c>
      <c r="C855" s="2">
        <f>IFERROR(__xludf.DUMMYFUNCTION("IFERROR(VLOOKUP(A855, IMPORTRANGE(""https://docs.google.com/spreadsheets/d/1AVX9GT0dgogEBStecCXMMQ29tWz3gBrtNB8yIromXbY/edit?gid=741673867"", ""out1g!A:B""), 2, FALSE), 0)"),88.0)</f>
        <v>88</v>
      </c>
      <c r="D855" s="2" t="str">
        <f>IFERROR(__xludf.DUMMYFUNCTION("IFERROR(VLOOKUP(A855, IMPORTRANGE(""https://docs.google.com/spreadsheets/d/1-3Vjw2Cyy-mry5gbC8ypIR3YVGFfEpyFESummAta6sg/edit"", ""Sheet1!B:D""), 2, FALSE), ""Not Found"")"),"gæsp")</f>
        <v>gæsp</v>
      </c>
      <c r="E855" s="2" t="str">
        <f>IFERROR(__xludf.DUMMYFUNCTION("IFERROR(VLOOKUP(A855, IMPORTRANGE(""https://docs.google.com/spreadsheets/d/1-3Vjw2Cyy-mry5gbC8ypIR3YVGFfEpyFESummAta6sg/edit"", ""Sheet1!B:D""), 3, FALSE), ""Not Found"")"),"g æ s p ")</f>
        <v>g æ s p </v>
      </c>
    </row>
    <row r="856">
      <c r="A856" s="1" t="s">
        <v>859</v>
      </c>
      <c r="B856" s="1" t="s">
        <v>5</v>
      </c>
      <c r="C856" s="2">
        <f>IFERROR(__xludf.DUMMYFUNCTION("IFERROR(VLOOKUP(A856, IMPORTRANGE(""https://docs.google.com/spreadsheets/d/1AVX9GT0dgogEBStecCXMMQ29tWz3gBrtNB8yIromXbY/edit?gid=741673867"", ""out1g!A:B""), 2, FALSE), 0)"),1705.0)</f>
        <v>1705</v>
      </c>
      <c r="D856" s="2" t="str">
        <f>IFERROR(__xludf.DUMMYFUNCTION("IFERROR(VLOOKUP(A856, IMPORTRANGE(""https://docs.google.com/spreadsheets/d/1-3Vjw2Cyy-mry5gbC8ypIR3YVGFfEpyFESummAta6sg/edit"", ""Sheet1!B:D""), 2, FALSE), ""Not Found"")"),"ɪrz")</f>
        <v>ɪrz</v>
      </c>
      <c r="E856" s="2" t="str">
        <f>IFERROR(__xludf.DUMMYFUNCTION("IFERROR(VLOOKUP(A856, IMPORTRANGE(""https://docs.google.com/spreadsheets/d/1-3Vjw2Cyy-mry5gbC8ypIR3YVGFfEpyFESummAta6sg/edit"", ""Sheet1!B:D""), 3, FALSE), ""Not Found"")"),"ɪ r z ")</f>
        <v>ɪ r z </v>
      </c>
    </row>
    <row r="857">
      <c r="A857" s="1" t="s">
        <v>860</v>
      </c>
      <c r="B857" s="1" t="s">
        <v>5</v>
      </c>
      <c r="C857" s="2">
        <f>IFERROR(__xludf.DUMMYFUNCTION("IFERROR(VLOOKUP(A857, IMPORTRANGE(""https://docs.google.com/spreadsheets/d/1AVX9GT0dgogEBStecCXMMQ29tWz3gBrtNB8yIromXbY/edit?gid=741673867"", ""out1g!A:B""), 2, FALSE), 0)"),536.0)</f>
        <v>536</v>
      </c>
      <c r="D857" s="2" t="str">
        <f>IFERROR(__xludf.DUMMYFUNCTION("IFERROR(VLOOKUP(A857, IMPORTRANGE(""https://docs.google.com/spreadsheets/d/1-3Vjw2Cyy-mry5gbC8ypIR3YVGFfEpyFESummAta6sg/edit"", ""Sheet1!B:D""), 2, FALSE), ""Not Found"")"),"kɑlər")</f>
        <v>kɑlər</v>
      </c>
      <c r="E857" s="2" t="str">
        <f>IFERROR(__xludf.DUMMYFUNCTION("IFERROR(VLOOKUP(A857, IMPORTRANGE(""https://docs.google.com/spreadsheets/d/1-3Vjw2Cyy-mry5gbC8ypIR3YVGFfEpyFESummAta6sg/edit"", ""Sheet1!B:D""), 3, FALSE), ""Not Found"")"),"k ɑ l ə r ")</f>
        <v>k ɑ l ə r </v>
      </c>
    </row>
    <row r="858">
      <c r="A858" s="1" t="s">
        <v>861</v>
      </c>
      <c r="B858" s="1" t="s">
        <v>5</v>
      </c>
      <c r="C858" s="2">
        <f>IFERROR(__xludf.DUMMYFUNCTION("IFERROR(VLOOKUP(A858, IMPORTRANGE(""https://docs.google.com/spreadsheets/d/1AVX9GT0dgogEBStecCXMMQ29tWz3gBrtNB8yIromXbY/edit?gid=741673867"", ""out1g!A:B""), 2, FALSE), 0)"),77.0)</f>
        <v>77</v>
      </c>
      <c r="D858" s="2" t="str">
        <f>IFERROR(__xludf.DUMMYFUNCTION("IFERROR(VLOOKUP(A858, IMPORTRANGE(""https://docs.google.com/spreadsheets/d/1-3Vjw2Cyy-mry5gbC8ypIR3YVGFfEpyFESummAta6sg/edit"", ""Sheet1!B:D""), 2, FALSE), ""Not Found"")"),"kumz")</f>
        <v>kumz</v>
      </c>
      <c r="E858" s="2" t="str">
        <f>IFERROR(__xludf.DUMMYFUNCTION("IFERROR(VLOOKUP(A858, IMPORTRANGE(""https://docs.google.com/spreadsheets/d/1-3Vjw2Cyy-mry5gbC8ypIR3YVGFfEpyFESummAta6sg/edit"", ""Sheet1!B:D""), 3, FALSE), ""Not Found"")"),"k u m z ")</f>
        <v>k u m z </v>
      </c>
    </row>
    <row r="859">
      <c r="A859" s="1" t="s">
        <v>862</v>
      </c>
      <c r="B859" s="1" t="s">
        <v>5</v>
      </c>
      <c r="C859" s="2">
        <f>IFERROR(__xludf.DUMMYFUNCTION("IFERROR(VLOOKUP(A859, IMPORTRANGE(""https://docs.google.com/spreadsheets/d/1AVX9GT0dgogEBStecCXMMQ29tWz3gBrtNB8yIromXbY/edit?gid=741673867"", ""out1g!A:B""), 2, FALSE), 0)"),382.0)</f>
        <v>382</v>
      </c>
      <c r="D859" s="2" t="str">
        <f>IFERROR(__xludf.DUMMYFUNCTION("IFERROR(VLOOKUP(A859, IMPORTRANGE(""https://docs.google.com/spreadsheets/d/1-3Vjw2Cyy-mry5gbC8ypIR3YVGFfEpyFESummAta6sg/edit"", ""Sheet1!B:D""), 2, FALSE), ""Not Found"")"),"skaɪz")</f>
        <v>skaɪz</v>
      </c>
      <c r="E859" s="2" t="str">
        <f>IFERROR(__xludf.DUMMYFUNCTION("IFERROR(VLOOKUP(A859, IMPORTRANGE(""https://docs.google.com/spreadsheets/d/1-3Vjw2Cyy-mry5gbC8ypIR3YVGFfEpyFESummAta6sg/edit"", ""Sheet1!B:D""), 3, FALSE), ""Not Found"")"),"s k a ɪ z ")</f>
        <v>s k a ɪ z </v>
      </c>
    </row>
    <row r="860">
      <c r="A860" s="1" t="s">
        <v>863</v>
      </c>
      <c r="B860" s="1" t="s">
        <v>5</v>
      </c>
      <c r="C860" s="2">
        <f>IFERROR(__xludf.DUMMYFUNCTION("IFERROR(VLOOKUP(A860, IMPORTRANGE(""https://docs.google.com/spreadsheets/d/1AVX9GT0dgogEBStecCXMMQ29tWz3gBrtNB8yIromXbY/edit?gid=741673867"", ""out1g!A:B""), 2, FALSE), 0)"),100.0)</f>
        <v>100</v>
      </c>
      <c r="D860" s="2" t="str">
        <f>IFERROR(__xludf.DUMMYFUNCTION("IFERROR(VLOOKUP(A860, IMPORTRANGE(""https://docs.google.com/spreadsheets/d/1-3Vjw2Cyy-mry5gbC8ypIR3YVGFfEpyFESummAta6sg/edit"", ""Sheet1!B:D""), 2, FALSE), ""Not Found"")"),"hæʧət")</f>
        <v>hæʧət</v>
      </c>
      <c r="E860" s="2" t="str">
        <f>IFERROR(__xludf.DUMMYFUNCTION("IFERROR(VLOOKUP(A860, IMPORTRANGE(""https://docs.google.com/spreadsheets/d/1-3Vjw2Cyy-mry5gbC8ypIR3YVGFfEpyFESummAta6sg/edit"", ""Sheet1!B:D""), 3, FALSE), ""Not Found"")"),"h æ ʧ ə t ")</f>
        <v>h æ ʧ ə t </v>
      </c>
    </row>
    <row r="861">
      <c r="A861" s="1" t="s">
        <v>864</v>
      </c>
      <c r="B861" s="1" t="s">
        <v>5</v>
      </c>
      <c r="C861" s="2">
        <f>IFERROR(__xludf.DUMMYFUNCTION("IFERROR(VLOOKUP(A861, IMPORTRANGE(""https://docs.google.com/spreadsheets/d/1AVX9GT0dgogEBStecCXMMQ29tWz3gBrtNB8yIromXbY/edit?gid=741673867"", ""out1g!A:B""), 2, FALSE), 0)"),297.0)</f>
        <v>297</v>
      </c>
      <c r="D861" s="2" t="str">
        <f>IFERROR(__xludf.DUMMYFUNCTION("IFERROR(VLOOKUP(A861, IMPORTRANGE(""https://docs.google.com/spreadsheets/d/1-3Vjw2Cyy-mry5gbC8ypIR3YVGFfEpyFESummAta6sg/edit"", ""Sheet1!B:D""), 2, FALSE), ""Not Found"")"),"məfən")</f>
        <v>məfən</v>
      </c>
      <c r="E861" s="2" t="str">
        <f>IFERROR(__xludf.DUMMYFUNCTION("IFERROR(VLOOKUP(A861, IMPORTRANGE(""https://docs.google.com/spreadsheets/d/1-3Vjw2Cyy-mry5gbC8ypIR3YVGFfEpyFESummAta6sg/edit"", ""Sheet1!B:D""), 3, FALSE), ""Not Found"")"),"m ə f ə n ")</f>
        <v>m ə f ə n </v>
      </c>
    </row>
    <row r="862">
      <c r="A862" s="1" t="s">
        <v>865</v>
      </c>
      <c r="B862" s="1" t="s">
        <v>5</v>
      </c>
      <c r="C862" s="2">
        <f>IFERROR(__xludf.DUMMYFUNCTION("IFERROR(VLOOKUP(A862, IMPORTRANGE(""https://docs.google.com/spreadsheets/d/1AVX9GT0dgogEBStecCXMMQ29tWz3gBrtNB8yIromXbY/edit?gid=741673867"", ""out1g!A:B""), 2, FALSE), 0)"),5588.0)</f>
        <v>5588</v>
      </c>
      <c r="D862" s="2" t="str">
        <f>IFERROR(__xludf.DUMMYFUNCTION("IFERROR(VLOOKUP(A862, IMPORTRANGE(""https://docs.google.com/spreadsheets/d/1-3Vjw2Cyy-mry5gbC8ypIR3YVGFfEpyFESummAta6sg/edit"", ""Sheet1!B:D""), 2, FALSE), ""Not Found"")"),"tɑm")</f>
        <v>tɑm</v>
      </c>
      <c r="E862" s="2" t="str">
        <f>IFERROR(__xludf.DUMMYFUNCTION("IFERROR(VLOOKUP(A862, IMPORTRANGE(""https://docs.google.com/spreadsheets/d/1-3Vjw2Cyy-mry5gbC8ypIR3YVGFfEpyFESummAta6sg/edit"", ""Sheet1!B:D""), 3, FALSE), ""Not Found"")"),"t ɑ m ")</f>
        <v>t ɑ m </v>
      </c>
    </row>
    <row r="863">
      <c r="A863" s="1" t="s">
        <v>866</v>
      </c>
      <c r="B863" s="1" t="s">
        <v>5</v>
      </c>
      <c r="C863" s="2">
        <f>IFERROR(__xludf.DUMMYFUNCTION("IFERROR(VLOOKUP(A863, IMPORTRANGE(""https://docs.google.com/spreadsheets/d/1AVX9GT0dgogEBStecCXMMQ29tWz3gBrtNB8yIromXbY/edit?gid=741673867"", ""out1g!A:B""), 2, FALSE), 0)"),268.0)</f>
        <v>268</v>
      </c>
      <c r="D863" s="2" t="str">
        <f>IFERROR(__xludf.DUMMYFUNCTION("IFERROR(VLOOKUP(A863, IMPORTRANGE(""https://docs.google.com/spreadsheets/d/1-3Vjw2Cyy-mry5gbC8ypIR3YVGFfEpyFESummAta6sg/edit"", ""Sheet1!B:D""), 2, FALSE), ""Not Found"")"),"soʊl")</f>
        <v>soʊl</v>
      </c>
      <c r="E863" s="2" t="str">
        <f>IFERROR(__xludf.DUMMYFUNCTION("IFERROR(VLOOKUP(A863, IMPORTRANGE(""https://docs.google.com/spreadsheets/d/1-3Vjw2Cyy-mry5gbC8ypIR3YVGFfEpyFESummAta6sg/edit"", ""Sheet1!B:D""), 3, FALSE), ""Not Found"")"),"s o ʊ l ")</f>
        <v>s o ʊ l </v>
      </c>
    </row>
    <row r="864">
      <c r="A864" s="1" t="s">
        <v>867</v>
      </c>
      <c r="B864" s="1" t="s">
        <v>5</v>
      </c>
      <c r="C864" s="2">
        <f>IFERROR(__xludf.DUMMYFUNCTION("IFERROR(VLOOKUP(A864, IMPORTRANGE(""https://docs.google.com/spreadsheets/d/1AVX9GT0dgogEBStecCXMMQ29tWz3gBrtNB8yIromXbY/edit?gid=741673867"", ""out1g!A:B""), 2, FALSE), 0)"),62.0)</f>
        <v>62</v>
      </c>
      <c r="D864" s="2" t="str">
        <f>IFERROR(__xludf.DUMMYFUNCTION("IFERROR(VLOOKUP(A864, IMPORTRANGE(""https://docs.google.com/spreadsheets/d/1-3Vjw2Cyy-mry5gbC8ypIR3YVGFfEpyFESummAta6sg/edit"", ""Sheet1!B:D""), 2, FALSE), ""Not Found"")"),"sɛlvz")</f>
        <v>sɛlvz</v>
      </c>
      <c r="E864" s="2" t="str">
        <f>IFERROR(__xludf.DUMMYFUNCTION("IFERROR(VLOOKUP(A864, IMPORTRANGE(""https://docs.google.com/spreadsheets/d/1-3Vjw2Cyy-mry5gbC8ypIR3YVGFfEpyFESummAta6sg/edit"", ""Sheet1!B:D""), 3, FALSE), ""Not Found"")"),"s ɛ l v z ")</f>
        <v>s ɛ l v z </v>
      </c>
    </row>
    <row r="865">
      <c r="A865" s="1" t="s">
        <v>868</v>
      </c>
      <c r="B865" s="1" t="s">
        <v>5</v>
      </c>
      <c r="C865" s="2">
        <f>IFERROR(__xludf.DUMMYFUNCTION("IFERROR(VLOOKUP(A865, IMPORTRANGE(""https://docs.google.com/spreadsheets/d/1AVX9GT0dgogEBStecCXMMQ29tWz3gBrtNB8yIromXbY/edit?gid=741673867"", ""out1g!A:B""), 2, FALSE), 0)"),195.0)</f>
        <v>195</v>
      </c>
      <c r="D865" s="2" t="str">
        <f>IFERROR(__xludf.DUMMYFUNCTION("IFERROR(VLOOKUP(A865, IMPORTRANGE(""https://docs.google.com/spreadsheets/d/1-3Vjw2Cyy-mry5gbC8ypIR3YVGFfEpyFESummAta6sg/edit"", ""Sheet1!B:D""), 2, FALSE), ""Not Found"")"),"əlæs")</f>
        <v>əlæs</v>
      </c>
      <c r="E865" s="2" t="str">
        <f>IFERROR(__xludf.DUMMYFUNCTION("IFERROR(VLOOKUP(A865, IMPORTRANGE(""https://docs.google.com/spreadsheets/d/1-3Vjw2Cyy-mry5gbC8ypIR3YVGFfEpyFESummAta6sg/edit"", ""Sheet1!B:D""), 3, FALSE), ""Not Found"")"),"ə l æ s ")</f>
        <v>ə l æ s </v>
      </c>
    </row>
    <row r="866">
      <c r="A866" s="1" t="s">
        <v>869</v>
      </c>
      <c r="B866" s="1" t="s">
        <v>5</v>
      </c>
      <c r="C866" s="2">
        <f>IFERROR(__xludf.DUMMYFUNCTION("IFERROR(VLOOKUP(A866, IMPORTRANGE(""https://docs.google.com/spreadsheets/d/1AVX9GT0dgogEBStecCXMMQ29tWz3gBrtNB8yIromXbY/edit?gid=741673867"", ""out1g!A:B""), 2, FALSE), 0)"),63.0)</f>
        <v>63</v>
      </c>
      <c r="D866" s="2" t="str">
        <f>IFERROR(__xludf.DUMMYFUNCTION("IFERROR(VLOOKUP(A866, IMPORTRANGE(""https://docs.google.com/spreadsheets/d/1-3Vjw2Cyy-mry5gbC8ypIR3YVGFfEpyFESummAta6sg/edit"", ""Sheet1!B:D""), 2, FALSE), ""Not Found"")"),"nɛroʊz")</f>
        <v>nɛroʊz</v>
      </c>
      <c r="E866" s="2" t="str">
        <f>IFERROR(__xludf.DUMMYFUNCTION("IFERROR(VLOOKUP(A866, IMPORTRANGE(""https://docs.google.com/spreadsheets/d/1-3Vjw2Cyy-mry5gbC8ypIR3YVGFfEpyFESummAta6sg/edit"", ""Sheet1!B:D""), 3, FALSE), ""Not Found"")"),"n ɛ r o ʊ z ")</f>
        <v>n ɛ r o ʊ z </v>
      </c>
    </row>
    <row r="867">
      <c r="A867" s="1" t="s">
        <v>870</v>
      </c>
      <c r="B867" s="1" t="s">
        <v>5</v>
      </c>
      <c r="C867" s="2">
        <f>IFERROR(__xludf.DUMMYFUNCTION("IFERROR(VLOOKUP(A867, IMPORTRANGE(""https://docs.google.com/spreadsheets/d/1AVX9GT0dgogEBStecCXMMQ29tWz3gBrtNB8yIromXbY/edit?gid=741673867"", ""out1g!A:B""), 2, FALSE), 0)"),1932.0)</f>
        <v>1932</v>
      </c>
      <c r="D867" s="2" t="str">
        <f>IFERROR(__xludf.DUMMYFUNCTION("IFERROR(VLOOKUP(A867, IMPORTRANGE(""https://docs.google.com/spreadsheets/d/1-3Vjw2Cyy-mry5gbC8ypIR3YVGFfEpyFESummAta6sg/edit"", ""Sheet1!B:D""), 2, FALSE), ""Not Found"")"),"ər")</f>
        <v>ər</v>
      </c>
      <c r="E867" s="2" t="str">
        <f>IFERROR(__xludf.DUMMYFUNCTION("IFERROR(VLOOKUP(A867, IMPORTRANGE(""https://docs.google.com/spreadsheets/d/1-3Vjw2Cyy-mry5gbC8ypIR3YVGFfEpyFESummAta6sg/edit"", ""Sheet1!B:D""), 3, FALSE), ""Not Found"")"),"ə r ")</f>
        <v>ə r </v>
      </c>
    </row>
    <row r="868">
      <c r="A868" s="1" t="s">
        <v>871</v>
      </c>
      <c r="B868" s="1" t="s">
        <v>5</v>
      </c>
      <c r="C868" s="2">
        <f>IFERROR(__xludf.DUMMYFUNCTION("IFERROR(VLOOKUP(A868, IMPORTRANGE(""https://docs.google.com/spreadsheets/d/1AVX9GT0dgogEBStecCXMMQ29tWz3gBrtNB8yIromXbY/edit?gid=741673867"", ""out1g!A:B""), 2, FALSE), 0)"),876.0)</f>
        <v>876</v>
      </c>
      <c r="D868" s="2" t="str">
        <f>IFERROR(__xludf.DUMMYFUNCTION("IFERROR(VLOOKUP(A868, IMPORTRANGE(""https://docs.google.com/spreadsheets/d/1-3Vjw2Cyy-mry5gbC8ypIR3YVGFfEpyFESummAta6sg/edit"", ""Sheet1!B:D""), 2, FALSE), ""Not Found"")"),"θərdi")</f>
        <v>θərdi</v>
      </c>
      <c r="E868" s="2" t="str">
        <f>IFERROR(__xludf.DUMMYFUNCTION("IFERROR(VLOOKUP(A868, IMPORTRANGE(""https://docs.google.com/spreadsheets/d/1-3Vjw2Cyy-mry5gbC8ypIR3YVGFfEpyFESummAta6sg/edit"", ""Sheet1!B:D""), 3, FALSE), ""Not Found"")"),"θ ə r d i ")</f>
        <v>θ ə r d i </v>
      </c>
    </row>
    <row r="869">
      <c r="A869" s="1" t="s">
        <v>872</v>
      </c>
      <c r="B869" s="1" t="s">
        <v>5</v>
      </c>
      <c r="C869" s="2">
        <f>IFERROR(__xludf.DUMMYFUNCTION("IFERROR(VLOOKUP(A869, IMPORTRANGE(""https://docs.google.com/spreadsheets/d/1AVX9GT0dgogEBStecCXMMQ29tWz3gBrtNB8yIromXbY/edit?gid=741673867"", ""out1g!A:B""), 2, FALSE), 0)"),366.0)</f>
        <v>366</v>
      </c>
      <c r="D869" s="2" t="str">
        <f>IFERROR(__xludf.DUMMYFUNCTION("IFERROR(VLOOKUP(A869, IMPORTRANGE(""https://docs.google.com/spreadsheets/d/1-3Vjw2Cyy-mry5gbC8ypIR3YVGFfEpyFESummAta6sg/edit"", ""Sheet1!B:D""), 2, FALSE), ""Not Found"")"),"ʧæd")</f>
        <v>ʧæd</v>
      </c>
      <c r="E869" s="2" t="str">
        <f>IFERROR(__xludf.DUMMYFUNCTION("IFERROR(VLOOKUP(A869, IMPORTRANGE(""https://docs.google.com/spreadsheets/d/1-3Vjw2Cyy-mry5gbC8ypIR3YVGFfEpyFESummAta6sg/edit"", ""Sheet1!B:D""), 3, FALSE), ""Not Found"")"),"ʧ æ d ")</f>
        <v>ʧ æ d </v>
      </c>
    </row>
    <row r="870">
      <c r="A870" s="1" t="s">
        <v>873</v>
      </c>
      <c r="B870" s="1" t="s">
        <v>5</v>
      </c>
      <c r="C870" s="2">
        <f>IFERROR(__xludf.DUMMYFUNCTION("IFERROR(VLOOKUP(A870, IMPORTRANGE(""https://docs.google.com/spreadsheets/d/1AVX9GT0dgogEBStecCXMMQ29tWz3gBrtNB8yIromXbY/edit?gid=741673867"", ""out1g!A:B""), 2, FALSE), 0)"),663.0)</f>
        <v>663</v>
      </c>
      <c r="D870" s="2" t="str">
        <f>IFERROR(__xludf.DUMMYFUNCTION("IFERROR(VLOOKUP(A870, IMPORTRANGE(""https://docs.google.com/spreadsheets/d/1-3Vjw2Cyy-mry5gbC8ypIR3YVGFfEpyFESummAta6sg/edit"", ""Sheet1!B:D""), 2, FALSE), ""Not Found"")"),"bled")</f>
        <v>bled</v>
      </c>
      <c r="E870" s="2" t="str">
        <f>IFERROR(__xludf.DUMMYFUNCTION("IFERROR(VLOOKUP(A870, IMPORTRANGE(""https://docs.google.com/spreadsheets/d/1-3Vjw2Cyy-mry5gbC8ypIR3YVGFfEpyFESummAta6sg/edit"", ""Sheet1!B:D""), 3, FALSE), ""Not Found"")"),"b l e d ")</f>
        <v>b l e d </v>
      </c>
    </row>
    <row r="871">
      <c r="A871" s="1" t="s">
        <v>874</v>
      </c>
      <c r="B871" s="1" t="s">
        <v>5</v>
      </c>
      <c r="C871" s="2">
        <f>IFERROR(__xludf.DUMMYFUNCTION("IFERROR(VLOOKUP(A871, IMPORTRANGE(""https://docs.google.com/spreadsheets/d/1AVX9GT0dgogEBStecCXMMQ29tWz3gBrtNB8yIromXbY/edit?gid=741673867"", ""out1g!A:B""), 2, FALSE), 0)"),1585.0)</f>
        <v>1585</v>
      </c>
      <c r="D871" s="2" t="str">
        <f>IFERROR(__xludf.DUMMYFUNCTION("IFERROR(VLOOKUP(A871, IMPORTRANGE(""https://docs.google.com/spreadsheets/d/1-3Vjw2Cyy-mry5gbC8ypIR3YVGFfEpyFESummAta6sg/edit"", ""Sheet1!B:D""), 2, FALSE), ""Not Found"")"),"məsjər")</f>
        <v>məsjər</v>
      </c>
      <c r="E871" s="2" t="str">
        <f>IFERROR(__xludf.DUMMYFUNCTION("IFERROR(VLOOKUP(A871, IMPORTRANGE(""https://docs.google.com/spreadsheets/d/1-3Vjw2Cyy-mry5gbC8ypIR3YVGFfEpyFESummAta6sg/edit"", ""Sheet1!B:D""), 3, FALSE), ""Not Found"")"),"m ə s j ə r ")</f>
        <v>m ə s j ə r </v>
      </c>
    </row>
    <row r="872">
      <c r="A872" s="1" t="s">
        <v>875</v>
      </c>
      <c r="B872" s="1" t="s">
        <v>5</v>
      </c>
      <c r="C872" s="2">
        <f>IFERROR(__xludf.DUMMYFUNCTION("IFERROR(VLOOKUP(A872, IMPORTRANGE(""https://docs.google.com/spreadsheets/d/1AVX9GT0dgogEBStecCXMMQ29tWz3gBrtNB8yIromXbY/edit?gid=741673867"", ""out1g!A:B""), 2, FALSE), 0)"),46.0)</f>
        <v>46</v>
      </c>
      <c r="D872" s="2" t="str">
        <f>IFERROR(__xludf.DUMMYFUNCTION("IFERROR(VLOOKUP(A872, IMPORTRANGE(""https://docs.google.com/spreadsheets/d/1-3Vjw2Cyy-mry5gbC8ypIR3YVGFfEpyFESummAta6sg/edit"", ""Sheet1!B:D""), 2, FALSE), ""Not Found"")"),"stimi")</f>
        <v>stimi</v>
      </c>
      <c r="E872" s="2" t="str">
        <f>IFERROR(__xludf.DUMMYFUNCTION("IFERROR(VLOOKUP(A872, IMPORTRANGE(""https://docs.google.com/spreadsheets/d/1-3Vjw2Cyy-mry5gbC8ypIR3YVGFfEpyFESummAta6sg/edit"", ""Sheet1!B:D""), 3, FALSE), ""Not Found"")"),"s t i m i ")</f>
        <v>s t i m i </v>
      </c>
    </row>
    <row r="873">
      <c r="A873" s="1" t="s">
        <v>876</v>
      </c>
      <c r="B873" s="1" t="s">
        <v>5</v>
      </c>
      <c r="C873" s="2">
        <f>IFERROR(__xludf.DUMMYFUNCTION("IFERROR(VLOOKUP(A873, IMPORTRANGE(""https://docs.google.com/spreadsheets/d/1AVX9GT0dgogEBStecCXMMQ29tWz3gBrtNB8yIromXbY/edit?gid=741673867"", ""out1g!A:B""), 2, FALSE), 0)"),1985.0)</f>
        <v>1985</v>
      </c>
      <c r="D873" s="2" t="str">
        <f>IFERROR(__xludf.DUMMYFUNCTION("IFERROR(VLOOKUP(A873, IMPORTRANGE(""https://docs.google.com/spreadsheets/d/1-3Vjw2Cyy-mry5gbC8ypIR3YVGFfEpyFESummAta6sg/edit"", ""Sheet1!B:D""), 2, FALSE), ""Not Found"")"),"soʊlʤər")</f>
        <v>soʊlʤər</v>
      </c>
      <c r="E873" s="2" t="str">
        <f>IFERROR(__xludf.DUMMYFUNCTION("IFERROR(VLOOKUP(A873, IMPORTRANGE(""https://docs.google.com/spreadsheets/d/1-3Vjw2Cyy-mry5gbC8ypIR3YVGFfEpyFESummAta6sg/edit"", ""Sheet1!B:D""), 3, FALSE), ""Not Found"")"),"s o ʊ l ʤ ə r ")</f>
        <v>s o ʊ l ʤ ə r </v>
      </c>
    </row>
    <row r="874">
      <c r="A874" s="1" t="s">
        <v>877</v>
      </c>
      <c r="B874" s="1" t="s">
        <v>5</v>
      </c>
      <c r="C874" s="2">
        <f>IFERROR(__xludf.DUMMYFUNCTION("IFERROR(VLOOKUP(A874, IMPORTRANGE(""https://docs.google.com/spreadsheets/d/1AVX9GT0dgogEBStecCXMMQ29tWz3gBrtNB8yIromXbY/edit?gid=741673867"", ""out1g!A:B""), 2, FALSE), 0)"),1093.0)</f>
        <v>1093</v>
      </c>
      <c r="D874" s="2" t="str">
        <f>IFERROR(__xludf.DUMMYFUNCTION("IFERROR(VLOOKUP(A874, IMPORTRANGE(""https://docs.google.com/spreadsheets/d/1-3Vjw2Cyy-mry5gbC8ypIR3YVGFfEpyFESummAta6sg/edit"", ""Sheet1!B:D""), 2, FALSE), ""Not Found"")"),"wɪli")</f>
        <v>wɪli</v>
      </c>
      <c r="E874" s="2" t="str">
        <f>IFERROR(__xludf.DUMMYFUNCTION("IFERROR(VLOOKUP(A874, IMPORTRANGE(""https://docs.google.com/spreadsheets/d/1-3Vjw2Cyy-mry5gbC8ypIR3YVGFfEpyFESummAta6sg/edit"", ""Sheet1!B:D""), 3, FALSE), ""Not Found"")"),"w ɪ l i ")</f>
        <v>w ɪ l i </v>
      </c>
    </row>
    <row r="875">
      <c r="A875" s="1" t="s">
        <v>878</v>
      </c>
      <c r="B875" s="1" t="s">
        <v>5</v>
      </c>
      <c r="C875" s="2">
        <f>IFERROR(__xludf.DUMMYFUNCTION("IFERROR(VLOOKUP(A875, IMPORTRANGE(""https://docs.google.com/spreadsheets/d/1AVX9GT0dgogEBStecCXMMQ29tWz3gBrtNB8yIromXbY/edit?gid=741673867"", ""out1g!A:B""), 2, FALSE), 0)"),42251.0)</f>
        <v>42251</v>
      </c>
      <c r="D875" s="2" t="str">
        <f>IFERROR(__xludf.DUMMYFUNCTION("IFERROR(VLOOKUP(A875, IMPORTRANGE(""https://docs.google.com/spreadsheets/d/1-3Vjw2Cyy-mry5gbC8ypIR3YVGFfEpyFESummAta6sg/edit"", ""Sheet1!B:D""), 2, FALSE), ""Not Found"")"),"pʊt")</f>
        <v>pʊt</v>
      </c>
      <c r="E875" s="2" t="str">
        <f>IFERROR(__xludf.DUMMYFUNCTION("IFERROR(VLOOKUP(A875, IMPORTRANGE(""https://docs.google.com/spreadsheets/d/1-3Vjw2Cyy-mry5gbC8ypIR3YVGFfEpyFESummAta6sg/edit"", ""Sheet1!B:D""), 3, FALSE), ""Not Found"")"),"p ʊ t ")</f>
        <v>p ʊ t </v>
      </c>
    </row>
    <row r="876">
      <c r="A876" s="1" t="s">
        <v>879</v>
      </c>
      <c r="B876" s="1" t="s">
        <v>5</v>
      </c>
      <c r="C876" s="2">
        <f>IFERROR(__xludf.DUMMYFUNCTION("IFERROR(VLOOKUP(A876, IMPORTRANGE(""https://docs.google.com/spreadsheets/d/1AVX9GT0dgogEBStecCXMMQ29tWz3gBrtNB8yIromXbY/edit?gid=741673867"", ""out1g!A:B""), 2, FALSE), 0)"),58.0)</f>
        <v>58</v>
      </c>
      <c r="D876" s="2" t="str">
        <f>IFERROR(__xludf.DUMMYFUNCTION("IFERROR(VLOOKUP(A876, IMPORTRANGE(""https://docs.google.com/spreadsheets/d/1-3Vjw2Cyy-mry5gbC8ypIR3YVGFfEpyFESummAta6sg/edit"", ""Sheet1!B:D""), 2, FALSE), ""Not Found"")"),"bɔrə")</f>
        <v>bɔrə</v>
      </c>
      <c r="E876" s="2" t="str">
        <f>IFERROR(__xludf.DUMMYFUNCTION("IFERROR(VLOOKUP(A876, IMPORTRANGE(""https://docs.google.com/spreadsheets/d/1-3Vjw2Cyy-mry5gbC8ypIR3YVGFfEpyFESummAta6sg/edit"", ""Sheet1!B:D""), 3, FALSE), ""Not Found"")"),"b ɔ r ə ")</f>
        <v>b ɔ r ə </v>
      </c>
    </row>
    <row r="877">
      <c r="A877" s="1" t="s">
        <v>880</v>
      </c>
      <c r="B877" s="1" t="s">
        <v>5</v>
      </c>
      <c r="C877" s="2">
        <f>IFERROR(__xludf.DUMMYFUNCTION("IFERROR(VLOOKUP(A877, IMPORTRANGE(""https://docs.google.com/spreadsheets/d/1AVX9GT0dgogEBStecCXMMQ29tWz3gBrtNB8yIromXbY/edit?gid=741673867"", ""out1g!A:B""), 2, FALSE), 0)"),112.0)</f>
        <v>112</v>
      </c>
      <c r="D877" s="2" t="str">
        <f>IFERROR(__xludf.DUMMYFUNCTION("IFERROR(VLOOKUP(A877, IMPORTRANGE(""https://docs.google.com/spreadsheets/d/1-3Vjw2Cyy-mry5gbC8ypIR3YVGFfEpyFESummAta6sg/edit"", ""Sheet1!B:D""), 2, FALSE), ""Not Found"")"),"griv")</f>
        <v>griv</v>
      </c>
      <c r="E877" s="2" t="str">
        <f>IFERROR(__xludf.DUMMYFUNCTION("IFERROR(VLOOKUP(A877, IMPORTRANGE(""https://docs.google.com/spreadsheets/d/1-3Vjw2Cyy-mry5gbC8ypIR3YVGFfEpyFESummAta6sg/edit"", ""Sheet1!B:D""), 3, FALSE), ""Not Found"")"),"g r i v ")</f>
        <v>g r i v </v>
      </c>
    </row>
    <row r="878">
      <c r="A878" s="1" t="s">
        <v>881</v>
      </c>
      <c r="B878" s="1" t="s">
        <v>5</v>
      </c>
      <c r="C878" s="2">
        <f>IFERROR(__xludf.DUMMYFUNCTION("IFERROR(VLOOKUP(A878, IMPORTRANGE(""https://docs.google.com/spreadsheets/d/1AVX9GT0dgogEBStecCXMMQ29tWz3gBrtNB8yIromXbY/edit?gid=741673867"", ""out1g!A:B""), 2, FALSE), 0)"),1142.0)</f>
        <v>1142</v>
      </c>
      <c r="D878" s="2" t="str">
        <f>IFERROR(__xludf.DUMMYFUNCTION("IFERROR(VLOOKUP(A878, IMPORTRANGE(""https://docs.google.com/spreadsheets/d/1-3Vjw2Cyy-mry5gbC8ypIR3YVGFfEpyFESummAta6sg/edit"", ""Sheet1!B:D""), 2, FALSE), ""Not Found"")"),"praɪz")</f>
        <v>praɪz</v>
      </c>
      <c r="E878" s="2" t="str">
        <f>IFERROR(__xludf.DUMMYFUNCTION("IFERROR(VLOOKUP(A878, IMPORTRANGE(""https://docs.google.com/spreadsheets/d/1-3Vjw2Cyy-mry5gbC8ypIR3YVGFfEpyFESummAta6sg/edit"", ""Sheet1!B:D""), 3, FALSE), ""Not Found"")"),"p r a ɪ z ")</f>
        <v>p r a ɪ z </v>
      </c>
    </row>
    <row r="879">
      <c r="A879" s="1" t="s">
        <v>882</v>
      </c>
      <c r="B879" s="1" t="s">
        <v>5</v>
      </c>
      <c r="C879" s="2">
        <f>IFERROR(__xludf.DUMMYFUNCTION("IFERROR(VLOOKUP(A879, IMPORTRANGE(""https://docs.google.com/spreadsheets/d/1AVX9GT0dgogEBStecCXMMQ29tWz3gBrtNB8yIromXbY/edit?gid=741673867"", ""out1g!A:B""), 2, FALSE), 0)"),46.0)</f>
        <v>46</v>
      </c>
      <c r="D879" s="2" t="str">
        <f>IFERROR(__xludf.DUMMYFUNCTION("IFERROR(VLOOKUP(A879, IMPORTRANGE(""https://docs.google.com/spreadsheets/d/1-3Vjw2Cyy-mry5gbC8ypIR3YVGFfEpyFESummAta6sg/edit"", ""Sheet1!B:D""), 2, FALSE), ""Not Found"")"),"bɑrli")</f>
        <v>bɑrli</v>
      </c>
      <c r="E879" s="2" t="str">
        <f>IFERROR(__xludf.DUMMYFUNCTION("IFERROR(VLOOKUP(A879, IMPORTRANGE(""https://docs.google.com/spreadsheets/d/1-3Vjw2Cyy-mry5gbC8ypIR3YVGFfEpyFESummAta6sg/edit"", ""Sheet1!B:D""), 3, FALSE), ""Not Found"")"),"b ɑ r l i ")</f>
        <v>b ɑ r l i </v>
      </c>
    </row>
    <row r="880">
      <c r="A880" s="1" t="s">
        <v>883</v>
      </c>
      <c r="B880" s="1" t="s">
        <v>5</v>
      </c>
      <c r="C880" s="2">
        <f>IFERROR(__xludf.DUMMYFUNCTION("IFERROR(VLOOKUP(A880, IMPORTRANGE(""https://docs.google.com/spreadsheets/d/1AVX9GT0dgogEBStecCXMMQ29tWz3gBrtNB8yIromXbY/edit?gid=741673867"", ""out1g!A:B""), 2, FALSE), 0)"),56.0)</f>
        <v>56</v>
      </c>
      <c r="D880" s="2" t="str">
        <f>IFERROR(__xludf.DUMMYFUNCTION("IFERROR(VLOOKUP(A880, IMPORTRANGE(""https://docs.google.com/spreadsheets/d/1-3Vjw2Cyy-mry5gbC8ypIR3YVGFfEpyFESummAta6sg/edit"", ""Sheet1!B:D""), 2, FALSE), ""Not Found"")"),"lest")</f>
        <v>lest</v>
      </c>
      <c r="E880" s="2" t="str">
        <f>IFERROR(__xludf.DUMMYFUNCTION("IFERROR(VLOOKUP(A880, IMPORTRANGE(""https://docs.google.com/spreadsheets/d/1-3Vjw2Cyy-mry5gbC8ypIR3YVGFfEpyFESummAta6sg/edit"", ""Sheet1!B:D""), 3, FALSE), ""Not Found"")"),"l e s t ")</f>
        <v>l e s t </v>
      </c>
    </row>
    <row r="881">
      <c r="A881" s="1" t="s">
        <v>884</v>
      </c>
      <c r="B881" s="1" t="s">
        <v>5</v>
      </c>
      <c r="C881" s="2">
        <f>IFERROR(__xludf.DUMMYFUNCTION("IFERROR(VLOOKUP(A881, IMPORTRANGE(""https://docs.google.com/spreadsheets/d/1AVX9GT0dgogEBStecCXMMQ29tWz3gBrtNB8yIromXbY/edit?gid=741673867"", ""out1g!A:B""), 2, FALSE), 0)"),179.0)</f>
        <v>179</v>
      </c>
      <c r="D881" s="2" t="str">
        <f>IFERROR(__xludf.DUMMYFUNCTION("IFERROR(VLOOKUP(A881, IMPORTRANGE(""https://docs.google.com/spreadsheets/d/1-3Vjw2Cyy-mry5gbC8ypIR3YVGFfEpyFESummAta6sg/edit"", ""Sheet1!B:D""), 2, FALSE), ""Not Found"")"),"bɪldz")</f>
        <v>bɪldz</v>
      </c>
      <c r="E881" s="2" t="str">
        <f>IFERROR(__xludf.DUMMYFUNCTION("IFERROR(VLOOKUP(A881, IMPORTRANGE(""https://docs.google.com/spreadsheets/d/1-3Vjw2Cyy-mry5gbC8ypIR3YVGFfEpyFESummAta6sg/edit"", ""Sheet1!B:D""), 3, FALSE), ""Not Found"")"),"b ɪ l d z ")</f>
        <v>b ɪ l d z </v>
      </c>
    </row>
    <row r="882">
      <c r="A882" s="1" t="s">
        <v>885</v>
      </c>
      <c r="B882" s="1" t="s">
        <v>5</v>
      </c>
      <c r="C882" s="2">
        <f>IFERROR(__xludf.DUMMYFUNCTION("IFERROR(VLOOKUP(A882, IMPORTRANGE(""https://docs.google.com/spreadsheets/d/1AVX9GT0dgogEBStecCXMMQ29tWz3gBrtNB8yIromXbY/edit?gid=741673867"", ""out1g!A:B""), 2, FALSE), 0)"),594.0)</f>
        <v>594</v>
      </c>
      <c r="D882" s="2" t="str">
        <f>IFERROR(__xludf.DUMMYFUNCTION("IFERROR(VLOOKUP(A882, IMPORTRANGE(""https://docs.google.com/spreadsheets/d/1-3Vjw2Cyy-mry5gbC8ypIR3YVGFfEpyFESummAta6sg/edit"", ""Sheet1!B:D""), 2, FALSE), ""Not Found"")"),"kɑrpət")</f>
        <v>kɑrpət</v>
      </c>
      <c r="E882" s="2" t="str">
        <f>IFERROR(__xludf.DUMMYFUNCTION("IFERROR(VLOOKUP(A882, IMPORTRANGE(""https://docs.google.com/spreadsheets/d/1-3Vjw2Cyy-mry5gbC8ypIR3YVGFfEpyFESummAta6sg/edit"", ""Sheet1!B:D""), 3, FALSE), ""Not Found"")"),"k ɑ r p ə t ")</f>
        <v>k ɑ r p ə t </v>
      </c>
    </row>
    <row r="883">
      <c r="A883" s="1" t="s">
        <v>886</v>
      </c>
      <c r="B883" s="1" t="s">
        <v>5</v>
      </c>
      <c r="C883" s="2">
        <f>IFERROR(__xludf.DUMMYFUNCTION("IFERROR(VLOOKUP(A883, IMPORTRANGE(""https://docs.google.com/spreadsheets/d/1AVX9GT0dgogEBStecCXMMQ29tWz3gBrtNB8yIromXbY/edit?gid=741673867"", ""out1g!A:B""), 2, FALSE), 0)"),2120.0)</f>
        <v>2120</v>
      </c>
      <c r="D883" s="2" t="str">
        <f>IFERROR(__xludf.DUMMYFUNCTION("IFERROR(VLOOKUP(A883, IMPORTRANGE(""https://docs.google.com/spreadsheets/d/1-3Vjw2Cyy-mry5gbC8ypIR3YVGFfEpyFESummAta6sg/edit"", ""Sheet1!B:D""), 2, FALSE), ""Not Found"")"),"ʃem")</f>
        <v>ʃem</v>
      </c>
      <c r="E883" s="2" t="str">
        <f>IFERROR(__xludf.DUMMYFUNCTION("IFERROR(VLOOKUP(A883, IMPORTRANGE(""https://docs.google.com/spreadsheets/d/1-3Vjw2Cyy-mry5gbC8ypIR3YVGFfEpyFESummAta6sg/edit"", ""Sheet1!B:D""), 3, FALSE), ""Not Found"")"),"ʃ e m ")</f>
        <v>ʃ e m </v>
      </c>
    </row>
    <row r="884">
      <c r="A884" s="1" t="s">
        <v>887</v>
      </c>
      <c r="B884" s="1" t="s">
        <v>5</v>
      </c>
      <c r="C884" s="2">
        <f>IFERROR(__xludf.DUMMYFUNCTION("IFERROR(VLOOKUP(A884, IMPORTRANGE(""https://docs.google.com/spreadsheets/d/1AVX9GT0dgogEBStecCXMMQ29tWz3gBrtNB8yIromXbY/edit?gid=741673867"", ""out1g!A:B""), 2, FALSE), 0)"),1018.0)</f>
        <v>1018</v>
      </c>
      <c r="D884" s="2" t="str">
        <f>IFERROR(__xludf.DUMMYFUNCTION("IFERROR(VLOOKUP(A884, IMPORTRANGE(""https://docs.google.com/spreadsheets/d/1-3Vjw2Cyy-mry5gbC8ypIR3YVGFfEpyFESummAta6sg/edit"", ""Sheet1!B:D""), 2, FALSE), ""Not Found"")"),"lɔnʧ")</f>
        <v>lɔnʧ</v>
      </c>
      <c r="E884" s="2" t="str">
        <f>IFERROR(__xludf.DUMMYFUNCTION("IFERROR(VLOOKUP(A884, IMPORTRANGE(""https://docs.google.com/spreadsheets/d/1-3Vjw2Cyy-mry5gbC8ypIR3YVGFfEpyFESummAta6sg/edit"", ""Sheet1!B:D""), 3, FALSE), ""Not Found"")"),"l ɔ n ʧ ")</f>
        <v>l ɔ n ʧ </v>
      </c>
    </row>
    <row r="885">
      <c r="A885" s="1" t="s">
        <v>888</v>
      </c>
      <c r="B885" s="1" t="s">
        <v>5</v>
      </c>
      <c r="C885" s="2">
        <f>IFERROR(__xludf.DUMMYFUNCTION("IFERROR(VLOOKUP(A885, IMPORTRANGE(""https://docs.google.com/spreadsheets/d/1AVX9GT0dgogEBStecCXMMQ29tWz3gBrtNB8yIromXbY/edit?gid=741673867"", ""out1g!A:B""), 2, FALSE), 0)"),98.0)</f>
        <v>98</v>
      </c>
      <c r="D885" s="2" t="str">
        <f>IFERROR(__xludf.DUMMYFUNCTION("IFERROR(VLOOKUP(A885, IMPORTRANGE(""https://docs.google.com/spreadsheets/d/1-3Vjw2Cyy-mry5gbC8ypIR3YVGFfEpyFESummAta6sg/edit"", ""Sheet1!B:D""), 2, FALSE), ""Not Found"")"),"braɪbd")</f>
        <v>braɪbd</v>
      </c>
      <c r="E885" s="2" t="str">
        <f>IFERROR(__xludf.DUMMYFUNCTION("IFERROR(VLOOKUP(A885, IMPORTRANGE(""https://docs.google.com/spreadsheets/d/1-3Vjw2Cyy-mry5gbC8ypIR3YVGFfEpyFESummAta6sg/edit"", ""Sheet1!B:D""), 3, FALSE), ""Not Found"")"),"b r a ɪ b d ")</f>
        <v>b r a ɪ b d </v>
      </c>
    </row>
    <row r="886">
      <c r="A886" s="1" t="s">
        <v>889</v>
      </c>
      <c r="B886" s="1" t="s">
        <v>5</v>
      </c>
      <c r="C886" s="2">
        <f>IFERROR(__xludf.DUMMYFUNCTION("IFERROR(VLOOKUP(A886, IMPORTRANGE(""https://docs.google.com/spreadsheets/d/1AVX9GT0dgogEBStecCXMMQ29tWz3gBrtNB8yIromXbY/edit?gid=741673867"", ""out1g!A:B""), 2, FALSE), 0)"),154.0)</f>
        <v>154</v>
      </c>
      <c r="D886" s="2" t="str">
        <f>IFERROR(__xludf.DUMMYFUNCTION("IFERROR(VLOOKUP(A886, IMPORTRANGE(""https://docs.google.com/spreadsheets/d/1-3Vjw2Cyy-mry5gbC8ypIR3YVGFfEpyFESummAta6sg/edit"", ""Sheet1!B:D""), 2, FALSE), ""Not Found"")"),"tərk")</f>
        <v>tərk</v>
      </c>
      <c r="E886" s="2" t="str">
        <f>IFERROR(__xludf.DUMMYFUNCTION("IFERROR(VLOOKUP(A886, IMPORTRANGE(""https://docs.google.com/spreadsheets/d/1-3Vjw2Cyy-mry5gbC8ypIR3YVGFfEpyFESummAta6sg/edit"", ""Sheet1!B:D""), 3, FALSE), ""Not Found"")"),"t ə r k ")</f>
        <v>t ə r k </v>
      </c>
    </row>
    <row r="887">
      <c r="A887" s="1" t="s">
        <v>890</v>
      </c>
      <c r="B887" s="1" t="s">
        <v>5</v>
      </c>
      <c r="C887" s="2">
        <f>IFERROR(__xludf.DUMMYFUNCTION("IFERROR(VLOOKUP(A887, IMPORTRANGE(""https://docs.google.com/spreadsheets/d/1AVX9GT0dgogEBStecCXMMQ29tWz3gBrtNB8yIromXbY/edit?gid=741673867"", ""out1g!A:B""), 2, FALSE), 0)"),1405.0)</f>
        <v>1405</v>
      </c>
      <c r="D887" s="2" t="str">
        <f>IFERROR(__xludf.DUMMYFUNCTION("IFERROR(VLOOKUP(A887, IMPORTRANGE(""https://docs.google.com/spreadsheets/d/1-3Vjw2Cyy-mry5gbC8ypIR3YVGFfEpyFESummAta6sg/edit"", ""Sheet1!B:D""), 2, FALSE), ""Not Found"")"),"bərθ")</f>
        <v>bərθ</v>
      </c>
      <c r="E887" s="2" t="str">
        <f>IFERROR(__xludf.DUMMYFUNCTION("IFERROR(VLOOKUP(A887, IMPORTRANGE(""https://docs.google.com/spreadsheets/d/1-3Vjw2Cyy-mry5gbC8ypIR3YVGFfEpyFESummAta6sg/edit"", ""Sheet1!B:D""), 3, FALSE), ""Not Found"")"),"b ə r θ ")</f>
        <v>b ə r θ </v>
      </c>
    </row>
    <row r="888">
      <c r="A888" s="1" t="s">
        <v>891</v>
      </c>
      <c r="B888" s="1" t="s">
        <v>5</v>
      </c>
      <c r="C888" s="2">
        <f>IFERROR(__xludf.DUMMYFUNCTION("IFERROR(VLOOKUP(A888, IMPORTRANGE(""https://docs.google.com/spreadsheets/d/1AVX9GT0dgogEBStecCXMMQ29tWz3gBrtNB8yIromXbY/edit?gid=741673867"", ""out1g!A:B""), 2, FALSE), 0)"),46.0)</f>
        <v>46</v>
      </c>
      <c r="D888" s="2" t="str">
        <f>IFERROR(__xludf.DUMMYFUNCTION("IFERROR(VLOOKUP(A888, IMPORTRANGE(""https://docs.google.com/spreadsheets/d/1-3Vjw2Cyy-mry5gbC8ypIR3YVGFfEpyFESummAta6sg/edit"", ""Sheet1!B:D""), 2, FALSE), ""Not Found"")"),"stɪrz")</f>
        <v>stɪrz</v>
      </c>
      <c r="E888" s="2" t="str">
        <f>IFERROR(__xludf.DUMMYFUNCTION("IFERROR(VLOOKUP(A888, IMPORTRANGE(""https://docs.google.com/spreadsheets/d/1-3Vjw2Cyy-mry5gbC8ypIR3YVGFfEpyFESummAta6sg/edit"", ""Sheet1!B:D""), 3, FALSE), ""Not Found"")"),"s t ɪ r z ")</f>
        <v>s t ɪ r z </v>
      </c>
    </row>
    <row r="889">
      <c r="A889" s="1" t="s">
        <v>892</v>
      </c>
      <c r="B889" s="1" t="s">
        <v>5</v>
      </c>
      <c r="C889" s="2">
        <f>IFERROR(__xludf.DUMMYFUNCTION("IFERROR(VLOOKUP(A889, IMPORTRANGE(""https://docs.google.com/spreadsheets/d/1AVX9GT0dgogEBStecCXMMQ29tWz3gBrtNB8yIromXbY/edit?gid=741673867"", ""out1g!A:B""), 2, FALSE), 0)"),118.0)</f>
        <v>118</v>
      </c>
      <c r="D889" s="2" t="str">
        <f>IFERROR(__xludf.DUMMYFUNCTION("IFERROR(VLOOKUP(A889, IMPORTRANGE(""https://docs.google.com/spreadsheets/d/1-3Vjw2Cyy-mry5gbC8ypIR3YVGFfEpyFESummAta6sg/edit"", ""Sheet1!B:D""), 2, FALSE), ""Not Found"")"),"pulz")</f>
        <v>pulz</v>
      </c>
      <c r="E889" s="2" t="str">
        <f>IFERROR(__xludf.DUMMYFUNCTION("IFERROR(VLOOKUP(A889, IMPORTRANGE(""https://docs.google.com/spreadsheets/d/1-3Vjw2Cyy-mry5gbC8ypIR3YVGFfEpyFESummAta6sg/edit"", ""Sheet1!B:D""), 3, FALSE), ""Not Found"")"),"p u l z ")</f>
        <v>p u l z </v>
      </c>
    </row>
    <row r="890">
      <c r="A890" s="1" t="s">
        <v>893</v>
      </c>
      <c r="B890" s="1" t="s">
        <v>5</v>
      </c>
      <c r="C890" s="2">
        <f>IFERROR(__xludf.DUMMYFUNCTION("IFERROR(VLOOKUP(A890, IMPORTRANGE(""https://docs.google.com/spreadsheets/d/1AVX9GT0dgogEBStecCXMMQ29tWz3gBrtNB8yIromXbY/edit?gid=741673867"", ""out1g!A:B""), 2, FALSE), 0)"),102.0)</f>
        <v>102</v>
      </c>
      <c r="D890" s="2" t="str">
        <f>IFERROR(__xludf.DUMMYFUNCTION("IFERROR(VLOOKUP(A890, IMPORTRANGE(""https://docs.google.com/spreadsheets/d/1-3Vjw2Cyy-mry5gbC8ypIR3YVGFfEpyFESummAta6sg/edit"", ""Sheet1!B:D""), 2, FALSE), ""Not Found"")"),"hetfəl")</f>
        <v>hetfəl</v>
      </c>
      <c r="E890" s="2" t="str">
        <f>IFERROR(__xludf.DUMMYFUNCTION("IFERROR(VLOOKUP(A890, IMPORTRANGE(""https://docs.google.com/spreadsheets/d/1-3Vjw2Cyy-mry5gbC8ypIR3YVGFfEpyFESummAta6sg/edit"", ""Sheet1!B:D""), 3, FALSE), ""Not Found"")"),"h e t f ə l ")</f>
        <v>h e t f ə l </v>
      </c>
    </row>
    <row r="891">
      <c r="A891" s="1" t="s">
        <v>894</v>
      </c>
      <c r="B891" s="1" t="s">
        <v>5</v>
      </c>
      <c r="C891" s="2">
        <f>IFERROR(__xludf.DUMMYFUNCTION("IFERROR(VLOOKUP(A891, IMPORTRANGE(""https://docs.google.com/spreadsheets/d/1AVX9GT0dgogEBStecCXMMQ29tWz3gBrtNB8yIromXbY/edit?gid=741673867"", ""out1g!A:B""), 2, FALSE), 0)"),50.0)</f>
        <v>50</v>
      </c>
      <c r="D891" s="2" t="str">
        <f>IFERROR(__xludf.DUMMYFUNCTION("IFERROR(VLOOKUP(A891, IMPORTRANGE(""https://docs.google.com/spreadsheets/d/1-3Vjw2Cyy-mry5gbC8ypIR3YVGFfEpyFESummAta6sg/edit"", ""Sheet1!B:D""), 2, FALSE), ""Not Found"")"),"mɛn")</f>
        <v>mɛn</v>
      </c>
      <c r="E891" s="2" t="str">
        <f>IFERROR(__xludf.DUMMYFUNCTION("IFERROR(VLOOKUP(A891, IMPORTRANGE(""https://docs.google.com/spreadsheets/d/1-3Vjw2Cyy-mry5gbC8ypIR3YVGFfEpyFESummAta6sg/edit"", ""Sheet1!B:D""), 3, FALSE), ""Not Found"")"),"m ɛ n ")</f>
        <v>m ɛ n </v>
      </c>
    </row>
    <row r="892">
      <c r="A892" s="1" t="s">
        <v>895</v>
      </c>
      <c r="B892" s="1" t="s">
        <v>5</v>
      </c>
      <c r="C892" s="2">
        <f>IFERROR(__xludf.DUMMYFUNCTION("IFERROR(VLOOKUP(A892, IMPORTRANGE(""https://docs.google.com/spreadsheets/d/1AVX9GT0dgogEBStecCXMMQ29tWz3gBrtNB8yIromXbY/edit?gid=741673867"", ""out1g!A:B""), 2, FALSE), 0)"),606.0)</f>
        <v>606</v>
      </c>
      <c r="D892" s="2" t="str">
        <f>IFERROR(__xludf.DUMMYFUNCTION("IFERROR(VLOOKUP(A892, IMPORTRANGE(""https://docs.google.com/spreadsheets/d/1-3Vjw2Cyy-mry5gbC8ypIR3YVGFfEpyFESummAta6sg/edit"", ""Sheet1!B:D""), 2, FALSE), ""Not Found"")"),"resɪŋ")</f>
        <v>resɪŋ</v>
      </c>
      <c r="E892" s="2" t="str">
        <f>IFERROR(__xludf.DUMMYFUNCTION("IFERROR(VLOOKUP(A892, IMPORTRANGE(""https://docs.google.com/spreadsheets/d/1-3Vjw2Cyy-mry5gbC8ypIR3YVGFfEpyFESummAta6sg/edit"", ""Sheet1!B:D""), 3, FALSE), ""Not Found"")"),"r e s ɪ ŋ ")</f>
        <v>r e s ɪ ŋ </v>
      </c>
    </row>
    <row r="893">
      <c r="A893" s="1" t="s">
        <v>896</v>
      </c>
      <c r="B893" s="1" t="s">
        <v>5</v>
      </c>
      <c r="C893" s="2">
        <f>IFERROR(__xludf.DUMMYFUNCTION("IFERROR(VLOOKUP(A893, IMPORTRANGE(""https://docs.google.com/spreadsheets/d/1AVX9GT0dgogEBStecCXMMQ29tWz3gBrtNB8yIromXbY/edit?gid=741673867"", ""out1g!A:B""), 2, FALSE), 0)"),93.0)</f>
        <v>93</v>
      </c>
      <c r="D893" s="2" t="str">
        <f>IFERROR(__xludf.DUMMYFUNCTION("IFERROR(VLOOKUP(A893, IMPORTRANGE(""https://docs.google.com/spreadsheets/d/1-3Vjw2Cyy-mry5gbC8ypIR3YVGFfEpyFESummAta6sg/edit"", ""Sheet1!B:D""), 2, FALSE), ""Not Found"")"),"loʊərd")</f>
        <v>loʊərd</v>
      </c>
      <c r="E893" s="2" t="str">
        <f>IFERROR(__xludf.DUMMYFUNCTION("IFERROR(VLOOKUP(A893, IMPORTRANGE(""https://docs.google.com/spreadsheets/d/1-3Vjw2Cyy-mry5gbC8ypIR3YVGFfEpyFESummAta6sg/edit"", ""Sheet1!B:D""), 3, FALSE), ""Not Found"")"),"l o ʊ ə r d ")</f>
        <v>l o ʊ ə r d </v>
      </c>
    </row>
    <row r="894">
      <c r="A894" s="1" t="s">
        <v>897</v>
      </c>
      <c r="B894" s="1" t="s">
        <v>5</v>
      </c>
      <c r="C894" s="2">
        <f>IFERROR(__xludf.DUMMYFUNCTION("IFERROR(VLOOKUP(A894, IMPORTRANGE(""https://docs.google.com/spreadsheets/d/1AVX9GT0dgogEBStecCXMMQ29tWz3gBrtNB8yIromXbY/edit?gid=741673867"", ""out1g!A:B""), 2, FALSE), 0)"),21.0)</f>
        <v>21</v>
      </c>
      <c r="D894" s="2" t="str">
        <f>IFERROR(__xludf.DUMMYFUNCTION("IFERROR(VLOOKUP(A894, IMPORTRANGE(""https://docs.google.com/spreadsheets/d/1-3Vjw2Cyy-mry5gbC8ypIR3YVGFfEpyFESummAta6sg/edit"", ""Sheet1!B:D""), 2, FALSE), ""Not Found"")"),"wɪsp")</f>
        <v>wɪsp</v>
      </c>
      <c r="E894" s="2" t="str">
        <f>IFERROR(__xludf.DUMMYFUNCTION("IFERROR(VLOOKUP(A894, IMPORTRANGE(""https://docs.google.com/spreadsheets/d/1-3Vjw2Cyy-mry5gbC8ypIR3YVGFfEpyFESummAta6sg/edit"", ""Sheet1!B:D""), 3, FALSE), ""Not Found"")"),"w ɪ s p ")</f>
        <v>w ɪ s p </v>
      </c>
    </row>
    <row r="895">
      <c r="A895" s="1" t="s">
        <v>898</v>
      </c>
      <c r="B895" s="1" t="s">
        <v>5</v>
      </c>
      <c r="C895" s="2">
        <f>IFERROR(__xludf.DUMMYFUNCTION("IFERROR(VLOOKUP(A895, IMPORTRANGE(""https://docs.google.com/spreadsheets/d/1AVX9GT0dgogEBStecCXMMQ29tWz3gBrtNB8yIromXbY/edit?gid=741673867"", ""out1g!A:B""), 2, FALSE), 0)"),88.0)</f>
        <v>88</v>
      </c>
      <c r="D895" s="2" t="str">
        <f>IFERROR(__xludf.DUMMYFUNCTION("IFERROR(VLOOKUP(A895, IMPORTRANGE(""https://docs.google.com/spreadsheets/d/1-3Vjw2Cyy-mry5gbC8ypIR3YVGFfEpyFESummAta6sg/edit"", ""Sheet1!B:D""), 2, FALSE), ""Not Found"")"),"rɪdəns")</f>
        <v>rɪdəns</v>
      </c>
      <c r="E895" s="2" t="str">
        <f>IFERROR(__xludf.DUMMYFUNCTION("IFERROR(VLOOKUP(A895, IMPORTRANGE(""https://docs.google.com/spreadsheets/d/1-3Vjw2Cyy-mry5gbC8ypIR3YVGFfEpyFESummAta6sg/edit"", ""Sheet1!B:D""), 3, FALSE), ""Not Found"")"),"r ɪ d ə n s ")</f>
        <v>r ɪ d ə n s </v>
      </c>
    </row>
    <row r="896">
      <c r="A896" s="1" t="s">
        <v>899</v>
      </c>
      <c r="B896" s="1" t="s">
        <v>5</v>
      </c>
      <c r="C896" s="2">
        <f>IFERROR(__xludf.DUMMYFUNCTION("IFERROR(VLOOKUP(A896, IMPORTRANGE(""https://docs.google.com/spreadsheets/d/1AVX9GT0dgogEBStecCXMMQ29tWz3gBrtNB8yIromXbY/edit?gid=741673867"", ""out1g!A:B""), 2, FALSE), 0)"),221.0)</f>
        <v>221</v>
      </c>
      <c r="D896" s="2" t="str">
        <f>IFERROR(__xludf.DUMMYFUNCTION("IFERROR(VLOOKUP(A896, IMPORTRANGE(""https://docs.google.com/spreadsheets/d/1-3Vjw2Cyy-mry5gbC8ypIR3YVGFfEpyFESummAta6sg/edit"", ""Sheet1!B:D""), 2, FALSE), ""Not Found"")"),"pɑsi")</f>
        <v>pɑsi</v>
      </c>
      <c r="E896" s="2" t="str">
        <f>IFERROR(__xludf.DUMMYFUNCTION("IFERROR(VLOOKUP(A896, IMPORTRANGE(""https://docs.google.com/spreadsheets/d/1-3Vjw2Cyy-mry5gbC8ypIR3YVGFfEpyFESummAta6sg/edit"", ""Sheet1!B:D""), 3, FALSE), ""Not Found"")"),"p ɑ s i ")</f>
        <v>p ɑ s i </v>
      </c>
    </row>
    <row r="897">
      <c r="A897" s="1" t="s">
        <v>900</v>
      </c>
      <c r="B897" s="1" t="s">
        <v>5</v>
      </c>
      <c r="C897" s="2">
        <f>IFERROR(__xludf.DUMMYFUNCTION("IFERROR(VLOOKUP(A897, IMPORTRANGE(""https://docs.google.com/spreadsheets/d/1AVX9GT0dgogEBStecCXMMQ29tWz3gBrtNB8yIromXbY/edit?gid=741673867"", ""out1g!A:B""), 2, FALSE), 0)"),130.0)</f>
        <v>130</v>
      </c>
      <c r="D897" s="2" t="str">
        <f>IFERROR(__xludf.DUMMYFUNCTION("IFERROR(VLOOKUP(A897, IMPORTRANGE(""https://docs.google.com/spreadsheets/d/1-3Vjw2Cyy-mry5gbC8ypIR3YVGFfEpyFESummAta6sg/edit"", ""Sheet1!B:D""), 2, FALSE), ""Not Found"")"),"dɛks")</f>
        <v>dɛks</v>
      </c>
      <c r="E897" s="2" t="str">
        <f>IFERROR(__xludf.DUMMYFUNCTION("IFERROR(VLOOKUP(A897, IMPORTRANGE(""https://docs.google.com/spreadsheets/d/1-3Vjw2Cyy-mry5gbC8ypIR3YVGFfEpyFESummAta6sg/edit"", ""Sheet1!B:D""), 3, FALSE), ""Not Found"")"),"d ɛ k s ")</f>
        <v>d ɛ k s </v>
      </c>
    </row>
    <row r="898">
      <c r="A898" s="1" t="s">
        <v>901</v>
      </c>
      <c r="B898" s="1" t="s">
        <v>5</v>
      </c>
      <c r="C898" s="2">
        <f>IFERROR(__xludf.DUMMYFUNCTION("IFERROR(VLOOKUP(A898, IMPORTRANGE(""https://docs.google.com/spreadsheets/d/1AVX9GT0dgogEBStecCXMMQ29tWz3gBrtNB8yIromXbY/edit?gid=741673867"", ""out1g!A:B""), 2, FALSE), 0)"),1915.0)</f>
        <v>1915</v>
      </c>
      <c r="D898" s="2" t="str">
        <f>IFERROR(__xludf.DUMMYFUNCTION("IFERROR(VLOOKUP(A898, IMPORTRANGE(""https://docs.google.com/spreadsheets/d/1-3Vjw2Cyy-mry5gbC8ypIR3YVGFfEpyFESummAta6sg/edit"", ""Sheet1!B:D""), 2, FALSE), ""Not Found"")"),"hɪl")</f>
        <v>hɪl</v>
      </c>
      <c r="E898" s="2" t="str">
        <f>IFERROR(__xludf.DUMMYFUNCTION("IFERROR(VLOOKUP(A898, IMPORTRANGE(""https://docs.google.com/spreadsheets/d/1-3Vjw2Cyy-mry5gbC8ypIR3YVGFfEpyFESummAta6sg/edit"", ""Sheet1!B:D""), 3, FALSE), ""Not Found"")"),"h ɪ l ")</f>
        <v>h ɪ l </v>
      </c>
    </row>
    <row r="899">
      <c r="A899" s="1" t="s">
        <v>902</v>
      </c>
      <c r="B899" s="1" t="s">
        <v>5</v>
      </c>
      <c r="C899" s="2">
        <f>IFERROR(__xludf.DUMMYFUNCTION("IFERROR(VLOOKUP(A899, IMPORTRANGE(""https://docs.google.com/spreadsheets/d/1AVX9GT0dgogEBStecCXMMQ29tWz3gBrtNB8yIromXbY/edit?gid=741673867"", ""out1g!A:B""), 2, FALSE), 0)"),12.0)</f>
        <v>12</v>
      </c>
      <c r="D899" s="2" t="str">
        <f>IFERROR(__xludf.DUMMYFUNCTION("IFERROR(VLOOKUP(A899, IMPORTRANGE(""https://docs.google.com/spreadsheets/d/1-3Vjw2Cyy-mry5gbC8ypIR3YVGFfEpyFESummAta6sg/edit"", ""Sheet1!B:D""), 2, FALSE), ""Not Found"")"),"tɛrik")</f>
        <v>tɛrik</v>
      </c>
      <c r="E899" s="2" t="str">
        <f>IFERROR(__xludf.DUMMYFUNCTION("IFERROR(VLOOKUP(A899, IMPORTRANGE(""https://docs.google.com/spreadsheets/d/1-3Vjw2Cyy-mry5gbC8ypIR3YVGFfEpyFESummAta6sg/edit"", ""Sheet1!B:D""), 3, FALSE), ""Not Found"")"),"t ɛ r i k ")</f>
        <v>t ɛ r i k </v>
      </c>
    </row>
    <row r="900">
      <c r="A900" s="1" t="s">
        <v>903</v>
      </c>
      <c r="B900" s="1" t="s">
        <v>5</v>
      </c>
      <c r="C900" s="2">
        <f>IFERROR(__xludf.DUMMYFUNCTION("IFERROR(VLOOKUP(A900, IMPORTRANGE(""https://docs.google.com/spreadsheets/d/1AVX9GT0dgogEBStecCXMMQ29tWz3gBrtNB8yIromXbY/edit?gid=741673867"", ""out1g!A:B""), 2, FALSE), 0)"),1707.0)</f>
        <v>1707</v>
      </c>
      <c r="D900" s="2" t="str">
        <f>IFERROR(__xludf.DUMMYFUNCTION("IFERROR(VLOOKUP(A900, IMPORTRANGE(""https://docs.google.com/spreadsheets/d/1-3Vjw2Cyy-mry5gbC8ypIR3YVGFfEpyFESummAta6sg/edit"", ""Sheet1!B:D""), 2, FALSE), ""Not Found"")"),"sədən")</f>
        <v>sədən</v>
      </c>
      <c r="E900" s="2" t="str">
        <f>IFERROR(__xludf.DUMMYFUNCTION("IFERROR(VLOOKUP(A900, IMPORTRANGE(""https://docs.google.com/spreadsheets/d/1-3Vjw2Cyy-mry5gbC8ypIR3YVGFfEpyFESummAta6sg/edit"", ""Sheet1!B:D""), 3, FALSE), ""Not Found"")"),"s ə d ə n ")</f>
        <v>s ə d ə n </v>
      </c>
    </row>
    <row r="901">
      <c r="A901" s="1" t="s">
        <v>904</v>
      </c>
      <c r="B901" s="1" t="s">
        <v>5</v>
      </c>
      <c r="C901" s="2">
        <f>IFERROR(__xludf.DUMMYFUNCTION("IFERROR(VLOOKUP(A901, IMPORTRANGE(""https://docs.google.com/spreadsheets/d/1AVX9GT0dgogEBStecCXMMQ29tWz3gBrtNB8yIromXbY/edit?gid=741673867"", ""out1g!A:B""), 2, FALSE), 0)"),277.0)</f>
        <v>277</v>
      </c>
      <c r="D901" s="2" t="str">
        <f>IFERROR(__xludf.DUMMYFUNCTION("IFERROR(VLOOKUP(A901, IMPORTRANGE(""https://docs.google.com/spreadsheets/d/1-3Vjw2Cyy-mry5gbC8ypIR3YVGFfEpyFESummAta6sg/edit"", ""Sheet1!B:D""), 2, FALSE), ""Not Found"")"),"ræŋ")</f>
        <v>ræŋ</v>
      </c>
      <c r="E901" s="2" t="str">
        <f>IFERROR(__xludf.DUMMYFUNCTION("IFERROR(VLOOKUP(A901, IMPORTRANGE(""https://docs.google.com/spreadsheets/d/1-3Vjw2Cyy-mry5gbC8ypIR3YVGFfEpyFESummAta6sg/edit"", ""Sheet1!B:D""), 3, FALSE), ""Not Found"")"),"r æ ŋ ")</f>
        <v>r æ ŋ </v>
      </c>
    </row>
    <row r="902">
      <c r="A902" s="1" t="s">
        <v>905</v>
      </c>
      <c r="B902" s="1" t="s">
        <v>5</v>
      </c>
      <c r="C902" s="2">
        <f>IFERROR(__xludf.DUMMYFUNCTION("IFERROR(VLOOKUP(A902, IMPORTRANGE(""https://docs.google.com/spreadsheets/d/1AVX9GT0dgogEBStecCXMMQ29tWz3gBrtNB8yIromXbY/edit?gid=741673867"", ""out1g!A:B""), 2, FALSE), 0)"),1514.0)</f>
        <v>1514</v>
      </c>
      <c r="D902" s="2" t="str">
        <f>IFERROR(__xludf.DUMMYFUNCTION("IFERROR(VLOOKUP(A902, IMPORTRANGE(""https://docs.google.com/spreadsheets/d/1-3Vjw2Cyy-mry5gbC8ypIR3YVGFfEpyFESummAta6sg/edit"", ""Sheet1!B:D""), 2, FALSE), ""Not Found"")"),"pənʧ")</f>
        <v>pənʧ</v>
      </c>
      <c r="E902" s="2" t="str">
        <f>IFERROR(__xludf.DUMMYFUNCTION("IFERROR(VLOOKUP(A902, IMPORTRANGE(""https://docs.google.com/spreadsheets/d/1-3Vjw2Cyy-mry5gbC8ypIR3YVGFfEpyFESummAta6sg/edit"", ""Sheet1!B:D""), 3, FALSE), ""Not Found"")"),"p ə n ʧ ")</f>
        <v>p ə n ʧ </v>
      </c>
    </row>
    <row r="903">
      <c r="A903" s="1" t="s">
        <v>906</v>
      </c>
      <c r="B903" s="1" t="s">
        <v>5</v>
      </c>
      <c r="C903" s="2">
        <f>IFERROR(__xludf.DUMMYFUNCTION("IFERROR(VLOOKUP(A903, IMPORTRANGE(""https://docs.google.com/spreadsheets/d/1AVX9GT0dgogEBStecCXMMQ29tWz3gBrtNB8yIromXbY/edit?gid=741673867"", ""out1g!A:B""), 2, FALSE), 0)"),158.0)</f>
        <v>158</v>
      </c>
      <c r="D903" s="2" t="str">
        <f>IFERROR(__xludf.DUMMYFUNCTION("IFERROR(VLOOKUP(A903, IMPORTRANGE(""https://docs.google.com/spreadsheets/d/1-3Vjw2Cyy-mry5gbC8ypIR3YVGFfEpyFESummAta6sg/edit"", ""Sheet1!B:D""), 2, FALSE), ""Not Found"")"),"dɪfaɪ")</f>
        <v>dɪfaɪ</v>
      </c>
      <c r="E903" s="2" t="str">
        <f>IFERROR(__xludf.DUMMYFUNCTION("IFERROR(VLOOKUP(A903, IMPORTRANGE(""https://docs.google.com/spreadsheets/d/1-3Vjw2Cyy-mry5gbC8ypIR3YVGFfEpyFESummAta6sg/edit"", ""Sheet1!B:D""), 3, FALSE), ""Not Found"")"),"d ɪ f a ɪ ")</f>
        <v>d ɪ f a ɪ </v>
      </c>
    </row>
    <row r="904">
      <c r="A904" s="1" t="s">
        <v>907</v>
      </c>
      <c r="B904" s="1" t="s">
        <v>5</v>
      </c>
      <c r="C904" s="2">
        <f>IFERROR(__xludf.DUMMYFUNCTION("IFERROR(VLOOKUP(A904, IMPORTRANGE(""https://docs.google.com/spreadsheets/d/1AVX9GT0dgogEBStecCXMMQ29tWz3gBrtNB8yIromXbY/edit?gid=741673867"", ""out1g!A:B""), 2, FALSE), 0)"),54.0)</f>
        <v>54</v>
      </c>
      <c r="D904" s="2" t="str">
        <f>IFERROR(__xludf.DUMMYFUNCTION("IFERROR(VLOOKUP(A904, IMPORTRANGE(""https://docs.google.com/spreadsheets/d/1-3Vjw2Cyy-mry5gbC8ypIR3YVGFfEpyFESummAta6sg/edit"", ""Sheet1!B:D""), 2, FALSE), ""Not Found"")"),"ʧəmi")</f>
        <v>ʧəmi</v>
      </c>
      <c r="E904" s="2" t="str">
        <f>IFERROR(__xludf.DUMMYFUNCTION("IFERROR(VLOOKUP(A904, IMPORTRANGE(""https://docs.google.com/spreadsheets/d/1-3Vjw2Cyy-mry5gbC8ypIR3YVGFfEpyFESummAta6sg/edit"", ""Sheet1!B:D""), 3, FALSE), ""Not Found"")"),"ʧ ə m i ")</f>
        <v>ʧ ə m i </v>
      </c>
    </row>
    <row r="905">
      <c r="A905" s="1" t="s">
        <v>908</v>
      </c>
      <c r="B905" s="1" t="s">
        <v>5</v>
      </c>
      <c r="C905" s="2">
        <f>IFERROR(__xludf.DUMMYFUNCTION("IFERROR(VLOOKUP(A905, IMPORTRANGE(""https://docs.google.com/spreadsheets/d/1AVX9GT0dgogEBStecCXMMQ29tWz3gBrtNB8yIromXbY/edit?gid=741673867"", ""out1g!A:B""), 2, FALSE), 0)"),137.0)</f>
        <v>137</v>
      </c>
      <c r="D905" s="2" t="str">
        <f>IFERROR(__xludf.DUMMYFUNCTION("IFERROR(VLOOKUP(A905, IMPORTRANGE(""https://docs.google.com/spreadsheets/d/1-3Vjw2Cyy-mry5gbC8ypIR3YVGFfEpyFESummAta6sg/edit"", ""Sheet1!B:D""), 2, FALSE), ""Not Found"")"),"saɪkt")</f>
        <v>saɪkt</v>
      </c>
      <c r="E905" s="2" t="str">
        <f>IFERROR(__xludf.DUMMYFUNCTION("IFERROR(VLOOKUP(A905, IMPORTRANGE(""https://docs.google.com/spreadsheets/d/1-3Vjw2Cyy-mry5gbC8ypIR3YVGFfEpyFESummAta6sg/edit"", ""Sheet1!B:D""), 3, FALSE), ""Not Found"")"),"s a ɪ k t ")</f>
        <v>s a ɪ k t </v>
      </c>
    </row>
    <row r="906">
      <c r="A906" s="1" t="s">
        <v>909</v>
      </c>
      <c r="B906" s="1" t="s">
        <v>5</v>
      </c>
      <c r="C906" s="2">
        <f>IFERROR(__xludf.DUMMYFUNCTION("IFERROR(VLOOKUP(A906, IMPORTRANGE(""https://docs.google.com/spreadsheets/d/1AVX9GT0dgogEBStecCXMMQ29tWz3gBrtNB8yIromXbY/edit?gid=741673867"", ""out1g!A:B""), 2, FALSE), 0)"),51.0)</f>
        <v>51</v>
      </c>
      <c r="D906" s="2" t="str">
        <f>IFERROR(__xludf.DUMMYFUNCTION("IFERROR(VLOOKUP(A906, IMPORTRANGE(""https://docs.google.com/spreadsheets/d/1-3Vjw2Cyy-mry5gbC8ypIR3YVGFfEpyFESummAta6sg/edit"", ""Sheet1!B:D""), 2, FALSE), ""Not Found"")"),"vɛtə")</f>
        <v>vɛtə</v>
      </c>
      <c r="E906" s="2" t="str">
        <f>IFERROR(__xludf.DUMMYFUNCTION("IFERROR(VLOOKUP(A906, IMPORTRANGE(""https://docs.google.com/spreadsheets/d/1-3Vjw2Cyy-mry5gbC8ypIR3YVGFfEpyFESummAta6sg/edit"", ""Sheet1!B:D""), 3, FALSE), ""Not Found"")"),"v ɛ t ə ")</f>
        <v>v ɛ t ə </v>
      </c>
    </row>
    <row r="907">
      <c r="A907" s="1" t="s">
        <v>910</v>
      </c>
      <c r="B907" s="1" t="s">
        <v>5</v>
      </c>
      <c r="C907" s="2">
        <f>IFERROR(__xludf.DUMMYFUNCTION("IFERROR(VLOOKUP(A907, IMPORTRANGE(""https://docs.google.com/spreadsheets/d/1AVX9GT0dgogEBStecCXMMQ29tWz3gBrtNB8yIromXbY/edit?gid=741673867"", ""out1g!A:B""), 2, FALSE), 0)"),61.0)</f>
        <v>61</v>
      </c>
      <c r="D907" s="2" t="str">
        <f>IFERROR(__xludf.DUMMYFUNCTION("IFERROR(VLOOKUP(A907, IMPORTRANGE(""https://docs.google.com/spreadsheets/d/1-3Vjw2Cyy-mry5gbC8ypIR3YVGFfEpyFESummAta6sg/edit"", ""Sheet1!B:D""), 2, FALSE), ""Not Found"")"),"gɑrnər")</f>
        <v>gɑrnər</v>
      </c>
      <c r="E907" s="2" t="str">
        <f>IFERROR(__xludf.DUMMYFUNCTION("IFERROR(VLOOKUP(A907, IMPORTRANGE(""https://docs.google.com/spreadsheets/d/1-3Vjw2Cyy-mry5gbC8ypIR3YVGFfEpyFESummAta6sg/edit"", ""Sheet1!B:D""), 3, FALSE), ""Not Found"")"),"g ɑ r n ə r ")</f>
        <v>g ɑ r n ə r </v>
      </c>
    </row>
    <row r="908">
      <c r="A908" s="1" t="s">
        <v>911</v>
      </c>
      <c r="B908" s="1" t="s">
        <v>5</v>
      </c>
      <c r="C908" s="2">
        <f>IFERROR(__xludf.DUMMYFUNCTION("IFERROR(VLOOKUP(A908, IMPORTRANGE(""https://docs.google.com/spreadsheets/d/1AVX9GT0dgogEBStecCXMMQ29tWz3gBrtNB8yIromXbY/edit?gid=741673867"", ""out1g!A:B""), 2, FALSE), 0)"),1362.0)</f>
        <v>1362</v>
      </c>
      <c r="D908" s="2" t="str">
        <f>IFERROR(__xludf.DUMMYFUNCTION("IFERROR(VLOOKUP(A908, IMPORTRANGE(""https://docs.google.com/spreadsheets/d/1-3Vjw2Cyy-mry5gbC8ypIR3YVGFfEpyFESummAta6sg/edit"", ""Sheet1!B:D""), 2, FALSE), ""Not Found"")"),"kɪti")</f>
        <v>kɪti</v>
      </c>
      <c r="E908" s="2" t="str">
        <f>IFERROR(__xludf.DUMMYFUNCTION("IFERROR(VLOOKUP(A908, IMPORTRANGE(""https://docs.google.com/spreadsheets/d/1-3Vjw2Cyy-mry5gbC8ypIR3YVGFfEpyFESummAta6sg/edit"", ""Sheet1!B:D""), 3, FALSE), ""Not Found"")"),"k ɪ t i ")</f>
        <v>k ɪ t i </v>
      </c>
    </row>
    <row r="909">
      <c r="A909" s="1" t="s">
        <v>912</v>
      </c>
      <c r="B909" s="1" t="s">
        <v>5</v>
      </c>
      <c r="C909" s="2">
        <f>IFERROR(__xludf.DUMMYFUNCTION("IFERROR(VLOOKUP(A909, IMPORTRANGE(""https://docs.google.com/spreadsheets/d/1AVX9GT0dgogEBStecCXMMQ29tWz3gBrtNB8yIromXbY/edit?gid=741673867"", ""out1g!A:B""), 2, FALSE), 0)"),95.0)</f>
        <v>95</v>
      </c>
      <c r="D909" s="2" t="str">
        <f>IFERROR(__xludf.DUMMYFUNCTION("IFERROR(VLOOKUP(A909, IMPORTRANGE(""https://docs.google.com/spreadsheets/d/1-3Vjw2Cyy-mry5gbC8ypIR3YVGFfEpyFESummAta6sg/edit"", ""Sheet1!B:D""), 2, FALSE), ""Not Found"")"),"aɪərnz")</f>
        <v>aɪərnz</v>
      </c>
      <c r="E909" s="2" t="str">
        <f>IFERROR(__xludf.DUMMYFUNCTION("IFERROR(VLOOKUP(A909, IMPORTRANGE(""https://docs.google.com/spreadsheets/d/1-3Vjw2Cyy-mry5gbC8ypIR3YVGFfEpyFESummAta6sg/edit"", ""Sheet1!B:D""), 3, FALSE), ""Not Found"")"),"a ɪ ə r n z ")</f>
        <v>a ɪ ə r n z </v>
      </c>
    </row>
    <row r="910">
      <c r="A910" s="1" t="s">
        <v>913</v>
      </c>
      <c r="B910" s="1" t="s">
        <v>5</v>
      </c>
      <c r="C910" s="2">
        <f>IFERROR(__xludf.DUMMYFUNCTION("IFERROR(VLOOKUP(A910, IMPORTRANGE(""https://docs.google.com/spreadsheets/d/1AVX9GT0dgogEBStecCXMMQ29tWz3gBrtNB8yIromXbY/edit?gid=741673867"", ""out1g!A:B""), 2, FALSE), 0)"),196.0)</f>
        <v>196</v>
      </c>
      <c r="D910" s="2" t="str">
        <f>IFERROR(__xludf.DUMMYFUNCTION("IFERROR(VLOOKUP(A910, IMPORTRANGE(""https://docs.google.com/spreadsheets/d/1-3Vjw2Cyy-mry5gbC8ypIR3YVGFfEpyFESummAta6sg/edit"", ""Sheet1!B:D""), 2, FALSE), ""Not Found"")"),"θaɪz")</f>
        <v>θaɪz</v>
      </c>
      <c r="E910" s="2" t="str">
        <f>IFERROR(__xludf.DUMMYFUNCTION("IFERROR(VLOOKUP(A910, IMPORTRANGE(""https://docs.google.com/spreadsheets/d/1-3Vjw2Cyy-mry5gbC8ypIR3YVGFfEpyFESummAta6sg/edit"", ""Sheet1!B:D""), 3, FALSE), ""Not Found"")"),"θ a ɪ z ")</f>
        <v>θ a ɪ z </v>
      </c>
    </row>
    <row r="911">
      <c r="A911" s="1" t="s">
        <v>914</v>
      </c>
      <c r="B911" s="1" t="s">
        <v>5</v>
      </c>
      <c r="C911" s="2">
        <f>IFERROR(__xludf.DUMMYFUNCTION("IFERROR(VLOOKUP(A911, IMPORTRANGE(""https://docs.google.com/spreadsheets/d/1AVX9GT0dgogEBStecCXMMQ29tWz3gBrtNB8yIromXbY/edit?gid=741673867"", ""out1g!A:B""), 2, FALSE), 0)"),647.0)</f>
        <v>647</v>
      </c>
      <c r="D911" s="2" t="str">
        <f>IFERROR(__xludf.DUMMYFUNCTION("IFERROR(VLOOKUP(A911, IMPORTRANGE(""https://docs.google.com/spreadsheets/d/1-3Vjw2Cyy-mry5gbC8ypIR3YVGFfEpyFESummAta6sg/edit"", ""Sheet1!B:D""), 2, FALSE), ""Not Found"")"),"toʊ")</f>
        <v>toʊ</v>
      </c>
      <c r="E911" s="2" t="str">
        <f>IFERROR(__xludf.DUMMYFUNCTION("IFERROR(VLOOKUP(A911, IMPORTRANGE(""https://docs.google.com/spreadsheets/d/1-3Vjw2Cyy-mry5gbC8ypIR3YVGFfEpyFESummAta6sg/edit"", ""Sheet1!B:D""), 3, FALSE), ""Not Found"")"),"t o ʊ ")</f>
        <v>t o ʊ </v>
      </c>
    </row>
    <row r="912">
      <c r="A912" s="1" t="s">
        <v>915</v>
      </c>
      <c r="B912" s="1" t="s">
        <v>5</v>
      </c>
      <c r="C912" s="2">
        <f>IFERROR(__xludf.DUMMYFUNCTION("IFERROR(VLOOKUP(A912, IMPORTRANGE(""https://docs.google.com/spreadsheets/d/1AVX9GT0dgogEBStecCXMMQ29tWz3gBrtNB8yIromXbY/edit?gid=741673867"", ""out1g!A:B""), 2, FALSE), 0)"),36071.0)</f>
        <v>36071</v>
      </c>
      <c r="D912" s="2" t="str">
        <f>IFERROR(__xludf.DUMMYFUNCTION("IFERROR(VLOOKUP(A912, IMPORTRANGE(""https://docs.google.com/spreadsheets/d/1-3Vjw2Cyy-mry5gbC8ypIR3YVGFfEpyFESummAta6sg/edit"", ""Sheet1!B:D""), 2, FALSE), ""Not Found"")"),"stɑp")</f>
        <v>stɑp</v>
      </c>
      <c r="E912" s="2" t="str">
        <f>IFERROR(__xludf.DUMMYFUNCTION("IFERROR(VLOOKUP(A912, IMPORTRANGE(""https://docs.google.com/spreadsheets/d/1-3Vjw2Cyy-mry5gbC8ypIR3YVGFfEpyFESummAta6sg/edit"", ""Sheet1!B:D""), 3, FALSE), ""Not Found"")"),"s t ɑ p ")</f>
        <v>s t ɑ p </v>
      </c>
    </row>
    <row r="913">
      <c r="A913" s="1" t="s">
        <v>916</v>
      </c>
      <c r="B913" s="1" t="s">
        <v>5</v>
      </c>
      <c r="C913" s="2">
        <f>IFERROR(__xludf.DUMMYFUNCTION("IFERROR(VLOOKUP(A913, IMPORTRANGE(""https://docs.google.com/spreadsheets/d/1AVX9GT0dgogEBStecCXMMQ29tWz3gBrtNB8yIromXbY/edit?gid=741673867"", ""out1g!A:B""), 2, FALSE), 0)"),112.0)</f>
        <v>112</v>
      </c>
      <c r="D913" s="2" t="str">
        <f>IFERROR(__xludf.DUMMYFUNCTION("IFERROR(VLOOKUP(A913, IMPORTRANGE(""https://docs.google.com/spreadsheets/d/1-3Vjw2Cyy-mry5gbC8ypIR3YVGFfEpyFESummAta6sg/edit"", ""Sheet1!B:D""), 2, FALSE), ""Not Found"")"),"wɛr")</f>
        <v>wɛr</v>
      </c>
      <c r="E913" s="2" t="str">
        <f>IFERROR(__xludf.DUMMYFUNCTION("IFERROR(VLOOKUP(A913, IMPORTRANGE(""https://docs.google.com/spreadsheets/d/1-3Vjw2Cyy-mry5gbC8ypIR3YVGFfEpyFESummAta6sg/edit"", ""Sheet1!B:D""), 3, FALSE), ""Not Found"")"),"w ɛ r ")</f>
        <v>w ɛ r </v>
      </c>
    </row>
    <row r="914">
      <c r="A914" s="1" t="s">
        <v>917</v>
      </c>
      <c r="B914" s="1" t="s">
        <v>5</v>
      </c>
      <c r="C914" s="2">
        <f>IFERROR(__xludf.DUMMYFUNCTION("IFERROR(VLOOKUP(A914, IMPORTRANGE(""https://docs.google.com/spreadsheets/d/1AVX9GT0dgogEBStecCXMMQ29tWz3gBrtNB8yIromXbY/edit?gid=741673867"", ""out1g!A:B""), 2, FALSE), 0)"),362.0)</f>
        <v>362</v>
      </c>
      <c r="D914" s="2" t="str">
        <f>IFERROR(__xludf.DUMMYFUNCTION("IFERROR(VLOOKUP(A914, IMPORTRANGE(""https://docs.google.com/spreadsheets/d/1-3Vjw2Cyy-mry5gbC8ypIR3YVGFfEpyFESummAta6sg/edit"", ""Sheet1!B:D""), 2, FALSE), ""Not Found"")"),"hɑrʃ")</f>
        <v>hɑrʃ</v>
      </c>
      <c r="E914" s="2" t="str">
        <f>IFERROR(__xludf.DUMMYFUNCTION("IFERROR(VLOOKUP(A914, IMPORTRANGE(""https://docs.google.com/spreadsheets/d/1-3Vjw2Cyy-mry5gbC8ypIR3YVGFfEpyFESummAta6sg/edit"", ""Sheet1!B:D""), 3, FALSE), ""Not Found"")"),"h ɑ r ʃ ")</f>
        <v>h ɑ r ʃ </v>
      </c>
    </row>
    <row r="915">
      <c r="A915" s="1" t="s">
        <v>918</v>
      </c>
      <c r="B915" s="1" t="s">
        <v>5</v>
      </c>
      <c r="C915" s="2">
        <f>IFERROR(__xludf.DUMMYFUNCTION("IFERROR(VLOOKUP(A915, IMPORTRANGE(""https://docs.google.com/spreadsheets/d/1AVX9GT0dgogEBStecCXMMQ29tWz3gBrtNB8yIromXbY/edit?gid=741673867"", ""out1g!A:B""), 2, FALSE), 0)"),85.0)</f>
        <v>85</v>
      </c>
      <c r="D915" s="2" t="str">
        <f>IFERROR(__xludf.DUMMYFUNCTION("IFERROR(VLOOKUP(A915, IMPORTRANGE(""https://docs.google.com/spreadsheets/d/1-3Vjw2Cyy-mry5gbC8ypIR3YVGFfEpyFESummAta6sg/edit"", ""Sheet1!B:D""), 2, FALSE), ""Not Found"")"),"hækɪŋ")</f>
        <v>hækɪŋ</v>
      </c>
      <c r="E915" s="2" t="str">
        <f>IFERROR(__xludf.DUMMYFUNCTION("IFERROR(VLOOKUP(A915, IMPORTRANGE(""https://docs.google.com/spreadsheets/d/1-3Vjw2Cyy-mry5gbC8ypIR3YVGFfEpyFESummAta6sg/edit"", ""Sheet1!B:D""), 3, FALSE), ""Not Found"")"),"h æ k ɪ ŋ ")</f>
        <v>h æ k ɪ ŋ </v>
      </c>
    </row>
    <row r="916">
      <c r="A916" s="1" t="s">
        <v>919</v>
      </c>
      <c r="B916" s="1" t="s">
        <v>5</v>
      </c>
      <c r="C916" s="2">
        <f>IFERROR(__xludf.DUMMYFUNCTION("IFERROR(VLOOKUP(A916, IMPORTRANGE(""https://docs.google.com/spreadsheets/d/1AVX9GT0dgogEBStecCXMMQ29tWz3gBrtNB8yIromXbY/edit?gid=741673867"", ""out1g!A:B""), 2, FALSE), 0)"),234.0)</f>
        <v>234</v>
      </c>
      <c r="D916" s="2" t="str">
        <f>IFERROR(__xludf.DUMMYFUNCTION("IFERROR(VLOOKUP(A916, IMPORTRANGE(""https://docs.google.com/spreadsheets/d/1-3Vjw2Cyy-mry5gbC8ypIR3YVGFfEpyFESummAta6sg/edit"", ""Sheet1!B:D""), 2, FALSE), ""Not Found"")"),"paɪk")</f>
        <v>paɪk</v>
      </c>
      <c r="E916" s="2" t="str">
        <f>IFERROR(__xludf.DUMMYFUNCTION("IFERROR(VLOOKUP(A916, IMPORTRANGE(""https://docs.google.com/spreadsheets/d/1-3Vjw2Cyy-mry5gbC8ypIR3YVGFfEpyFESummAta6sg/edit"", ""Sheet1!B:D""), 3, FALSE), ""Not Found"")"),"p a ɪ k ")</f>
        <v>p a ɪ k </v>
      </c>
    </row>
    <row r="917">
      <c r="A917" s="1" t="s">
        <v>920</v>
      </c>
      <c r="B917" s="1" t="s">
        <v>5</v>
      </c>
      <c r="C917" s="2">
        <f>IFERROR(__xludf.DUMMYFUNCTION("IFERROR(VLOOKUP(A917, IMPORTRANGE(""https://docs.google.com/spreadsheets/d/1AVX9GT0dgogEBStecCXMMQ29tWz3gBrtNB8yIromXbY/edit?gid=741673867"", ""out1g!A:B""), 2, FALSE), 0)"),1994.0)</f>
        <v>1994</v>
      </c>
      <c r="D917" s="2" t="str">
        <f>IFERROR(__xludf.DUMMYFUNCTION("IFERROR(VLOOKUP(A917, IMPORTRANGE(""https://docs.google.com/spreadsheets/d/1-3Vjw2Cyy-mry5gbC8ypIR3YVGFfEpyFESummAta6sg/edit"", ""Sheet1!B:D""), 2, FALSE), ""Not Found"")"),"mɛri")</f>
        <v>mɛri</v>
      </c>
      <c r="E917" s="2" t="str">
        <f>IFERROR(__xludf.DUMMYFUNCTION("IFERROR(VLOOKUP(A917, IMPORTRANGE(""https://docs.google.com/spreadsheets/d/1-3Vjw2Cyy-mry5gbC8ypIR3YVGFfEpyFESummAta6sg/edit"", ""Sheet1!B:D""), 3, FALSE), ""Not Found"")"),"m ɛ r i ")</f>
        <v>m ɛ r i </v>
      </c>
    </row>
    <row r="918">
      <c r="A918" s="1" t="s">
        <v>921</v>
      </c>
      <c r="B918" s="1" t="s">
        <v>5</v>
      </c>
      <c r="C918" s="2">
        <f>IFERROR(__xludf.DUMMYFUNCTION("IFERROR(VLOOKUP(A918, IMPORTRANGE(""https://docs.google.com/spreadsheets/d/1AVX9GT0dgogEBStecCXMMQ29tWz3gBrtNB8yIromXbY/edit?gid=741673867"", ""out1g!A:B""), 2, FALSE), 0)"),382.0)</f>
        <v>382</v>
      </c>
      <c r="D918" s="2" t="str">
        <f>IFERROR(__xludf.DUMMYFUNCTION("IFERROR(VLOOKUP(A918, IMPORTRANGE(""https://docs.google.com/spreadsheets/d/1-3Vjw2Cyy-mry5gbC8ypIR3YVGFfEpyFESummAta6sg/edit"", ""Sheet1!B:D""), 2, FALSE), ""Not Found"")"),"igoʊ")</f>
        <v>igoʊ</v>
      </c>
      <c r="E918" s="2" t="str">
        <f>IFERROR(__xludf.DUMMYFUNCTION("IFERROR(VLOOKUP(A918, IMPORTRANGE(""https://docs.google.com/spreadsheets/d/1-3Vjw2Cyy-mry5gbC8ypIR3YVGFfEpyFESummAta6sg/edit"", ""Sheet1!B:D""), 3, FALSE), ""Not Found"")"),"i g o ʊ ")</f>
        <v>i g o ʊ </v>
      </c>
    </row>
    <row r="919">
      <c r="A919" s="1" t="s">
        <v>922</v>
      </c>
      <c r="B919" s="1" t="s">
        <v>5</v>
      </c>
      <c r="C919" s="2">
        <f>IFERROR(__xludf.DUMMYFUNCTION("IFERROR(VLOOKUP(A919, IMPORTRANGE(""https://docs.google.com/spreadsheets/d/1AVX9GT0dgogEBStecCXMMQ29tWz3gBrtNB8yIromXbY/edit?gid=741673867"", ""out1g!A:B""), 2, FALSE), 0)"),448.0)</f>
        <v>448</v>
      </c>
      <c r="D919" s="2" t="str">
        <f>IFERROR(__xludf.DUMMYFUNCTION("IFERROR(VLOOKUP(A919, IMPORTRANGE(""https://docs.google.com/spreadsheets/d/1-3Vjw2Cyy-mry5gbC8ypIR3YVGFfEpyFESummAta6sg/edit"", ""Sheet1!B:D""), 2, FALSE), ""Not Found"")"),"sɪtiz")</f>
        <v>sɪtiz</v>
      </c>
      <c r="E919" s="2" t="str">
        <f>IFERROR(__xludf.DUMMYFUNCTION("IFERROR(VLOOKUP(A919, IMPORTRANGE(""https://docs.google.com/spreadsheets/d/1-3Vjw2Cyy-mry5gbC8ypIR3YVGFfEpyFESummAta6sg/edit"", ""Sheet1!B:D""), 3, FALSE), ""Not Found"")"),"s ɪ t i z ")</f>
        <v>s ɪ t i z </v>
      </c>
    </row>
    <row r="920">
      <c r="A920" s="1" t="s">
        <v>923</v>
      </c>
      <c r="B920" s="1" t="s">
        <v>5</v>
      </c>
      <c r="C920" s="2">
        <f>IFERROR(__xludf.DUMMYFUNCTION("IFERROR(VLOOKUP(A920, IMPORTRANGE(""https://docs.google.com/spreadsheets/d/1AVX9GT0dgogEBStecCXMMQ29tWz3gBrtNB8yIromXbY/edit?gid=741673867"", ""out1g!A:B""), 2, FALSE), 0)"),127.0)</f>
        <v>127</v>
      </c>
      <c r="D920" s="2" t="str">
        <f>IFERROR(__xludf.DUMMYFUNCTION("IFERROR(VLOOKUP(A920, IMPORTRANGE(""https://docs.google.com/spreadsheets/d/1-3Vjw2Cyy-mry5gbC8ypIR3YVGFfEpyFESummAta6sg/edit"", ""Sheet1!B:D""), 2, FALSE), ""Not Found"")"),"drulɪŋ")</f>
        <v>drulɪŋ</v>
      </c>
      <c r="E920" s="2" t="str">
        <f>IFERROR(__xludf.DUMMYFUNCTION("IFERROR(VLOOKUP(A920, IMPORTRANGE(""https://docs.google.com/spreadsheets/d/1-3Vjw2Cyy-mry5gbC8ypIR3YVGFfEpyFESummAta6sg/edit"", ""Sheet1!B:D""), 3, FALSE), ""Not Found"")"),"d r u l ɪ ŋ ")</f>
        <v>d r u l ɪ ŋ </v>
      </c>
    </row>
    <row r="921">
      <c r="A921" s="1" t="s">
        <v>924</v>
      </c>
      <c r="B921" s="1" t="s">
        <v>5</v>
      </c>
      <c r="C921" s="2">
        <f>IFERROR(__xludf.DUMMYFUNCTION("IFERROR(VLOOKUP(A921, IMPORTRANGE(""https://docs.google.com/spreadsheets/d/1AVX9GT0dgogEBStecCXMMQ29tWz3gBrtNB8yIromXbY/edit?gid=741673867"", ""out1g!A:B""), 2, FALSE), 0)"),144.0)</f>
        <v>144</v>
      </c>
      <c r="D921" s="2" t="str">
        <f>IFERROR(__xludf.DUMMYFUNCTION("IFERROR(VLOOKUP(A921, IMPORTRANGE(""https://docs.google.com/spreadsheets/d/1-3Vjw2Cyy-mry5gbC8ypIR3YVGFfEpyFESummAta6sg/edit"", ""Sheet1!B:D""), 2, FALSE), ""Not Found"")"),"tɑks")</f>
        <v>tɑks</v>
      </c>
      <c r="E921" s="2" t="str">
        <f>IFERROR(__xludf.DUMMYFUNCTION("IFERROR(VLOOKUP(A921, IMPORTRANGE(""https://docs.google.com/spreadsheets/d/1-3Vjw2Cyy-mry5gbC8ypIR3YVGFfEpyFESummAta6sg/edit"", ""Sheet1!B:D""), 3, FALSE), ""Not Found"")"),"t ɑ k s ")</f>
        <v>t ɑ k s </v>
      </c>
    </row>
    <row r="922">
      <c r="A922" s="1" t="s">
        <v>925</v>
      </c>
      <c r="B922" s="1" t="s">
        <v>5</v>
      </c>
      <c r="C922" s="2">
        <f>IFERROR(__xludf.DUMMYFUNCTION("IFERROR(VLOOKUP(A922, IMPORTRANGE(""https://docs.google.com/spreadsheets/d/1AVX9GT0dgogEBStecCXMMQ29tWz3gBrtNB8yIromXbY/edit?gid=741673867"", ""out1g!A:B""), 2, FALSE), 0)"),75.0)</f>
        <v>75</v>
      </c>
      <c r="D922" s="2" t="str">
        <f>IFERROR(__xludf.DUMMYFUNCTION("IFERROR(VLOOKUP(A922, IMPORTRANGE(""https://docs.google.com/spreadsheets/d/1-3Vjw2Cyy-mry5gbC8ypIR3YVGFfEpyFESummAta6sg/edit"", ""Sheet1!B:D""), 2, FALSE), ""Not Found"")"),"læg")</f>
        <v>læg</v>
      </c>
      <c r="E922" s="2" t="str">
        <f>IFERROR(__xludf.DUMMYFUNCTION("IFERROR(VLOOKUP(A922, IMPORTRANGE(""https://docs.google.com/spreadsheets/d/1-3Vjw2Cyy-mry5gbC8ypIR3YVGFfEpyFESummAta6sg/edit"", ""Sheet1!B:D""), 3, FALSE), ""Not Found"")"),"l æ g ")</f>
        <v>l æ g </v>
      </c>
    </row>
    <row r="923">
      <c r="A923" s="1" t="s">
        <v>926</v>
      </c>
      <c r="B923" s="1" t="s">
        <v>5</v>
      </c>
      <c r="C923" s="2">
        <f>IFERROR(__xludf.DUMMYFUNCTION("IFERROR(VLOOKUP(A923, IMPORTRANGE(""https://docs.google.com/spreadsheets/d/1AVX9GT0dgogEBStecCXMMQ29tWz3gBrtNB8yIromXbY/edit?gid=741673867"", ""out1g!A:B""), 2, FALSE), 0)"),448.0)</f>
        <v>448</v>
      </c>
      <c r="D923" s="2" t="str">
        <f>IFERROR(__xludf.DUMMYFUNCTION("IFERROR(VLOOKUP(A923, IMPORTRANGE(""https://docs.google.com/spreadsheets/d/1-3Vjw2Cyy-mry5gbC8ypIR3YVGFfEpyFESummAta6sg/edit"", ""Sheet1!B:D""), 2, FALSE), ""Not Found"")"),"kɔf")</f>
        <v>kɔf</v>
      </c>
      <c r="E923" s="2" t="str">
        <f>IFERROR(__xludf.DUMMYFUNCTION("IFERROR(VLOOKUP(A923, IMPORTRANGE(""https://docs.google.com/spreadsheets/d/1-3Vjw2Cyy-mry5gbC8ypIR3YVGFfEpyFESummAta6sg/edit"", ""Sheet1!B:D""), 3, FALSE), ""Not Found"")"),"k ɔ f ")</f>
        <v>k ɔ f </v>
      </c>
    </row>
    <row r="924">
      <c r="A924" s="1" t="s">
        <v>927</v>
      </c>
      <c r="B924" s="1" t="s">
        <v>5</v>
      </c>
      <c r="C924" s="2">
        <f>IFERROR(__xludf.DUMMYFUNCTION("IFERROR(VLOOKUP(A924, IMPORTRANGE(""https://docs.google.com/spreadsheets/d/1AVX9GT0dgogEBStecCXMMQ29tWz3gBrtNB8yIromXbY/edit?gid=741673867"", ""out1g!A:B""), 2, FALSE), 0)"),2241.0)</f>
        <v>2241</v>
      </c>
      <c r="D924" s="2" t="str">
        <f>IFERROR(__xludf.DUMMYFUNCTION("IFERROR(VLOOKUP(A924, IMPORTRANGE(""https://docs.google.com/spreadsheets/d/1-3Vjw2Cyy-mry5gbC8ypIR3YVGFfEpyFESummAta6sg/edit"", ""Sheet1!B:D""), 2, FALSE), ""Not Found"")"),"fɪl")</f>
        <v>fɪl</v>
      </c>
      <c r="E924" s="2" t="str">
        <f>IFERROR(__xludf.DUMMYFUNCTION("IFERROR(VLOOKUP(A924, IMPORTRANGE(""https://docs.google.com/spreadsheets/d/1-3Vjw2Cyy-mry5gbC8ypIR3YVGFfEpyFESummAta6sg/edit"", ""Sheet1!B:D""), 3, FALSE), ""Not Found"")"),"f ɪ l ")</f>
        <v>f ɪ l </v>
      </c>
    </row>
    <row r="925">
      <c r="A925" s="1" t="s">
        <v>928</v>
      </c>
      <c r="B925" s="1" t="s">
        <v>5</v>
      </c>
      <c r="C925" s="2">
        <f>IFERROR(__xludf.DUMMYFUNCTION("IFERROR(VLOOKUP(A925, IMPORTRANGE(""https://docs.google.com/spreadsheets/d/1AVX9GT0dgogEBStecCXMMQ29tWz3gBrtNB8yIromXbY/edit?gid=741673867"", ""out1g!A:B""), 2, FALSE), 0)"),819.0)</f>
        <v>819</v>
      </c>
      <c r="D925" s="2" t="str">
        <f>IFERROR(__xludf.DUMMYFUNCTION("IFERROR(VLOOKUP(A925, IMPORTRANGE(""https://docs.google.com/spreadsheets/d/1-3Vjw2Cyy-mry5gbC8ypIR3YVGFfEpyFESummAta6sg/edit"", ""Sheet1!B:D""), 2, FALSE), ""Not Found"")"),"fɛns")</f>
        <v>fɛns</v>
      </c>
      <c r="E925" s="2" t="str">
        <f>IFERROR(__xludf.DUMMYFUNCTION("IFERROR(VLOOKUP(A925, IMPORTRANGE(""https://docs.google.com/spreadsheets/d/1-3Vjw2Cyy-mry5gbC8ypIR3YVGFfEpyFESummAta6sg/edit"", ""Sheet1!B:D""), 3, FALSE), ""Not Found"")"),"f ɛ n s ")</f>
        <v>f ɛ n s </v>
      </c>
    </row>
    <row r="926">
      <c r="A926" s="1" t="s">
        <v>929</v>
      </c>
      <c r="B926" s="1" t="s">
        <v>5</v>
      </c>
      <c r="C926" s="2">
        <f>IFERROR(__xludf.DUMMYFUNCTION("IFERROR(VLOOKUP(A926, IMPORTRANGE(""https://docs.google.com/spreadsheets/d/1AVX9GT0dgogEBStecCXMMQ29tWz3gBrtNB8yIromXbY/edit?gid=741673867"", ""out1g!A:B""), 2, FALSE), 0)"),867.0)</f>
        <v>867</v>
      </c>
      <c r="D926" s="2" t="str">
        <f>IFERROR(__xludf.DUMMYFUNCTION("IFERROR(VLOOKUP(A926, IMPORTRANGE(""https://docs.google.com/spreadsheets/d/1-3Vjw2Cyy-mry5gbC8ypIR3YVGFfEpyFESummAta6sg/edit"", ""Sheet1!B:D""), 2, FALSE), ""Not Found"")"),"pɛgi")</f>
        <v>pɛgi</v>
      </c>
      <c r="E926" s="2" t="str">
        <f>IFERROR(__xludf.DUMMYFUNCTION("IFERROR(VLOOKUP(A926, IMPORTRANGE(""https://docs.google.com/spreadsheets/d/1-3Vjw2Cyy-mry5gbC8ypIR3YVGFfEpyFESummAta6sg/edit"", ""Sheet1!B:D""), 3, FALSE), ""Not Found"")"),"p ɛ g i ")</f>
        <v>p ɛ g i </v>
      </c>
    </row>
    <row r="927">
      <c r="A927" s="1" t="s">
        <v>930</v>
      </c>
      <c r="B927" s="1" t="s">
        <v>5</v>
      </c>
      <c r="C927" s="2">
        <f>IFERROR(__xludf.DUMMYFUNCTION("IFERROR(VLOOKUP(A927, IMPORTRANGE(""https://docs.google.com/spreadsheets/d/1AVX9GT0dgogEBStecCXMMQ29tWz3gBrtNB8yIromXbY/edit?gid=741673867"", ""out1g!A:B""), 2, FALSE), 0)"),324.0)</f>
        <v>324</v>
      </c>
      <c r="D927" s="2" t="str">
        <f>IFERROR(__xludf.DUMMYFUNCTION("IFERROR(VLOOKUP(A927, IMPORTRANGE(""https://docs.google.com/spreadsheets/d/1-3Vjw2Cyy-mry5gbC8ypIR3YVGFfEpyFESummAta6sg/edit"", ""Sheet1!B:D""), 2, FALSE), ""Not Found"")"),"wɛlθ")</f>
        <v>wɛlθ</v>
      </c>
      <c r="E927" s="2" t="str">
        <f>IFERROR(__xludf.DUMMYFUNCTION("IFERROR(VLOOKUP(A927, IMPORTRANGE(""https://docs.google.com/spreadsheets/d/1-3Vjw2Cyy-mry5gbC8ypIR3YVGFfEpyFESummAta6sg/edit"", ""Sheet1!B:D""), 3, FALSE), ""Not Found"")"),"w ɛ l θ ")</f>
        <v>w ɛ l θ </v>
      </c>
    </row>
    <row r="928">
      <c r="A928" s="1" t="s">
        <v>931</v>
      </c>
      <c r="B928" s="1" t="s">
        <v>5</v>
      </c>
      <c r="C928" s="2">
        <f>IFERROR(__xludf.DUMMYFUNCTION("IFERROR(VLOOKUP(A928, IMPORTRANGE(""https://docs.google.com/spreadsheets/d/1AVX9GT0dgogEBStecCXMMQ29tWz3gBrtNB8yIromXbY/edit?gid=741673867"", ""out1g!A:B""), 2, FALSE), 0)"),96.0)</f>
        <v>96</v>
      </c>
      <c r="D928" s="2" t="str">
        <f>IFERROR(__xludf.DUMMYFUNCTION("IFERROR(VLOOKUP(A928, IMPORTRANGE(""https://docs.google.com/spreadsheets/d/1-3Vjw2Cyy-mry5gbC8ypIR3YVGFfEpyFESummAta6sg/edit"", ""Sheet1!B:D""), 2, FALSE), ""Not Found"")"),"kwoʊ")</f>
        <v>kwoʊ</v>
      </c>
      <c r="E928" s="2" t="str">
        <f>IFERROR(__xludf.DUMMYFUNCTION("IFERROR(VLOOKUP(A928, IMPORTRANGE(""https://docs.google.com/spreadsheets/d/1-3Vjw2Cyy-mry5gbC8ypIR3YVGFfEpyFESummAta6sg/edit"", ""Sheet1!B:D""), 3, FALSE), ""Not Found"")"),"k w o ʊ ")</f>
        <v>k w o ʊ </v>
      </c>
    </row>
    <row r="929">
      <c r="A929" s="1" t="s">
        <v>932</v>
      </c>
      <c r="B929" s="1" t="s">
        <v>5</v>
      </c>
      <c r="C929" s="2">
        <f>IFERROR(__xludf.DUMMYFUNCTION("IFERROR(VLOOKUP(A929, IMPORTRANGE(""https://docs.google.com/spreadsheets/d/1AVX9GT0dgogEBStecCXMMQ29tWz3gBrtNB8yIromXbY/edit?gid=741673867"", ""out1g!A:B""), 2, FALSE), 0)"),221754.0)</f>
        <v>221754</v>
      </c>
      <c r="D929" s="2" t="str">
        <f>IFERROR(__xludf.DUMMYFUNCTION("IFERROR(VLOOKUP(A929, IMPORTRANGE(""https://docs.google.com/spreadsheets/d/1-3Vjw2Cyy-mry5gbC8ypIR3YVGFfEpyFESummAta6sg/edit"", ""Sheet1!B:D""), 2, FALSE), ""Not Found"")"),"ðɛr")</f>
        <v>ðɛr</v>
      </c>
      <c r="E929" s="2" t="str">
        <f>IFERROR(__xludf.DUMMYFUNCTION("IFERROR(VLOOKUP(A929, IMPORTRANGE(""https://docs.google.com/spreadsheets/d/1-3Vjw2Cyy-mry5gbC8ypIR3YVGFfEpyFESummAta6sg/edit"", ""Sheet1!B:D""), 3, FALSE), ""Not Found"")"),"ð ɛ r ")</f>
        <v>ð ɛ r </v>
      </c>
    </row>
    <row r="930">
      <c r="A930" s="1" t="s">
        <v>933</v>
      </c>
      <c r="B930" s="1" t="s">
        <v>5</v>
      </c>
      <c r="C930" s="2">
        <f>IFERROR(__xludf.DUMMYFUNCTION("IFERROR(VLOOKUP(A930, IMPORTRANGE(""https://docs.google.com/spreadsheets/d/1AVX9GT0dgogEBStecCXMMQ29tWz3gBrtNB8yIromXbY/edit?gid=741673867"", ""out1g!A:B""), 2, FALSE), 0)"),28464.0)</f>
        <v>28464</v>
      </c>
      <c r="D930" s="2" t="str">
        <f>IFERROR(__xludf.DUMMYFUNCTION("IFERROR(VLOOKUP(A930, IMPORTRANGE(""https://docs.google.com/spreadsheets/d/1-3Vjw2Cyy-mry5gbC8ypIR3YVGFfEpyFESummAta6sg/edit"", ""Sheet1!B:D""), 2, FALSE), ""Not Found"")"),"haɪ")</f>
        <v>haɪ</v>
      </c>
      <c r="E930" s="2" t="str">
        <f>IFERROR(__xludf.DUMMYFUNCTION("IFERROR(VLOOKUP(A930, IMPORTRANGE(""https://docs.google.com/spreadsheets/d/1-3Vjw2Cyy-mry5gbC8ypIR3YVGFfEpyFESummAta6sg/edit"", ""Sheet1!B:D""), 3, FALSE), ""Not Found"")"),"h a ɪ ")</f>
        <v>h a ɪ </v>
      </c>
    </row>
    <row r="931">
      <c r="A931" s="1" t="s">
        <v>934</v>
      </c>
      <c r="B931" s="1" t="s">
        <v>5</v>
      </c>
      <c r="C931" s="2">
        <f>IFERROR(__xludf.DUMMYFUNCTION("IFERROR(VLOOKUP(A931, IMPORTRANGE(""https://docs.google.com/spreadsheets/d/1AVX9GT0dgogEBStecCXMMQ29tWz3gBrtNB8yIromXbY/edit?gid=741673867"", ""out1g!A:B""), 2, FALSE), 0)"),939.0)</f>
        <v>939</v>
      </c>
      <c r="D931" s="2" t="str">
        <f>IFERROR(__xludf.DUMMYFUNCTION("IFERROR(VLOOKUP(A931, IMPORTRANGE(""https://docs.google.com/spreadsheets/d/1-3Vjw2Cyy-mry5gbC8ypIR3YVGFfEpyFESummAta6sg/edit"", ""Sheet1!B:D""), 2, FALSE), ""Not Found"")"),"jɛl")</f>
        <v>jɛl</v>
      </c>
      <c r="E931" s="2" t="str">
        <f>IFERROR(__xludf.DUMMYFUNCTION("IFERROR(VLOOKUP(A931, IMPORTRANGE(""https://docs.google.com/spreadsheets/d/1-3Vjw2Cyy-mry5gbC8ypIR3YVGFfEpyFESummAta6sg/edit"", ""Sheet1!B:D""), 3, FALSE), ""Not Found"")"),"j ɛ l ")</f>
        <v>j ɛ l </v>
      </c>
    </row>
    <row r="932">
      <c r="A932" s="1" t="s">
        <v>935</v>
      </c>
      <c r="B932" s="1" t="s">
        <v>5</v>
      </c>
      <c r="C932" s="2">
        <f>IFERROR(__xludf.DUMMYFUNCTION("IFERROR(VLOOKUP(A932, IMPORTRANGE(""https://docs.google.com/spreadsheets/d/1AVX9GT0dgogEBStecCXMMQ29tWz3gBrtNB8yIromXbY/edit?gid=741673867"", ""out1g!A:B""), 2, FALSE), 0)"),652.0)</f>
        <v>652</v>
      </c>
      <c r="D932" s="2" t="str">
        <f>IFERROR(__xludf.DUMMYFUNCTION("IFERROR(VLOOKUP(A932, IMPORTRANGE(""https://docs.google.com/spreadsheets/d/1-3Vjw2Cyy-mry5gbC8ypIR3YVGFfEpyFESummAta6sg/edit"", ""Sheet1!B:D""), 2, FALSE), ""Not Found"")"),"haɪə")</f>
        <v>haɪə</v>
      </c>
      <c r="E932" s="2" t="str">
        <f>IFERROR(__xludf.DUMMYFUNCTION("IFERROR(VLOOKUP(A932, IMPORTRANGE(""https://docs.google.com/spreadsheets/d/1-3Vjw2Cyy-mry5gbC8ypIR3YVGFfEpyFESummAta6sg/edit"", ""Sheet1!B:D""), 3, FALSE), ""Not Found"")"),"h a ɪ ə ")</f>
        <v>h a ɪ ə </v>
      </c>
    </row>
    <row r="933">
      <c r="A933" s="1" t="s">
        <v>936</v>
      </c>
      <c r="B933" s="1" t="s">
        <v>5</v>
      </c>
      <c r="C933" s="2">
        <f>IFERROR(__xludf.DUMMYFUNCTION("IFERROR(VLOOKUP(A933, IMPORTRANGE(""https://docs.google.com/spreadsheets/d/1AVX9GT0dgogEBStecCXMMQ29tWz3gBrtNB8yIromXbY/edit?gid=741673867"", ""out1g!A:B""), 2, FALSE), 0)"),50.0)</f>
        <v>50</v>
      </c>
      <c r="D933" s="2" t="str">
        <f>IFERROR(__xludf.DUMMYFUNCTION("IFERROR(VLOOKUP(A933, IMPORTRANGE(""https://docs.google.com/spreadsheets/d/1-3Vjw2Cyy-mry5gbC8ypIR3YVGFfEpyFESummAta6sg/edit"", ""Sheet1!B:D""), 2, FALSE), ""Not Found"")"),"zɛfər")</f>
        <v>zɛfər</v>
      </c>
      <c r="E933" s="2" t="str">
        <f>IFERROR(__xludf.DUMMYFUNCTION("IFERROR(VLOOKUP(A933, IMPORTRANGE(""https://docs.google.com/spreadsheets/d/1-3Vjw2Cyy-mry5gbC8ypIR3YVGFfEpyFESummAta6sg/edit"", ""Sheet1!B:D""), 3, FALSE), ""Not Found"")"),"z ɛ f ə r ")</f>
        <v>z ɛ f ə r </v>
      </c>
    </row>
    <row r="934">
      <c r="A934" s="1" t="s">
        <v>937</v>
      </c>
      <c r="B934" s="1" t="s">
        <v>5</v>
      </c>
      <c r="C934" s="2">
        <f>IFERROR(__xludf.DUMMYFUNCTION("IFERROR(VLOOKUP(A934, IMPORTRANGE(""https://docs.google.com/spreadsheets/d/1AVX9GT0dgogEBStecCXMMQ29tWz3gBrtNB8yIromXbY/edit?gid=741673867"", ""out1g!A:B""), 2, FALSE), 0)"),6047.0)</f>
        <v>6047</v>
      </c>
      <c r="D934" s="2" t="str">
        <f>IFERROR(__xludf.DUMMYFUNCTION("IFERROR(VLOOKUP(A934, IMPORTRANGE(""https://docs.google.com/spreadsheets/d/1-3Vjw2Cyy-mry5gbC8ypIR3YVGFfEpyFESummAta6sg/edit"", ""Sheet1!B:D""), 2, FALSE), ""Not Found"")"),"lərn")</f>
        <v>lərn</v>
      </c>
      <c r="E934" s="2" t="str">
        <f>IFERROR(__xludf.DUMMYFUNCTION("IFERROR(VLOOKUP(A934, IMPORTRANGE(""https://docs.google.com/spreadsheets/d/1-3Vjw2Cyy-mry5gbC8ypIR3YVGFfEpyFESummAta6sg/edit"", ""Sheet1!B:D""), 3, FALSE), ""Not Found"")"),"l ə r n ")</f>
        <v>l ə r n </v>
      </c>
    </row>
    <row r="935">
      <c r="A935" s="1" t="s">
        <v>938</v>
      </c>
      <c r="B935" s="1" t="s">
        <v>5</v>
      </c>
      <c r="C935" s="2">
        <f>IFERROR(__xludf.DUMMYFUNCTION("IFERROR(VLOOKUP(A935, IMPORTRANGE(""https://docs.google.com/spreadsheets/d/1AVX9GT0dgogEBStecCXMMQ29tWz3gBrtNB8yIromXbY/edit?gid=741673867"", ""out1g!A:B""), 2, FALSE), 0)"),8624.0)</f>
        <v>8624</v>
      </c>
      <c r="D935" s="2" t="str">
        <f>IFERROR(__xludf.DUMMYFUNCTION("IFERROR(VLOOKUP(A935, IMPORTRANGE(""https://docs.google.com/spreadsheets/d/1-3Vjw2Cyy-mry5gbC8ypIR3YVGFfEpyFESummAta6sg/edit"", ""Sheet1!B:D""), 2, FALSE), ""Not Found"")"),"sɪti")</f>
        <v>sɪti</v>
      </c>
      <c r="E935" s="2" t="str">
        <f>IFERROR(__xludf.DUMMYFUNCTION("IFERROR(VLOOKUP(A935, IMPORTRANGE(""https://docs.google.com/spreadsheets/d/1-3Vjw2Cyy-mry5gbC8ypIR3YVGFfEpyFESummAta6sg/edit"", ""Sheet1!B:D""), 3, FALSE), ""Not Found"")"),"s ɪ t i ")</f>
        <v>s ɪ t i </v>
      </c>
    </row>
    <row r="936">
      <c r="A936" s="1" t="s">
        <v>939</v>
      </c>
      <c r="B936" s="1" t="s">
        <v>5</v>
      </c>
      <c r="C936" s="2">
        <f>IFERROR(__xludf.DUMMYFUNCTION("IFERROR(VLOOKUP(A936, IMPORTRANGE(""https://docs.google.com/spreadsheets/d/1AVX9GT0dgogEBStecCXMMQ29tWz3gBrtNB8yIromXbY/edit?gid=741673867"", ""out1g!A:B""), 2, FALSE), 0)"),13886.0)</f>
        <v>13886</v>
      </c>
      <c r="D936" s="2" t="str">
        <f>IFERROR(__xludf.DUMMYFUNCTION("IFERROR(VLOOKUP(A936, IMPORTRANGE(""https://docs.google.com/spreadsheets/d/1-3Vjw2Cyy-mry5gbC8ypIR3YVGFfEpyFESummAta6sg/edit"", ""Sheet1!B:D""), 2, FALSE), ""Not Found"")"),"krezi")</f>
        <v>krezi</v>
      </c>
      <c r="E936" s="2" t="str">
        <f>IFERROR(__xludf.DUMMYFUNCTION("IFERROR(VLOOKUP(A936, IMPORTRANGE(""https://docs.google.com/spreadsheets/d/1-3Vjw2Cyy-mry5gbC8ypIR3YVGFfEpyFESummAta6sg/edit"", ""Sheet1!B:D""), 3, FALSE), ""Not Found"")"),"k r e z i ")</f>
        <v>k r e z i </v>
      </c>
    </row>
    <row r="937">
      <c r="A937" s="1" t="s">
        <v>940</v>
      </c>
      <c r="B937" s="1" t="s">
        <v>5</v>
      </c>
      <c r="C937" s="2">
        <f>IFERROR(__xludf.DUMMYFUNCTION("IFERROR(VLOOKUP(A937, IMPORTRANGE(""https://docs.google.com/spreadsheets/d/1AVX9GT0dgogEBStecCXMMQ29tWz3gBrtNB8yIromXbY/edit?gid=741673867"", ""out1g!A:B""), 2, FALSE), 0)"),120.0)</f>
        <v>120</v>
      </c>
      <c r="D937" s="2" t="str">
        <f>IFERROR(__xludf.DUMMYFUNCTION("IFERROR(VLOOKUP(A937, IMPORTRANGE(""https://docs.google.com/spreadsheets/d/1-3Vjw2Cyy-mry5gbC8ypIR3YVGFfEpyFESummAta6sg/edit"", ""Sheet1!B:D""), 2, FALSE), ""Not Found"")"),"hɑti")</f>
        <v>hɑti</v>
      </c>
      <c r="E937" s="2" t="str">
        <f>IFERROR(__xludf.DUMMYFUNCTION("IFERROR(VLOOKUP(A937, IMPORTRANGE(""https://docs.google.com/spreadsheets/d/1-3Vjw2Cyy-mry5gbC8ypIR3YVGFfEpyFESummAta6sg/edit"", ""Sheet1!B:D""), 3, FALSE), ""Not Found"")"),"h ɑ t i ")</f>
        <v>h ɑ t i </v>
      </c>
    </row>
    <row r="938">
      <c r="A938" s="1" t="s">
        <v>941</v>
      </c>
      <c r="B938" s="1" t="s">
        <v>5</v>
      </c>
      <c r="C938" s="2">
        <f>IFERROR(__xludf.DUMMYFUNCTION("IFERROR(VLOOKUP(A938, IMPORTRANGE(""https://docs.google.com/spreadsheets/d/1AVX9GT0dgogEBStecCXMMQ29tWz3gBrtNB8yIromXbY/edit?gid=741673867"", ""out1g!A:B""), 2, FALSE), 0)"),117.0)</f>
        <v>117</v>
      </c>
      <c r="D938" s="2" t="str">
        <f>IFERROR(__xludf.DUMMYFUNCTION("IFERROR(VLOOKUP(A938, IMPORTRANGE(""https://docs.google.com/spreadsheets/d/1-3Vjw2Cyy-mry5gbC8ypIR3YVGFfEpyFESummAta6sg/edit"", ""Sheet1!B:D""), 2, FALSE), ""Not Found"")"),"moʊ")</f>
        <v>moʊ</v>
      </c>
      <c r="E938" s="2" t="str">
        <f>IFERROR(__xludf.DUMMYFUNCTION("IFERROR(VLOOKUP(A938, IMPORTRANGE(""https://docs.google.com/spreadsheets/d/1-3Vjw2Cyy-mry5gbC8ypIR3YVGFfEpyFESummAta6sg/edit"", ""Sheet1!B:D""), 3, FALSE), ""Not Found"")"),"m o ʊ ")</f>
        <v>m o ʊ </v>
      </c>
    </row>
    <row r="939">
      <c r="A939" s="1" t="s">
        <v>942</v>
      </c>
      <c r="B939" s="1" t="s">
        <v>5</v>
      </c>
      <c r="C939" s="2">
        <f>IFERROR(__xludf.DUMMYFUNCTION("IFERROR(VLOOKUP(A939, IMPORTRANGE(""https://docs.google.com/spreadsheets/d/1AVX9GT0dgogEBStecCXMMQ29tWz3gBrtNB8yIromXbY/edit?gid=741673867"", ""out1g!A:B""), 2, FALSE), 0)"),268.0)</f>
        <v>268</v>
      </c>
      <c r="D939" s="2" t="str">
        <f>IFERROR(__xludf.DUMMYFUNCTION("IFERROR(VLOOKUP(A939, IMPORTRANGE(""https://docs.google.com/spreadsheets/d/1-3Vjw2Cyy-mry5gbC8ypIR3YVGFfEpyFESummAta6sg/edit"", ""Sheet1!B:D""), 2, FALSE), ""Not Found"")"),"rəʃt")</f>
        <v>rəʃt</v>
      </c>
      <c r="E939" s="2" t="str">
        <f>IFERROR(__xludf.DUMMYFUNCTION("IFERROR(VLOOKUP(A939, IMPORTRANGE(""https://docs.google.com/spreadsheets/d/1-3Vjw2Cyy-mry5gbC8ypIR3YVGFfEpyFESummAta6sg/edit"", ""Sheet1!B:D""), 3, FALSE), ""Not Found"")"),"r ə ʃ t ")</f>
        <v>r ə ʃ t </v>
      </c>
    </row>
    <row r="940">
      <c r="A940" s="1" t="s">
        <v>943</v>
      </c>
      <c r="B940" s="1" t="s">
        <v>5</v>
      </c>
      <c r="C940" s="2">
        <f>IFERROR(__xludf.DUMMYFUNCTION("IFERROR(VLOOKUP(A940, IMPORTRANGE(""https://docs.google.com/spreadsheets/d/1AVX9GT0dgogEBStecCXMMQ29tWz3gBrtNB8yIromXbY/edit?gid=741673867"", ""out1g!A:B""), 2, FALSE), 0)"),160.0)</f>
        <v>160</v>
      </c>
      <c r="D940" s="2" t="str">
        <f>IFERROR(__xludf.DUMMYFUNCTION("IFERROR(VLOOKUP(A940, IMPORTRANGE(""https://docs.google.com/spreadsheets/d/1-3Vjw2Cyy-mry5gbC8ypIR3YVGFfEpyFESummAta6sg/edit"", ""Sheet1!B:D""), 2, FALSE), ""Not Found"")"),"mɛm")</f>
        <v>mɛm</v>
      </c>
      <c r="E940" s="2" t="str">
        <f>IFERROR(__xludf.DUMMYFUNCTION("IFERROR(VLOOKUP(A940, IMPORTRANGE(""https://docs.google.com/spreadsheets/d/1-3Vjw2Cyy-mry5gbC8ypIR3YVGFfEpyFESummAta6sg/edit"", ""Sheet1!B:D""), 3, FALSE), ""Not Found"")"),"m ɛ m ")</f>
        <v>m ɛ m </v>
      </c>
    </row>
    <row r="941">
      <c r="A941" s="1" t="s">
        <v>944</v>
      </c>
      <c r="B941" s="1" t="s">
        <v>5</v>
      </c>
      <c r="C941" s="2">
        <f>IFERROR(__xludf.DUMMYFUNCTION("IFERROR(VLOOKUP(A941, IMPORTRANGE(""https://docs.google.com/spreadsheets/d/1AVX9GT0dgogEBStecCXMMQ29tWz3gBrtNB8yIromXbY/edit?gid=741673867"", ""out1g!A:B""), 2, FALSE), 0)"),2459.0)</f>
        <v>2459</v>
      </c>
      <c r="D941" s="2" t="str">
        <f>IFERROR(__xludf.DUMMYFUNCTION("IFERROR(VLOOKUP(A941, IMPORTRANGE(""https://docs.google.com/spreadsheets/d/1-3Vjw2Cyy-mry5gbC8ypIR3YVGFfEpyFESummAta6sg/edit"", ""Sheet1!B:D""), 2, FALSE), ""Not Found"")"),"tɑmi")</f>
        <v>tɑmi</v>
      </c>
      <c r="E941" s="2" t="str">
        <f>IFERROR(__xludf.DUMMYFUNCTION("IFERROR(VLOOKUP(A941, IMPORTRANGE(""https://docs.google.com/spreadsheets/d/1-3Vjw2Cyy-mry5gbC8ypIR3YVGFfEpyFESummAta6sg/edit"", ""Sheet1!B:D""), 3, FALSE), ""Not Found"")"),"t ɑ m i ")</f>
        <v>t ɑ m i </v>
      </c>
    </row>
    <row r="942">
      <c r="A942" s="1" t="s">
        <v>945</v>
      </c>
      <c r="B942" s="1" t="s">
        <v>5</v>
      </c>
      <c r="C942" s="2">
        <f>IFERROR(__xludf.DUMMYFUNCTION("IFERROR(VLOOKUP(A942, IMPORTRANGE(""https://docs.google.com/spreadsheets/d/1AVX9GT0dgogEBStecCXMMQ29tWz3gBrtNB8yIromXbY/edit?gid=741673867"", ""out1g!A:B""), 2, FALSE), 0)"),3609.0)</f>
        <v>3609</v>
      </c>
      <c r="D942" s="2" t="str">
        <f>IFERROR(__xludf.DUMMYFUNCTION("IFERROR(VLOOKUP(A942, IMPORTRANGE(""https://docs.google.com/spreadsheets/d/1-3Vjw2Cyy-mry5gbC8ypIR3YVGFfEpyFESummAta6sg/edit"", ""Sheet1!B:D""), 2, FALSE), ""Not Found"")"),"fevər")</f>
        <v>fevər</v>
      </c>
      <c r="E942" s="2" t="str">
        <f>IFERROR(__xludf.DUMMYFUNCTION("IFERROR(VLOOKUP(A942, IMPORTRANGE(""https://docs.google.com/spreadsheets/d/1-3Vjw2Cyy-mry5gbC8ypIR3YVGFfEpyFESummAta6sg/edit"", ""Sheet1!B:D""), 3, FALSE), ""Not Found"")"),"f e v ə r ")</f>
        <v>f e v ə r </v>
      </c>
    </row>
    <row r="943">
      <c r="A943" s="1" t="s">
        <v>946</v>
      </c>
      <c r="B943" s="1" t="s">
        <v>5</v>
      </c>
      <c r="C943" s="2">
        <f>IFERROR(__xludf.DUMMYFUNCTION("IFERROR(VLOOKUP(A943, IMPORTRANGE(""https://docs.google.com/spreadsheets/d/1AVX9GT0dgogEBStecCXMMQ29tWz3gBrtNB8yIromXbY/edit?gid=741673867"", ""out1g!A:B""), 2, FALSE), 0)"),47.0)</f>
        <v>47</v>
      </c>
      <c r="D943" s="2" t="str">
        <f>IFERROR(__xludf.DUMMYFUNCTION("IFERROR(VLOOKUP(A943, IMPORTRANGE(""https://docs.google.com/spreadsheets/d/1-3Vjw2Cyy-mry5gbC8ypIR3YVGFfEpyFESummAta6sg/edit"", ""Sheet1!B:D""), 2, FALSE), ""Not Found"")"),"frutfəl")</f>
        <v>frutfəl</v>
      </c>
      <c r="E943" s="2" t="str">
        <f>IFERROR(__xludf.DUMMYFUNCTION("IFERROR(VLOOKUP(A943, IMPORTRANGE(""https://docs.google.com/spreadsheets/d/1-3Vjw2Cyy-mry5gbC8ypIR3YVGFfEpyFESummAta6sg/edit"", ""Sheet1!B:D""), 3, FALSE), ""Not Found"")"),"f r u t f ə l ")</f>
        <v>f r u t f ə l </v>
      </c>
    </row>
    <row r="944">
      <c r="A944" s="1" t="s">
        <v>947</v>
      </c>
      <c r="B944" s="1" t="s">
        <v>5</v>
      </c>
      <c r="C944" s="2">
        <f>IFERROR(__xludf.DUMMYFUNCTION("IFERROR(VLOOKUP(A944, IMPORTRANGE(""https://docs.google.com/spreadsheets/d/1AVX9GT0dgogEBStecCXMMQ29tWz3gBrtNB8yIromXbY/edit?gid=741673867"", ""out1g!A:B""), 2, FALSE), 0)"),77.0)</f>
        <v>77</v>
      </c>
      <c r="D944" s="2" t="str">
        <f>IFERROR(__xludf.DUMMYFUNCTION("IFERROR(VLOOKUP(A944, IMPORTRANGE(""https://docs.google.com/spreadsheets/d/1-3Vjw2Cyy-mry5gbC8ypIR3YVGFfEpyFESummAta6sg/edit"", ""Sheet1!B:D""), 2, FALSE), ""Not Found"")"),"sætərn")</f>
        <v>sætərn</v>
      </c>
      <c r="E944" s="2" t="str">
        <f>IFERROR(__xludf.DUMMYFUNCTION("IFERROR(VLOOKUP(A944, IMPORTRANGE(""https://docs.google.com/spreadsheets/d/1-3Vjw2Cyy-mry5gbC8ypIR3YVGFfEpyFESummAta6sg/edit"", ""Sheet1!B:D""), 3, FALSE), ""Not Found"")"),"s æ t ə r n ")</f>
        <v>s æ t ə r n </v>
      </c>
    </row>
    <row r="945">
      <c r="A945" s="1" t="s">
        <v>948</v>
      </c>
      <c r="B945" s="1" t="s">
        <v>5</v>
      </c>
      <c r="C945" s="2">
        <f>IFERROR(__xludf.DUMMYFUNCTION("IFERROR(VLOOKUP(A945, IMPORTRANGE(""https://docs.google.com/spreadsheets/d/1AVX9GT0dgogEBStecCXMMQ29tWz3gBrtNB8yIromXbY/edit?gid=741673867"", ""out1g!A:B""), 2, FALSE), 0)"),89.0)</f>
        <v>89</v>
      </c>
      <c r="D945" s="2" t="str">
        <f>IFERROR(__xludf.DUMMYFUNCTION("IFERROR(VLOOKUP(A945, IMPORTRANGE(""https://docs.google.com/spreadsheets/d/1-3Vjw2Cyy-mry5gbC8ypIR3YVGFfEpyFESummAta6sg/edit"", ""Sheet1!B:D""), 2, FALSE), ""Not Found"")"),"həgz")</f>
        <v>həgz</v>
      </c>
      <c r="E945" s="2" t="str">
        <f>IFERROR(__xludf.DUMMYFUNCTION("IFERROR(VLOOKUP(A945, IMPORTRANGE(""https://docs.google.com/spreadsheets/d/1-3Vjw2Cyy-mry5gbC8ypIR3YVGFfEpyFESummAta6sg/edit"", ""Sheet1!B:D""), 3, FALSE), ""Not Found"")"),"h ə g z ")</f>
        <v>h ə g z </v>
      </c>
    </row>
    <row r="946">
      <c r="A946" s="1" t="s">
        <v>949</v>
      </c>
      <c r="B946" s="1" t="s">
        <v>5</v>
      </c>
      <c r="C946" s="2">
        <f>IFERROR(__xludf.DUMMYFUNCTION("IFERROR(VLOOKUP(A946, IMPORTRANGE(""https://docs.google.com/spreadsheets/d/1AVX9GT0dgogEBStecCXMMQ29tWz3gBrtNB8yIromXbY/edit?gid=741673867"", ""out1g!A:B""), 2, FALSE), 0)"),331.0)</f>
        <v>331</v>
      </c>
      <c r="D946" s="2" t="str">
        <f>IFERROR(__xludf.DUMMYFUNCTION("IFERROR(VLOOKUP(A946, IMPORTRANGE(""https://docs.google.com/spreadsheets/d/1-3Vjw2Cyy-mry5gbC8ypIR3YVGFfEpyFESummAta6sg/edit"", ""Sheet1!B:D""), 2, FALSE), ""Not Found"")"),"vaʊz")</f>
        <v>vaʊz</v>
      </c>
      <c r="E946" s="2" t="str">
        <f>IFERROR(__xludf.DUMMYFUNCTION("IFERROR(VLOOKUP(A946, IMPORTRANGE(""https://docs.google.com/spreadsheets/d/1-3Vjw2Cyy-mry5gbC8ypIR3YVGFfEpyFESummAta6sg/edit"", ""Sheet1!B:D""), 3, FALSE), ""Not Found"")"),"v a ʊ z ")</f>
        <v>v a ʊ z </v>
      </c>
    </row>
    <row r="947">
      <c r="A947" s="1" t="s">
        <v>950</v>
      </c>
      <c r="B947" s="1" t="s">
        <v>5</v>
      </c>
      <c r="C947" s="2">
        <f>IFERROR(__xludf.DUMMYFUNCTION("IFERROR(VLOOKUP(A947, IMPORTRANGE(""https://docs.google.com/spreadsheets/d/1AVX9GT0dgogEBStecCXMMQ29tWz3gBrtNB8yIromXbY/edit?gid=741673867"", ""out1g!A:B""), 2, FALSE), 0)"),522.0)</f>
        <v>522</v>
      </c>
      <c r="D947" s="2" t="str">
        <f>IFERROR(__xludf.DUMMYFUNCTION("IFERROR(VLOOKUP(A947, IMPORTRANGE(""https://docs.google.com/spreadsheets/d/1-3Vjw2Cyy-mry5gbC8ypIR3YVGFfEpyFESummAta6sg/edit"", ""Sheet1!B:D""), 2, FALSE), ""Not Found"")"),"bərgər")</f>
        <v>bərgər</v>
      </c>
      <c r="E947" s="2" t="str">
        <f>IFERROR(__xludf.DUMMYFUNCTION("IFERROR(VLOOKUP(A947, IMPORTRANGE(""https://docs.google.com/spreadsheets/d/1-3Vjw2Cyy-mry5gbC8ypIR3YVGFfEpyFESummAta6sg/edit"", ""Sheet1!B:D""), 3, FALSE), ""Not Found"")"),"b ə r g ə r ")</f>
        <v>b ə r g ə r </v>
      </c>
    </row>
    <row r="948">
      <c r="A948" s="1" t="s">
        <v>951</v>
      </c>
      <c r="B948" s="1" t="s">
        <v>5</v>
      </c>
      <c r="C948" s="2">
        <f>IFERROR(__xludf.DUMMYFUNCTION("IFERROR(VLOOKUP(A948, IMPORTRANGE(""https://docs.google.com/spreadsheets/d/1AVX9GT0dgogEBStecCXMMQ29tWz3gBrtNB8yIromXbY/edit?gid=741673867"", ""out1g!A:B""), 2, FALSE), 0)"),779.0)</f>
        <v>779</v>
      </c>
      <c r="D948" s="2" t="str">
        <f>IFERROR(__xludf.DUMMYFUNCTION("IFERROR(VLOOKUP(A948, IMPORTRANGE(""https://docs.google.com/spreadsheets/d/1-3Vjw2Cyy-mry5gbC8ypIR3YVGFfEpyFESummAta6sg/edit"", ""Sheet1!B:D""), 2, FALSE), ""Not Found"")"),"groʊs")</f>
        <v>groʊs</v>
      </c>
      <c r="E948" s="2" t="str">
        <f>IFERROR(__xludf.DUMMYFUNCTION("IFERROR(VLOOKUP(A948, IMPORTRANGE(""https://docs.google.com/spreadsheets/d/1-3Vjw2Cyy-mry5gbC8ypIR3YVGFfEpyFESummAta6sg/edit"", ""Sheet1!B:D""), 3, FALSE), ""Not Found"")"),"g r o ʊ s ")</f>
        <v>g r o ʊ s </v>
      </c>
    </row>
    <row r="949">
      <c r="A949" s="1" t="s">
        <v>952</v>
      </c>
      <c r="B949" s="1" t="s">
        <v>5</v>
      </c>
      <c r="C949" s="2">
        <f>IFERROR(__xludf.DUMMYFUNCTION("IFERROR(VLOOKUP(A949, IMPORTRANGE(""https://docs.google.com/spreadsheets/d/1AVX9GT0dgogEBStecCXMMQ29tWz3gBrtNB8yIromXbY/edit?gid=741673867"", ""out1g!A:B""), 2, FALSE), 0)"),159.0)</f>
        <v>159</v>
      </c>
      <c r="D949" s="2" t="str">
        <f>IFERROR(__xludf.DUMMYFUNCTION("IFERROR(VLOOKUP(A949, IMPORTRANGE(""https://docs.google.com/spreadsheets/d/1-3Vjw2Cyy-mry5gbC8ypIR3YVGFfEpyFESummAta6sg/edit"", ""Sheet1!B:D""), 2, FALSE), ""Not Found"")"),"dɑrsi")</f>
        <v>dɑrsi</v>
      </c>
      <c r="E949" s="2" t="str">
        <f>IFERROR(__xludf.DUMMYFUNCTION("IFERROR(VLOOKUP(A949, IMPORTRANGE(""https://docs.google.com/spreadsheets/d/1-3Vjw2Cyy-mry5gbC8ypIR3YVGFfEpyFESummAta6sg/edit"", ""Sheet1!B:D""), 3, FALSE), ""Not Found"")"),"d ɑ r s i ")</f>
        <v>d ɑ r s i </v>
      </c>
    </row>
    <row r="950">
      <c r="A950" s="1" t="s">
        <v>953</v>
      </c>
      <c r="B950" s="1" t="s">
        <v>5</v>
      </c>
      <c r="C950" s="2">
        <f>IFERROR(__xludf.DUMMYFUNCTION("IFERROR(VLOOKUP(A950, IMPORTRANGE(""https://docs.google.com/spreadsheets/d/1AVX9GT0dgogEBStecCXMMQ29tWz3gBrtNB8yIromXbY/edit?gid=741673867"", ""out1g!A:B""), 2, FALSE), 0)"),55.0)</f>
        <v>55</v>
      </c>
      <c r="D950" s="2" t="str">
        <f>IFERROR(__xludf.DUMMYFUNCTION("IFERROR(VLOOKUP(A950, IMPORTRANGE(""https://docs.google.com/spreadsheets/d/1-3Vjw2Cyy-mry5gbC8ypIR3YVGFfEpyFESummAta6sg/edit"", ""Sheet1!B:D""), 2, FALSE), ""Not Found"")"),"ʃriks")</f>
        <v>ʃriks</v>
      </c>
      <c r="E950" s="2" t="str">
        <f>IFERROR(__xludf.DUMMYFUNCTION("IFERROR(VLOOKUP(A950, IMPORTRANGE(""https://docs.google.com/spreadsheets/d/1-3Vjw2Cyy-mry5gbC8ypIR3YVGFfEpyFESummAta6sg/edit"", ""Sheet1!B:D""), 3, FALSE), ""Not Found"")"),"ʃ r i k s ")</f>
        <v>ʃ r i k s </v>
      </c>
    </row>
    <row r="951">
      <c r="A951" s="1" t="s">
        <v>954</v>
      </c>
      <c r="B951" s="1" t="s">
        <v>5</v>
      </c>
      <c r="C951" s="2">
        <f>IFERROR(__xludf.DUMMYFUNCTION("IFERROR(VLOOKUP(A951, IMPORTRANGE(""https://docs.google.com/spreadsheets/d/1AVX9GT0dgogEBStecCXMMQ29tWz3gBrtNB8yIromXbY/edit?gid=741673867"", ""out1g!A:B""), 2, FALSE), 0)"),225.0)</f>
        <v>225</v>
      </c>
      <c r="D951" s="2" t="str">
        <f>IFERROR(__xludf.DUMMYFUNCTION("IFERROR(VLOOKUP(A951, IMPORTRANGE(""https://docs.google.com/spreadsheets/d/1-3Vjw2Cyy-mry5gbC8ypIR3YVGFfEpyFESummAta6sg/edit"", ""Sheet1!B:D""), 2, FALSE), ""Not Found"")"),"loʊəst")</f>
        <v>loʊəst</v>
      </c>
      <c r="E951" s="2" t="str">
        <f>IFERROR(__xludf.DUMMYFUNCTION("IFERROR(VLOOKUP(A951, IMPORTRANGE(""https://docs.google.com/spreadsheets/d/1-3Vjw2Cyy-mry5gbC8ypIR3YVGFfEpyFESummAta6sg/edit"", ""Sheet1!B:D""), 3, FALSE), ""Not Found"")"),"l o ʊ ə s t ")</f>
        <v>l o ʊ ə s t </v>
      </c>
    </row>
    <row r="952">
      <c r="A952" s="1" t="s">
        <v>955</v>
      </c>
      <c r="B952" s="1" t="s">
        <v>5</v>
      </c>
      <c r="C952" s="2">
        <f>IFERROR(__xludf.DUMMYFUNCTION("IFERROR(VLOOKUP(A952, IMPORTRANGE(""https://docs.google.com/spreadsheets/d/1AVX9GT0dgogEBStecCXMMQ29tWz3gBrtNB8yIromXbY/edit?gid=741673867"", ""out1g!A:B""), 2, FALSE), 0)"),49.0)</f>
        <v>49</v>
      </c>
      <c r="D952" s="2" t="str">
        <f>IFERROR(__xludf.DUMMYFUNCTION("IFERROR(VLOOKUP(A952, IMPORTRANGE(""https://docs.google.com/spreadsheets/d/1-3Vjw2Cyy-mry5gbC8ypIR3YVGFfEpyFESummAta6sg/edit"", ""Sheet1!B:D""), 2, FALSE), ""Not Found"")"),"kwɑrk")</f>
        <v>kwɑrk</v>
      </c>
      <c r="E952" s="2" t="str">
        <f>IFERROR(__xludf.DUMMYFUNCTION("IFERROR(VLOOKUP(A952, IMPORTRANGE(""https://docs.google.com/spreadsheets/d/1-3Vjw2Cyy-mry5gbC8ypIR3YVGFfEpyFESummAta6sg/edit"", ""Sheet1!B:D""), 3, FALSE), ""Not Found"")"),"k w ɑ r k ")</f>
        <v>k w ɑ r k </v>
      </c>
    </row>
    <row r="953">
      <c r="A953" s="1" t="s">
        <v>956</v>
      </c>
      <c r="B953" s="1" t="s">
        <v>5</v>
      </c>
      <c r="C953" s="2">
        <f>IFERROR(__xludf.DUMMYFUNCTION("IFERROR(VLOOKUP(A953, IMPORTRANGE(""https://docs.google.com/spreadsheets/d/1AVX9GT0dgogEBStecCXMMQ29tWz3gBrtNB8yIromXbY/edit?gid=741673867"", ""out1g!A:B""), 2, FALSE), 0)"),1030.0)</f>
        <v>1030</v>
      </c>
      <c r="D953" s="2" t="str">
        <f>IFERROR(__xludf.DUMMYFUNCTION("IFERROR(VLOOKUP(A953, IMPORTRANGE(""https://docs.google.com/spreadsheets/d/1-3Vjw2Cyy-mry5gbC8ypIR3YVGFfEpyFESummAta6sg/edit"", ""Sheet1!B:D""), 2, FALSE), ""Not Found"")"),"træpt")</f>
        <v>træpt</v>
      </c>
      <c r="E953" s="2" t="str">
        <f>IFERROR(__xludf.DUMMYFUNCTION("IFERROR(VLOOKUP(A953, IMPORTRANGE(""https://docs.google.com/spreadsheets/d/1-3Vjw2Cyy-mry5gbC8ypIR3YVGFfEpyFESummAta6sg/edit"", ""Sheet1!B:D""), 3, FALSE), ""Not Found"")"),"t r æ p t ")</f>
        <v>t r æ p t </v>
      </c>
    </row>
    <row r="954">
      <c r="A954" s="1" t="s">
        <v>957</v>
      </c>
      <c r="B954" s="1" t="s">
        <v>5</v>
      </c>
      <c r="C954" s="2">
        <f>IFERROR(__xludf.DUMMYFUNCTION("IFERROR(VLOOKUP(A954, IMPORTRANGE(""https://docs.google.com/spreadsheets/d/1AVX9GT0dgogEBStecCXMMQ29tWz3gBrtNB8yIromXbY/edit?gid=741673867"", ""out1g!A:B""), 2, FALSE), 0)"),272.0)</f>
        <v>272</v>
      </c>
      <c r="D954" s="2" t="str">
        <f>IFERROR(__xludf.DUMMYFUNCTION("IFERROR(VLOOKUP(A954, IMPORTRANGE(""https://docs.google.com/spreadsheets/d/1-3Vjw2Cyy-mry5gbC8ypIR3YVGFfEpyFESummAta6sg/edit"", ""Sheet1!B:D""), 2, FALSE), ""Not Found"")"),"pik")</f>
        <v>pik</v>
      </c>
      <c r="E954" s="2" t="str">
        <f>IFERROR(__xludf.DUMMYFUNCTION("IFERROR(VLOOKUP(A954, IMPORTRANGE(""https://docs.google.com/spreadsheets/d/1-3Vjw2Cyy-mry5gbC8ypIR3YVGFfEpyFESummAta6sg/edit"", ""Sheet1!B:D""), 3, FALSE), ""Not Found"")"),"p i k ")</f>
        <v>p i k </v>
      </c>
    </row>
    <row r="955">
      <c r="A955" s="1" t="s">
        <v>958</v>
      </c>
      <c r="B955" s="1" t="s">
        <v>5</v>
      </c>
      <c r="C955" s="2">
        <f>IFERROR(__xludf.DUMMYFUNCTION("IFERROR(VLOOKUP(A955, IMPORTRANGE(""https://docs.google.com/spreadsheets/d/1AVX9GT0dgogEBStecCXMMQ29tWz3gBrtNB8yIromXbY/edit?gid=741673867"", ""out1g!A:B""), 2, FALSE), 0)"),225.0)</f>
        <v>225</v>
      </c>
      <c r="D955" s="2" t="str">
        <f>IFERROR(__xludf.DUMMYFUNCTION("IFERROR(VLOOKUP(A955, IMPORTRANGE(""https://docs.google.com/spreadsheets/d/1-3Vjw2Cyy-mry5gbC8ypIR3YVGFfEpyFESummAta6sg/edit"", ""Sheet1!B:D""), 2, FALSE), ""Not Found"")"),"ʤɛts")</f>
        <v>ʤɛts</v>
      </c>
      <c r="E955" s="2" t="str">
        <f>IFERROR(__xludf.DUMMYFUNCTION("IFERROR(VLOOKUP(A955, IMPORTRANGE(""https://docs.google.com/spreadsheets/d/1-3Vjw2Cyy-mry5gbC8ypIR3YVGFfEpyFESummAta6sg/edit"", ""Sheet1!B:D""), 3, FALSE), ""Not Found"")"),"ʤ ɛ t s ")</f>
        <v>ʤ ɛ t s </v>
      </c>
    </row>
    <row r="956">
      <c r="A956" s="1" t="s">
        <v>959</v>
      </c>
      <c r="B956" s="1" t="s">
        <v>5</v>
      </c>
      <c r="C956" s="2">
        <f>IFERROR(__xludf.DUMMYFUNCTION("IFERROR(VLOOKUP(A956, IMPORTRANGE(""https://docs.google.com/spreadsheets/d/1AVX9GT0dgogEBStecCXMMQ29tWz3gBrtNB8yIromXbY/edit?gid=741673867"", ""out1g!A:B""), 2, FALSE), 0)"),3850.0)</f>
        <v>3850</v>
      </c>
      <c r="D956" s="2" t="str">
        <f>IFERROR(__xludf.DUMMYFUNCTION("IFERROR(VLOOKUP(A956, IMPORTRANGE(""https://docs.google.com/spreadsheets/d/1-3Vjw2Cyy-mry5gbC8ypIR3YVGFfEpyFESummAta6sg/edit"", ""Sheet1!B:D""), 2, FALSE), ""Not Found"")"),"bɪr")</f>
        <v>bɪr</v>
      </c>
      <c r="E956" s="2" t="str">
        <f>IFERROR(__xludf.DUMMYFUNCTION("IFERROR(VLOOKUP(A956, IMPORTRANGE(""https://docs.google.com/spreadsheets/d/1-3Vjw2Cyy-mry5gbC8ypIR3YVGFfEpyFESummAta6sg/edit"", ""Sheet1!B:D""), 3, FALSE), ""Not Found"")"),"b ɪ r ")</f>
        <v>b ɪ r </v>
      </c>
    </row>
    <row r="957">
      <c r="A957" s="1" t="s">
        <v>960</v>
      </c>
      <c r="B957" s="1" t="s">
        <v>5</v>
      </c>
      <c r="C957" s="2">
        <f>IFERROR(__xludf.DUMMYFUNCTION("IFERROR(VLOOKUP(A957, IMPORTRANGE(""https://docs.google.com/spreadsheets/d/1AVX9GT0dgogEBStecCXMMQ29tWz3gBrtNB8yIromXbY/edit?gid=741673867"", ""out1g!A:B""), 2, FALSE), 0)"),459.0)</f>
        <v>459</v>
      </c>
      <c r="D957" s="2" t="str">
        <f>IFERROR(__xludf.DUMMYFUNCTION("IFERROR(VLOOKUP(A957, IMPORTRANGE(""https://docs.google.com/spreadsheets/d/1-3Vjw2Cyy-mry5gbC8ypIR3YVGFfEpyFESummAta6sg/edit"", ""Sheet1!B:D""), 2, FALSE), ""Not Found"")"),"brɛt")</f>
        <v>brɛt</v>
      </c>
      <c r="E957" s="2" t="str">
        <f>IFERROR(__xludf.DUMMYFUNCTION("IFERROR(VLOOKUP(A957, IMPORTRANGE(""https://docs.google.com/spreadsheets/d/1-3Vjw2Cyy-mry5gbC8ypIR3YVGFfEpyFESummAta6sg/edit"", ""Sheet1!B:D""), 3, FALSE), ""Not Found"")"),"b r ɛ t ")</f>
        <v>b r ɛ t </v>
      </c>
    </row>
    <row r="958">
      <c r="A958" s="1" t="s">
        <v>961</v>
      </c>
      <c r="B958" s="1" t="s">
        <v>5</v>
      </c>
      <c r="C958" s="2">
        <f>IFERROR(__xludf.DUMMYFUNCTION("IFERROR(VLOOKUP(A958, IMPORTRANGE(""https://docs.google.com/spreadsheets/d/1AVX9GT0dgogEBStecCXMMQ29tWz3gBrtNB8yIromXbY/edit?gid=741673867"", ""out1g!A:B""), 2, FALSE), 0)"),180.0)</f>
        <v>180</v>
      </c>
      <c r="D958" s="2" t="str">
        <f>IFERROR(__xludf.DUMMYFUNCTION("IFERROR(VLOOKUP(A958, IMPORTRANGE(""https://docs.google.com/spreadsheets/d/1-3Vjw2Cyy-mry5gbC8ypIR3YVGFfEpyFESummAta6sg/edit"", ""Sheet1!B:D""), 2, FALSE), ""Not Found"")"),"hæʃ")</f>
        <v>hæʃ</v>
      </c>
      <c r="E958" s="2" t="str">
        <f>IFERROR(__xludf.DUMMYFUNCTION("IFERROR(VLOOKUP(A958, IMPORTRANGE(""https://docs.google.com/spreadsheets/d/1-3Vjw2Cyy-mry5gbC8ypIR3YVGFfEpyFESummAta6sg/edit"", ""Sheet1!B:D""), 3, FALSE), ""Not Found"")"),"h æ ʃ ")</f>
        <v>h æ ʃ </v>
      </c>
    </row>
    <row r="959">
      <c r="A959" s="1" t="s">
        <v>962</v>
      </c>
      <c r="B959" s="1" t="s">
        <v>5</v>
      </c>
      <c r="C959" s="2">
        <f>IFERROR(__xludf.DUMMYFUNCTION("IFERROR(VLOOKUP(A959, IMPORTRANGE(""https://docs.google.com/spreadsheets/d/1AVX9GT0dgogEBStecCXMMQ29tWz3gBrtNB8yIromXbY/edit?gid=741673867"", ""out1g!A:B""), 2, FALSE), 0)"),3889.0)</f>
        <v>3889</v>
      </c>
      <c r="D959" s="2" t="str">
        <f>IFERROR(__xludf.DUMMYFUNCTION("IFERROR(VLOOKUP(A959, IMPORTRANGE(""https://docs.google.com/spreadsheets/d/1-3Vjw2Cyy-mry5gbC8ypIR3YVGFfEpyFESummAta6sg/edit"", ""Sheet1!B:D""), 2, FALSE), ""Not Found"")"),"laɪks")</f>
        <v>laɪks</v>
      </c>
      <c r="E959" s="2" t="str">
        <f>IFERROR(__xludf.DUMMYFUNCTION("IFERROR(VLOOKUP(A959, IMPORTRANGE(""https://docs.google.com/spreadsheets/d/1-3Vjw2Cyy-mry5gbC8ypIR3YVGFfEpyFESummAta6sg/edit"", ""Sheet1!B:D""), 3, FALSE), ""Not Found"")"),"l a ɪ k s ")</f>
        <v>l a ɪ k s </v>
      </c>
    </row>
    <row r="960">
      <c r="A960" s="1" t="s">
        <v>963</v>
      </c>
      <c r="B960" s="1" t="s">
        <v>5</v>
      </c>
      <c r="C960" s="2">
        <f>IFERROR(__xludf.DUMMYFUNCTION("IFERROR(VLOOKUP(A960, IMPORTRANGE(""https://docs.google.com/spreadsheets/d/1AVX9GT0dgogEBStecCXMMQ29tWz3gBrtNB8yIromXbY/edit?gid=741673867"", ""out1g!A:B""), 2, FALSE), 0)"),48.0)</f>
        <v>48</v>
      </c>
      <c r="D960" s="2" t="str">
        <f>IFERROR(__xludf.DUMMYFUNCTION("IFERROR(VLOOKUP(A960, IMPORTRANGE(""https://docs.google.com/spreadsheets/d/1-3Vjw2Cyy-mry5gbC8ypIR3YVGFfEpyFESummAta6sg/edit"", ""Sheet1!B:D""), 2, FALSE), ""Not Found"")"),"spɑtər")</f>
        <v>spɑtər</v>
      </c>
      <c r="E960" s="2" t="str">
        <f>IFERROR(__xludf.DUMMYFUNCTION("IFERROR(VLOOKUP(A960, IMPORTRANGE(""https://docs.google.com/spreadsheets/d/1-3Vjw2Cyy-mry5gbC8ypIR3YVGFfEpyFESummAta6sg/edit"", ""Sheet1!B:D""), 3, FALSE), ""Not Found"")"),"s p ɑ t ə r ")</f>
        <v>s p ɑ t ə r </v>
      </c>
    </row>
    <row r="961">
      <c r="A961" s="1" t="s">
        <v>964</v>
      </c>
      <c r="B961" s="1" t="s">
        <v>5</v>
      </c>
      <c r="C961" s="2">
        <f>IFERROR(__xludf.DUMMYFUNCTION("IFERROR(VLOOKUP(A961, IMPORTRANGE(""https://docs.google.com/spreadsheets/d/1AVX9GT0dgogEBStecCXMMQ29tWz3gBrtNB8yIromXbY/edit?gid=741673867"", ""out1g!A:B""), 2, FALSE), 0)"),257.0)</f>
        <v>257</v>
      </c>
      <c r="D961" s="2" t="str">
        <f>IFERROR(__xludf.DUMMYFUNCTION("IFERROR(VLOOKUP(A961, IMPORTRANGE(""https://docs.google.com/spreadsheets/d/1-3Vjw2Cyy-mry5gbC8ypIR3YVGFfEpyFESummAta6sg/edit"", ""Sheet1!B:D""), 2, FALSE), ""Not Found"")"),"ətər")</f>
        <v>ətər</v>
      </c>
      <c r="E961" s="2" t="str">
        <f>IFERROR(__xludf.DUMMYFUNCTION("IFERROR(VLOOKUP(A961, IMPORTRANGE(""https://docs.google.com/spreadsheets/d/1-3Vjw2Cyy-mry5gbC8ypIR3YVGFfEpyFESummAta6sg/edit"", ""Sheet1!B:D""), 3, FALSE), ""Not Found"")"),"ə t ə r ")</f>
        <v>ə t ə r </v>
      </c>
    </row>
    <row r="962">
      <c r="A962" s="1" t="s">
        <v>965</v>
      </c>
      <c r="B962" s="1" t="s">
        <v>5</v>
      </c>
      <c r="C962" s="2">
        <f>IFERROR(__xludf.DUMMYFUNCTION("IFERROR(VLOOKUP(A962, IMPORTRANGE(""https://docs.google.com/spreadsheets/d/1AVX9GT0dgogEBStecCXMMQ29tWz3gBrtNB8yIromXbY/edit?gid=741673867"", ""out1g!A:B""), 2, FALSE), 0)"),290.0)</f>
        <v>290</v>
      </c>
      <c r="D962" s="2" t="str">
        <f>IFERROR(__xludf.DUMMYFUNCTION("IFERROR(VLOOKUP(A962, IMPORTRANGE(""https://docs.google.com/spreadsheets/d/1-3Vjw2Cyy-mry5gbC8ypIR3YVGFfEpyFESummAta6sg/edit"", ""Sheet1!B:D""), 2, FALSE), ""Not Found"")"),"telz")</f>
        <v>telz</v>
      </c>
      <c r="E962" s="2" t="str">
        <f>IFERROR(__xludf.DUMMYFUNCTION("IFERROR(VLOOKUP(A962, IMPORTRANGE(""https://docs.google.com/spreadsheets/d/1-3Vjw2Cyy-mry5gbC8ypIR3YVGFfEpyFESummAta6sg/edit"", ""Sheet1!B:D""), 3, FALSE), ""Not Found"")"),"t e l z ")</f>
        <v>t e l z </v>
      </c>
    </row>
    <row r="963">
      <c r="A963" s="1" t="s">
        <v>966</v>
      </c>
      <c r="B963" s="1" t="s">
        <v>5</v>
      </c>
      <c r="C963" s="2">
        <f>IFERROR(__xludf.DUMMYFUNCTION("IFERROR(VLOOKUP(A963, IMPORTRANGE(""https://docs.google.com/spreadsheets/d/1AVX9GT0dgogEBStecCXMMQ29tWz3gBrtNB8yIromXbY/edit?gid=741673867"", ""out1g!A:B""), 2, FALSE), 0)"),350.0)</f>
        <v>350</v>
      </c>
      <c r="D963" s="2" t="str">
        <f>IFERROR(__xludf.DUMMYFUNCTION("IFERROR(VLOOKUP(A963, IMPORTRANGE(""https://docs.google.com/spreadsheets/d/1-3Vjw2Cyy-mry5gbC8ypIR3YVGFfEpyFESummAta6sg/edit"", ""Sheet1!B:D""), 2, FALSE), ""Not Found"")"),"ɛkoʊ")</f>
        <v>ɛkoʊ</v>
      </c>
      <c r="E963" s="2" t="str">
        <f>IFERROR(__xludf.DUMMYFUNCTION("IFERROR(VLOOKUP(A963, IMPORTRANGE(""https://docs.google.com/spreadsheets/d/1-3Vjw2Cyy-mry5gbC8ypIR3YVGFfEpyFESummAta6sg/edit"", ""Sheet1!B:D""), 3, FALSE), ""Not Found"")"),"ɛ k o ʊ ")</f>
        <v>ɛ k o ʊ </v>
      </c>
    </row>
    <row r="964">
      <c r="A964" s="1" t="s">
        <v>967</v>
      </c>
      <c r="B964" s="1" t="s">
        <v>5</v>
      </c>
      <c r="C964" s="2">
        <f>IFERROR(__xludf.DUMMYFUNCTION("IFERROR(VLOOKUP(A964, IMPORTRANGE(""https://docs.google.com/spreadsheets/d/1AVX9GT0dgogEBStecCXMMQ29tWz3gBrtNB8yIromXbY/edit?gid=741673867"", ""out1g!A:B""), 2, FALSE), 0)"),849.0)</f>
        <v>849</v>
      </c>
      <c r="D964" s="2" t="str">
        <f>IFERROR(__xludf.DUMMYFUNCTION("IFERROR(VLOOKUP(A964, IMPORTRANGE(""https://docs.google.com/spreadsheets/d/1-3Vjw2Cyy-mry5gbC8ypIR3YVGFfEpyFESummAta6sg/edit"", ""Sheet1!B:D""), 2, FALSE), ""Not Found"")"),"swit")</f>
        <v>swit</v>
      </c>
      <c r="E964" s="2" t="str">
        <f>IFERROR(__xludf.DUMMYFUNCTION("IFERROR(VLOOKUP(A964, IMPORTRANGE(""https://docs.google.com/spreadsheets/d/1-3Vjw2Cyy-mry5gbC8ypIR3YVGFfEpyFESummAta6sg/edit"", ""Sheet1!B:D""), 3, FALSE), ""Not Found"")"),"s w i t ")</f>
        <v>s w i t </v>
      </c>
    </row>
    <row r="965">
      <c r="A965" s="1" t="s">
        <v>968</v>
      </c>
      <c r="B965" s="1" t="s">
        <v>5</v>
      </c>
      <c r="C965" s="2">
        <f>IFERROR(__xludf.DUMMYFUNCTION("IFERROR(VLOOKUP(A965, IMPORTRANGE(""https://docs.google.com/spreadsheets/d/1AVX9GT0dgogEBStecCXMMQ29tWz3gBrtNB8yIromXbY/edit?gid=741673867"", ""out1g!A:B""), 2, FALSE), 0)"),55.0)</f>
        <v>55</v>
      </c>
      <c r="D965" s="2" t="str">
        <f>IFERROR(__xludf.DUMMYFUNCTION("IFERROR(VLOOKUP(A965, IMPORTRANGE(""https://docs.google.com/spreadsheets/d/1-3Vjw2Cyy-mry5gbC8ypIR3YVGFfEpyFESummAta6sg/edit"", ""Sheet1!B:D""), 2, FALSE), ""Not Found"")"),"linz")</f>
        <v>linz</v>
      </c>
      <c r="E965" s="2" t="str">
        <f>IFERROR(__xludf.DUMMYFUNCTION("IFERROR(VLOOKUP(A965, IMPORTRANGE(""https://docs.google.com/spreadsheets/d/1-3Vjw2Cyy-mry5gbC8ypIR3YVGFfEpyFESummAta6sg/edit"", ""Sheet1!B:D""), 3, FALSE), ""Not Found"")"),"l i n z ")</f>
        <v>l i n z </v>
      </c>
    </row>
    <row r="966">
      <c r="A966" s="1" t="s">
        <v>969</v>
      </c>
      <c r="B966" s="1" t="s">
        <v>5</v>
      </c>
      <c r="C966" s="2">
        <f>IFERROR(__xludf.DUMMYFUNCTION("IFERROR(VLOOKUP(A966, IMPORTRANGE(""https://docs.google.com/spreadsheets/d/1AVX9GT0dgogEBStecCXMMQ29tWz3gBrtNB8yIromXbY/edit?gid=741673867"", ""out1g!A:B""), 2, FALSE), 0)"),127.0)</f>
        <v>127</v>
      </c>
      <c r="D966" s="2" t="str">
        <f>IFERROR(__xludf.DUMMYFUNCTION("IFERROR(VLOOKUP(A966, IMPORTRANGE(""https://docs.google.com/spreadsheets/d/1-3Vjw2Cyy-mry5gbC8ypIR3YVGFfEpyFESummAta6sg/edit"", ""Sheet1!B:D""), 2, FALSE), ""Not Found"")"),"kləʧ")</f>
        <v>kləʧ</v>
      </c>
      <c r="E966" s="2" t="str">
        <f>IFERROR(__xludf.DUMMYFUNCTION("IFERROR(VLOOKUP(A966, IMPORTRANGE(""https://docs.google.com/spreadsheets/d/1-3Vjw2Cyy-mry5gbC8ypIR3YVGFfEpyFESummAta6sg/edit"", ""Sheet1!B:D""), 3, FALSE), ""Not Found"")"),"k l ə ʧ ")</f>
        <v>k l ə ʧ </v>
      </c>
    </row>
    <row r="967">
      <c r="A967" s="1" t="s">
        <v>970</v>
      </c>
      <c r="B967" s="1" t="s">
        <v>5</v>
      </c>
      <c r="C967" s="2">
        <f>IFERROR(__xludf.DUMMYFUNCTION("IFERROR(VLOOKUP(A967, IMPORTRANGE(""https://docs.google.com/spreadsheets/d/1AVX9GT0dgogEBStecCXMMQ29tWz3gBrtNB8yIromXbY/edit?gid=741673867"", ""out1g!A:B""), 2, FALSE), 0)"),744.0)</f>
        <v>744</v>
      </c>
      <c r="D967" s="2" t="str">
        <f>IFERROR(__xludf.DUMMYFUNCTION("IFERROR(VLOOKUP(A967, IMPORTRANGE(""https://docs.google.com/spreadsheets/d/1-3Vjw2Cyy-mry5gbC8ypIR3YVGFfEpyFESummAta6sg/edit"", ""Sheet1!B:D""), 2, FALSE), ""Not Found"")"),"ʃaʊtɪŋ")</f>
        <v>ʃaʊtɪŋ</v>
      </c>
      <c r="E967" s="2" t="str">
        <f>IFERROR(__xludf.DUMMYFUNCTION("IFERROR(VLOOKUP(A967, IMPORTRANGE(""https://docs.google.com/spreadsheets/d/1-3Vjw2Cyy-mry5gbC8ypIR3YVGFfEpyFESummAta6sg/edit"", ""Sheet1!B:D""), 3, FALSE), ""Not Found"")"),"ʃ a ʊ t ɪ ŋ ")</f>
        <v>ʃ a ʊ t ɪ ŋ </v>
      </c>
    </row>
    <row r="968">
      <c r="A968" s="1" t="s">
        <v>971</v>
      </c>
      <c r="B968" s="1" t="s">
        <v>5</v>
      </c>
      <c r="C968" s="2">
        <f>IFERROR(__xludf.DUMMYFUNCTION("IFERROR(VLOOKUP(A968, IMPORTRANGE(""https://docs.google.com/spreadsheets/d/1AVX9GT0dgogEBStecCXMMQ29tWz3gBrtNB8yIromXbY/edit?gid=741673867"", ""out1g!A:B""), 2, FALSE), 0)"),90.0)</f>
        <v>90</v>
      </c>
      <c r="D968" s="2" t="str">
        <f>IFERROR(__xludf.DUMMYFUNCTION("IFERROR(VLOOKUP(A968, IMPORTRANGE(""https://docs.google.com/spreadsheets/d/1-3Vjw2Cyy-mry5gbC8ypIR3YVGFfEpyFESummAta6sg/edit"", ""Sheet1!B:D""), 2, FALSE), ""Not Found"")"),"kæs")</f>
        <v>kæs</v>
      </c>
      <c r="E968" s="2" t="str">
        <f>IFERROR(__xludf.DUMMYFUNCTION("IFERROR(VLOOKUP(A968, IMPORTRANGE(""https://docs.google.com/spreadsheets/d/1-3Vjw2Cyy-mry5gbC8ypIR3YVGFfEpyFESummAta6sg/edit"", ""Sheet1!B:D""), 3, FALSE), ""Not Found"")"),"k æ s ")</f>
        <v>k æ s </v>
      </c>
    </row>
    <row r="969">
      <c r="A969" s="1" t="s">
        <v>972</v>
      </c>
      <c r="B969" s="1" t="s">
        <v>5</v>
      </c>
      <c r="C969" s="2">
        <f>IFERROR(__xludf.DUMMYFUNCTION("IFERROR(VLOOKUP(A969, IMPORTRANGE(""https://docs.google.com/spreadsheets/d/1AVX9GT0dgogEBStecCXMMQ29tWz3gBrtNB8yIromXbY/edit?gid=741673867"", ""out1g!A:B""), 2, FALSE), 0)"),11197.0)</f>
        <v>11197</v>
      </c>
      <c r="D969" s="2" t="str">
        <f>IFERROR(__xludf.DUMMYFUNCTION("IFERROR(VLOOKUP(A969, IMPORTRANGE(""https://docs.google.com/spreadsheets/d/1-3Vjw2Cyy-mry5gbC8ypIR3YVGFfEpyFESummAta6sg/edit"", ""Sheet1!B:D""), 2, FALSE), ""Not Found"")"),"əm")</f>
        <v>əm</v>
      </c>
      <c r="E969" s="2" t="str">
        <f>IFERROR(__xludf.DUMMYFUNCTION("IFERROR(VLOOKUP(A969, IMPORTRANGE(""https://docs.google.com/spreadsheets/d/1-3Vjw2Cyy-mry5gbC8ypIR3YVGFfEpyFESummAta6sg/edit"", ""Sheet1!B:D""), 3, FALSE), ""Not Found"")"),"ə m ")</f>
        <v>ə m </v>
      </c>
    </row>
    <row r="970">
      <c r="A970" s="1" t="s">
        <v>973</v>
      </c>
      <c r="B970" s="1" t="s">
        <v>5</v>
      </c>
      <c r="C970" s="2">
        <f>IFERROR(__xludf.DUMMYFUNCTION("IFERROR(VLOOKUP(A970, IMPORTRANGE(""https://docs.google.com/spreadsheets/d/1AVX9GT0dgogEBStecCXMMQ29tWz3gBrtNB8yIromXbY/edit?gid=741673867"", ""out1g!A:B""), 2, FALSE), 0)"),93.0)</f>
        <v>93</v>
      </c>
      <c r="D970" s="2" t="str">
        <f>IFERROR(__xludf.DUMMYFUNCTION("IFERROR(VLOOKUP(A970, IMPORTRANGE(""https://docs.google.com/spreadsheets/d/1-3Vjw2Cyy-mry5gbC8ypIR3YVGFfEpyFESummAta6sg/edit"", ""Sheet1!B:D""), 2, FALSE), ""Not Found"")"),"dɑd")</f>
        <v>dɑd</v>
      </c>
      <c r="E970" s="2" t="str">
        <f>IFERROR(__xludf.DUMMYFUNCTION("IFERROR(VLOOKUP(A970, IMPORTRANGE(""https://docs.google.com/spreadsheets/d/1-3Vjw2Cyy-mry5gbC8ypIR3YVGFfEpyFESummAta6sg/edit"", ""Sheet1!B:D""), 3, FALSE), ""Not Found"")"),"d ɑ d ")</f>
        <v>d ɑ d </v>
      </c>
    </row>
    <row r="971">
      <c r="A971" s="1" t="s">
        <v>974</v>
      </c>
      <c r="B971" s="1" t="s">
        <v>5</v>
      </c>
      <c r="C971" s="2">
        <f>IFERROR(__xludf.DUMMYFUNCTION("IFERROR(VLOOKUP(A971, IMPORTRANGE(""https://docs.google.com/spreadsheets/d/1AVX9GT0dgogEBStecCXMMQ29tWz3gBrtNB8yIromXbY/edit?gid=741673867"", ""out1g!A:B""), 2, FALSE), 0)"),2263.0)</f>
        <v>2263</v>
      </c>
      <c r="D971" s="2" t="str">
        <f>IFERROR(__xludf.DUMMYFUNCTION("IFERROR(VLOOKUP(A971, IMPORTRANGE(""https://docs.google.com/spreadsheets/d/1-3Vjw2Cyy-mry5gbC8ypIR3YVGFfEpyFESummAta6sg/edit"", ""Sheet1!B:D""), 2, FALSE), ""Not Found"")"),"bɪlɔŋ")</f>
        <v>bɪlɔŋ</v>
      </c>
      <c r="E971" s="2" t="str">
        <f>IFERROR(__xludf.DUMMYFUNCTION("IFERROR(VLOOKUP(A971, IMPORTRANGE(""https://docs.google.com/spreadsheets/d/1-3Vjw2Cyy-mry5gbC8ypIR3YVGFfEpyFESummAta6sg/edit"", ""Sheet1!B:D""), 3, FALSE), ""Not Found"")"),"b ɪ l ɔ ŋ ")</f>
        <v>b ɪ l ɔ ŋ </v>
      </c>
    </row>
    <row r="972">
      <c r="A972" s="1" t="s">
        <v>975</v>
      </c>
      <c r="B972" s="1" t="s">
        <v>5</v>
      </c>
      <c r="C972" s="2">
        <f>IFERROR(__xludf.DUMMYFUNCTION("IFERROR(VLOOKUP(A972, IMPORTRANGE(""https://docs.google.com/spreadsheets/d/1AVX9GT0dgogEBStecCXMMQ29tWz3gBrtNB8yIromXbY/edit?gid=741673867"", ""out1g!A:B""), 2, FALSE), 0)"),260.0)</f>
        <v>260</v>
      </c>
      <c r="D972" s="2" t="str">
        <f>IFERROR(__xludf.DUMMYFUNCTION("IFERROR(VLOOKUP(A972, IMPORTRANGE(""https://docs.google.com/spreadsheets/d/1-3Vjw2Cyy-mry5gbC8ypIR3YVGFfEpyFESummAta6sg/edit"", ""Sheet1!B:D""), 2, FALSE), ""Not Found"")"),"ʧoʊkɪŋ")</f>
        <v>ʧoʊkɪŋ</v>
      </c>
      <c r="E972" s="2" t="str">
        <f>IFERROR(__xludf.DUMMYFUNCTION("IFERROR(VLOOKUP(A972, IMPORTRANGE(""https://docs.google.com/spreadsheets/d/1-3Vjw2Cyy-mry5gbC8ypIR3YVGFfEpyFESummAta6sg/edit"", ""Sheet1!B:D""), 3, FALSE), ""Not Found"")"),"ʧ o ʊ k ɪ ŋ ")</f>
        <v>ʧ o ʊ k ɪ ŋ </v>
      </c>
    </row>
    <row r="973">
      <c r="A973" s="1" t="s">
        <v>976</v>
      </c>
      <c r="B973" s="1" t="s">
        <v>5</v>
      </c>
      <c r="C973" s="2">
        <f>IFERROR(__xludf.DUMMYFUNCTION("IFERROR(VLOOKUP(A973, IMPORTRANGE(""https://docs.google.com/spreadsheets/d/1AVX9GT0dgogEBStecCXMMQ29tWz3gBrtNB8yIromXbY/edit?gid=741673867"", ""out1g!A:B""), 2, FALSE), 0)"),8023.0)</f>
        <v>8023</v>
      </c>
      <c r="D973" s="2" t="str">
        <f>IFERROR(__xludf.DUMMYFUNCTION("IFERROR(VLOOKUP(A973, IMPORTRANGE(""https://docs.google.com/spreadsheets/d/1-3Vjw2Cyy-mry5gbC8ypIR3YVGFfEpyFESummAta6sg/edit"", ""Sheet1!B:D""), 2, FALSE), ""Not Found"")"),"woʊ")</f>
        <v>woʊ</v>
      </c>
      <c r="E973" s="2" t="str">
        <f>IFERROR(__xludf.DUMMYFUNCTION("IFERROR(VLOOKUP(A973, IMPORTRANGE(""https://docs.google.com/spreadsheets/d/1-3Vjw2Cyy-mry5gbC8ypIR3YVGFfEpyFESummAta6sg/edit"", ""Sheet1!B:D""), 3, FALSE), ""Not Found"")"),"w o ʊ ")</f>
        <v>w o ʊ </v>
      </c>
    </row>
    <row r="974">
      <c r="A974" s="1" t="s">
        <v>977</v>
      </c>
      <c r="B974" s="1" t="s">
        <v>5</v>
      </c>
      <c r="C974" s="2">
        <f>IFERROR(__xludf.DUMMYFUNCTION("IFERROR(VLOOKUP(A974, IMPORTRANGE(""https://docs.google.com/spreadsheets/d/1AVX9GT0dgogEBStecCXMMQ29tWz3gBrtNB8yIromXbY/edit?gid=741673867"", ""out1g!A:B""), 2, FALSE), 0)"),1108.0)</f>
        <v>1108</v>
      </c>
      <c r="D974" s="2" t="str">
        <f>IFERROR(__xludf.DUMMYFUNCTION("IFERROR(VLOOKUP(A974, IMPORTRANGE(""https://docs.google.com/spreadsheets/d/1-3Vjw2Cyy-mry5gbC8ypIR3YVGFfEpyFESummAta6sg/edit"", ""Sheet1!B:D""), 2, FALSE), ""Not Found"")"),"kebəl")</f>
        <v>kebəl</v>
      </c>
      <c r="E974" s="2" t="str">
        <f>IFERROR(__xludf.DUMMYFUNCTION("IFERROR(VLOOKUP(A974, IMPORTRANGE(""https://docs.google.com/spreadsheets/d/1-3Vjw2Cyy-mry5gbC8ypIR3YVGFfEpyFESummAta6sg/edit"", ""Sheet1!B:D""), 3, FALSE), ""Not Found"")"),"k e b ə l ")</f>
        <v>k e b ə l </v>
      </c>
    </row>
    <row r="975">
      <c r="A975" s="1" t="s">
        <v>978</v>
      </c>
      <c r="B975" s="1" t="s">
        <v>5</v>
      </c>
      <c r="C975" s="2">
        <f>IFERROR(__xludf.DUMMYFUNCTION("IFERROR(VLOOKUP(A975, IMPORTRANGE(""https://docs.google.com/spreadsheets/d/1AVX9GT0dgogEBStecCXMMQ29tWz3gBrtNB8yIromXbY/edit?gid=741673867"", ""out1g!A:B""), 2, FALSE), 0)"),193.0)</f>
        <v>193</v>
      </c>
      <c r="D975" s="2" t="str">
        <f>IFERROR(__xludf.DUMMYFUNCTION("IFERROR(VLOOKUP(A975, IMPORTRANGE(""https://docs.google.com/spreadsheets/d/1-3Vjw2Cyy-mry5gbC8ypIR3YVGFfEpyFESummAta6sg/edit"", ""Sheet1!B:D""), 2, FALSE), ""Not Found"")"),"ʃəvd")</f>
        <v>ʃəvd</v>
      </c>
      <c r="E975" s="2" t="str">
        <f>IFERROR(__xludf.DUMMYFUNCTION("IFERROR(VLOOKUP(A975, IMPORTRANGE(""https://docs.google.com/spreadsheets/d/1-3Vjw2Cyy-mry5gbC8ypIR3YVGFfEpyFESummAta6sg/edit"", ""Sheet1!B:D""), 3, FALSE), ""Not Found"")"),"ʃ ə v d ")</f>
        <v>ʃ ə v d </v>
      </c>
    </row>
    <row r="976">
      <c r="A976" s="1" t="s">
        <v>979</v>
      </c>
      <c r="B976" s="1" t="s">
        <v>5</v>
      </c>
      <c r="C976" s="2">
        <f>IFERROR(__xludf.DUMMYFUNCTION("IFERROR(VLOOKUP(A976, IMPORTRANGE(""https://docs.google.com/spreadsheets/d/1AVX9GT0dgogEBStecCXMMQ29tWz3gBrtNB8yIromXbY/edit?gid=741673867"", ""out1g!A:B""), 2, FALSE), 0)"),15700.0)</f>
        <v>15700</v>
      </c>
      <c r="D976" s="2" t="str">
        <f>IFERROR(__xludf.DUMMYFUNCTION("IFERROR(VLOOKUP(A976, IMPORTRANGE(""https://docs.google.com/spreadsheets/d/1-3Vjw2Cyy-mry5gbC8ypIR3YVGFfEpyFESummAta6sg/edit"", ""Sheet1!B:D""), 2, FALSE), ""Not Found"")"),"hɑrd")</f>
        <v>hɑrd</v>
      </c>
      <c r="E976" s="2" t="str">
        <f>IFERROR(__xludf.DUMMYFUNCTION("IFERROR(VLOOKUP(A976, IMPORTRANGE(""https://docs.google.com/spreadsheets/d/1-3Vjw2Cyy-mry5gbC8ypIR3YVGFfEpyFESummAta6sg/edit"", ""Sheet1!B:D""), 3, FALSE), ""Not Found"")"),"h ɑ r d ")</f>
        <v>h ɑ r d </v>
      </c>
    </row>
    <row r="977">
      <c r="A977" s="1" t="s">
        <v>980</v>
      </c>
      <c r="B977" s="1" t="s">
        <v>5</v>
      </c>
      <c r="C977" s="2">
        <f>IFERROR(__xludf.DUMMYFUNCTION("IFERROR(VLOOKUP(A977, IMPORTRANGE(""https://docs.google.com/spreadsheets/d/1AVX9GT0dgogEBStecCXMMQ29tWz3gBrtNB8yIromXbY/edit?gid=741673867"", ""out1g!A:B""), 2, FALSE), 0)"),178.0)</f>
        <v>178</v>
      </c>
      <c r="D977" s="2" t="str">
        <f>IFERROR(__xludf.DUMMYFUNCTION("IFERROR(VLOOKUP(A977, IMPORTRANGE(""https://docs.google.com/spreadsheets/d/1-3Vjw2Cyy-mry5gbC8ypIR3YVGFfEpyFESummAta6sg/edit"", ""Sheet1!B:D""), 2, FALSE), ""Not Found"")"),"səŋ")</f>
        <v>səŋ</v>
      </c>
      <c r="E977" s="2" t="str">
        <f>IFERROR(__xludf.DUMMYFUNCTION("IFERROR(VLOOKUP(A977, IMPORTRANGE(""https://docs.google.com/spreadsheets/d/1-3Vjw2Cyy-mry5gbC8ypIR3YVGFfEpyFESummAta6sg/edit"", ""Sheet1!B:D""), 3, FALSE), ""Not Found"")"),"s ə ŋ ")</f>
        <v>s ə ŋ </v>
      </c>
    </row>
    <row r="978">
      <c r="A978" s="1" t="s">
        <v>981</v>
      </c>
      <c r="B978" s="1" t="s">
        <v>5</v>
      </c>
      <c r="C978" s="2">
        <f>IFERROR(__xludf.DUMMYFUNCTION("IFERROR(VLOOKUP(A978, IMPORTRANGE(""https://docs.google.com/spreadsheets/d/1AVX9GT0dgogEBStecCXMMQ29tWz3gBrtNB8yIromXbY/edit?gid=741673867"", ""out1g!A:B""), 2, FALSE), 0)"),412.0)</f>
        <v>412</v>
      </c>
      <c r="D978" s="2" t="str">
        <f>IFERROR(__xludf.DUMMYFUNCTION("IFERROR(VLOOKUP(A978, IMPORTRANGE(""https://docs.google.com/spreadsheets/d/1-3Vjw2Cyy-mry5gbC8ypIR3YVGFfEpyFESummAta6sg/edit"", ""Sheet1!B:D""), 2, FALSE), ""Not Found"")"),"hɔkaɪ")</f>
        <v>hɔkaɪ</v>
      </c>
      <c r="E978" s="2" t="str">
        <f>IFERROR(__xludf.DUMMYFUNCTION("IFERROR(VLOOKUP(A978, IMPORTRANGE(""https://docs.google.com/spreadsheets/d/1-3Vjw2Cyy-mry5gbC8ypIR3YVGFfEpyFESummAta6sg/edit"", ""Sheet1!B:D""), 3, FALSE), ""Not Found"")"),"h ɔ k a ɪ ")</f>
        <v>h ɔ k a ɪ </v>
      </c>
    </row>
    <row r="979">
      <c r="A979" s="1" t="s">
        <v>982</v>
      </c>
      <c r="B979" s="1" t="s">
        <v>5</v>
      </c>
      <c r="C979" s="2">
        <f>IFERROR(__xludf.DUMMYFUNCTION("IFERROR(VLOOKUP(A979, IMPORTRANGE(""https://docs.google.com/spreadsheets/d/1AVX9GT0dgogEBStecCXMMQ29tWz3gBrtNB8yIromXbY/edit?gid=741673867"", ""out1g!A:B""), 2, FALSE), 0)"),151.0)</f>
        <v>151</v>
      </c>
      <c r="D979" s="2" t="str">
        <f>IFERROR(__xludf.DUMMYFUNCTION("IFERROR(VLOOKUP(A979, IMPORTRANGE(""https://docs.google.com/spreadsheets/d/1-3Vjw2Cyy-mry5gbC8ypIR3YVGFfEpyFESummAta6sg/edit"", ""Sheet1!B:D""), 2, FALSE), ""Not Found"")"),"dɪgz")</f>
        <v>dɪgz</v>
      </c>
      <c r="E979" s="2" t="str">
        <f>IFERROR(__xludf.DUMMYFUNCTION("IFERROR(VLOOKUP(A979, IMPORTRANGE(""https://docs.google.com/spreadsheets/d/1-3Vjw2Cyy-mry5gbC8ypIR3YVGFfEpyFESummAta6sg/edit"", ""Sheet1!B:D""), 3, FALSE), ""Not Found"")"),"d ɪ g z ")</f>
        <v>d ɪ g z </v>
      </c>
    </row>
    <row r="980">
      <c r="A980" s="1" t="s">
        <v>983</v>
      </c>
      <c r="B980" s="1" t="s">
        <v>5</v>
      </c>
      <c r="C980" s="2">
        <f>IFERROR(__xludf.DUMMYFUNCTION("IFERROR(VLOOKUP(A980, IMPORTRANGE(""https://docs.google.com/spreadsheets/d/1AVX9GT0dgogEBStecCXMMQ29tWz3gBrtNB8yIromXbY/edit?gid=741673867"", ""out1g!A:B""), 2, FALSE), 0)"),73.0)</f>
        <v>73</v>
      </c>
      <c r="D980" s="2" t="str">
        <f>IFERROR(__xludf.DUMMYFUNCTION("IFERROR(VLOOKUP(A980, IMPORTRANGE(""https://docs.google.com/spreadsheets/d/1-3Vjw2Cyy-mry5gbC8ypIR3YVGFfEpyFESummAta6sg/edit"", ""Sheet1!B:D""), 2, FALSE), ""Not Found"")"),"praɪərz")</f>
        <v>praɪərz</v>
      </c>
      <c r="E980" s="2" t="str">
        <f>IFERROR(__xludf.DUMMYFUNCTION("IFERROR(VLOOKUP(A980, IMPORTRANGE(""https://docs.google.com/spreadsheets/d/1-3Vjw2Cyy-mry5gbC8ypIR3YVGFfEpyFESummAta6sg/edit"", ""Sheet1!B:D""), 3, FALSE), ""Not Found"")"),"p r a ɪ ə r z ")</f>
        <v>p r a ɪ ə r z </v>
      </c>
    </row>
    <row r="981">
      <c r="A981" s="1" t="s">
        <v>984</v>
      </c>
      <c r="B981" s="1" t="s">
        <v>5</v>
      </c>
      <c r="C981" s="2">
        <f>IFERROR(__xludf.DUMMYFUNCTION("IFERROR(VLOOKUP(A981, IMPORTRANGE(""https://docs.google.com/spreadsheets/d/1AVX9GT0dgogEBStecCXMMQ29tWz3gBrtNB8yIromXbY/edit?gid=741673867"", ""out1g!A:B""), 2, FALSE), 0)"),193445.0)</f>
        <v>193445</v>
      </c>
      <c r="D981" s="2" t="str">
        <f>IFERROR(__xludf.DUMMYFUNCTION("IFERROR(VLOOKUP(A981, IMPORTRANGE(""https://docs.google.com/spreadsheets/d/1-3Vjw2Cyy-mry5gbC8ypIR3YVGFfEpyFESummAta6sg/edit"", ""Sheet1!B:D""), 2, FALSE), ""Not Found"")"),"goʊ")</f>
        <v>goʊ</v>
      </c>
      <c r="E981" s="2" t="str">
        <f>IFERROR(__xludf.DUMMYFUNCTION("IFERROR(VLOOKUP(A981, IMPORTRANGE(""https://docs.google.com/spreadsheets/d/1-3Vjw2Cyy-mry5gbC8ypIR3YVGFfEpyFESummAta6sg/edit"", ""Sheet1!B:D""), 3, FALSE), ""Not Found"")"),"g o ʊ ")</f>
        <v>g o ʊ </v>
      </c>
    </row>
    <row r="982">
      <c r="A982" s="1" t="s">
        <v>985</v>
      </c>
      <c r="B982" s="1" t="s">
        <v>5</v>
      </c>
      <c r="C982" s="2">
        <f>IFERROR(__xludf.DUMMYFUNCTION("IFERROR(VLOOKUP(A982, IMPORTRANGE(""https://docs.google.com/spreadsheets/d/1AVX9GT0dgogEBStecCXMMQ29tWz3gBrtNB8yIromXbY/edit?gid=741673867"", ""out1g!A:B""), 2, FALSE), 0)"),45.0)</f>
        <v>45</v>
      </c>
      <c r="D982" s="2" t="str">
        <f>IFERROR(__xludf.DUMMYFUNCTION("IFERROR(VLOOKUP(A982, IMPORTRANGE(""https://docs.google.com/spreadsheets/d/1-3Vjw2Cyy-mry5gbC8ypIR3YVGFfEpyFESummAta6sg/edit"", ""Sheet1!B:D""), 2, FALSE), ""Not Found"")"),"sɛptər")</f>
        <v>sɛptər</v>
      </c>
      <c r="E982" s="2" t="str">
        <f>IFERROR(__xludf.DUMMYFUNCTION("IFERROR(VLOOKUP(A982, IMPORTRANGE(""https://docs.google.com/spreadsheets/d/1-3Vjw2Cyy-mry5gbC8ypIR3YVGFfEpyFESummAta6sg/edit"", ""Sheet1!B:D""), 3, FALSE), ""Not Found"")"),"s ɛ p t ə r ")</f>
        <v>s ɛ p t ə r </v>
      </c>
    </row>
    <row r="983">
      <c r="A983" s="1" t="s">
        <v>986</v>
      </c>
      <c r="B983" s="1" t="s">
        <v>5</v>
      </c>
      <c r="C983" s="2">
        <f>IFERROR(__xludf.DUMMYFUNCTION("IFERROR(VLOOKUP(A983, IMPORTRANGE(""https://docs.google.com/spreadsheets/d/1AVX9GT0dgogEBStecCXMMQ29tWz3gBrtNB8yIromXbY/edit?gid=741673867"", ""out1g!A:B""), 2, FALSE), 0)"),227.0)</f>
        <v>227</v>
      </c>
      <c r="D983" s="2" t="str">
        <f>IFERROR(__xludf.DUMMYFUNCTION("IFERROR(VLOOKUP(A983, IMPORTRANGE(""https://docs.google.com/spreadsheets/d/1-3Vjw2Cyy-mry5gbC8ypIR3YVGFfEpyFESummAta6sg/edit"", ""Sheet1!B:D""), 2, FALSE), ""Not Found"")"),"lʊkaʊt")</f>
        <v>lʊkaʊt</v>
      </c>
      <c r="E983" s="2" t="str">
        <f>IFERROR(__xludf.DUMMYFUNCTION("IFERROR(VLOOKUP(A983, IMPORTRANGE(""https://docs.google.com/spreadsheets/d/1-3Vjw2Cyy-mry5gbC8ypIR3YVGFfEpyFESummAta6sg/edit"", ""Sheet1!B:D""), 3, FALSE), ""Not Found"")"),"l ʊ k a ʊ t ")</f>
        <v>l ʊ k a ʊ t </v>
      </c>
    </row>
    <row r="984">
      <c r="A984" s="1" t="s">
        <v>987</v>
      </c>
      <c r="B984" s="1" t="s">
        <v>5</v>
      </c>
      <c r="C984" s="2">
        <f>IFERROR(__xludf.DUMMYFUNCTION("IFERROR(VLOOKUP(A984, IMPORTRANGE(""https://docs.google.com/spreadsheets/d/1AVX9GT0dgogEBStecCXMMQ29tWz3gBrtNB8yIromXbY/edit?gid=741673867"", ""out1g!A:B""), 2, FALSE), 0)"),90.0)</f>
        <v>90</v>
      </c>
      <c r="D984" s="2" t="str">
        <f>IFERROR(__xludf.DUMMYFUNCTION("IFERROR(VLOOKUP(A984, IMPORTRANGE(""https://docs.google.com/spreadsheets/d/1-3Vjw2Cyy-mry5gbC8ypIR3YVGFfEpyFESummAta6sg/edit"", ""Sheet1!B:D""), 2, FALSE), ""Not Found"")"),"sədæn")</f>
        <v>sədæn</v>
      </c>
      <c r="E984" s="2" t="str">
        <f>IFERROR(__xludf.DUMMYFUNCTION("IFERROR(VLOOKUP(A984, IMPORTRANGE(""https://docs.google.com/spreadsheets/d/1-3Vjw2Cyy-mry5gbC8ypIR3YVGFfEpyFESummAta6sg/edit"", ""Sheet1!B:D""), 3, FALSE), ""Not Found"")"),"s ə d æ n ")</f>
        <v>s ə d æ n </v>
      </c>
    </row>
    <row r="985">
      <c r="A985" s="1" t="s">
        <v>988</v>
      </c>
      <c r="B985" s="1" t="s">
        <v>5</v>
      </c>
      <c r="C985" s="2">
        <f>IFERROR(__xludf.DUMMYFUNCTION("IFERROR(VLOOKUP(A985, IMPORTRANGE(""https://docs.google.com/spreadsheets/d/1AVX9GT0dgogEBStecCXMMQ29tWz3gBrtNB8yIromXbY/edit?gid=741673867"", ""out1g!A:B""), 2, FALSE), 0)"),4995.0)</f>
        <v>4995</v>
      </c>
      <c r="D985" s="2" t="str">
        <f>IFERROR(__xludf.DUMMYFUNCTION("IFERROR(VLOOKUP(A985, IMPORTRANGE(""https://docs.google.com/spreadsheets/d/1-3Vjw2Cyy-mry5gbC8ypIR3YVGFfEpyFESummAta6sg/edit"", ""Sheet1!B:D""), 2, FALSE), ""Not Found"")"),"pen")</f>
        <v>pen</v>
      </c>
      <c r="E985" s="2" t="str">
        <f>IFERROR(__xludf.DUMMYFUNCTION("IFERROR(VLOOKUP(A985, IMPORTRANGE(""https://docs.google.com/spreadsheets/d/1-3Vjw2Cyy-mry5gbC8ypIR3YVGFfEpyFESummAta6sg/edit"", ""Sheet1!B:D""), 3, FALSE), ""Not Found"")"),"p e n ")</f>
        <v>p e n </v>
      </c>
    </row>
    <row r="986">
      <c r="A986" s="1" t="s">
        <v>989</v>
      </c>
      <c r="B986" s="1" t="s">
        <v>5</v>
      </c>
      <c r="C986" s="2">
        <f>IFERROR(__xludf.DUMMYFUNCTION("IFERROR(VLOOKUP(A986, IMPORTRANGE(""https://docs.google.com/spreadsheets/d/1AVX9GT0dgogEBStecCXMMQ29tWz3gBrtNB8yIromXbY/edit?gid=741673867"", ""out1g!A:B""), 2, FALSE), 0)"),531.0)</f>
        <v>531</v>
      </c>
      <c r="D986" s="2" t="str">
        <f>IFERROR(__xludf.DUMMYFUNCTION("IFERROR(VLOOKUP(A986, IMPORTRANGE(""https://docs.google.com/spreadsheets/d/1-3Vjw2Cyy-mry5gbC8ypIR3YVGFfEpyFESummAta6sg/edit"", ""Sheet1!B:D""), 2, FALSE), ""Not Found"")"),"pləg")</f>
        <v>pləg</v>
      </c>
      <c r="E986" s="2" t="str">
        <f>IFERROR(__xludf.DUMMYFUNCTION("IFERROR(VLOOKUP(A986, IMPORTRANGE(""https://docs.google.com/spreadsheets/d/1-3Vjw2Cyy-mry5gbC8ypIR3YVGFfEpyFESummAta6sg/edit"", ""Sheet1!B:D""), 3, FALSE), ""Not Found"")"),"p l ə g ")</f>
        <v>p l ə g </v>
      </c>
    </row>
    <row r="987">
      <c r="A987" s="1" t="s">
        <v>990</v>
      </c>
      <c r="B987" s="1" t="s">
        <v>5</v>
      </c>
      <c r="C987" s="2">
        <f>IFERROR(__xludf.DUMMYFUNCTION("IFERROR(VLOOKUP(A987, IMPORTRANGE(""https://docs.google.com/spreadsheets/d/1AVX9GT0dgogEBStecCXMMQ29tWz3gBrtNB8yIromXbY/edit?gid=741673867"", ""out1g!A:B""), 2, FALSE), 0)"),97.0)</f>
        <v>97</v>
      </c>
      <c r="D987" s="2" t="str">
        <f>IFERROR(__xludf.DUMMYFUNCTION("IFERROR(VLOOKUP(A987, IMPORTRANGE(""https://docs.google.com/spreadsheets/d/1-3Vjw2Cyy-mry5gbC8ypIR3YVGFfEpyFESummAta6sg/edit"", ""Sheet1!B:D""), 2, FALSE), ""Not Found"")"),"gɪli")</f>
        <v>gɪli</v>
      </c>
      <c r="E987" s="2" t="str">
        <f>IFERROR(__xludf.DUMMYFUNCTION("IFERROR(VLOOKUP(A987, IMPORTRANGE(""https://docs.google.com/spreadsheets/d/1-3Vjw2Cyy-mry5gbC8ypIR3YVGFfEpyFESummAta6sg/edit"", ""Sheet1!B:D""), 3, FALSE), ""Not Found"")"),"g ɪ l i ")</f>
        <v>g ɪ l i </v>
      </c>
    </row>
    <row r="988">
      <c r="A988" s="1" t="s">
        <v>991</v>
      </c>
      <c r="B988" s="1" t="s">
        <v>5</v>
      </c>
      <c r="C988" s="2">
        <f>IFERROR(__xludf.DUMMYFUNCTION("IFERROR(VLOOKUP(A988, IMPORTRANGE(""https://docs.google.com/spreadsheets/d/1AVX9GT0dgogEBStecCXMMQ29tWz3gBrtNB8yIromXbY/edit?gid=741673867"", ""out1g!A:B""), 2, FALSE), 0)"),235.0)</f>
        <v>235</v>
      </c>
      <c r="D988" s="2" t="str">
        <f>IFERROR(__xludf.DUMMYFUNCTION("IFERROR(VLOOKUP(A988, IMPORTRANGE(""https://docs.google.com/spreadsheets/d/1-3Vjw2Cyy-mry5gbC8ypIR3YVGFfEpyFESummAta6sg/edit"", ""Sheet1!B:D""), 2, FALSE), ""Not Found"")"),"tutər")</f>
        <v>tutər</v>
      </c>
      <c r="E988" s="2" t="str">
        <f>IFERROR(__xludf.DUMMYFUNCTION("IFERROR(VLOOKUP(A988, IMPORTRANGE(""https://docs.google.com/spreadsheets/d/1-3Vjw2Cyy-mry5gbC8ypIR3YVGFfEpyFESummAta6sg/edit"", ""Sheet1!B:D""), 3, FALSE), ""Not Found"")"),"t u t ə r ")</f>
        <v>t u t ə r </v>
      </c>
    </row>
    <row r="989">
      <c r="A989" s="1" t="s">
        <v>992</v>
      </c>
      <c r="B989" s="1" t="s">
        <v>5</v>
      </c>
      <c r="C989" s="2">
        <f>IFERROR(__xludf.DUMMYFUNCTION("IFERROR(VLOOKUP(A989, IMPORTRANGE(""https://docs.google.com/spreadsheets/d/1AVX9GT0dgogEBStecCXMMQ29tWz3gBrtNB8yIromXbY/edit?gid=741673867"", ""out1g!A:B""), 2, FALSE), 0)"),5137.0)</f>
        <v>5137</v>
      </c>
      <c r="D989" s="2" t="str">
        <f>IFERROR(__xludf.DUMMYFUNCTION("IFERROR(VLOOKUP(A989, IMPORTRANGE(""https://docs.google.com/spreadsheets/d/1-3Vjw2Cyy-mry5gbC8ypIR3YVGFfEpyFESummAta6sg/edit"", ""Sheet1!B:D""), 2, FALSE), ""Not Found"")"),"kɔrt")</f>
        <v>kɔrt</v>
      </c>
      <c r="E989" s="2" t="str">
        <f>IFERROR(__xludf.DUMMYFUNCTION("IFERROR(VLOOKUP(A989, IMPORTRANGE(""https://docs.google.com/spreadsheets/d/1-3Vjw2Cyy-mry5gbC8ypIR3YVGFfEpyFESummAta6sg/edit"", ""Sheet1!B:D""), 3, FALSE), ""Not Found"")"),"k ɔ r t ")</f>
        <v>k ɔ r t </v>
      </c>
    </row>
    <row r="990">
      <c r="A990" s="1" t="s">
        <v>993</v>
      </c>
      <c r="B990" s="1" t="s">
        <v>5</v>
      </c>
      <c r="C990" s="2">
        <f>IFERROR(__xludf.DUMMYFUNCTION("IFERROR(VLOOKUP(A990, IMPORTRANGE(""https://docs.google.com/spreadsheets/d/1AVX9GT0dgogEBStecCXMMQ29tWz3gBrtNB8yIromXbY/edit?gid=741673867"", ""out1g!A:B""), 2, FALSE), 0)"),51.0)</f>
        <v>51</v>
      </c>
      <c r="D990" s="2" t="str">
        <f>IFERROR(__xludf.DUMMYFUNCTION("IFERROR(VLOOKUP(A990, IMPORTRANGE(""https://docs.google.com/spreadsheets/d/1-3Vjw2Cyy-mry5gbC8ypIR3YVGFfEpyFESummAta6sg/edit"", ""Sheet1!B:D""), 2, FALSE), ""Not Found"")"),"mɑkt")</f>
        <v>mɑkt</v>
      </c>
      <c r="E990" s="2" t="str">
        <f>IFERROR(__xludf.DUMMYFUNCTION("IFERROR(VLOOKUP(A990, IMPORTRANGE(""https://docs.google.com/spreadsheets/d/1-3Vjw2Cyy-mry5gbC8ypIR3YVGFfEpyFESummAta6sg/edit"", ""Sheet1!B:D""), 3, FALSE), ""Not Found"")"),"m ɑ k t ")</f>
        <v>m ɑ k t </v>
      </c>
    </row>
    <row r="991">
      <c r="A991" s="1" t="s">
        <v>994</v>
      </c>
      <c r="B991" s="1" t="s">
        <v>5</v>
      </c>
      <c r="C991" s="2">
        <f>IFERROR(__xludf.DUMMYFUNCTION("IFERROR(VLOOKUP(A991, IMPORTRANGE(""https://docs.google.com/spreadsheets/d/1AVX9GT0dgogEBStecCXMMQ29tWz3gBrtNB8yIromXbY/edit?gid=741673867"", ""out1g!A:B""), 2, FALSE), 0)"),11.0)</f>
        <v>11</v>
      </c>
      <c r="D991" s="2" t="str">
        <f>IFERROR(__xludf.DUMMYFUNCTION("IFERROR(VLOOKUP(A991, IMPORTRANGE(""https://docs.google.com/spreadsheets/d/1-3Vjw2Cyy-mry5gbC8ypIR3YVGFfEpyFESummAta6sg/edit"", ""Sheet1!B:D""), 2, FALSE), ""Not Found"")"),"dus")</f>
        <v>dus</v>
      </c>
      <c r="E991" s="2" t="str">
        <f>IFERROR(__xludf.DUMMYFUNCTION("IFERROR(VLOOKUP(A991, IMPORTRANGE(""https://docs.google.com/spreadsheets/d/1-3Vjw2Cyy-mry5gbC8ypIR3YVGFfEpyFESummAta6sg/edit"", ""Sheet1!B:D""), 3, FALSE), ""Not Found"")"),"d u s ")</f>
        <v>d u s </v>
      </c>
    </row>
    <row r="992">
      <c r="A992" s="1" t="s">
        <v>995</v>
      </c>
      <c r="B992" s="1" t="s">
        <v>5</v>
      </c>
      <c r="C992" s="2">
        <f>IFERROR(__xludf.DUMMYFUNCTION("IFERROR(VLOOKUP(A992, IMPORTRANGE(""https://docs.google.com/spreadsheets/d/1AVX9GT0dgogEBStecCXMMQ29tWz3gBrtNB8yIromXbY/edit?gid=741673867"", ""out1g!A:B""), 2, FALSE), 0)"),84.0)</f>
        <v>84</v>
      </c>
      <c r="D992" s="2" t="str">
        <f>IFERROR(__xludf.DUMMYFUNCTION("IFERROR(VLOOKUP(A992, IMPORTRANGE(""https://docs.google.com/spreadsheets/d/1-3Vjw2Cyy-mry5gbC8ypIR3YVGFfEpyFESummAta6sg/edit"", ""Sheet1!B:D""), 2, FALSE), ""Not Found"")"),"vərsə")</f>
        <v>vərsə</v>
      </c>
      <c r="E992" s="2" t="str">
        <f>IFERROR(__xludf.DUMMYFUNCTION("IFERROR(VLOOKUP(A992, IMPORTRANGE(""https://docs.google.com/spreadsheets/d/1-3Vjw2Cyy-mry5gbC8ypIR3YVGFfEpyFESummAta6sg/edit"", ""Sheet1!B:D""), 3, FALSE), ""Not Found"")"),"v ə r s ə ")</f>
        <v>v ə r s ə </v>
      </c>
    </row>
    <row r="993">
      <c r="A993" s="1" t="s">
        <v>996</v>
      </c>
      <c r="B993" s="1" t="s">
        <v>5</v>
      </c>
      <c r="C993" s="2">
        <f>IFERROR(__xludf.DUMMYFUNCTION("IFERROR(VLOOKUP(A993, IMPORTRANGE(""https://docs.google.com/spreadsheets/d/1AVX9GT0dgogEBStecCXMMQ29tWz3gBrtNB8yIromXbY/edit?gid=741673867"", ""out1g!A:B""), 2, FALSE), 0)"),363.0)</f>
        <v>363</v>
      </c>
      <c r="D993" s="2" t="str">
        <f>IFERROR(__xludf.DUMMYFUNCTION("IFERROR(VLOOKUP(A993, IMPORTRANGE(""https://docs.google.com/spreadsheets/d/1-3Vjw2Cyy-mry5gbC8ypIR3YVGFfEpyFESummAta6sg/edit"", ""Sheet1!B:D""), 2, FALSE), ""Not Found"")"),"ʤɛli")</f>
        <v>ʤɛli</v>
      </c>
      <c r="E993" s="2" t="str">
        <f>IFERROR(__xludf.DUMMYFUNCTION("IFERROR(VLOOKUP(A993, IMPORTRANGE(""https://docs.google.com/spreadsheets/d/1-3Vjw2Cyy-mry5gbC8ypIR3YVGFfEpyFESummAta6sg/edit"", ""Sheet1!B:D""), 3, FALSE), ""Not Found"")"),"ʤ ɛ l i ")</f>
        <v>ʤ ɛ l i </v>
      </c>
    </row>
    <row r="994">
      <c r="A994" s="1" t="s">
        <v>997</v>
      </c>
      <c r="B994" s="1" t="s">
        <v>5</v>
      </c>
      <c r="C994" s="2">
        <f>IFERROR(__xludf.DUMMYFUNCTION("IFERROR(VLOOKUP(A994, IMPORTRANGE(""https://docs.google.com/spreadsheets/d/1AVX9GT0dgogEBStecCXMMQ29tWz3gBrtNB8yIromXbY/edit?gid=741673867"", ""out1g!A:B""), 2, FALSE), 0)"),741.0)</f>
        <v>741</v>
      </c>
      <c r="D994" s="2" t="str">
        <f>IFERROR(__xludf.DUMMYFUNCTION("IFERROR(VLOOKUP(A994, IMPORTRANGE(""https://docs.google.com/spreadsheets/d/1-3Vjw2Cyy-mry5gbC8ypIR3YVGFfEpyFESummAta6sg/edit"", ""Sheet1!B:D""), 2, FALSE), ""Not Found"")"),"pɔrt")</f>
        <v>pɔrt</v>
      </c>
      <c r="E994" s="2" t="str">
        <f>IFERROR(__xludf.DUMMYFUNCTION("IFERROR(VLOOKUP(A994, IMPORTRANGE(""https://docs.google.com/spreadsheets/d/1-3Vjw2Cyy-mry5gbC8ypIR3YVGFfEpyFESummAta6sg/edit"", ""Sheet1!B:D""), 3, FALSE), ""Not Found"")"),"p ɔ r t ")</f>
        <v>p ɔ r t </v>
      </c>
    </row>
    <row r="995">
      <c r="A995" s="1" t="s">
        <v>998</v>
      </c>
      <c r="B995" s="1" t="s">
        <v>5</v>
      </c>
      <c r="C995" s="2">
        <f>IFERROR(__xludf.DUMMYFUNCTION("IFERROR(VLOOKUP(A995, IMPORTRANGE(""https://docs.google.com/spreadsheets/d/1AVX9GT0dgogEBStecCXMMQ29tWz3gBrtNB8yIromXbY/edit?gid=741673867"", ""out1g!A:B""), 2, FALSE), 0)"),1837.0)</f>
        <v>1837</v>
      </c>
      <c r="D995" s="2" t="str">
        <f>IFERROR(__xludf.DUMMYFUNCTION("IFERROR(VLOOKUP(A995, IMPORTRANGE(""https://docs.google.com/spreadsheets/d/1-3Vjw2Cyy-mry5gbC8ypIR3YVGFfEpyFESummAta6sg/edit"", ""Sheet1!B:D""), 2, FALSE), ""Not Found"")"),"fɑlɪŋ")</f>
        <v>fɑlɪŋ</v>
      </c>
      <c r="E995" s="2" t="str">
        <f>IFERROR(__xludf.DUMMYFUNCTION("IFERROR(VLOOKUP(A995, IMPORTRANGE(""https://docs.google.com/spreadsheets/d/1-3Vjw2Cyy-mry5gbC8ypIR3YVGFfEpyFESummAta6sg/edit"", ""Sheet1!B:D""), 3, FALSE), ""Not Found"")"),"f ɑ l ɪ ŋ ")</f>
        <v>f ɑ l ɪ ŋ </v>
      </c>
    </row>
    <row r="996">
      <c r="A996" s="1" t="s">
        <v>999</v>
      </c>
      <c r="B996" s="1" t="s">
        <v>5</v>
      </c>
      <c r="C996" s="2">
        <f>IFERROR(__xludf.DUMMYFUNCTION("IFERROR(VLOOKUP(A996, IMPORTRANGE(""https://docs.google.com/spreadsheets/d/1AVX9GT0dgogEBStecCXMMQ29tWz3gBrtNB8yIromXbY/edit?gid=741673867"", ""out1g!A:B""), 2, FALSE), 0)"),11349.0)</f>
        <v>11349</v>
      </c>
      <c r="D996" s="2" t="str">
        <f>IFERROR(__xludf.DUMMYFUNCTION("IFERROR(VLOOKUP(A996, IMPORTRANGE(""https://docs.google.com/spreadsheets/d/1-3Vjw2Cyy-mry5gbC8ypIR3YVGFfEpyFESummAta6sg/edit"", ""Sheet1!B:D""), 2, FALSE), ""Not Found"")"),"mekɪŋ")</f>
        <v>mekɪŋ</v>
      </c>
      <c r="E996" s="2" t="str">
        <f>IFERROR(__xludf.DUMMYFUNCTION("IFERROR(VLOOKUP(A996, IMPORTRANGE(""https://docs.google.com/spreadsheets/d/1-3Vjw2Cyy-mry5gbC8ypIR3YVGFfEpyFESummAta6sg/edit"", ""Sheet1!B:D""), 3, FALSE), ""Not Found"")"),"m e k ɪ ŋ ")</f>
        <v>m e k ɪ ŋ </v>
      </c>
    </row>
    <row r="997">
      <c r="A997" s="1" t="s">
        <v>1000</v>
      </c>
      <c r="B997" s="1" t="s">
        <v>5</v>
      </c>
      <c r="C997" s="2">
        <f>IFERROR(__xludf.DUMMYFUNCTION("IFERROR(VLOOKUP(A997, IMPORTRANGE(""https://docs.google.com/spreadsheets/d/1AVX9GT0dgogEBStecCXMMQ29tWz3gBrtNB8yIromXbY/edit?gid=741673867"", ""out1g!A:B""), 2, FALSE), 0)"),76.0)</f>
        <v>76</v>
      </c>
      <c r="D997" s="2" t="str">
        <f>IFERROR(__xludf.DUMMYFUNCTION("IFERROR(VLOOKUP(A997, IMPORTRANGE(""https://docs.google.com/spreadsheets/d/1-3Vjw2Cyy-mry5gbC8ypIR3YVGFfEpyFESummAta6sg/edit"", ""Sheet1!B:D""), 2, FALSE), ""Not Found"")"),"græmi")</f>
        <v>græmi</v>
      </c>
      <c r="E997" s="2" t="str">
        <f>IFERROR(__xludf.DUMMYFUNCTION("IFERROR(VLOOKUP(A997, IMPORTRANGE(""https://docs.google.com/spreadsheets/d/1-3Vjw2Cyy-mry5gbC8ypIR3YVGFfEpyFESummAta6sg/edit"", ""Sheet1!B:D""), 3, FALSE), ""Not Found"")"),"g r æ m i ")</f>
        <v>g r æ m i </v>
      </c>
    </row>
    <row r="998">
      <c r="A998" s="1" t="s">
        <v>1001</v>
      </c>
      <c r="B998" s="1" t="s">
        <v>5</v>
      </c>
      <c r="C998" s="2">
        <f>IFERROR(__xludf.DUMMYFUNCTION("IFERROR(VLOOKUP(A998, IMPORTRANGE(""https://docs.google.com/spreadsheets/d/1AVX9GT0dgogEBStecCXMMQ29tWz3gBrtNB8yIromXbY/edit?gid=741673867"", ""out1g!A:B""), 2, FALSE), 0)"),5707.0)</f>
        <v>5707</v>
      </c>
      <c r="D998" s="2" t="str">
        <f>IFERROR(__xludf.DUMMYFUNCTION("IFERROR(VLOOKUP(A998, IMPORTRANGE(""https://docs.google.com/spreadsheets/d/1-3Vjw2Cyy-mry5gbC8ypIR3YVGFfEpyFESummAta6sg/edit"", ""Sheet1!B:D""), 2, FALSE), ""Not Found"")"),"maɪk")</f>
        <v>maɪk</v>
      </c>
      <c r="E998" s="2" t="str">
        <f>IFERROR(__xludf.DUMMYFUNCTION("IFERROR(VLOOKUP(A998, IMPORTRANGE(""https://docs.google.com/spreadsheets/d/1-3Vjw2Cyy-mry5gbC8ypIR3YVGFfEpyFESummAta6sg/edit"", ""Sheet1!B:D""), 3, FALSE), ""Not Found"")"),"m a ɪ k ")</f>
        <v>m a ɪ k </v>
      </c>
    </row>
    <row r="999">
      <c r="A999" s="1" t="s">
        <v>1002</v>
      </c>
      <c r="B999" s="1" t="s">
        <v>5</v>
      </c>
      <c r="C999" s="2">
        <f>IFERROR(__xludf.DUMMYFUNCTION("IFERROR(VLOOKUP(A999, IMPORTRANGE(""https://docs.google.com/spreadsheets/d/1AVX9GT0dgogEBStecCXMMQ29tWz3gBrtNB8yIromXbY/edit?gid=741673867"", ""out1g!A:B""), 2, FALSE), 0)"),1140.0)</f>
        <v>1140</v>
      </c>
      <c r="D999" s="2" t="str">
        <f>IFERROR(__xludf.DUMMYFUNCTION("IFERROR(VLOOKUP(A999, IMPORTRANGE(""https://docs.google.com/spreadsheets/d/1-3Vjw2Cyy-mry5gbC8ypIR3YVGFfEpyFESummAta6sg/edit"", ""Sheet1!B:D""), 2, FALSE), ""Not Found"")"),"snek")</f>
        <v>snek</v>
      </c>
      <c r="E999" s="2" t="str">
        <f>IFERROR(__xludf.DUMMYFUNCTION("IFERROR(VLOOKUP(A999, IMPORTRANGE(""https://docs.google.com/spreadsheets/d/1-3Vjw2Cyy-mry5gbC8ypIR3YVGFfEpyFESummAta6sg/edit"", ""Sheet1!B:D""), 3, FALSE), ""Not Found"")"),"s n e k ")</f>
        <v>s n e k </v>
      </c>
    </row>
    <row r="1000">
      <c r="A1000" s="1" t="s">
        <v>1003</v>
      </c>
      <c r="B1000" s="1" t="s">
        <v>5</v>
      </c>
      <c r="C1000" s="2">
        <f>IFERROR(__xludf.DUMMYFUNCTION("IFERROR(VLOOKUP(A1000, IMPORTRANGE(""https://docs.google.com/spreadsheets/d/1AVX9GT0dgogEBStecCXMMQ29tWz3gBrtNB8yIromXbY/edit?gid=741673867"", ""out1g!A:B""), 2, FALSE), 0)"),1482.0)</f>
        <v>1482</v>
      </c>
      <c r="D1000" s="2" t="str">
        <f>IFERROR(__xludf.DUMMYFUNCTION("IFERROR(VLOOKUP(A1000, IMPORTRANGE(""https://docs.google.com/spreadsheets/d/1-3Vjw2Cyy-mry5gbC8ypIR3YVGFfEpyFESummAta6sg/edit"", ""Sheet1!B:D""), 2, FALSE), ""Not Found"")"),"wʊdz")</f>
        <v>wʊdz</v>
      </c>
      <c r="E1000" s="2" t="str">
        <f>IFERROR(__xludf.DUMMYFUNCTION("IFERROR(VLOOKUP(A1000, IMPORTRANGE(""https://docs.google.com/spreadsheets/d/1-3Vjw2Cyy-mry5gbC8ypIR3YVGFfEpyFESummAta6sg/edit"", ""Sheet1!B:D""), 3, FALSE), ""Not Found"")"),"w ʊ d z ")</f>
        <v>w ʊ d z </v>
      </c>
    </row>
    <row r="1001">
      <c r="A1001" s="1" t="s">
        <v>1004</v>
      </c>
      <c r="B1001" s="1" t="s">
        <v>5</v>
      </c>
      <c r="C1001" s="2">
        <f>IFERROR(__xludf.DUMMYFUNCTION("IFERROR(VLOOKUP(A1001, IMPORTRANGE(""https://docs.google.com/spreadsheets/d/1AVX9GT0dgogEBStecCXMMQ29tWz3gBrtNB8yIromXbY/edit?gid=741673867"", ""out1g!A:B""), 2, FALSE), 0)"),139.0)</f>
        <v>139</v>
      </c>
      <c r="D1001" s="2" t="str">
        <f>IFERROR(__xludf.DUMMYFUNCTION("IFERROR(VLOOKUP(A1001, IMPORTRANGE(""https://docs.google.com/spreadsheets/d/1-3Vjw2Cyy-mry5gbC8ypIR3YVGFfEpyFESummAta6sg/edit"", ""Sheet1!B:D""), 2, FALSE), ""Not Found"")"),"mɪnə")</f>
        <v>mɪnə</v>
      </c>
      <c r="E1001" s="2" t="str">
        <f>IFERROR(__xludf.DUMMYFUNCTION("IFERROR(VLOOKUP(A1001, IMPORTRANGE(""https://docs.google.com/spreadsheets/d/1-3Vjw2Cyy-mry5gbC8ypIR3YVGFfEpyFESummAta6sg/edit"", ""Sheet1!B:D""), 3, FALSE), ""Not Found"")"),"m ɪ n ə ")</f>
        <v>m ɪ n ə </v>
      </c>
    </row>
    <row r="1002">
      <c r="A1002" s="1" t="s">
        <v>1005</v>
      </c>
      <c r="B1002" s="1" t="s">
        <v>5</v>
      </c>
      <c r="C1002" s="2">
        <f>IFERROR(__xludf.DUMMYFUNCTION("IFERROR(VLOOKUP(A1002, IMPORTRANGE(""https://docs.google.com/spreadsheets/d/1AVX9GT0dgogEBStecCXMMQ29tWz3gBrtNB8yIromXbY/edit?gid=741673867"", ""out1g!A:B""), 2, FALSE), 0)"),170.0)</f>
        <v>170</v>
      </c>
      <c r="D1002" s="2" t="str">
        <f>IFERROR(__xludf.DUMMYFUNCTION("IFERROR(VLOOKUP(A1002, IMPORTRANGE(""https://docs.google.com/spreadsheets/d/1-3Vjw2Cyy-mry5gbC8ypIR3YVGFfEpyFESummAta6sg/edit"", ""Sheet1!B:D""), 2, FALSE), ""Not Found"")"),"raɪti")</f>
        <v>raɪti</v>
      </c>
      <c r="E1002" s="2" t="str">
        <f>IFERROR(__xludf.DUMMYFUNCTION("IFERROR(VLOOKUP(A1002, IMPORTRANGE(""https://docs.google.com/spreadsheets/d/1-3Vjw2Cyy-mry5gbC8ypIR3YVGFfEpyFESummAta6sg/edit"", ""Sheet1!B:D""), 3, FALSE), ""Not Found"")"),"r a ɪ t i ")</f>
        <v>r a ɪ t i </v>
      </c>
    </row>
    <row r="1003">
      <c r="A1003" s="1" t="s">
        <v>1006</v>
      </c>
      <c r="B1003" s="1" t="s">
        <v>5</v>
      </c>
      <c r="C1003" s="2">
        <f>IFERROR(__xludf.DUMMYFUNCTION("IFERROR(VLOOKUP(A1003, IMPORTRANGE(""https://docs.google.com/spreadsheets/d/1AVX9GT0dgogEBStecCXMMQ29tWz3gBrtNB8yIromXbY/edit?gid=741673867"", ""out1g!A:B""), 2, FALSE), 0)"),54.0)</f>
        <v>54</v>
      </c>
      <c r="D1003" s="2" t="str">
        <f>IFERROR(__xludf.DUMMYFUNCTION("IFERROR(VLOOKUP(A1003, IMPORTRANGE(""https://docs.google.com/spreadsheets/d/1-3Vjw2Cyy-mry5gbC8ypIR3YVGFfEpyFESummAta6sg/edit"", ""Sheet1!B:D""), 2, FALSE), ""Not Found"")"),"bridz")</f>
        <v>bridz</v>
      </c>
      <c r="E1003" s="2" t="str">
        <f>IFERROR(__xludf.DUMMYFUNCTION("IFERROR(VLOOKUP(A1003, IMPORTRANGE(""https://docs.google.com/spreadsheets/d/1-3Vjw2Cyy-mry5gbC8ypIR3YVGFfEpyFESummAta6sg/edit"", ""Sheet1!B:D""), 3, FALSE), ""Not Found"")"),"b r i d z ")</f>
        <v>b r i d z </v>
      </c>
    </row>
    <row r="1004">
      <c r="A1004" s="1" t="s">
        <v>1007</v>
      </c>
      <c r="B1004" s="1" t="s">
        <v>5</v>
      </c>
      <c r="C1004" s="2">
        <f>IFERROR(__xludf.DUMMYFUNCTION("IFERROR(VLOOKUP(A1004, IMPORTRANGE(""https://docs.google.com/spreadsheets/d/1AVX9GT0dgogEBStecCXMMQ29tWz3gBrtNB8yIromXbY/edit?gid=741673867"", ""out1g!A:B""), 2, FALSE), 0)"),812.0)</f>
        <v>812</v>
      </c>
      <c r="D1004" s="2" t="str">
        <f>IFERROR(__xludf.DUMMYFUNCTION("IFERROR(VLOOKUP(A1004, IMPORTRANGE(""https://docs.google.com/spreadsheets/d/1-3Vjw2Cyy-mry5gbC8ypIR3YVGFfEpyFESummAta6sg/edit"", ""Sheet1!B:D""), 2, FALSE), ""Not Found"")"),"maɪæmi")</f>
        <v>maɪæmi</v>
      </c>
      <c r="E1004" s="2" t="str">
        <f>IFERROR(__xludf.DUMMYFUNCTION("IFERROR(VLOOKUP(A1004, IMPORTRANGE(""https://docs.google.com/spreadsheets/d/1-3Vjw2Cyy-mry5gbC8ypIR3YVGFfEpyFESummAta6sg/edit"", ""Sheet1!B:D""), 3, FALSE), ""Not Found"")"),"m a ɪ æ m i ")</f>
        <v>m a ɪ æ m i </v>
      </c>
    </row>
    <row r="1005">
      <c r="A1005" s="1" t="s">
        <v>1008</v>
      </c>
      <c r="B1005" s="1" t="s">
        <v>5</v>
      </c>
      <c r="C1005" s="2">
        <f>IFERROR(__xludf.DUMMYFUNCTION("IFERROR(VLOOKUP(A1005, IMPORTRANGE(""https://docs.google.com/spreadsheets/d/1AVX9GT0dgogEBStecCXMMQ29tWz3gBrtNB8yIromXbY/edit?gid=741673867"", ""out1g!A:B""), 2, FALSE), 0)"),105.0)</f>
        <v>105</v>
      </c>
      <c r="D1005" s="2" t="str">
        <f>IFERROR(__xludf.DUMMYFUNCTION("IFERROR(VLOOKUP(A1005, IMPORTRANGE(""https://docs.google.com/spreadsheets/d/1-3Vjw2Cyy-mry5gbC8ypIR3YVGFfEpyFESummAta6sg/edit"", ""Sheet1!B:D""), 2, FALSE), ""Not Found"")"),"fɔrz")</f>
        <v>fɔrz</v>
      </c>
      <c r="E1005" s="2" t="str">
        <f>IFERROR(__xludf.DUMMYFUNCTION("IFERROR(VLOOKUP(A1005, IMPORTRANGE(""https://docs.google.com/spreadsheets/d/1-3Vjw2Cyy-mry5gbC8ypIR3YVGFfEpyFESummAta6sg/edit"", ""Sheet1!B:D""), 3, FALSE), ""Not Found"")"),"f ɔ r z ")</f>
        <v>f ɔ r z </v>
      </c>
    </row>
    <row r="1006">
      <c r="A1006" s="1" t="s">
        <v>1009</v>
      </c>
      <c r="B1006" s="1" t="s">
        <v>5</v>
      </c>
      <c r="C1006" s="2">
        <f>IFERROR(__xludf.DUMMYFUNCTION("IFERROR(VLOOKUP(A1006, IMPORTRANGE(""https://docs.google.com/spreadsheets/d/1AVX9GT0dgogEBStecCXMMQ29tWz3gBrtNB8yIromXbY/edit?gid=741673867"", ""out1g!A:B""), 2, FALSE), 0)"),494.0)</f>
        <v>494</v>
      </c>
      <c r="D1006" s="2" t="str">
        <f>IFERROR(__xludf.DUMMYFUNCTION("IFERROR(VLOOKUP(A1006, IMPORTRANGE(""https://docs.google.com/spreadsheets/d/1-3Vjw2Cyy-mry5gbC8ypIR3YVGFfEpyFESummAta6sg/edit"", ""Sheet1!B:D""), 2, FALSE), ""Not Found"")"),"grɪp")</f>
        <v>grɪp</v>
      </c>
      <c r="E1006" s="2" t="str">
        <f>IFERROR(__xludf.DUMMYFUNCTION("IFERROR(VLOOKUP(A1006, IMPORTRANGE(""https://docs.google.com/spreadsheets/d/1-3Vjw2Cyy-mry5gbC8ypIR3YVGFfEpyFESummAta6sg/edit"", ""Sheet1!B:D""), 3, FALSE), ""Not Found"")"),"g r ɪ p ")</f>
        <v>g r ɪ p </v>
      </c>
    </row>
    <row r="1007">
      <c r="A1007" s="1" t="s">
        <v>1010</v>
      </c>
      <c r="B1007" s="1" t="s">
        <v>5</v>
      </c>
      <c r="C1007" s="2">
        <f>IFERROR(__xludf.DUMMYFUNCTION("IFERROR(VLOOKUP(A1007, IMPORTRANGE(""https://docs.google.com/spreadsheets/d/1AVX9GT0dgogEBStecCXMMQ29tWz3gBrtNB8yIromXbY/edit?gid=741673867"", ""out1g!A:B""), 2, FALSE), 0)"),374.0)</f>
        <v>374</v>
      </c>
      <c r="D1007" s="2" t="str">
        <f>IFERROR(__xludf.DUMMYFUNCTION("IFERROR(VLOOKUP(A1007, IMPORTRANGE(""https://docs.google.com/spreadsheets/d/1-3Vjw2Cyy-mry5gbC8ypIR3YVGFfEpyFESummAta6sg/edit"", ""Sheet1!B:D""), 2, FALSE), ""Not Found"")"),"oʊd")</f>
        <v>oʊd</v>
      </c>
      <c r="E1007" s="2" t="str">
        <f>IFERROR(__xludf.DUMMYFUNCTION("IFERROR(VLOOKUP(A1007, IMPORTRANGE(""https://docs.google.com/spreadsheets/d/1-3Vjw2Cyy-mry5gbC8ypIR3YVGFfEpyFESummAta6sg/edit"", ""Sheet1!B:D""), 3, FALSE), ""Not Found"")"),"o ʊ d ")</f>
        <v>o ʊ d </v>
      </c>
    </row>
    <row r="1008">
      <c r="A1008" s="1" t="s">
        <v>1011</v>
      </c>
      <c r="B1008" s="1" t="s">
        <v>5</v>
      </c>
      <c r="C1008" s="2">
        <f>IFERROR(__xludf.DUMMYFUNCTION("IFERROR(VLOOKUP(A1008, IMPORTRANGE(""https://docs.google.com/spreadsheets/d/1AVX9GT0dgogEBStecCXMMQ29tWz3gBrtNB8yIromXbY/edit?gid=741673867"", ""out1g!A:B""), 2, FALSE), 0)"),150.0)</f>
        <v>150</v>
      </c>
      <c r="D1008" s="2" t="str">
        <f>IFERROR(__xludf.DUMMYFUNCTION("IFERROR(VLOOKUP(A1008, IMPORTRANGE(""https://docs.google.com/spreadsheets/d/1-3Vjw2Cyy-mry5gbC8ypIR3YVGFfEpyFESummAta6sg/edit"", ""Sheet1!B:D""), 2, FALSE), ""Not Found"")"),"ʃrɛd")</f>
        <v>ʃrɛd</v>
      </c>
      <c r="E1008" s="2" t="str">
        <f>IFERROR(__xludf.DUMMYFUNCTION("IFERROR(VLOOKUP(A1008, IMPORTRANGE(""https://docs.google.com/spreadsheets/d/1-3Vjw2Cyy-mry5gbC8ypIR3YVGFfEpyFESummAta6sg/edit"", ""Sheet1!B:D""), 3, FALSE), ""Not Found"")"),"ʃ r ɛ d ")</f>
        <v>ʃ r ɛ d </v>
      </c>
    </row>
    <row r="1009">
      <c r="A1009" s="1" t="s">
        <v>1012</v>
      </c>
      <c r="B1009" s="1" t="s">
        <v>5</v>
      </c>
      <c r="C1009" s="2">
        <f>IFERROR(__xludf.DUMMYFUNCTION("IFERROR(VLOOKUP(A1009, IMPORTRANGE(""https://docs.google.com/spreadsheets/d/1AVX9GT0dgogEBStecCXMMQ29tWz3gBrtNB8yIromXbY/edit?gid=741673867"", ""out1g!A:B""), 2, FALSE), 0)"),225.0)</f>
        <v>225</v>
      </c>
      <c r="D1009" s="2" t="str">
        <f>IFERROR(__xludf.DUMMYFUNCTION("IFERROR(VLOOKUP(A1009, IMPORTRANGE(""https://docs.google.com/spreadsheets/d/1-3Vjw2Cyy-mry5gbC8ypIR3YVGFfEpyFESummAta6sg/edit"", ""Sheet1!B:D""), 2, FALSE), ""Not Found"")"),"mɑrʤ")</f>
        <v>mɑrʤ</v>
      </c>
      <c r="E1009" s="2" t="str">
        <f>IFERROR(__xludf.DUMMYFUNCTION("IFERROR(VLOOKUP(A1009, IMPORTRANGE(""https://docs.google.com/spreadsheets/d/1-3Vjw2Cyy-mry5gbC8ypIR3YVGFfEpyFESummAta6sg/edit"", ""Sheet1!B:D""), 3, FALSE), ""Not Found"")"),"m ɑ r ʤ ")</f>
        <v>m ɑ r ʤ </v>
      </c>
    </row>
    <row r="1010">
      <c r="A1010" s="1" t="s">
        <v>1013</v>
      </c>
      <c r="B1010" s="1" t="s">
        <v>5</v>
      </c>
      <c r="C1010" s="2">
        <f>IFERROR(__xludf.DUMMYFUNCTION("IFERROR(VLOOKUP(A1010, IMPORTRANGE(""https://docs.google.com/spreadsheets/d/1AVX9GT0dgogEBStecCXMMQ29tWz3gBrtNB8yIromXbY/edit?gid=741673867"", ""out1g!A:B""), 2, FALSE), 0)"),167.0)</f>
        <v>167</v>
      </c>
      <c r="D1010" s="2" t="str">
        <f>IFERROR(__xludf.DUMMYFUNCTION("IFERROR(VLOOKUP(A1010, IMPORTRANGE(""https://docs.google.com/spreadsheets/d/1-3Vjw2Cyy-mry5gbC8ypIR3YVGFfEpyFESummAta6sg/edit"", ""Sheet1!B:D""), 2, FALSE), ""Not Found"")"),"læps")</f>
        <v>læps</v>
      </c>
      <c r="E1010" s="2" t="str">
        <f>IFERROR(__xludf.DUMMYFUNCTION("IFERROR(VLOOKUP(A1010, IMPORTRANGE(""https://docs.google.com/spreadsheets/d/1-3Vjw2Cyy-mry5gbC8ypIR3YVGFfEpyFESummAta6sg/edit"", ""Sheet1!B:D""), 3, FALSE), ""Not Found"")"),"l æ p s ")</f>
        <v>l æ p s </v>
      </c>
    </row>
    <row r="1011">
      <c r="A1011" s="1" t="s">
        <v>1014</v>
      </c>
      <c r="B1011" s="1" t="s">
        <v>5</v>
      </c>
      <c r="C1011" s="2">
        <f>IFERROR(__xludf.DUMMYFUNCTION("IFERROR(VLOOKUP(A1011, IMPORTRANGE(""https://docs.google.com/spreadsheets/d/1AVX9GT0dgogEBStecCXMMQ29tWz3gBrtNB8yIromXbY/edit?gid=741673867"", ""out1g!A:B""), 2, FALSE), 0)"),67.0)</f>
        <v>67</v>
      </c>
      <c r="D1011" s="2" t="str">
        <f>IFERROR(__xludf.DUMMYFUNCTION("IFERROR(VLOOKUP(A1011, IMPORTRANGE(""https://docs.google.com/spreadsheets/d/1-3Vjw2Cyy-mry5gbC8ypIR3YVGFfEpyFESummAta6sg/edit"", ""Sheet1!B:D""), 2, FALSE), ""Not Found"")"),"kæstər")</f>
        <v>kæstər</v>
      </c>
      <c r="E1011" s="2" t="str">
        <f>IFERROR(__xludf.DUMMYFUNCTION("IFERROR(VLOOKUP(A1011, IMPORTRANGE(""https://docs.google.com/spreadsheets/d/1-3Vjw2Cyy-mry5gbC8ypIR3YVGFfEpyFESummAta6sg/edit"", ""Sheet1!B:D""), 3, FALSE), ""Not Found"")"),"k æ s t ə r ")</f>
        <v>k æ s t ə r </v>
      </c>
    </row>
    <row r="1012">
      <c r="A1012" s="1" t="s">
        <v>1015</v>
      </c>
      <c r="B1012" s="1" t="s">
        <v>5</v>
      </c>
      <c r="C1012" s="2">
        <f>IFERROR(__xludf.DUMMYFUNCTION("IFERROR(VLOOKUP(A1012, IMPORTRANGE(""https://docs.google.com/spreadsheets/d/1AVX9GT0dgogEBStecCXMMQ29tWz3gBrtNB8yIromXbY/edit?gid=741673867"", ""out1g!A:B""), 2, FALSE), 0)"),660.0)</f>
        <v>660</v>
      </c>
      <c r="D1012" s="2" t="str">
        <f>IFERROR(__xludf.DUMMYFUNCTION("IFERROR(VLOOKUP(A1012, IMPORTRANGE(""https://docs.google.com/spreadsheets/d/1-3Vjw2Cyy-mry5gbC8ypIR3YVGFfEpyFESummAta6sg/edit"", ""Sheet1!B:D""), 2, FALSE), ""Not Found"")"),"mɑb")</f>
        <v>mɑb</v>
      </c>
      <c r="E1012" s="2" t="str">
        <f>IFERROR(__xludf.DUMMYFUNCTION("IFERROR(VLOOKUP(A1012, IMPORTRANGE(""https://docs.google.com/spreadsheets/d/1-3Vjw2Cyy-mry5gbC8ypIR3YVGFfEpyFESummAta6sg/edit"", ""Sheet1!B:D""), 3, FALSE), ""Not Found"")"),"m ɑ b ")</f>
        <v>m ɑ b </v>
      </c>
    </row>
    <row r="1013">
      <c r="A1013" s="1" t="s">
        <v>1016</v>
      </c>
      <c r="B1013" s="1" t="s">
        <v>5</v>
      </c>
      <c r="C1013" s="2">
        <f>IFERROR(__xludf.DUMMYFUNCTION("IFERROR(VLOOKUP(A1013, IMPORTRANGE(""https://docs.google.com/spreadsheets/d/1AVX9GT0dgogEBStecCXMMQ29tWz3gBrtNB8yIromXbY/edit?gid=741673867"", ""out1g!A:B""), 2, FALSE), 0)"),561.0)</f>
        <v>561</v>
      </c>
      <c r="D1013" s="2" t="str">
        <f>IFERROR(__xludf.DUMMYFUNCTION("IFERROR(VLOOKUP(A1013, IMPORTRANGE(""https://docs.google.com/spreadsheets/d/1-3Vjw2Cyy-mry5gbC8ypIR3YVGFfEpyFESummAta6sg/edit"", ""Sheet1!B:D""), 2, FALSE), ""Not Found"")"),"spen")</f>
        <v>spen</v>
      </c>
      <c r="E1013" s="2" t="str">
        <f>IFERROR(__xludf.DUMMYFUNCTION("IFERROR(VLOOKUP(A1013, IMPORTRANGE(""https://docs.google.com/spreadsheets/d/1-3Vjw2Cyy-mry5gbC8ypIR3YVGFfEpyFESummAta6sg/edit"", ""Sheet1!B:D""), 3, FALSE), ""Not Found"")"),"s p e n ")</f>
        <v>s p e n </v>
      </c>
    </row>
    <row r="1014">
      <c r="A1014" s="1" t="s">
        <v>1017</v>
      </c>
      <c r="B1014" s="1" t="s">
        <v>5</v>
      </c>
      <c r="C1014" s="2">
        <f>IFERROR(__xludf.DUMMYFUNCTION("IFERROR(VLOOKUP(A1014, IMPORTRANGE(""https://docs.google.com/spreadsheets/d/1AVX9GT0dgogEBStecCXMMQ29tWz3gBrtNB8yIromXbY/edit?gid=741673867"", ""out1g!A:B""), 2, FALSE), 0)"),181.0)</f>
        <v>181</v>
      </c>
      <c r="D1014" s="2" t="str">
        <f>IFERROR(__xludf.DUMMYFUNCTION("IFERROR(VLOOKUP(A1014, IMPORTRANGE(""https://docs.google.com/spreadsheets/d/1-3Vjw2Cyy-mry5gbC8ypIR3YVGFfEpyFESummAta6sg/edit"", ""Sheet1!B:D""), 2, FALSE), ""Not Found"")"),"əmaʊnts")</f>
        <v>əmaʊnts</v>
      </c>
      <c r="E1014" s="2" t="str">
        <f>IFERROR(__xludf.DUMMYFUNCTION("IFERROR(VLOOKUP(A1014, IMPORTRANGE(""https://docs.google.com/spreadsheets/d/1-3Vjw2Cyy-mry5gbC8ypIR3YVGFfEpyFESummAta6sg/edit"", ""Sheet1!B:D""), 3, FALSE), ""Not Found"")"),"ə m a ʊ n t s ")</f>
        <v>ə m a ʊ n t s </v>
      </c>
    </row>
    <row r="1015">
      <c r="A1015" s="1" t="s">
        <v>1018</v>
      </c>
      <c r="B1015" s="1" t="s">
        <v>5</v>
      </c>
      <c r="C1015" s="2">
        <f>IFERROR(__xludf.DUMMYFUNCTION("IFERROR(VLOOKUP(A1015, IMPORTRANGE(""https://docs.google.com/spreadsheets/d/1AVX9GT0dgogEBStecCXMMQ29tWz3gBrtNB8yIromXbY/edit?gid=741673867"", ""out1g!A:B""), 2, FALSE), 0)"),158.0)</f>
        <v>158</v>
      </c>
      <c r="D1015" s="2" t="str">
        <f>IFERROR(__xludf.DUMMYFUNCTION("IFERROR(VLOOKUP(A1015, IMPORTRANGE(""https://docs.google.com/spreadsheets/d/1-3Vjw2Cyy-mry5gbC8ypIR3YVGFfEpyFESummAta6sg/edit"", ""Sheet1!B:D""), 2, FALSE), ""Not Found"")"),"tɑkoʊ")</f>
        <v>tɑkoʊ</v>
      </c>
      <c r="E1015" s="2" t="str">
        <f>IFERROR(__xludf.DUMMYFUNCTION("IFERROR(VLOOKUP(A1015, IMPORTRANGE(""https://docs.google.com/spreadsheets/d/1-3Vjw2Cyy-mry5gbC8ypIR3YVGFfEpyFESummAta6sg/edit"", ""Sheet1!B:D""), 3, FALSE), ""Not Found"")"),"t ɑ k o ʊ ")</f>
        <v>t ɑ k o ʊ </v>
      </c>
    </row>
    <row r="1016">
      <c r="A1016" s="1" t="s">
        <v>1019</v>
      </c>
      <c r="B1016" s="1" t="s">
        <v>5</v>
      </c>
      <c r="C1016" s="2">
        <f>IFERROR(__xludf.DUMMYFUNCTION("IFERROR(VLOOKUP(A1016, IMPORTRANGE(""https://docs.google.com/spreadsheets/d/1AVX9GT0dgogEBStecCXMMQ29tWz3gBrtNB8yIromXbY/edit?gid=741673867"", ""out1g!A:B""), 2, FALSE), 0)"),5433.0)</f>
        <v>5433</v>
      </c>
      <c r="D1016" s="2" t="str">
        <f>IFERROR(__xludf.DUMMYFUNCTION("IFERROR(VLOOKUP(A1016, IMPORTRANGE(""https://docs.google.com/spreadsheets/d/1-3Vjw2Cyy-mry5gbC8ypIR3YVGFfEpyFESummAta6sg/edit"", ""Sheet1!B:D""), 2, FALSE), ""Not Found"")"),"bɪzi")</f>
        <v>bɪzi</v>
      </c>
      <c r="E1016" s="2" t="str">
        <f>IFERROR(__xludf.DUMMYFUNCTION("IFERROR(VLOOKUP(A1016, IMPORTRANGE(""https://docs.google.com/spreadsheets/d/1-3Vjw2Cyy-mry5gbC8ypIR3YVGFfEpyFESummAta6sg/edit"", ""Sheet1!B:D""), 3, FALSE), ""Not Found"")"),"b ɪ z i ")</f>
        <v>b ɪ z i </v>
      </c>
    </row>
    <row r="1017">
      <c r="A1017" s="1" t="s">
        <v>1020</v>
      </c>
      <c r="B1017" s="1" t="s">
        <v>5</v>
      </c>
      <c r="C1017" s="2">
        <f>IFERROR(__xludf.DUMMYFUNCTION("IFERROR(VLOOKUP(A1017, IMPORTRANGE(""https://docs.google.com/spreadsheets/d/1AVX9GT0dgogEBStecCXMMQ29tWz3gBrtNB8yIromXbY/edit?gid=741673867"", ""out1g!A:B""), 2, FALSE), 0)"),2020.0)</f>
        <v>2020</v>
      </c>
      <c r="D1017" s="2" t="str">
        <f>IFERROR(__xludf.DUMMYFUNCTION("IFERROR(VLOOKUP(A1017, IMPORTRANGE(""https://docs.google.com/spreadsheets/d/1-3Vjw2Cyy-mry5gbC8ypIR3YVGFfEpyFESummAta6sg/edit"", ""Sheet1!B:D""), 2, FALSE), ""Not Found"")"),"læb")</f>
        <v>læb</v>
      </c>
      <c r="E1017" s="2" t="str">
        <f>IFERROR(__xludf.DUMMYFUNCTION("IFERROR(VLOOKUP(A1017, IMPORTRANGE(""https://docs.google.com/spreadsheets/d/1-3Vjw2Cyy-mry5gbC8ypIR3YVGFfEpyFESummAta6sg/edit"", ""Sheet1!B:D""), 3, FALSE), ""Not Found"")"),"l æ b ")</f>
        <v>l æ b </v>
      </c>
    </row>
    <row r="1018">
      <c r="A1018" s="1" t="s">
        <v>1021</v>
      </c>
      <c r="B1018" s="1" t="s">
        <v>5</v>
      </c>
      <c r="C1018" s="2">
        <f>IFERROR(__xludf.DUMMYFUNCTION("IFERROR(VLOOKUP(A1018, IMPORTRANGE(""https://docs.google.com/spreadsheets/d/1AVX9GT0dgogEBStecCXMMQ29tWz3gBrtNB8yIromXbY/edit?gid=741673867"", ""out1g!A:B""), 2, FALSE), 0)"),1083.0)</f>
        <v>1083</v>
      </c>
      <c r="D1018" s="2" t="str">
        <f>IFERROR(__xludf.DUMMYFUNCTION("IFERROR(VLOOKUP(A1018, IMPORTRANGE(""https://docs.google.com/spreadsheets/d/1-3Vjw2Cyy-mry5gbC8ypIR3YVGFfEpyFESummAta6sg/edit"", ""Sheet1!B:D""), 2, FALSE), ""Not Found"")"),"gɑdz")</f>
        <v>gɑdz</v>
      </c>
      <c r="E1018" s="2" t="str">
        <f>IFERROR(__xludf.DUMMYFUNCTION("IFERROR(VLOOKUP(A1018, IMPORTRANGE(""https://docs.google.com/spreadsheets/d/1-3Vjw2Cyy-mry5gbC8ypIR3YVGFfEpyFESummAta6sg/edit"", ""Sheet1!B:D""), 3, FALSE), ""Not Found"")"),"g ɑ d z ")</f>
        <v>g ɑ d z </v>
      </c>
    </row>
    <row r="1019">
      <c r="A1019" s="1" t="s">
        <v>1022</v>
      </c>
      <c r="B1019" s="1" t="s">
        <v>5</v>
      </c>
      <c r="C1019" s="2">
        <f>IFERROR(__xludf.DUMMYFUNCTION("IFERROR(VLOOKUP(A1019, IMPORTRANGE(""https://docs.google.com/spreadsheets/d/1AVX9GT0dgogEBStecCXMMQ29tWz3gBrtNB8yIromXbY/edit?gid=741673867"", ""out1g!A:B""), 2, FALSE), 0)"),117.0)</f>
        <v>117</v>
      </c>
      <c r="D1019" s="2" t="str">
        <f>IFERROR(__xludf.DUMMYFUNCTION("IFERROR(VLOOKUP(A1019, IMPORTRANGE(""https://docs.google.com/spreadsheets/d/1-3Vjw2Cyy-mry5gbC8ypIR3YVGFfEpyFESummAta6sg/edit"", ""Sheet1!B:D""), 2, FALSE), ""Not Found"")"),"drɪlɪŋ")</f>
        <v>drɪlɪŋ</v>
      </c>
      <c r="E1019" s="2" t="str">
        <f>IFERROR(__xludf.DUMMYFUNCTION("IFERROR(VLOOKUP(A1019, IMPORTRANGE(""https://docs.google.com/spreadsheets/d/1-3Vjw2Cyy-mry5gbC8ypIR3YVGFfEpyFESummAta6sg/edit"", ""Sheet1!B:D""), 3, FALSE), ""Not Found"")"),"d r ɪ l ɪ ŋ ")</f>
        <v>d r ɪ l ɪ ŋ </v>
      </c>
    </row>
    <row r="1020">
      <c r="A1020" s="1" t="s">
        <v>1023</v>
      </c>
      <c r="B1020" s="1" t="s">
        <v>5</v>
      </c>
      <c r="C1020" s="2">
        <f>IFERROR(__xludf.DUMMYFUNCTION("IFERROR(VLOOKUP(A1020, IMPORTRANGE(""https://docs.google.com/spreadsheets/d/1AVX9GT0dgogEBStecCXMMQ29tWz3gBrtNB8yIromXbY/edit?gid=741673867"", ""out1g!A:B""), 2, FALSE), 0)"),54.0)</f>
        <v>54</v>
      </c>
      <c r="D1020" s="2" t="str">
        <f>IFERROR(__xludf.DUMMYFUNCTION("IFERROR(VLOOKUP(A1020, IMPORTRANGE(""https://docs.google.com/spreadsheets/d/1-3Vjw2Cyy-mry5gbC8ypIR3YVGFfEpyFESummAta6sg/edit"", ""Sheet1!B:D""), 2, FALSE), ""Not Found"")"),"fraɪtfəli")</f>
        <v>fraɪtfəli</v>
      </c>
      <c r="E1020" s="2" t="str">
        <f>IFERROR(__xludf.DUMMYFUNCTION("IFERROR(VLOOKUP(A1020, IMPORTRANGE(""https://docs.google.com/spreadsheets/d/1-3Vjw2Cyy-mry5gbC8ypIR3YVGFfEpyFESummAta6sg/edit"", ""Sheet1!B:D""), 3, FALSE), ""Not Found"")"),"f r a ɪ t f ə l i ")</f>
        <v>f r a ɪ t f ə l i </v>
      </c>
    </row>
    <row r="1021">
      <c r="A1021" s="1" t="s">
        <v>1024</v>
      </c>
      <c r="B1021" s="1" t="s">
        <v>5</v>
      </c>
      <c r="C1021" s="2">
        <f>IFERROR(__xludf.DUMMYFUNCTION("IFERROR(VLOOKUP(A1021, IMPORTRANGE(""https://docs.google.com/spreadsheets/d/1AVX9GT0dgogEBStecCXMMQ29tWz3gBrtNB8yIromXbY/edit?gid=741673867"", ""out1g!A:B""), 2, FALSE), 0)"),52.0)</f>
        <v>52</v>
      </c>
      <c r="D1021" s="2" t="str">
        <f>IFERROR(__xludf.DUMMYFUNCTION("IFERROR(VLOOKUP(A1021, IMPORTRANGE(""https://docs.google.com/spreadsheets/d/1-3Vjw2Cyy-mry5gbC8ypIR3YVGFfEpyFESummAta6sg/edit"", ""Sheet1!B:D""), 2, FALSE), ""Not Found"")"),"tæksiz")</f>
        <v>tæksiz</v>
      </c>
      <c r="E1021" s="2" t="str">
        <f>IFERROR(__xludf.DUMMYFUNCTION("IFERROR(VLOOKUP(A1021, IMPORTRANGE(""https://docs.google.com/spreadsheets/d/1-3Vjw2Cyy-mry5gbC8ypIR3YVGFfEpyFESummAta6sg/edit"", ""Sheet1!B:D""), 3, FALSE), ""Not Found"")"),"t æ k s i z ")</f>
        <v>t æ k s i z </v>
      </c>
    </row>
    <row r="1022">
      <c r="A1022" s="1" t="s">
        <v>1025</v>
      </c>
      <c r="B1022" s="1" t="s">
        <v>5</v>
      </c>
      <c r="C1022" s="2">
        <f>IFERROR(__xludf.DUMMYFUNCTION("IFERROR(VLOOKUP(A1022, IMPORTRANGE(""https://docs.google.com/spreadsheets/d/1AVX9GT0dgogEBStecCXMMQ29tWz3gBrtNB8yIromXbY/edit?gid=741673867"", ""out1g!A:B""), 2, FALSE), 0)"),228.0)</f>
        <v>228</v>
      </c>
      <c r="D1022" s="2" t="str">
        <f>IFERROR(__xludf.DUMMYFUNCTION("IFERROR(VLOOKUP(A1022, IMPORTRANGE(""https://docs.google.com/spreadsheets/d/1-3Vjw2Cyy-mry5gbC8ypIR3YVGFfEpyFESummAta6sg/edit"", ""Sheet1!B:D""), 2, FALSE), ""Not Found"")"),"sidz")</f>
        <v>sidz</v>
      </c>
      <c r="E1022" s="2" t="str">
        <f>IFERROR(__xludf.DUMMYFUNCTION("IFERROR(VLOOKUP(A1022, IMPORTRANGE(""https://docs.google.com/spreadsheets/d/1-3Vjw2Cyy-mry5gbC8ypIR3YVGFfEpyFESummAta6sg/edit"", ""Sheet1!B:D""), 3, FALSE), ""Not Found"")"),"s i d z ")</f>
        <v>s i d z </v>
      </c>
    </row>
    <row r="1023">
      <c r="A1023" s="1" t="s">
        <v>1026</v>
      </c>
      <c r="B1023" s="1" t="s">
        <v>5</v>
      </c>
      <c r="C1023" s="2">
        <f>IFERROR(__xludf.DUMMYFUNCTION("IFERROR(VLOOKUP(A1023, IMPORTRANGE(""https://docs.google.com/spreadsheets/d/1AVX9GT0dgogEBStecCXMMQ29tWz3gBrtNB8yIromXbY/edit?gid=741673867"", ""out1g!A:B""), 2, FALSE), 0)"),1592.0)</f>
        <v>1592</v>
      </c>
      <c r="D1023" s="2" t="str">
        <f>IFERROR(__xludf.DUMMYFUNCTION("IFERROR(VLOOKUP(A1023, IMPORTRANGE(""https://docs.google.com/spreadsheets/d/1-3Vjw2Cyy-mry5gbC8ypIR3YVGFfEpyFESummAta6sg/edit"", ""Sheet1!B:D""), 2, FALSE), ""Not Found"")"),"wɪnər")</f>
        <v>wɪnər</v>
      </c>
      <c r="E1023" s="2" t="str">
        <f>IFERROR(__xludf.DUMMYFUNCTION("IFERROR(VLOOKUP(A1023, IMPORTRANGE(""https://docs.google.com/spreadsheets/d/1-3Vjw2Cyy-mry5gbC8ypIR3YVGFfEpyFESummAta6sg/edit"", ""Sheet1!B:D""), 3, FALSE), ""Not Found"")"),"w ɪ n ə r ")</f>
        <v>w ɪ n ə r </v>
      </c>
    </row>
    <row r="1024">
      <c r="A1024" s="1" t="s">
        <v>1027</v>
      </c>
      <c r="B1024" s="1" t="s">
        <v>5</v>
      </c>
      <c r="C1024" s="2">
        <f>IFERROR(__xludf.DUMMYFUNCTION("IFERROR(VLOOKUP(A1024, IMPORTRANGE(""https://docs.google.com/spreadsheets/d/1AVX9GT0dgogEBStecCXMMQ29tWz3gBrtNB8yIromXbY/edit?gid=741673867"", ""out1g!A:B""), 2, FALSE), 0)"),184.0)</f>
        <v>184</v>
      </c>
      <c r="D1024" s="2" t="str">
        <f>IFERROR(__xludf.DUMMYFUNCTION("IFERROR(VLOOKUP(A1024, IMPORTRANGE(""https://docs.google.com/spreadsheets/d/1-3Vjw2Cyy-mry5gbC8ypIR3YVGFfEpyFESummAta6sg/edit"", ""Sheet1!B:D""), 2, FALSE), ""Not Found"")"),"maɪlərd")</f>
        <v>maɪlərd</v>
      </c>
      <c r="E1024" s="2" t="str">
        <f>IFERROR(__xludf.DUMMYFUNCTION("IFERROR(VLOOKUP(A1024, IMPORTRANGE(""https://docs.google.com/spreadsheets/d/1-3Vjw2Cyy-mry5gbC8ypIR3YVGFfEpyFESummAta6sg/edit"", ""Sheet1!B:D""), 3, FALSE), ""Not Found"")"),"m a ɪ l ə r d ")</f>
        <v>m a ɪ l ə r d </v>
      </c>
    </row>
    <row r="1025">
      <c r="A1025" s="1" t="s">
        <v>1028</v>
      </c>
      <c r="B1025" s="1" t="s">
        <v>5</v>
      </c>
      <c r="C1025" s="2">
        <f>IFERROR(__xludf.DUMMYFUNCTION("IFERROR(VLOOKUP(A1025, IMPORTRANGE(""https://docs.google.com/spreadsheets/d/1AVX9GT0dgogEBStecCXMMQ29tWz3gBrtNB8yIromXbY/edit?gid=741673867"", ""out1g!A:B""), 2, FALSE), 0)"),244.0)</f>
        <v>244</v>
      </c>
      <c r="D1025" s="2" t="str">
        <f>IFERROR(__xludf.DUMMYFUNCTION("IFERROR(VLOOKUP(A1025, IMPORTRANGE(""https://docs.google.com/spreadsheets/d/1-3Vjw2Cyy-mry5gbC8ypIR3YVGFfEpyFESummAta6sg/edit"", ""Sheet1!B:D""), 2, FALSE), ""Not Found"")"),"ʃaɪɛn")</f>
        <v>ʃaɪɛn</v>
      </c>
      <c r="E1025" s="2" t="str">
        <f>IFERROR(__xludf.DUMMYFUNCTION("IFERROR(VLOOKUP(A1025, IMPORTRANGE(""https://docs.google.com/spreadsheets/d/1-3Vjw2Cyy-mry5gbC8ypIR3YVGFfEpyFESummAta6sg/edit"", ""Sheet1!B:D""), 3, FALSE), ""Not Found"")"),"ʃ a ɪ ɛ n ")</f>
        <v>ʃ a ɪ ɛ n </v>
      </c>
    </row>
    <row r="1026">
      <c r="A1026" s="1" t="s">
        <v>1029</v>
      </c>
      <c r="B1026" s="1" t="s">
        <v>5</v>
      </c>
      <c r="C1026" s="2">
        <f>IFERROR(__xludf.DUMMYFUNCTION("IFERROR(VLOOKUP(A1026, IMPORTRANGE(""https://docs.google.com/spreadsheets/d/1AVX9GT0dgogEBStecCXMMQ29tWz3gBrtNB8yIromXbY/edit?gid=741673867"", ""out1g!A:B""), 2, FALSE), 0)"),307.0)</f>
        <v>307</v>
      </c>
      <c r="D1026" s="2" t="str">
        <f>IFERROR(__xludf.DUMMYFUNCTION("IFERROR(VLOOKUP(A1026, IMPORTRANGE(""https://docs.google.com/spreadsheets/d/1-3Vjw2Cyy-mry5gbC8ypIR3YVGFfEpyFESummAta6sg/edit"", ""Sheet1!B:D""), 2, FALSE), ""Not Found"")"),"mi")</f>
        <v>mi</v>
      </c>
      <c r="E1026" s="2" t="str">
        <f>IFERROR(__xludf.DUMMYFUNCTION("IFERROR(VLOOKUP(A1026, IMPORTRANGE(""https://docs.google.com/spreadsheets/d/1-3Vjw2Cyy-mry5gbC8ypIR3YVGFfEpyFESummAta6sg/edit"", ""Sheet1!B:D""), 3, FALSE), ""Not Found"")"),"m i ")</f>
        <v>m i </v>
      </c>
    </row>
    <row r="1027">
      <c r="A1027" s="1" t="s">
        <v>1030</v>
      </c>
      <c r="B1027" s="1" t="s">
        <v>5</v>
      </c>
      <c r="C1027" s="2">
        <f>IFERROR(__xludf.DUMMYFUNCTION("IFERROR(VLOOKUP(A1027, IMPORTRANGE(""https://docs.google.com/spreadsheets/d/1AVX9GT0dgogEBStecCXMMQ29tWz3gBrtNB8yIromXbY/edit?gid=741673867"", ""out1g!A:B""), 2, FALSE), 0)"),1218.0)</f>
        <v>1218</v>
      </c>
      <c r="D1027" s="2" t="str">
        <f>IFERROR(__xludf.DUMMYFUNCTION("IFERROR(VLOOKUP(A1027, IMPORTRANGE(""https://docs.google.com/spreadsheets/d/1-3Vjw2Cyy-mry5gbC8ypIR3YVGFfEpyFESummAta6sg/edit"", ""Sheet1!B:D""), 2, FALSE), ""Not Found"")"),"pɑ")</f>
        <v>pɑ</v>
      </c>
      <c r="E1027" s="2" t="str">
        <f>IFERROR(__xludf.DUMMYFUNCTION("IFERROR(VLOOKUP(A1027, IMPORTRANGE(""https://docs.google.com/spreadsheets/d/1-3Vjw2Cyy-mry5gbC8ypIR3YVGFfEpyFESummAta6sg/edit"", ""Sheet1!B:D""), 3, FALSE), ""Not Found"")"),"p ɑ ")</f>
        <v>p ɑ </v>
      </c>
    </row>
    <row r="1028">
      <c r="A1028" s="1" t="s">
        <v>1031</v>
      </c>
      <c r="B1028" s="1" t="s">
        <v>5</v>
      </c>
      <c r="C1028" s="2">
        <f>IFERROR(__xludf.DUMMYFUNCTION("IFERROR(VLOOKUP(A1028, IMPORTRANGE(""https://docs.google.com/spreadsheets/d/1AVX9GT0dgogEBStecCXMMQ29tWz3gBrtNB8yIromXbY/edit?gid=741673867"", ""out1g!A:B""), 2, FALSE), 0)"),75.0)</f>
        <v>75</v>
      </c>
      <c r="D1028" s="2" t="str">
        <f>IFERROR(__xludf.DUMMYFUNCTION("IFERROR(VLOOKUP(A1028, IMPORTRANGE(""https://docs.google.com/spreadsheets/d/1-3Vjw2Cyy-mry5gbC8ypIR3YVGFfEpyFESummAta6sg/edit"", ""Sheet1!B:D""), 2, FALSE), ""Not Found"")"),"sir")</f>
        <v>sir</v>
      </c>
      <c r="E1028" s="2" t="str">
        <f>IFERROR(__xludf.DUMMYFUNCTION("IFERROR(VLOOKUP(A1028, IMPORTRANGE(""https://docs.google.com/spreadsheets/d/1-3Vjw2Cyy-mry5gbC8ypIR3YVGFfEpyFESummAta6sg/edit"", ""Sheet1!B:D""), 3, FALSE), ""Not Found"")"),"s i r ")</f>
        <v>s i r </v>
      </c>
    </row>
    <row r="1029">
      <c r="A1029" s="1" t="s">
        <v>1032</v>
      </c>
      <c r="B1029" s="1" t="s">
        <v>5</v>
      </c>
      <c r="C1029" s="2">
        <f>IFERROR(__xludf.DUMMYFUNCTION("IFERROR(VLOOKUP(A1029, IMPORTRANGE(""https://docs.google.com/spreadsheets/d/1AVX9GT0dgogEBStecCXMMQ29tWz3gBrtNB8yIromXbY/edit?gid=741673867"", ""out1g!A:B""), 2, FALSE), 0)"),88.0)</f>
        <v>88</v>
      </c>
      <c r="D1029" s="2" t="str">
        <f>IFERROR(__xludf.DUMMYFUNCTION("IFERROR(VLOOKUP(A1029, IMPORTRANGE(""https://docs.google.com/spreadsheets/d/1-3Vjw2Cyy-mry5gbC8ypIR3YVGFfEpyFESummAta6sg/edit"", ""Sheet1!B:D""), 2, FALSE), ""Not Found"")"),"lupəs")</f>
        <v>lupəs</v>
      </c>
      <c r="E1029" s="2" t="str">
        <f>IFERROR(__xludf.DUMMYFUNCTION("IFERROR(VLOOKUP(A1029, IMPORTRANGE(""https://docs.google.com/spreadsheets/d/1-3Vjw2Cyy-mry5gbC8ypIR3YVGFfEpyFESummAta6sg/edit"", ""Sheet1!B:D""), 3, FALSE), ""Not Found"")"),"l u p ə s ")</f>
        <v>l u p ə s </v>
      </c>
    </row>
    <row r="1030">
      <c r="A1030" s="1" t="s">
        <v>1033</v>
      </c>
      <c r="B1030" s="1" t="s">
        <v>5</v>
      </c>
      <c r="C1030" s="2">
        <f>IFERROR(__xludf.DUMMYFUNCTION("IFERROR(VLOOKUP(A1030, IMPORTRANGE(""https://docs.google.com/spreadsheets/d/1AVX9GT0dgogEBStecCXMMQ29tWz3gBrtNB8yIromXbY/edit?gid=741673867"", ""out1g!A:B""), 2, FALSE), 0)"),134.0)</f>
        <v>134</v>
      </c>
      <c r="D1030" s="2" t="str">
        <f>IFERROR(__xludf.DUMMYFUNCTION("IFERROR(VLOOKUP(A1030, IMPORTRANGE(""https://docs.google.com/spreadsheets/d/1-3Vjw2Cyy-mry5gbC8ypIR3YVGFfEpyFESummAta6sg/edit"", ""Sheet1!B:D""), 2, FALSE), ""Not Found"")"),"træʃt")</f>
        <v>træʃt</v>
      </c>
      <c r="E1030" s="2" t="str">
        <f>IFERROR(__xludf.DUMMYFUNCTION("IFERROR(VLOOKUP(A1030, IMPORTRANGE(""https://docs.google.com/spreadsheets/d/1-3Vjw2Cyy-mry5gbC8ypIR3YVGFfEpyFESummAta6sg/edit"", ""Sheet1!B:D""), 3, FALSE), ""Not Found"")"),"t r æ ʃ t ")</f>
        <v>t r æ ʃ t </v>
      </c>
    </row>
    <row r="1031">
      <c r="A1031" s="1" t="s">
        <v>1034</v>
      </c>
      <c r="B1031" s="1" t="s">
        <v>5</v>
      </c>
      <c r="C1031" s="2">
        <f>IFERROR(__xludf.DUMMYFUNCTION("IFERROR(VLOOKUP(A1031, IMPORTRANGE(""https://docs.google.com/spreadsheets/d/1AVX9GT0dgogEBStecCXMMQ29tWz3gBrtNB8yIromXbY/edit?gid=741673867"", ""out1g!A:B""), 2, FALSE), 0)"),152262.0)</f>
        <v>152262</v>
      </c>
      <c r="D1031" s="2" t="str">
        <f>IFERROR(__xludf.DUMMYFUNCTION("IFERROR(VLOOKUP(A1031, IMPORTRANGE(""https://docs.google.com/spreadsheets/d/1-3Vjw2Cyy-mry5gbC8ypIR3YVGFfEpyFESummAta6sg/edit"", ""Sheet1!B:D""), 2, FALSE), ""Not Found"")"),"jæ")</f>
        <v>jæ</v>
      </c>
      <c r="E1031" s="2" t="str">
        <f>IFERROR(__xludf.DUMMYFUNCTION("IFERROR(VLOOKUP(A1031, IMPORTRANGE(""https://docs.google.com/spreadsheets/d/1-3Vjw2Cyy-mry5gbC8ypIR3YVGFfEpyFESummAta6sg/edit"", ""Sheet1!B:D""), 3, FALSE), ""Not Found"")"),"j æ ")</f>
        <v>j æ </v>
      </c>
    </row>
    <row r="1032">
      <c r="A1032" s="1" t="s">
        <v>1035</v>
      </c>
      <c r="B1032" s="1" t="s">
        <v>5</v>
      </c>
      <c r="C1032" s="2">
        <f>IFERROR(__xludf.DUMMYFUNCTION("IFERROR(VLOOKUP(A1032, IMPORTRANGE(""https://docs.google.com/spreadsheets/d/1AVX9GT0dgogEBStecCXMMQ29tWz3gBrtNB8yIromXbY/edit?gid=741673867"", ""out1g!A:B""), 2, FALSE), 0)"),266.0)</f>
        <v>266</v>
      </c>
      <c r="D1032" s="2" t="str">
        <f>IFERROR(__xludf.DUMMYFUNCTION("IFERROR(VLOOKUP(A1032, IMPORTRANGE(""https://docs.google.com/spreadsheets/d/1-3Vjw2Cyy-mry5gbC8ypIR3YVGFfEpyFESummAta6sg/edit"", ""Sheet1!B:D""), 2, FALSE), ""Not Found"")"),"vaɪb")</f>
        <v>vaɪb</v>
      </c>
      <c r="E1032" s="2" t="str">
        <f>IFERROR(__xludf.DUMMYFUNCTION("IFERROR(VLOOKUP(A1032, IMPORTRANGE(""https://docs.google.com/spreadsheets/d/1-3Vjw2Cyy-mry5gbC8ypIR3YVGFfEpyFESummAta6sg/edit"", ""Sheet1!B:D""), 3, FALSE), ""Not Found"")"),"v a ɪ b ")</f>
        <v>v a ɪ b </v>
      </c>
    </row>
    <row r="1033">
      <c r="A1033" s="1" t="s">
        <v>1036</v>
      </c>
      <c r="B1033" s="1" t="s">
        <v>5</v>
      </c>
      <c r="C1033" s="2">
        <f>IFERROR(__xludf.DUMMYFUNCTION("IFERROR(VLOOKUP(A1033, IMPORTRANGE(""https://docs.google.com/spreadsheets/d/1AVX9GT0dgogEBStecCXMMQ29tWz3gBrtNB8yIromXbY/edit?gid=741673867"", ""out1g!A:B""), 2, FALSE), 0)"),840.0)</f>
        <v>840</v>
      </c>
      <c r="D1033" s="2" t="str">
        <f>IFERROR(__xludf.DUMMYFUNCTION("IFERROR(VLOOKUP(A1033, IMPORTRANGE(""https://docs.google.com/spreadsheets/d/1-3Vjw2Cyy-mry5gbC8ypIR3YVGFfEpyFESummAta6sg/edit"", ""Sheet1!B:D""), 2, FALSE), ""Not Found"")"),"əfɛns")</f>
        <v>əfɛns</v>
      </c>
      <c r="E1033" s="2" t="str">
        <f>IFERROR(__xludf.DUMMYFUNCTION("IFERROR(VLOOKUP(A1033, IMPORTRANGE(""https://docs.google.com/spreadsheets/d/1-3Vjw2Cyy-mry5gbC8ypIR3YVGFfEpyFESummAta6sg/edit"", ""Sheet1!B:D""), 3, FALSE), ""Not Found"")"),"ə f ɛ n s ")</f>
        <v>ə f ɛ n s </v>
      </c>
    </row>
    <row r="1034">
      <c r="A1034" s="1" t="s">
        <v>1037</v>
      </c>
      <c r="B1034" s="1" t="s">
        <v>5</v>
      </c>
      <c r="C1034" s="2">
        <f>IFERROR(__xludf.DUMMYFUNCTION("IFERROR(VLOOKUP(A1034, IMPORTRANGE(""https://docs.google.com/spreadsheets/d/1AVX9GT0dgogEBStecCXMMQ29tWz3gBrtNB8yIromXbY/edit?gid=741673867"", ""out1g!A:B""), 2, FALSE), 0)"),218.0)</f>
        <v>218</v>
      </c>
      <c r="D1034" s="2" t="str">
        <f>IFERROR(__xludf.DUMMYFUNCTION("IFERROR(VLOOKUP(A1034, IMPORTRANGE(""https://docs.google.com/spreadsheets/d/1-3Vjw2Cyy-mry5gbC8ypIR3YVGFfEpyFESummAta6sg/edit"", ""Sheet1!B:D""), 2, FALSE), ""Not Found"")"),"tept")</f>
        <v>tept</v>
      </c>
      <c r="E1034" s="2" t="str">
        <f>IFERROR(__xludf.DUMMYFUNCTION("IFERROR(VLOOKUP(A1034, IMPORTRANGE(""https://docs.google.com/spreadsheets/d/1-3Vjw2Cyy-mry5gbC8ypIR3YVGFfEpyFESummAta6sg/edit"", ""Sheet1!B:D""), 3, FALSE), ""Not Found"")"),"t e p t ")</f>
        <v>t e p t </v>
      </c>
    </row>
    <row r="1035">
      <c r="A1035" s="1" t="s">
        <v>1038</v>
      </c>
      <c r="B1035" s="1" t="s">
        <v>5</v>
      </c>
      <c r="C1035" s="2">
        <f>IFERROR(__xludf.DUMMYFUNCTION("IFERROR(VLOOKUP(A1035, IMPORTRANGE(""https://docs.google.com/spreadsheets/d/1AVX9GT0dgogEBStecCXMMQ29tWz3gBrtNB8yIromXbY/edit?gid=741673867"", ""out1g!A:B""), 2, FALSE), 0)"),141.0)</f>
        <v>141</v>
      </c>
      <c r="D1035" s="2" t="str">
        <f>IFERROR(__xludf.DUMMYFUNCTION("IFERROR(VLOOKUP(A1035, IMPORTRANGE(""https://docs.google.com/spreadsheets/d/1-3Vjw2Cyy-mry5gbC8ypIR3YVGFfEpyFESummAta6sg/edit"", ""Sheet1!B:D""), 2, FALSE), ""Not Found"")"),"fraɪt")</f>
        <v>fraɪt</v>
      </c>
      <c r="E1035" s="2" t="str">
        <f>IFERROR(__xludf.DUMMYFUNCTION("IFERROR(VLOOKUP(A1035, IMPORTRANGE(""https://docs.google.com/spreadsheets/d/1-3Vjw2Cyy-mry5gbC8ypIR3YVGFfEpyFESummAta6sg/edit"", ""Sheet1!B:D""), 3, FALSE), ""Not Found"")"),"f r a ɪ t ")</f>
        <v>f r a ɪ t </v>
      </c>
    </row>
    <row r="1036">
      <c r="A1036" s="1" t="s">
        <v>1039</v>
      </c>
      <c r="B1036" s="1" t="s">
        <v>5</v>
      </c>
      <c r="C1036" s="2">
        <f>IFERROR(__xludf.DUMMYFUNCTION("IFERROR(VLOOKUP(A1036, IMPORTRANGE(""https://docs.google.com/spreadsheets/d/1AVX9GT0dgogEBStecCXMMQ29tWz3gBrtNB8yIromXbY/edit?gid=741673867"", ""out1g!A:B""), 2, FALSE), 0)"),194.0)</f>
        <v>194</v>
      </c>
      <c r="D1036" s="2" t="str">
        <f>IFERROR(__xludf.DUMMYFUNCTION("IFERROR(VLOOKUP(A1036, IMPORTRANGE(""https://docs.google.com/spreadsheets/d/1-3Vjw2Cyy-mry5gbC8ypIR3YVGFfEpyFESummAta6sg/edit"", ""Sheet1!B:D""), 2, FALSE), ""Not Found"")"),"swɪʧɪŋ")</f>
        <v>swɪʧɪŋ</v>
      </c>
      <c r="E1036" s="2" t="str">
        <f>IFERROR(__xludf.DUMMYFUNCTION("IFERROR(VLOOKUP(A1036, IMPORTRANGE(""https://docs.google.com/spreadsheets/d/1-3Vjw2Cyy-mry5gbC8ypIR3YVGFfEpyFESummAta6sg/edit"", ""Sheet1!B:D""), 3, FALSE), ""Not Found"")"),"s w ɪ ʧ ɪ ŋ ")</f>
        <v>s w ɪ ʧ ɪ ŋ </v>
      </c>
    </row>
    <row r="1037">
      <c r="A1037" s="1" t="s">
        <v>1040</v>
      </c>
      <c r="B1037" s="1" t="s">
        <v>5</v>
      </c>
      <c r="C1037" s="2">
        <f>IFERROR(__xludf.DUMMYFUNCTION("IFERROR(VLOOKUP(A1037, IMPORTRANGE(""https://docs.google.com/spreadsheets/d/1AVX9GT0dgogEBStecCXMMQ29tWz3gBrtNB8yIromXbY/edit?gid=741673867"", ""out1g!A:B""), 2, FALSE), 0)"),180610.0)</f>
        <v>180610</v>
      </c>
      <c r="D1037" s="2" t="str">
        <f>IFERROR(__xludf.DUMMYFUNCTION("IFERROR(VLOOKUP(A1037, IMPORTRANGE(""https://docs.google.com/spreadsheets/d/1-3Vjw2Cyy-mry5gbC8ypIR3YVGFfEpyFESummAta6sg/edit"", ""Sheet1!B:D""), 2, FALSE), ""Not Found"")"),"ɪf")</f>
        <v>ɪf</v>
      </c>
      <c r="E1037" s="2" t="str">
        <f>IFERROR(__xludf.DUMMYFUNCTION("IFERROR(VLOOKUP(A1037, IMPORTRANGE(""https://docs.google.com/spreadsheets/d/1-3Vjw2Cyy-mry5gbC8ypIR3YVGFfEpyFESummAta6sg/edit"", ""Sheet1!B:D""), 3, FALSE), ""Not Found"")"),"ɪ f ")</f>
        <v>ɪ f </v>
      </c>
    </row>
    <row r="1038">
      <c r="A1038" s="1" t="s">
        <v>1041</v>
      </c>
      <c r="B1038" s="1" t="s">
        <v>5</v>
      </c>
      <c r="C1038" s="2">
        <f>IFERROR(__xludf.DUMMYFUNCTION("IFERROR(VLOOKUP(A1038, IMPORTRANGE(""https://docs.google.com/spreadsheets/d/1AVX9GT0dgogEBStecCXMMQ29tWz3gBrtNB8yIromXbY/edit?gid=741673867"", ""out1g!A:B""), 2, FALSE), 0)"),28007.0)</f>
        <v>28007</v>
      </c>
      <c r="D1038" s="2" t="str">
        <f>IFERROR(__xludf.DUMMYFUNCTION("IFERROR(VLOOKUP(A1038, IMPORTRANGE(""https://docs.google.com/spreadsheets/d/1-3Vjw2Cyy-mry5gbC8ypIR3YVGFfEpyFESummAta6sg/edit"", ""Sheet1!B:D""), 2, FALSE), ""Not Found"")"),"ɛvəri")</f>
        <v>ɛvəri</v>
      </c>
      <c r="E1038" s="2" t="str">
        <f>IFERROR(__xludf.DUMMYFUNCTION("IFERROR(VLOOKUP(A1038, IMPORTRANGE(""https://docs.google.com/spreadsheets/d/1-3Vjw2Cyy-mry5gbC8ypIR3YVGFfEpyFESummAta6sg/edit"", ""Sheet1!B:D""), 3, FALSE), ""Not Found"")"),"ɛ v ə r i ")</f>
        <v>ɛ v ə r i </v>
      </c>
    </row>
    <row r="1039">
      <c r="A1039" s="1" t="s">
        <v>1042</v>
      </c>
      <c r="B1039" s="1" t="s">
        <v>5</v>
      </c>
      <c r="C1039" s="2">
        <f>IFERROR(__xludf.DUMMYFUNCTION("IFERROR(VLOOKUP(A1039, IMPORTRANGE(""https://docs.google.com/spreadsheets/d/1AVX9GT0dgogEBStecCXMMQ29tWz3gBrtNB8yIromXbY/edit?gid=741673867"", ""out1g!A:B""), 2, FALSE), 0)"),48.0)</f>
        <v>48</v>
      </c>
      <c r="D1039" s="2" t="str">
        <f>IFERROR(__xludf.DUMMYFUNCTION("IFERROR(VLOOKUP(A1039, IMPORTRANGE(""https://docs.google.com/spreadsheets/d/1-3Vjw2Cyy-mry5gbC8ypIR3YVGFfEpyFESummAta6sg/edit"", ""Sheet1!B:D""), 2, FALSE), ""Not Found"")"),"laɪ")</f>
        <v>laɪ</v>
      </c>
      <c r="E1039" s="2" t="str">
        <f>IFERROR(__xludf.DUMMYFUNCTION("IFERROR(VLOOKUP(A1039, IMPORTRANGE(""https://docs.google.com/spreadsheets/d/1-3Vjw2Cyy-mry5gbC8ypIR3YVGFfEpyFESummAta6sg/edit"", ""Sheet1!B:D""), 3, FALSE), ""Not Found"")"),"l a ɪ ")</f>
        <v>l a ɪ </v>
      </c>
    </row>
    <row r="1040">
      <c r="A1040" s="1" t="s">
        <v>1043</v>
      </c>
      <c r="B1040" s="1" t="s">
        <v>5</v>
      </c>
      <c r="C1040" s="2">
        <f>IFERROR(__xludf.DUMMYFUNCTION("IFERROR(VLOOKUP(A1040, IMPORTRANGE(""https://docs.google.com/spreadsheets/d/1AVX9GT0dgogEBStecCXMMQ29tWz3gBrtNB8yIromXbY/edit?gid=741673867"", ""out1g!A:B""), 2, FALSE), 0)"),1112.0)</f>
        <v>1112</v>
      </c>
      <c r="D1040" s="2" t="str">
        <f>IFERROR(__xludf.DUMMYFUNCTION("IFERROR(VLOOKUP(A1040, IMPORTRANGE(""https://docs.google.com/spreadsheets/d/1-3Vjw2Cyy-mry5gbC8ypIR3YVGFfEpyFESummAta6sg/edit"", ""Sheet1!B:D""), 2, FALSE), ""Not Found"")"),"stɑps")</f>
        <v>stɑps</v>
      </c>
      <c r="E1040" s="2" t="str">
        <f>IFERROR(__xludf.DUMMYFUNCTION("IFERROR(VLOOKUP(A1040, IMPORTRANGE(""https://docs.google.com/spreadsheets/d/1-3Vjw2Cyy-mry5gbC8ypIR3YVGFfEpyFESummAta6sg/edit"", ""Sheet1!B:D""), 3, FALSE), ""Not Found"")"),"s t ɑ p s ")</f>
        <v>s t ɑ p s </v>
      </c>
    </row>
    <row r="1041">
      <c r="A1041" s="1" t="s">
        <v>1044</v>
      </c>
      <c r="B1041" s="1" t="s">
        <v>5</v>
      </c>
      <c r="C1041" s="2">
        <f>IFERROR(__xludf.DUMMYFUNCTION("IFERROR(VLOOKUP(A1041, IMPORTRANGE(""https://docs.google.com/spreadsheets/d/1AVX9GT0dgogEBStecCXMMQ29tWz3gBrtNB8yIromXbY/edit?gid=741673867"", ""out1g!A:B""), 2, FALSE), 0)"),170.0)</f>
        <v>170</v>
      </c>
      <c r="D1041" s="2" t="str">
        <f>IFERROR(__xludf.DUMMYFUNCTION("IFERROR(VLOOKUP(A1041, IMPORTRANGE(""https://docs.google.com/spreadsheets/d/1-3Vjw2Cyy-mry5gbC8ypIR3YVGFfEpyFESummAta6sg/edit"", ""Sheet1!B:D""), 2, FALSE), ""Not Found"")"),"θrɪlɪŋ")</f>
        <v>θrɪlɪŋ</v>
      </c>
      <c r="E1041" s="2" t="str">
        <f>IFERROR(__xludf.DUMMYFUNCTION("IFERROR(VLOOKUP(A1041, IMPORTRANGE(""https://docs.google.com/spreadsheets/d/1-3Vjw2Cyy-mry5gbC8ypIR3YVGFfEpyFESummAta6sg/edit"", ""Sheet1!B:D""), 3, FALSE), ""Not Found"")"),"θ r ɪ l ɪ ŋ ")</f>
        <v>θ r ɪ l ɪ ŋ </v>
      </c>
    </row>
    <row r="1042">
      <c r="A1042" s="1" t="s">
        <v>1045</v>
      </c>
      <c r="B1042" s="1" t="s">
        <v>5</v>
      </c>
      <c r="C1042" s="2">
        <f>IFERROR(__xludf.DUMMYFUNCTION("IFERROR(VLOOKUP(A1042, IMPORTRANGE(""https://docs.google.com/spreadsheets/d/1AVX9GT0dgogEBStecCXMMQ29tWz3gBrtNB8yIromXbY/edit?gid=741673867"", ""out1g!A:B""), 2, FALSE), 0)"),458.0)</f>
        <v>458</v>
      </c>
      <c r="D1042" s="2" t="str">
        <f>IFERROR(__xludf.DUMMYFUNCTION("IFERROR(VLOOKUP(A1042, IMPORTRANGE(""https://docs.google.com/spreadsheets/d/1-3Vjw2Cyy-mry5gbC8ypIR3YVGFfEpyFESummAta6sg/edit"", ""Sheet1!B:D""), 2, FALSE), ""Not Found"")"),"daɪəri")</f>
        <v>daɪəri</v>
      </c>
      <c r="E1042" s="2" t="str">
        <f>IFERROR(__xludf.DUMMYFUNCTION("IFERROR(VLOOKUP(A1042, IMPORTRANGE(""https://docs.google.com/spreadsheets/d/1-3Vjw2Cyy-mry5gbC8ypIR3YVGFfEpyFESummAta6sg/edit"", ""Sheet1!B:D""), 3, FALSE), ""Not Found"")"),"d a ɪ ə r i ")</f>
        <v>d a ɪ ə r i </v>
      </c>
    </row>
    <row r="1043">
      <c r="A1043" s="1" t="s">
        <v>1046</v>
      </c>
      <c r="B1043" s="1" t="s">
        <v>5</v>
      </c>
      <c r="C1043" s="2">
        <f>IFERROR(__xludf.DUMMYFUNCTION("IFERROR(VLOOKUP(A1043, IMPORTRANGE(""https://docs.google.com/spreadsheets/d/1AVX9GT0dgogEBStecCXMMQ29tWz3gBrtNB8yIromXbY/edit?gid=741673867"", ""out1g!A:B""), 2, FALSE), 0)"),124.0)</f>
        <v>124</v>
      </c>
      <c r="D1043" s="2" t="str">
        <f>IFERROR(__xludf.DUMMYFUNCTION("IFERROR(VLOOKUP(A1043, IMPORTRANGE(""https://docs.google.com/spreadsheets/d/1-3Vjw2Cyy-mry5gbC8ypIR3YVGFfEpyFESummAta6sg/edit"", ""Sheet1!B:D""), 2, FALSE), ""Not Found"")"),"kɑmli")</f>
        <v>kɑmli</v>
      </c>
      <c r="E1043" s="2" t="str">
        <f>IFERROR(__xludf.DUMMYFUNCTION("IFERROR(VLOOKUP(A1043, IMPORTRANGE(""https://docs.google.com/spreadsheets/d/1-3Vjw2Cyy-mry5gbC8ypIR3YVGFfEpyFESummAta6sg/edit"", ""Sheet1!B:D""), 3, FALSE), ""Not Found"")"),"k ɑ m l i ")</f>
        <v>k ɑ m l i </v>
      </c>
    </row>
    <row r="1044">
      <c r="A1044" s="1" t="s">
        <v>1047</v>
      </c>
      <c r="B1044" s="1" t="s">
        <v>5</v>
      </c>
      <c r="C1044" s="2">
        <f>IFERROR(__xludf.DUMMYFUNCTION("IFERROR(VLOOKUP(A1044, IMPORTRANGE(""https://docs.google.com/spreadsheets/d/1AVX9GT0dgogEBStecCXMMQ29tWz3gBrtNB8yIromXbY/edit?gid=741673867"", ""out1g!A:B""), 2, FALSE), 0)"),585.0)</f>
        <v>585</v>
      </c>
      <c r="D1044" s="2" t="str">
        <f>IFERROR(__xludf.DUMMYFUNCTION("IFERROR(VLOOKUP(A1044, IMPORTRANGE(""https://docs.google.com/spreadsheets/d/1-3Vjw2Cyy-mry5gbC8ypIR3YVGFfEpyFESummAta6sg/edit"", ""Sheet1!B:D""), 2, FALSE), ""Not Found"")"),"blek")</f>
        <v>blek</v>
      </c>
      <c r="E1044" s="2" t="str">
        <f>IFERROR(__xludf.DUMMYFUNCTION("IFERROR(VLOOKUP(A1044, IMPORTRANGE(""https://docs.google.com/spreadsheets/d/1-3Vjw2Cyy-mry5gbC8ypIR3YVGFfEpyFESummAta6sg/edit"", ""Sheet1!B:D""), 3, FALSE), ""Not Found"")"),"b l e k ")</f>
        <v>b l e k </v>
      </c>
    </row>
    <row r="1045">
      <c r="A1045" s="1" t="s">
        <v>1048</v>
      </c>
      <c r="B1045" s="1" t="s">
        <v>5</v>
      </c>
      <c r="C1045" s="2">
        <f>IFERROR(__xludf.DUMMYFUNCTION("IFERROR(VLOOKUP(A1045, IMPORTRANGE(""https://docs.google.com/spreadsheets/d/1AVX9GT0dgogEBStecCXMMQ29tWz3gBrtNB8yIromXbY/edit?gid=741673867"", ""out1g!A:B""), 2, FALSE), 0)"),159.0)</f>
        <v>159</v>
      </c>
      <c r="D1045" s="2" t="str">
        <f>IFERROR(__xludf.DUMMYFUNCTION("IFERROR(VLOOKUP(A1045, IMPORTRANGE(""https://docs.google.com/spreadsheets/d/1-3Vjw2Cyy-mry5gbC8ypIR3YVGFfEpyFESummAta6sg/edit"", ""Sheet1!B:D""), 2, FALSE), ""Not Found"")"),"foʊni")</f>
        <v>foʊni</v>
      </c>
      <c r="E1045" s="2" t="str">
        <f>IFERROR(__xludf.DUMMYFUNCTION("IFERROR(VLOOKUP(A1045, IMPORTRANGE(""https://docs.google.com/spreadsheets/d/1-3Vjw2Cyy-mry5gbC8ypIR3YVGFfEpyFESummAta6sg/edit"", ""Sheet1!B:D""), 3, FALSE), ""Not Found"")"),"f o ʊ n i ")</f>
        <v>f o ʊ n i </v>
      </c>
    </row>
    <row r="1046">
      <c r="A1046" s="1" t="s">
        <v>1049</v>
      </c>
      <c r="B1046" s="1" t="s">
        <v>5</v>
      </c>
      <c r="C1046" s="2">
        <f>IFERROR(__xludf.DUMMYFUNCTION("IFERROR(VLOOKUP(A1046, IMPORTRANGE(""https://docs.google.com/spreadsheets/d/1AVX9GT0dgogEBStecCXMMQ29tWz3gBrtNB8yIromXbY/edit?gid=741673867"", ""out1g!A:B""), 2, FALSE), 0)"),358.0)</f>
        <v>358</v>
      </c>
      <c r="D1046" s="2" t="str">
        <f>IFERROR(__xludf.DUMMYFUNCTION("IFERROR(VLOOKUP(A1046, IMPORTRANGE(""https://docs.google.com/spreadsheets/d/1-3Vjw2Cyy-mry5gbC8ypIR3YVGFfEpyFESummAta6sg/edit"", ""Sheet1!B:D""), 2, FALSE), ""Not Found"")"),"nɛroʊ")</f>
        <v>nɛroʊ</v>
      </c>
      <c r="E1046" s="2" t="str">
        <f>IFERROR(__xludf.DUMMYFUNCTION("IFERROR(VLOOKUP(A1046, IMPORTRANGE(""https://docs.google.com/spreadsheets/d/1-3Vjw2Cyy-mry5gbC8ypIR3YVGFfEpyFESummAta6sg/edit"", ""Sheet1!B:D""), 3, FALSE), ""Not Found"")"),"n ɛ r o ʊ ")</f>
        <v>n ɛ r o ʊ </v>
      </c>
    </row>
    <row r="1047">
      <c r="A1047" s="1" t="s">
        <v>1050</v>
      </c>
      <c r="B1047" s="1" t="s">
        <v>5</v>
      </c>
      <c r="C1047" s="2">
        <f>IFERROR(__xludf.DUMMYFUNCTION("IFERROR(VLOOKUP(A1047, IMPORTRANGE(""https://docs.google.com/spreadsheets/d/1AVX9GT0dgogEBStecCXMMQ29tWz3gBrtNB8yIromXbY/edit?gid=741673867"", ""out1g!A:B""), 2, FALSE), 0)"),85.0)</f>
        <v>85</v>
      </c>
      <c r="D1047" s="2" t="str">
        <f>IFERROR(__xludf.DUMMYFUNCTION("IFERROR(VLOOKUP(A1047, IMPORTRANGE(""https://docs.google.com/spreadsheets/d/1-3Vjw2Cyy-mry5gbC8ypIR3YVGFfEpyFESummAta6sg/edit"", ""Sheet1!B:D""), 2, FALSE), ""Not Found"")"),"ruz")</f>
        <v>ruz</v>
      </c>
      <c r="E1047" s="2" t="str">
        <f>IFERROR(__xludf.DUMMYFUNCTION("IFERROR(VLOOKUP(A1047, IMPORTRANGE(""https://docs.google.com/spreadsheets/d/1-3Vjw2Cyy-mry5gbC8ypIR3YVGFfEpyFESummAta6sg/edit"", ""Sheet1!B:D""), 3, FALSE), ""Not Found"")"),"r u z ")</f>
        <v>r u z </v>
      </c>
    </row>
    <row r="1048">
      <c r="A1048" s="1" t="s">
        <v>1051</v>
      </c>
      <c r="B1048" s="1" t="s">
        <v>5</v>
      </c>
      <c r="C1048" s="2">
        <f>IFERROR(__xludf.DUMMYFUNCTION("IFERROR(VLOOKUP(A1048, IMPORTRANGE(""https://docs.google.com/spreadsheets/d/1AVX9GT0dgogEBStecCXMMQ29tWz3gBrtNB8yIromXbY/edit?gid=741673867"", ""out1g!A:B""), 2, FALSE), 0)"),2518.0)</f>
        <v>2518</v>
      </c>
      <c r="D1048" s="2" t="str">
        <f>IFERROR(__xludf.DUMMYFUNCTION("IFERROR(VLOOKUP(A1048, IMPORTRANGE(""https://docs.google.com/spreadsheets/d/1-3Vjw2Cyy-mry5gbC8ypIR3YVGFfEpyFESummAta6sg/edit"", ""Sheet1!B:D""), 2, FALSE), ""Not Found"")"),"traɪəl")</f>
        <v>traɪəl</v>
      </c>
      <c r="E1048" s="2" t="str">
        <f>IFERROR(__xludf.DUMMYFUNCTION("IFERROR(VLOOKUP(A1048, IMPORTRANGE(""https://docs.google.com/spreadsheets/d/1-3Vjw2Cyy-mry5gbC8ypIR3YVGFfEpyFESummAta6sg/edit"", ""Sheet1!B:D""), 3, FALSE), ""Not Found"")"),"t r a ɪ ə l ")</f>
        <v>t r a ɪ ə l </v>
      </c>
    </row>
    <row r="1049">
      <c r="A1049" s="1" t="s">
        <v>1052</v>
      </c>
      <c r="B1049" s="1" t="s">
        <v>5</v>
      </c>
      <c r="C1049" s="2">
        <f>IFERROR(__xludf.DUMMYFUNCTION("IFERROR(VLOOKUP(A1049, IMPORTRANGE(""https://docs.google.com/spreadsheets/d/1AVX9GT0dgogEBStecCXMMQ29tWz3gBrtNB8yIromXbY/edit?gid=741673867"", ""out1g!A:B""), 2, FALSE), 0)"),49.0)</f>
        <v>49</v>
      </c>
      <c r="D1049" s="2" t="str">
        <f>IFERROR(__xludf.DUMMYFUNCTION("IFERROR(VLOOKUP(A1049, IMPORTRANGE(""https://docs.google.com/spreadsheets/d/1-3Vjw2Cyy-mry5gbC8ypIR3YVGFfEpyFESummAta6sg/edit"", ""Sheet1!B:D""), 2, FALSE), ""Not Found"")"),"kutər")</f>
        <v>kutər</v>
      </c>
      <c r="E1049" s="2" t="str">
        <f>IFERROR(__xludf.DUMMYFUNCTION("IFERROR(VLOOKUP(A1049, IMPORTRANGE(""https://docs.google.com/spreadsheets/d/1-3Vjw2Cyy-mry5gbC8ypIR3YVGFfEpyFESummAta6sg/edit"", ""Sheet1!B:D""), 3, FALSE), ""Not Found"")"),"k u t ə r ")</f>
        <v>k u t ə r </v>
      </c>
    </row>
    <row r="1050">
      <c r="A1050" s="1" t="s">
        <v>1053</v>
      </c>
      <c r="B1050" s="1" t="s">
        <v>5</v>
      </c>
      <c r="C1050" s="2">
        <f>IFERROR(__xludf.DUMMYFUNCTION("IFERROR(VLOOKUP(A1050, IMPORTRANGE(""https://docs.google.com/spreadsheets/d/1AVX9GT0dgogEBStecCXMMQ29tWz3gBrtNB8yIromXbY/edit?gid=741673867"", ""out1g!A:B""), 2, FALSE), 0)"),1034.0)</f>
        <v>1034</v>
      </c>
      <c r="D1050" s="2" t="str">
        <f>IFERROR(__xludf.DUMMYFUNCTION("IFERROR(VLOOKUP(A1050, IMPORTRANGE(""https://docs.google.com/spreadsheets/d/1-3Vjw2Cyy-mry5gbC8ypIR3YVGFfEpyFESummAta6sg/edit"", ""Sheet1!B:D""), 2, FALSE), ""Not Found"")"),"nɪgər")</f>
        <v>nɪgər</v>
      </c>
      <c r="E1050" s="2" t="str">
        <f>IFERROR(__xludf.DUMMYFUNCTION("IFERROR(VLOOKUP(A1050, IMPORTRANGE(""https://docs.google.com/spreadsheets/d/1-3Vjw2Cyy-mry5gbC8ypIR3YVGFfEpyFESummAta6sg/edit"", ""Sheet1!B:D""), 3, FALSE), ""Not Found"")"),"n ɪ g ə r ")</f>
        <v>n ɪ g ə r </v>
      </c>
    </row>
    <row r="1051">
      <c r="A1051" s="1" t="s">
        <v>1054</v>
      </c>
      <c r="B1051" s="1" t="s">
        <v>5</v>
      </c>
      <c r="C1051" s="2">
        <f>IFERROR(__xludf.DUMMYFUNCTION("IFERROR(VLOOKUP(A1051, IMPORTRANGE(""https://docs.google.com/spreadsheets/d/1AVX9GT0dgogEBStecCXMMQ29tWz3gBrtNB8yIromXbY/edit?gid=741673867"", ""out1g!A:B""), 2, FALSE), 0)"),144.0)</f>
        <v>144</v>
      </c>
      <c r="D1051" s="2" t="str">
        <f>IFERROR(__xludf.DUMMYFUNCTION("IFERROR(VLOOKUP(A1051, IMPORTRANGE(""https://docs.google.com/spreadsheets/d/1-3Vjw2Cyy-mry5gbC8ypIR3YVGFfEpyFESummAta6sg/edit"", ""Sheet1!B:D""), 2, FALSE), ""Not Found"")"),"fiz")</f>
        <v>fiz</v>
      </c>
      <c r="E1051" s="2" t="str">
        <f>IFERROR(__xludf.DUMMYFUNCTION("IFERROR(VLOOKUP(A1051, IMPORTRANGE(""https://docs.google.com/spreadsheets/d/1-3Vjw2Cyy-mry5gbC8ypIR3YVGFfEpyFESummAta6sg/edit"", ""Sheet1!B:D""), 3, FALSE), ""Not Found"")"),"f i z ")</f>
        <v>f i z </v>
      </c>
    </row>
    <row r="1052">
      <c r="A1052" s="1" t="s">
        <v>1055</v>
      </c>
      <c r="B1052" s="1" t="s">
        <v>5</v>
      </c>
      <c r="C1052" s="2">
        <f>IFERROR(__xludf.DUMMYFUNCTION("IFERROR(VLOOKUP(A1052, IMPORTRANGE(""https://docs.google.com/spreadsheets/d/1AVX9GT0dgogEBStecCXMMQ29tWz3gBrtNB8yIromXbY/edit?gid=741673867"", ""out1g!A:B""), 2, FALSE), 0)"),77.0)</f>
        <v>77</v>
      </c>
      <c r="D1052" s="2" t="str">
        <f>IFERROR(__xludf.DUMMYFUNCTION("IFERROR(VLOOKUP(A1052, IMPORTRANGE(""https://docs.google.com/spreadsheets/d/1-3Vjw2Cyy-mry5gbC8ypIR3YVGFfEpyFESummAta6sg/edit"", ""Sheet1!B:D""), 2, FALSE), ""Not Found"")"),"glænd")</f>
        <v>glænd</v>
      </c>
      <c r="E1052" s="2" t="str">
        <f>IFERROR(__xludf.DUMMYFUNCTION("IFERROR(VLOOKUP(A1052, IMPORTRANGE(""https://docs.google.com/spreadsheets/d/1-3Vjw2Cyy-mry5gbC8ypIR3YVGFfEpyFESummAta6sg/edit"", ""Sheet1!B:D""), 3, FALSE), ""Not Found"")"),"g l æ n d ")</f>
        <v>g l æ n d </v>
      </c>
    </row>
    <row r="1053">
      <c r="A1053" s="1" t="s">
        <v>1056</v>
      </c>
      <c r="B1053" s="1" t="s">
        <v>5</v>
      </c>
      <c r="C1053" s="2">
        <f>IFERROR(__xludf.DUMMYFUNCTION("IFERROR(VLOOKUP(A1053, IMPORTRANGE(""https://docs.google.com/spreadsheets/d/1AVX9GT0dgogEBStecCXMMQ29tWz3gBrtNB8yIromXbY/edit?gid=741673867"", ""out1g!A:B""), 2, FALSE), 0)"),2666.0)</f>
        <v>2666</v>
      </c>
      <c r="D1053" s="2" t="str">
        <f>IFERROR(__xludf.DUMMYFUNCTION("IFERROR(VLOOKUP(A1053, IMPORTRANGE(""https://docs.google.com/spreadsheets/d/1-3Vjw2Cyy-mry5gbC8ypIR3YVGFfEpyFESummAta6sg/edit"", ""Sheet1!B:D""), 2, FALSE), ""Not Found"")"),"kɑpi")</f>
        <v>kɑpi</v>
      </c>
      <c r="E1053" s="2" t="str">
        <f>IFERROR(__xludf.DUMMYFUNCTION("IFERROR(VLOOKUP(A1053, IMPORTRANGE(""https://docs.google.com/spreadsheets/d/1-3Vjw2Cyy-mry5gbC8ypIR3YVGFfEpyFESummAta6sg/edit"", ""Sheet1!B:D""), 3, FALSE), ""Not Found"")"),"k ɑ p i ")</f>
        <v>k ɑ p i </v>
      </c>
    </row>
    <row r="1054">
      <c r="A1054" s="1" t="s">
        <v>1057</v>
      </c>
      <c r="B1054" s="1" t="s">
        <v>5</v>
      </c>
      <c r="C1054" s="2">
        <f>IFERROR(__xludf.DUMMYFUNCTION("IFERROR(VLOOKUP(A1054, IMPORTRANGE(""https://docs.google.com/spreadsheets/d/1AVX9GT0dgogEBStecCXMMQ29tWz3gBrtNB8yIromXbY/edit?gid=741673867"", ""out1g!A:B""), 2, FALSE), 0)"),148.0)</f>
        <v>148</v>
      </c>
      <c r="D1054" s="2" t="str">
        <f>IFERROR(__xludf.DUMMYFUNCTION("IFERROR(VLOOKUP(A1054, IMPORTRANGE(""https://docs.google.com/spreadsheets/d/1-3Vjw2Cyy-mry5gbC8ypIR3YVGFfEpyFESummAta6sg/edit"", ""Sheet1!B:D""), 2, FALSE), ""Not Found"")"),"næsə")</f>
        <v>næsə</v>
      </c>
      <c r="E1054" s="2" t="str">
        <f>IFERROR(__xludf.DUMMYFUNCTION("IFERROR(VLOOKUP(A1054, IMPORTRANGE(""https://docs.google.com/spreadsheets/d/1-3Vjw2Cyy-mry5gbC8ypIR3YVGFfEpyFESummAta6sg/edit"", ""Sheet1!B:D""), 3, FALSE), ""Not Found"")"),"n æ s ə ")</f>
        <v>n æ s ə </v>
      </c>
    </row>
    <row r="1055">
      <c r="A1055" s="1" t="s">
        <v>1058</v>
      </c>
      <c r="B1055" s="1" t="s">
        <v>5</v>
      </c>
      <c r="C1055" s="2">
        <f>IFERROR(__xludf.DUMMYFUNCTION("IFERROR(VLOOKUP(A1055, IMPORTRANGE(""https://docs.google.com/spreadsheets/d/1AVX9GT0dgogEBStecCXMMQ29tWz3gBrtNB8yIromXbY/edit?gid=741673867"", ""out1g!A:B""), 2, FALSE), 0)"),1804.0)</f>
        <v>1804</v>
      </c>
      <c r="D1055" s="2" t="str">
        <f>IFERROR(__xludf.DUMMYFUNCTION("IFERROR(VLOOKUP(A1055, IMPORTRANGE(""https://docs.google.com/spreadsheets/d/1-3Vjw2Cyy-mry5gbC8ypIR3YVGFfEpyFESummAta6sg/edit"", ""Sheet1!B:D""), 2, FALSE), ""Not Found"")"),"bes")</f>
        <v>bes</v>
      </c>
      <c r="E1055" s="2" t="str">
        <f>IFERROR(__xludf.DUMMYFUNCTION("IFERROR(VLOOKUP(A1055, IMPORTRANGE(""https://docs.google.com/spreadsheets/d/1-3Vjw2Cyy-mry5gbC8ypIR3YVGFfEpyFESummAta6sg/edit"", ""Sheet1!B:D""), 3, FALSE), ""Not Found"")"),"b e s ")</f>
        <v>b e s </v>
      </c>
    </row>
    <row r="1056">
      <c r="A1056" s="1" t="s">
        <v>1059</v>
      </c>
      <c r="B1056" s="1" t="s">
        <v>5</v>
      </c>
      <c r="C1056" s="2">
        <f>IFERROR(__xludf.DUMMYFUNCTION("IFERROR(VLOOKUP(A1056, IMPORTRANGE(""https://docs.google.com/spreadsheets/d/1AVX9GT0dgogEBStecCXMMQ29tWz3gBrtNB8yIromXbY/edit?gid=741673867"", ""out1g!A:B""), 2, FALSE), 0)"),151.0)</f>
        <v>151</v>
      </c>
      <c r="D1056" s="2" t="str">
        <f>IFERROR(__xludf.DUMMYFUNCTION("IFERROR(VLOOKUP(A1056, IMPORTRANGE(""https://docs.google.com/spreadsheets/d/1-3Vjw2Cyy-mry5gbC8ypIR3YVGFfEpyFESummAta6sg/edit"", ""Sheet1!B:D""), 2, FALSE), ""Not Found"")"),"vioʊlə")</f>
        <v>vioʊlə</v>
      </c>
      <c r="E1056" s="2" t="str">
        <f>IFERROR(__xludf.DUMMYFUNCTION("IFERROR(VLOOKUP(A1056, IMPORTRANGE(""https://docs.google.com/spreadsheets/d/1-3Vjw2Cyy-mry5gbC8ypIR3YVGFfEpyFESummAta6sg/edit"", ""Sheet1!B:D""), 3, FALSE), ""Not Found"")"),"v i o ʊ l ə ")</f>
        <v>v i o ʊ l ə </v>
      </c>
    </row>
    <row r="1057">
      <c r="A1057" s="1" t="s">
        <v>1060</v>
      </c>
      <c r="B1057" s="1" t="s">
        <v>5</v>
      </c>
      <c r="C1057" s="2">
        <f>IFERROR(__xludf.DUMMYFUNCTION("IFERROR(VLOOKUP(A1057, IMPORTRANGE(""https://docs.google.com/spreadsheets/d/1AVX9GT0dgogEBStecCXMMQ29tWz3gBrtNB8yIromXbY/edit?gid=741673867"", ""out1g!A:B""), 2, FALSE), 0)"),387.0)</f>
        <v>387</v>
      </c>
      <c r="D1057" s="2" t="str">
        <f>IFERROR(__xludf.DUMMYFUNCTION("IFERROR(VLOOKUP(A1057, IMPORTRANGE(""https://docs.google.com/spreadsheets/d/1-3Vjw2Cyy-mry5gbC8ypIR3YVGFfEpyFESummAta6sg/edit"", ""Sheet1!B:D""), 2, FALSE), ""Not Found"")"),"stoʊv")</f>
        <v>stoʊv</v>
      </c>
      <c r="E1057" s="2" t="str">
        <f>IFERROR(__xludf.DUMMYFUNCTION("IFERROR(VLOOKUP(A1057, IMPORTRANGE(""https://docs.google.com/spreadsheets/d/1-3Vjw2Cyy-mry5gbC8ypIR3YVGFfEpyFESummAta6sg/edit"", ""Sheet1!B:D""), 3, FALSE), ""Not Found"")"),"s t o ʊ v ")</f>
        <v>s t o ʊ v </v>
      </c>
    </row>
    <row r="1058">
      <c r="A1058" s="1" t="s">
        <v>1061</v>
      </c>
      <c r="B1058" s="1" t="s">
        <v>5</v>
      </c>
      <c r="C1058" s="2">
        <f>IFERROR(__xludf.DUMMYFUNCTION("IFERROR(VLOOKUP(A1058, IMPORTRANGE(""https://docs.google.com/spreadsheets/d/1AVX9GT0dgogEBStecCXMMQ29tWz3gBrtNB8yIromXbY/edit?gid=741673867"", ""out1g!A:B""), 2, FALSE), 0)"),457.0)</f>
        <v>457</v>
      </c>
      <c r="D1058" s="2" t="str">
        <f>IFERROR(__xludf.DUMMYFUNCTION("IFERROR(VLOOKUP(A1058, IMPORTRANGE(""https://docs.google.com/spreadsheets/d/1-3Vjw2Cyy-mry5gbC8ypIR3YVGFfEpyFESummAta6sg/edit"", ""Sheet1!B:D""), 2, FALSE), ""Not Found"")"),"kɪŋz")</f>
        <v>kɪŋz</v>
      </c>
      <c r="E1058" s="2" t="str">
        <f>IFERROR(__xludf.DUMMYFUNCTION("IFERROR(VLOOKUP(A1058, IMPORTRANGE(""https://docs.google.com/spreadsheets/d/1-3Vjw2Cyy-mry5gbC8ypIR3YVGFfEpyFESummAta6sg/edit"", ""Sheet1!B:D""), 3, FALSE), ""Not Found"")"),"k ɪ ŋ z ")</f>
        <v>k ɪ ŋ z </v>
      </c>
    </row>
    <row r="1059">
      <c r="A1059" s="1" t="s">
        <v>1062</v>
      </c>
      <c r="B1059" s="1" t="s">
        <v>5</v>
      </c>
      <c r="C1059" s="2">
        <f>IFERROR(__xludf.DUMMYFUNCTION("IFERROR(VLOOKUP(A1059, IMPORTRANGE(""https://docs.google.com/spreadsheets/d/1AVX9GT0dgogEBStecCXMMQ29tWz3gBrtNB8yIromXbY/edit?gid=741673867"", ""out1g!A:B""), 2, FALSE), 0)"),1461.0)</f>
        <v>1461</v>
      </c>
      <c r="D1059" s="2" t="str">
        <f>IFERROR(__xludf.DUMMYFUNCTION("IFERROR(VLOOKUP(A1059, IMPORTRANGE(""https://docs.google.com/spreadsheets/d/1-3Vjw2Cyy-mry5gbC8ypIR3YVGFfEpyFESummAta6sg/edit"", ""Sheet1!B:D""), 2, FALSE), ""Not Found"")"),"kræʃ")</f>
        <v>kræʃ</v>
      </c>
      <c r="E1059" s="2" t="str">
        <f>IFERROR(__xludf.DUMMYFUNCTION("IFERROR(VLOOKUP(A1059, IMPORTRANGE(""https://docs.google.com/spreadsheets/d/1-3Vjw2Cyy-mry5gbC8ypIR3YVGFfEpyFESummAta6sg/edit"", ""Sheet1!B:D""), 3, FALSE), ""Not Found"")"),"k r æ ʃ ")</f>
        <v>k r æ ʃ </v>
      </c>
    </row>
    <row r="1060">
      <c r="A1060" s="1" t="s">
        <v>1063</v>
      </c>
      <c r="B1060" s="1" t="s">
        <v>5</v>
      </c>
      <c r="C1060" s="2">
        <f>IFERROR(__xludf.DUMMYFUNCTION("IFERROR(VLOOKUP(A1060, IMPORTRANGE(""https://docs.google.com/spreadsheets/d/1AVX9GT0dgogEBStecCXMMQ29tWz3gBrtNB8yIromXbY/edit?gid=741673867"", ""out1g!A:B""), 2, FALSE), 0)"),120.0)</f>
        <v>120</v>
      </c>
      <c r="D1060" s="2" t="str">
        <f>IFERROR(__xludf.DUMMYFUNCTION("IFERROR(VLOOKUP(A1060, IMPORTRANGE(""https://docs.google.com/spreadsheets/d/1-3Vjw2Cyy-mry5gbC8ypIR3YVGFfEpyFESummAta6sg/edit"", ""Sheet1!B:D""), 2, FALSE), ""Not Found"")"),"rænd")</f>
        <v>rænd</v>
      </c>
      <c r="E1060" s="2" t="str">
        <f>IFERROR(__xludf.DUMMYFUNCTION("IFERROR(VLOOKUP(A1060, IMPORTRANGE(""https://docs.google.com/spreadsheets/d/1-3Vjw2Cyy-mry5gbC8ypIR3YVGFfEpyFESummAta6sg/edit"", ""Sheet1!B:D""), 3, FALSE), ""Not Found"")"),"r æ n d ")</f>
        <v>r æ n d </v>
      </c>
    </row>
    <row r="1061">
      <c r="A1061" s="1" t="s">
        <v>1064</v>
      </c>
      <c r="B1061" s="1" t="s">
        <v>5</v>
      </c>
      <c r="C1061" s="2">
        <f>IFERROR(__xludf.DUMMYFUNCTION("IFERROR(VLOOKUP(A1061, IMPORTRANGE(""https://docs.google.com/spreadsheets/d/1AVX9GT0dgogEBStecCXMMQ29tWz3gBrtNB8yIromXbY/edit?gid=741673867"", ""out1g!A:B""), 2, FALSE), 0)"),95.0)</f>
        <v>95</v>
      </c>
      <c r="D1061" s="2" t="str">
        <f>IFERROR(__xludf.DUMMYFUNCTION("IFERROR(VLOOKUP(A1061, IMPORTRANGE(""https://docs.google.com/spreadsheets/d/1-3Vjw2Cyy-mry5gbC8ypIR3YVGFfEpyFESummAta6sg/edit"", ""Sheet1!B:D""), 2, FALSE), ""Not Found"")"),"foʊ")</f>
        <v>foʊ</v>
      </c>
      <c r="E1061" s="2" t="str">
        <f>IFERROR(__xludf.DUMMYFUNCTION("IFERROR(VLOOKUP(A1061, IMPORTRANGE(""https://docs.google.com/spreadsheets/d/1-3Vjw2Cyy-mry5gbC8ypIR3YVGFfEpyFESummAta6sg/edit"", ""Sheet1!B:D""), 3, FALSE), ""Not Found"")"),"f o ʊ ")</f>
        <v>f o ʊ </v>
      </c>
    </row>
    <row r="1062">
      <c r="A1062" s="1" t="s">
        <v>1065</v>
      </c>
      <c r="B1062" s="1" t="s">
        <v>5</v>
      </c>
      <c r="C1062" s="2">
        <f>IFERROR(__xludf.DUMMYFUNCTION("IFERROR(VLOOKUP(A1062, IMPORTRANGE(""https://docs.google.com/spreadsheets/d/1AVX9GT0dgogEBStecCXMMQ29tWz3gBrtNB8yIromXbY/edit?gid=741673867"", ""out1g!A:B""), 2, FALSE), 0)"),1164.0)</f>
        <v>1164</v>
      </c>
      <c r="D1062" s="2" t="str">
        <f>IFERROR(__xludf.DUMMYFUNCTION("IFERROR(VLOOKUP(A1062, IMPORTRANGE(""https://docs.google.com/spreadsheets/d/1-3Vjw2Cyy-mry5gbC8ypIR3YVGFfEpyFESummAta6sg/edit"", ""Sheet1!B:D""), 2, FALSE), ""Not Found"")"),"ʃɪft")</f>
        <v>ʃɪft</v>
      </c>
      <c r="E1062" s="2" t="str">
        <f>IFERROR(__xludf.DUMMYFUNCTION("IFERROR(VLOOKUP(A1062, IMPORTRANGE(""https://docs.google.com/spreadsheets/d/1-3Vjw2Cyy-mry5gbC8ypIR3YVGFfEpyFESummAta6sg/edit"", ""Sheet1!B:D""), 3, FALSE), ""Not Found"")"),"ʃ ɪ f t ")</f>
        <v>ʃ ɪ f t </v>
      </c>
    </row>
    <row r="1063">
      <c r="A1063" s="1" t="s">
        <v>1066</v>
      </c>
      <c r="B1063" s="1" t="s">
        <v>5</v>
      </c>
      <c r="C1063" s="2">
        <f>IFERROR(__xludf.DUMMYFUNCTION("IFERROR(VLOOKUP(A1063, IMPORTRANGE(""https://docs.google.com/spreadsheets/d/1AVX9GT0dgogEBStecCXMMQ29tWz3gBrtNB8yIromXbY/edit?gid=741673867"", ""out1g!A:B""), 2, FALSE), 0)"),555.0)</f>
        <v>555</v>
      </c>
      <c r="D1063" s="2" t="str">
        <f>IFERROR(__xludf.DUMMYFUNCTION("IFERROR(VLOOKUP(A1063, IMPORTRANGE(""https://docs.google.com/spreadsheets/d/1-3Vjw2Cyy-mry5gbC8ypIR3YVGFfEpyFESummAta6sg/edit"", ""Sheet1!B:D""), 2, FALSE), ""Not Found"")"),"kɔrz")</f>
        <v>kɔrz</v>
      </c>
      <c r="E1063" s="2" t="str">
        <f>IFERROR(__xludf.DUMMYFUNCTION("IFERROR(VLOOKUP(A1063, IMPORTRANGE(""https://docs.google.com/spreadsheets/d/1-3Vjw2Cyy-mry5gbC8ypIR3YVGFfEpyFESummAta6sg/edit"", ""Sheet1!B:D""), 3, FALSE), ""Not Found"")"),"k ɔ r z ")</f>
        <v>k ɔ r z </v>
      </c>
    </row>
    <row r="1064">
      <c r="A1064" s="1" t="s">
        <v>1067</v>
      </c>
      <c r="B1064" s="1" t="s">
        <v>5</v>
      </c>
      <c r="C1064" s="2">
        <f>IFERROR(__xludf.DUMMYFUNCTION("IFERROR(VLOOKUP(A1064, IMPORTRANGE(""https://docs.google.com/spreadsheets/d/1AVX9GT0dgogEBStecCXMMQ29tWz3gBrtNB8yIromXbY/edit?gid=741673867"", ""out1g!A:B""), 2, FALSE), 0)"),898.0)</f>
        <v>898</v>
      </c>
      <c r="D1064" s="2" t="str">
        <f>IFERROR(__xludf.DUMMYFUNCTION("IFERROR(VLOOKUP(A1064, IMPORTRANGE(""https://docs.google.com/spreadsheets/d/1-3Vjw2Cyy-mry5gbC8ypIR3YVGFfEpyFESummAta6sg/edit"", ""Sheet1!B:D""), 2, FALSE), ""Not Found"")"),"klu")</f>
        <v>klu</v>
      </c>
      <c r="E1064" s="2" t="str">
        <f>IFERROR(__xludf.DUMMYFUNCTION("IFERROR(VLOOKUP(A1064, IMPORTRANGE(""https://docs.google.com/spreadsheets/d/1-3Vjw2Cyy-mry5gbC8ypIR3YVGFfEpyFESummAta6sg/edit"", ""Sheet1!B:D""), 3, FALSE), ""Not Found"")"),"k l u ")</f>
        <v>k l u </v>
      </c>
    </row>
    <row r="1065">
      <c r="A1065" s="1" t="s">
        <v>1068</v>
      </c>
      <c r="B1065" s="1" t="s">
        <v>5</v>
      </c>
      <c r="C1065" s="2">
        <f>IFERROR(__xludf.DUMMYFUNCTION("IFERROR(VLOOKUP(A1065, IMPORTRANGE(""https://docs.google.com/spreadsheets/d/1AVX9GT0dgogEBStecCXMMQ29tWz3gBrtNB8yIromXbY/edit?gid=741673867"", ""out1g!A:B""), 2, FALSE), 0)"),69.0)</f>
        <v>69</v>
      </c>
      <c r="D1065" s="2" t="str">
        <f>IFERROR(__xludf.DUMMYFUNCTION("IFERROR(VLOOKUP(A1065, IMPORTRANGE(""https://docs.google.com/spreadsheets/d/1-3Vjw2Cyy-mry5gbC8ypIR3YVGFfEpyFESummAta6sg/edit"", ""Sheet1!B:D""), 2, FALSE), ""Not Found"")"),"skiz")</f>
        <v>skiz</v>
      </c>
      <c r="E1065" s="2" t="str">
        <f>IFERROR(__xludf.DUMMYFUNCTION("IFERROR(VLOOKUP(A1065, IMPORTRANGE(""https://docs.google.com/spreadsheets/d/1-3Vjw2Cyy-mry5gbC8ypIR3YVGFfEpyFESummAta6sg/edit"", ""Sheet1!B:D""), 3, FALSE), ""Not Found"")"),"s k i z ")</f>
        <v>s k i z </v>
      </c>
    </row>
    <row r="1066">
      <c r="A1066" s="1" t="s">
        <v>1069</v>
      </c>
      <c r="B1066" s="1" t="s">
        <v>5</v>
      </c>
      <c r="C1066" s="2">
        <f>IFERROR(__xludf.DUMMYFUNCTION("IFERROR(VLOOKUP(A1066, IMPORTRANGE(""https://docs.google.com/spreadsheets/d/1AVX9GT0dgogEBStecCXMMQ29tWz3gBrtNB8yIromXbY/edit?gid=741673867"", ""out1g!A:B""), 2, FALSE), 0)"),200.0)</f>
        <v>200</v>
      </c>
      <c r="D1066" s="2" t="str">
        <f>IFERROR(__xludf.DUMMYFUNCTION("IFERROR(VLOOKUP(A1066, IMPORTRANGE(""https://docs.google.com/spreadsheets/d/1-3Vjw2Cyy-mry5gbC8ypIR3YVGFfEpyFESummAta6sg/edit"", ""Sheet1!B:D""), 2, FALSE), ""Not Found"")"),"sərvər")</f>
        <v>sərvər</v>
      </c>
      <c r="E1066" s="2" t="str">
        <f>IFERROR(__xludf.DUMMYFUNCTION("IFERROR(VLOOKUP(A1066, IMPORTRANGE(""https://docs.google.com/spreadsheets/d/1-3Vjw2Cyy-mry5gbC8ypIR3YVGFfEpyFESummAta6sg/edit"", ""Sheet1!B:D""), 3, FALSE), ""Not Found"")"),"s ə r v ə r ")</f>
        <v>s ə r v ə r </v>
      </c>
    </row>
    <row r="1067">
      <c r="A1067" s="1" t="s">
        <v>1070</v>
      </c>
      <c r="B1067" s="1" t="s">
        <v>5</v>
      </c>
      <c r="C1067" s="2">
        <f>IFERROR(__xludf.DUMMYFUNCTION("IFERROR(VLOOKUP(A1067, IMPORTRANGE(""https://docs.google.com/spreadsheets/d/1AVX9GT0dgogEBStecCXMMQ29tWz3gBrtNB8yIromXbY/edit?gid=741673867"", ""out1g!A:B""), 2, FALSE), 0)"),121.0)</f>
        <v>121</v>
      </c>
      <c r="D1067" s="2" t="str">
        <f>IFERROR(__xludf.DUMMYFUNCTION("IFERROR(VLOOKUP(A1067, IMPORTRANGE(""https://docs.google.com/spreadsheets/d/1-3Vjw2Cyy-mry5gbC8ypIR3YVGFfEpyFESummAta6sg/edit"", ""Sheet1!B:D""), 2, FALSE), ""Not Found"")"),"nuk")</f>
        <v>nuk</v>
      </c>
      <c r="E1067" s="2" t="str">
        <f>IFERROR(__xludf.DUMMYFUNCTION("IFERROR(VLOOKUP(A1067, IMPORTRANGE(""https://docs.google.com/spreadsheets/d/1-3Vjw2Cyy-mry5gbC8ypIR3YVGFfEpyFESummAta6sg/edit"", ""Sheet1!B:D""), 3, FALSE), ""Not Found"")"),"n u k ")</f>
        <v>n u k </v>
      </c>
    </row>
    <row r="1068">
      <c r="A1068" s="1" t="s">
        <v>1071</v>
      </c>
      <c r="B1068" s="1" t="s">
        <v>5</v>
      </c>
      <c r="C1068" s="2">
        <f>IFERROR(__xludf.DUMMYFUNCTION("IFERROR(VLOOKUP(A1068, IMPORTRANGE(""https://docs.google.com/spreadsheets/d/1AVX9GT0dgogEBStecCXMMQ29tWz3gBrtNB8yIromXbY/edit?gid=741673867"", ""out1g!A:B""), 2, FALSE), 0)"),83.0)</f>
        <v>83</v>
      </c>
      <c r="D1068" s="2" t="str">
        <f>IFERROR(__xludf.DUMMYFUNCTION("IFERROR(VLOOKUP(A1068, IMPORTRANGE(""https://docs.google.com/spreadsheets/d/1-3Vjw2Cyy-mry5gbC8ypIR3YVGFfEpyFESummAta6sg/edit"", ""Sheet1!B:D""), 2, FALSE), ""Not Found"")"),"sərʤ")</f>
        <v>sərʤ</v>
      </c>
      <c r="E1068" s="2" t="str">
        <f>IFERROR(__xludf.DUMMYFUNCTION("IFERROR(VLOOKUP(A1068, IMPORTRANGE(""https://docs.google.com/spreadsheets/d/1-3Vjw2Cyy-mry5gbC8ypIR3YVGFfEpyFESummAta6sg/edit"", ""Sheet1!B:D""), 3, FALSE), ""Not Found"")"),"s ə r ʤ ")</f>
        <v>s ə r ʤ </v>
      </c>
    </row>
    <row r="1069">
      <c r="A1069" s="1" t="s">
        <v>1072</v>
      </c>
      <c r="B1069" s="1" t="s">
        <v>5</v>
      </c>
      <c r="C1069" s="2">
        <f>IFERROR(__xludf.DUMMYFUNCTION("IFERROR(VLOOKUP(A1069, IMPORTRANGE(""https://docs.google.com/spreadsheets/d/1AVX9GT0dgogEBStecCXMMQ29tWz3gBrtNB8yIromXbY/edit?gid=741673867"", ""out1g!A:B""), 2, FALSE), 0)"),513.0)</f>
        <v>513</v>
      </c>
      <c r="D1069" s="2" t="str">
        <f>IFERROR(__xludf.DUMMYFUNCTION("IFERROR(VLOOKUP(A1069, IMPORTRANGE(""https://docs.google.com/spreadsheets/d/1-3Vjw2Cyy-mry5gbC8ypIR3YVGFfEpyFESummAta6sg/edit"", ""Sheet1!B:D""), 2, FALSE), ""Not Found"")"),"bəʤɪt")</f>
        <v>bəʤɪt</v>
      </c>
      <c r="E1069" s="2" t="str">
        <f>IFERROR(__xludf.DUMMYFUNCTION("IFERROR(VLOOKUP(A1069, IMPORTRANGE(""https://docs.google.com/spreadsheets/d/1-3Vjw2Cyy-mry5gbC8ypIR3YVGFfEpyFESummAta6sg/edit"", ""Sheet1!B:D""), 3, FALSE), ""Not Found"")"),"b ə ʤ ɪ t ")</f>
        <v>b ə ʤ ɪ t </v>
      </c>
    </row>
    <row r="1070">
      <c r="A1070" s="1" t="s">
        <v>1073</v>
      </c>
      <c r="B1070" s="1" t="s">
        <v>5</v>
      </c>
      <c r="C1070" s="2">
        <f>IFERROR(__xludf.DUMMYFUNCTION("IFERROR(VLOOKUP(A1070, IMPORTRANGE(""https://docs.google.com/spreadsheets/d/1AVX9GT0dgogEBStecCXMMQ29tWz3gBrtNB8yIromXbY/edit?gid=741673867"", ""out1g!A:B""), 2, FALSE), 0)"),1671.0)</f>
        <v>1671</v>
      </c>
      <c r="D1070" s="2" t="str">
        <f>IFERROR(__xludf.DUMMYFUNCTION("IFERROR(VLOOKUP(A1070, IMPORTRANGE(""https://docs.google.com/spreadsheets/d/1-3Vjw2Cyy-mry5gbC8ypIR3YVGFfEpyFESummAta6sg/edit"", ""Sheet1!B:D""), 2, FALSE), ""Not Found"")"),"məldər")</f>
        <v>məldər</v>
      </c>
      <c r="E1070" s="2" t="str">
        <f>IFERROR(__xludf.DUMMYFUNCTION("IFERROR(VLOOKUP(A1070, IMPORTRANGE(""https://docs.google.com/spreadsheets/d/1-3Vjw2Cyy-mry5gbC8ypIR3YVGFfEpyFESummAta6sg/edit"", ""Sheet1!B:D""), 3, FALSE), ""Not Found"")"),"m ə l d ə r ")</f>
        <v>m ə l d ə r </v>
      </c>
    </row>
    <row r="1071">
      <c r="A1071" s="1" t="s">
        <v>1074</v>
      </c>
      <c r="B1071" s="1" t="s">
        <v>5</v>
      </c>
      <c r="C1071" s="2">
        <f>IFERROR(__xludf.DUMMYFUNCTION("IFERROR(VLOOKUP(A1071, IMPORTRANGE(""https://docs.google.com/spreadsheets/d/1AVX9GT0dgogEBStecCXMMQ29tWz3gBrtNB8yIromXbY/edit?gid=741673867"", ""out1g!A:B""), 2, FALSE), 0)"),26678.0)</f>
        <v>26678</v>
      </c>
      <c r="D1071" s="2" t="str">
        <f>IFERROR(__xludf.DUMMYFUNCTION("IFERROR(VLOOKUP(A1071, IMPORTRANGE(""https://docs.google.com/spreadsheets/d/1-3Vjw2Cyy-mry5gbC8ypIR3YVGFfEpyFESummAta6sg/edit"", ""Sheet1!B:D""), 2, FALSE), ""Not Found"")"),"rɔŋ")</f>
        <v>rɔŋ</v>
      </c>
      <c r="E1071" s="2" t="str">
        <f>IFERROR(__xludf.DUMMYFUNCTION("IFERROR(VLOOKUP(A1071, IMPORTRANGE(""https://docs.google.com/spreadsheets/d/1-3Vjw2Cyy-mry5gbC8ypIR3YVGFfEpyFESummAta6sg/edit"", ""Sheet1!B:D""), 3, FALSE), ""Not Found"")"),"r ɔ ŋ ")</f>
        <v>r ɔ ŋ </v>
      </c>
    </row>
    <row r="1072">
      <c r="A1072" s="1" t="s">
        <v>1075</v>
      </c>
      <c r="B1072" s="1" t="s">
        <v>5</v>
      </c>
      <c r="C1072" s="2">
        <f>IFERROR(__xludf.DUMMYFUNCTION("IFERROR(VLOOKUP(A1072, IMPORTRANGE(""https://docs.google.com/spreadsheets/d/1AVX9GT0dgogEBStecCXMMQ29tWz3gBrtNB8yIromXbY/edit?gid=741673867"", ""out1g!A:B""), 2, FALSE), 0)"),64.0)</f>
        <v>64</v>
      </c>
      <c r="D1072" s="2" t="str">
        <f>IFERROR(__xludf.DUMMYFUNCTION("IFERROR(VLOOKUP(A1072, IMPORTRANGE(""https://docs.google.com/spreadsheets/d/1-3Vjw2Cyy-mry5gbC8ypIR3YVGFfEpyFESummAta6sg/edit"", ""Sheet1!B:D""), 2, FALSE), ""Not Found"")"),"ʧiki")</f>
        <v>ʧiki</v>
      </c>
      <c r="E1072" s="2" t="str">
        <f>IFERROR(__xludf.DUMMYFUNCTION("IFERROR(VLOOKUP(A1072, IMPORTRANGE(""https://docs.google.com/spreadsheets/d/1-3Vjw2Cyy-mry5gbC8ypIR3YVGFfEpyFESummAta6sg/edit"", ""Sheet1!B:D""), 3, FALSE), ""Not Found"")"),"ʧ i k i ")</f>
        <v>ʧ i k i </v>
      </c>
    </row>
    <row r="1073">
      <c r="A1073" s="1" t="s">
        <v>1076</v>
      </c>
      <c r="B1073" s="1" t="s">
        <v>5</v>
      </c>
      <c r="C1073" s="2">
        <f>IFERROR(__xludf.DUMMYFUNCTION("IFERROR(VLOOKUP(A1073, IMPORTRANGE(""https://docs.google.com/spreadsheets/d/1AVX9GT0dgogEBStecCXMMQ29tWz3gBrtNB8yIromXbY/edit?gid=741673867"", ""out1g!A:B""), 2, FALSE), 0)"),1138.0)</f>
        <v>1138</v>
      </c>
      <c r="D1073" s="2" t="str">
        <f>IFERROR(__xludf.DUMMYFUNCTION("IFERROR(VLOOKUP(A1073, IMPORTRANGE(""https://docs.google.com/spreadsheets/d/1-3Vjw2Cyy-mry5gbC8ypIR3YVGFfEpyFESummAta6sg/edit"", ""Sheet1!B:D""), 2, FALSE), ""Not Found"")"),"tərmz")</f>
        <v>tərmz</v>
      </c>
      <c r="E1073" s="2" t="str">
        <f>IFERROR(__xludf.DUMMYFUNCTION("IFERROR(VLOOKUP(A1073, IMPORTRANGE(""https://docs.google.com/spreadsheets/d/1-3Vjw2Cyy-mry5gbC8ypIR3YVGFfEpyFESummAta6sg/edit"", ""Sheet1!B:D""), 3, FALSE), ""Not Found"")"),"t ə r m z ")</f>
        <v>t ə r m z </v>
      </c>
    </row>
    <row r="1074">
      <c r="A1074" s="1" t="s">
        <v>1077</v>
      </c>
      <c r="B1074" s="1" t="s">
        <v>5</v>
      </c>
      <c r="C1074" s="2">
        <f>IFERROR(__xludf.DUMMYFUNCTION("IFERROR(VLOOKUP(A1074, IMPORTRANGE(""https://docs.google.com/spreadsheets/d/1AVX9GT0dgogEBStecCXMMQ29tWz3gBrtNB8yIromXbY/edit?gid=741673867"", ""out1g!A:B""), 2, FALSE), 0)"),13.0)</f>
        <v>13</v>
      </c>
      <c r="D1074" s="2" t="str">
        <f>IFERROR(__xludf.DUMMYFUNCTION("IFERROR(VLOOKUP(A1074, IMPORTRANGE(""https://docs.google.com/spreadsheets/d/1-3Vjw2Cyy-mry5gbC8ypIR3YVGFfEpyFESummAta6sg/edit"", ""Sheet1!B:D""), 2, FALSE), ""Not Found"")"),"lɔɪtər")</f>
        <v>lɔɪtər</v>
      </c>
      <c r="E1074" s="2" t="str">
        <f>IFERROR(__xludf.DUMMYFUNCTION("IFERROR(VLOOKUP(A1074, IMPORTRANGE(""https://docs.google.com/spreadsheets/d/1-3Vjw2Cyy-mry5gbC8ypIR3YVGFfEpyFESummAta6sg/edit"", ""Sheet1!B:D""), 3, FALSE), ""Not Found"")"),"l ɔ ɪ t ə r ")</f>
        <v>l ɔ ɪ t ə r </v>
      </c>
    </row>
    <row r="1075">
      <c r="A1075" s="1" t="s">
        <v>1078</v>
      </c>
      <c r="B1075" s="1" t="s">
        <v>5</v>
      </c>
      <c r="C1075" s="2">
        <f>IFERROR(__xludf.DUMMYFUNCTION("IFERROR(VLOOKUP(A1075, IMPORTRANGE(""https://docs.google.com/spreadsheets/d/1AVX9GT0dgogEBStecCXMMQ29tWz3gBrtNB8yIromXbY/edit?gid=741673867"", ""out1g!A:B""), 2, FALSE), 0)"),638.0)</f>
        <v>638</v>
      </c>
      <c r="D1075" s="2" t="str">
        <f>IFERROR(__xludf.DUMMYFUNCTION("IFERROR(VLOOKUP(A1075, IMPORTRANGE(""https://docs.google.com/spreadsheets/d/1-3Vjw2Cyy-mry5gbC8ypIR3YVGFfEpyFESummAta6sg/edit"", ""Sheet1!B:D""), 2, FALSE), ""Not Found"")"),"toʊz")</f>
        <v>toʊz</v>
      </c>
      <c r="E1075" s="2" t="str">
        <f>IFERROR(__xludf.DUMMYFUNCTION("IFERROR(VLOOKUP(A1075, IMPORTRANGE(""https://docs.google.com/spreadsheets/d/1-3Vjw2Cyy-mry5gbC8ypIR3YVGFfEpyFESummAta6sg/edit"", ""Sheet1!B:D""), 3, FALSE), ""Not Found"")"),"t o ʊ z ")</f>
        <v>t o ʊ z </v>
      </c>
    </row>
    <row r="1076">
      <c r="A1076" s="1" t="s">
        <v>1079</v>
      </c>
      <c r="B1076" s="1" t="s">
        <v>5</v>
      </c>
      <c r="C1076" s="2">
        <f>IFERROR(__xludf.DUMMYFUNCTION("IFERROR(VLOOKUP(A1076, IMPORTRANGE(""https://docs.google.com/spreadsheets/d/1AVX9GT0dgogEBStecCXMMQ29tWz3gBrtNB8yIromXbY/edit?gid=741673867"", ""out1g!A:B""), 2, FALSE), 0)"),179.0)</f>
        <v>179</v>
      </c>
      <c r="D1076" s="2" t="str">
        <f>IFERROR(__xludf.DUMMYFUNCTION("IFERROR(VLOOKUP(A1076, IMPORTRANGE(""https://docs.google.com/spreadsheets/d/1-3Vjw2Cyy-mry5gbC8ypIR3YVGFfEpyFESummAta6sg/edit"", ""Sheet1!B:D""), 2, FALSE), ""Not Found"")"),"jæn")</f>
        <v>jæn</v>
      </c>
      <c r="E1076" s="2" t="str">
        <f>IFERROR(__xludf.DUMMYFUNCTION("IFERROR(VLOOKUP(A1076, IMPORTRANGE(""https://docs.google.com/spreadsheets/d/1-3Vjw2Cyy-mry5gbC8ypIR3YVGFfEpyFESummAta6sg/edit"", ""Sheet1!B:D""), 3, FALSE), ""Not Found"")"),"j æ n ")</f>
        <v>j æ n </v>
      </c>
    </row>
    <row r="1077">
      <c r="A1077" s="1" t="s">
        <v>1080</v>
      </c>
      <c r="B1077" s="1" t="s">
        <v>5</v>
      </c>
      <c r="C1077" s="2">
        <f>IFERROR(__xludf.DUMMYFUNCTION("IFERROR(VLOOKUP(A1077, IMPORTRANGE(""https://docs.google.com/spreadsheets/d/1AVX9GT0dgogEBStecCXMMQ29tWz3gBrtNB8yIromXbY/edit?gid=741673867"", ""out1g!A:B""), 2, FALSE), 0)"),2236.0)</f>
        <v>2236</v>
      </c>
      <c r="D1077" s="2" t="str">
        <f>IFERROR(__xludf.DUMMYFUNCTION("IFERROR(VLOOKUP(A1077, IMPORTRANGE(""https://docs.google.com/spreadsheets/d/1-3Vjw2Cyy-mry5gbC8ypIR3YVGFfEpyFESummAta6sg/edit"", ""Sheet1!B:D""), 2, FALSE), ""Not Found"")"),"aɪ")</f>
        <v>aɪ</v>
      </c>
      <c r="E1077" s="2" t="str">
        <f>IFERROR(__xludf.DUMMYFUNCTION("IFERROR(VLOOKUP(A1077, IMPORTRANGE(""https://docs.google.com/spreadsheets/d/1-3Vjw2Cyy-mry5gbC8ypIR3YVGFfEpyFESummAta6sg/edit"", ""Sheet1!B:D""), 3, FALSE), ""Not Found"")"),"a ɪ ")</f>
        <v>a ɪ </v>
      </c>
    </row>
    <row r="1078">
      <c r="A1078" s="1" t="s">
        <v>1081</v>
      </c>
      <c r="B1078" s="1" t="s">
        <v>5</v>
      </c>
      <c r="C1078" s="2">
        <f>IFERROR(__xludf.DUMMYFUNCTION("IFERROR(VLOOKUP(A1078, IMPORTRANGE(""https://docs.google.com/spreadsheets/d/1AVX9GT0dgogEBStecCXMMQ29tWz3gBrtNB8yIromXbY/edit?gid=741673867"", ""out1g!A:B""), 2, FALSE), 0)"),1437.0)</f>
        <v>1437</v>
      </c>
      <c r="D1078" s="2" t="str">
        <f>IFERROR(__xludf.DUMMYFUNCTION("IFERROR(VLOOKUP(A1078, IMPORTRANGE(""https://docs.google.com/spreadsheets/d/1-3Vjw2Cyy-mry5gbC8ypIR3YVGFfEpyFESummAta6sg/edit"", ""Sheet1!B:D""), 2, FALSE), ""Not Found"")"),"sɔrs")</f>
        <v>sɔrs</v>
      </c>
      <c r="E1078" s="2" t="str">
        <f>IFERROR(__xludf.DUMMYFUNCTION("IFERROR(VLOOKUP(A1078, IMPORTRANGE(""https://docs.google.com/spreadsheets/d/1-3Vjw2Cyy-mry5gbC8ypIR3YVGFfEpyFESummAta6sg/edit"", ""Sheet1!B:D""), 3, FALSE), ""Not Found"")"),"s ɔ r s ")</f>
        <v>s ɔ r s </v>
      </c>
    </row>
    <row r="1079">
      <c r="A1079" s="1" t="s">
        <v>1082</v>
      </c>
      <c r="B1079" s="1" t="s">
        <v>5</v>
      </c>
      <c r="C1079" s="2">
        <f>IFERROR(__xludf.DUMMYFUNCTION("IFERROR(VLOOKUP(A1079, IMPORTRANGE(""https://docs.google.com/spreadsheets/d/1AVX9GT0dgogEBStecCXMMQ29tWz3gBrtNB8yIromXbY/edit?gid=741673867"", ""out1g!A:B""), 2, FALSE), 0)"),81.0)</f>
        <v>81</v>
      </c>
      <c r="D1079" s="2" t="str">
        <f>IFERROR(__xludf.DUMMYFUNCTION("IFERROR(VLOOKUP(A1079, IMPORTRANGE(""https://docs.google.com/spreadsheets/d/1-3Vjw2Cyy-mry5gbC8ypIR3YVGFfEpyFESummAta6sg/edit"", ""Sheet1!B:D""), 2, FALSE), ""Not Found"")"),"sənde")</f>
        <v>sənde</v>
      </c>
      <c r="E1079" s="2" t="str">
        <f>IFERROR(__xludf.DUMMYFUNCTION("IFERROR(VLOOKUP(A1079, IMPORTRANGE(""https://docs.google.com/spreadsheets/d/1-3Vjw2Cyy-mry5gbC8ypIR3YVGFfEpyFESummAta6sg/edit"", ""Sheet1!B:D""), 3, FALSE), ""Not Found"")"),"s ə n d e ")</f>
        <v>s ə n d e </v>
      </c>
    </row>
    <row r="1080">
      <c r="A1080" s="1" t="s">
        <v>1083</v>
      </c>
      <c r="B1080" s="1" t="s">
        <v>5</v>
      </c>
      <c r="C1080" s="2">
        <f>IFERROR(__xludf.DUMMYFUNCTION("IFERROR(VLOOKUP(A1080, IMPORTRANGE(""https://docs.google.com/spreadsheets/d/1AVX9GT0dgogEBStecCXMMQ29tWz3gBrtNB8yIromXbY/edit?gid=741673867"", ""out1g!A:B""), 2, FALSE), 0)"),95.0)</f>
        <v>95</v>
      </c>
      <c r="D1080" s="2" t="str">
        <f>IFERROR(__xludf.DUMMYFUNCTION("IFERROR(VLOOKUP(A1080, IMPORTRANGE(""https://docs.google.com/spreadsheets/d/1-3Vjw2Cyy-mry5gbC8ypIR3YVGFfEpyFESummAta6sg/edit"", ""Sheet1!B:D""), 2, FALSE), ""Not Found"")"),"bɑni")</f>
        <v>bɑni</v>
      </c>
      <c r="E1080" s="2" t="str">
        <f>IFERROR(__xludf.DUMMYFUNCTION("IFERROR(VLOOKUP(A1080, IMPORTRANGE(""https://docs.google.com/spreadsheets/d/1-3Vjw2Cyy-mry5gbC8ypIR3YVGFfEpyFESummAta6sg/edit"", ""Sheet1!B:D""), 3, FALSE), ""Not Found"")"),"b ɑ n i ")</f>
        <v>b ɑ n i </v>
      </c>
    </row>
    <row r="1081">
      <c r="A1081" s="1" t="s">
        <v>1084</v>
      </c>
      <c r="B1081" s="1" t="s">
        <v>5</v>
      </c>
      <c r="C1081" s="2">
        <f>IFERROR(__xludf.DUMMYFUNCTION("IFERROR(VLOOKUP(A1081, IMPORTRANGE(""https://docs.google.com/spreadsheets/d/1AVX9GT0dgogEBStecCXMMQ29tWz3gBrtNB8yIromXbY/edit?gid=741673867"", ""out1g!A:B""), 2, FALSE), 0)"),253.0)</f>
        <v>253</v>
      </c>
      <c r="D1081" s="2" t="str">
        <f>IFERROR(__xludf.DUMMYFUNCTION("IFERROR(VLOOKUP(A1081, IMPORTRANGE(""https://docs.google.com/spreadsheets/d/1-3Vjw2Cyy-mry5gbC8ypIR3YVGFfEpyFESummAta6sg/edit"", ""Sheet1!B:D""), 2, FALSE), ""Not Found"")"),"sləg")</f>
        <v>sləg</v>
      </c>
      <c r="E1081" s="2" t="str">
        <f>IFERROR(__xludf.DUMMYFUNCTION("IFERROR(VLOOKUP(A1081, IMPORTRANGE(""https://docs.google.com/spreadsheets/d/1-3Vjw2Cyy-mry5gbC8ypIR3YVGFfEpyFESummAta6sg/edit"", ""Sheet1!B:D""), 3, FALSE), ""Not Found"")"),"s l ə g ")</f>
        <v>s l ə g </v>
      </c>
    </row>
    <row r="1082">
      <c r="A1082" s="1" t="s">
        <v>1085</v>
      </c>
      <c r="B1082" s="1" t="s">
        <v>5</v>
      </c>
      <c r="C1082" s="2">
        <f>IFERROR(__xludf.DUMMYFUNCTION("IFERROR(VLOOKUP(A1082, IMPORTRANGE(""https://docs.google.com/spreadsheets/d/1AVX9GT0dgogEBStecCXMMQ29tWz3gBrtNB8yIromXbY/edit?gid=741673867"", ""out1g!A:B""), 2, FALSE), 0)"),3013.0)</f>
        <v>3013</v>
      </c>
      <c r="D1082" s="2" t="str">
        <f>IFERROR(__xludf.DUMMYFUNCTION("IFERROR(VLOOKUP(A1082, IMPORTRANGE(""https://docs.google.com/spreadsheets/d/1-3Vjw2Cyy-mry5gbC8ypIR3YVGFfEpyFESummAta6sg/edit"", ""Sheet1!B:D""), 2, FALSE), ""Not Found"")"),"ge")</f>
        <v>ge</v>
      </c>
      <c r="E1082" s="2" t="str">
        <f>IFERROR(__xludf.DUMMYFUNCTION("IFERROR(VLOOKUP(A1082, IMPORTRANGE(""https://docs.google.com/spreadsheets/d/1-3Vjw2Cyy-mry5gbC8ypIR3YVGFfEpyFESummAta6sg/edit"", ""Sheet1!B:D""), 3, FALSE), ""Not Found"")"),"g e ")</f>
        <v>g e </v>
      </c>
    </row>
    <row r="1083">
      <c r="A1083" s="1" t="s">
        <v>1086</v>
      </c>
      <c r="B1083" s="1" t="s">
        <v>5</v>
      </c>
      <c r="C1083" s="2">
        <f>IFERROR(__xludf.DUMMYFUNCTION("IFERROR(VLOOKUP(A1083, IMPORTRANGE(""https://docs.google.com/spreadsheets/d/1AVX9GT0dgogEBStecCXMMQ29tWz3gBrtNB8yIromXbY/edit?gid=741673867"", ""out1g!A:B""), 2, FALSE), 0)"),193.0)</f>
        <v>193</v>
      </c>
      <c r="D1083" s="2" t="str">
        <f>IFERROR(__xludf.DUMMYFUNCTION("IFERROR(VLOOKUP(A1083, IMPORTRANGE(""https://docs.google.com/spreadsheets/d/1-3Vjw2Cyy-mry5gbC8ypIR3YVGFfEpyFESummAta6sg/edit"", ""Sheet1!B:D""), 2, FALSE), ""Not Found"")"),"genɪŋ")</f>
        <v>genɪŋ</v>
      </c>
      <c r="E1083" s="2" t="str">
        <f>IFERROR(__xludf.DUMMYFUNCTION("IFERROR(VLOOKUP(A1083, IMPORTRANGE(""https://docs.google.com/spreadsheets/d/1-3Vjw2Cyy-mry5gbC8ypIR3YVGFfEpyFESummAta6sg/edit"", ""Sheet1!B:D""), 3, FALSE), ""Not Found"")"),"g e n ɪ ŋ ")</f>
        <v>g e n ɪ ŋ </v>
      </c>
    </row>
    <row r="1084">
      <c r="A1084" s="1" t="s">
        <v>1087</v>
      </c>
      <c r="B1084" s="1" t="s">
        <v>5</v>
      </c>
      <c r="C1084" s="2">
        <f>IFERROR(__xludf.DUMMYFUNCTION("IFERROR(VLOOKUP(A1084, IMPORTRANGE(""https://docs.google.com/spreadsheets/d/1AVX9GT0dgogEBStecCXMMQ29tWz3gBrtNB8yIromXbY/edit?gid=741673867"", ""out1g!A:B""), 2, FALSE), 0)"),218.0)</f>
        <v>218</v>
      </c>
      <c r="D1084" s="2" t="str">
        <f>IFERROR(__xludf.DUMMYFUNCTION("IFERROR(VLOOKUP(A1084, IMPORTRANGE(""https://docs.google.com/spreadsheets/d/1-3Vjw2Cyy-mry5gbC8ypIR3YVGFfEpyFESummAta6sg/edit"", ""Sheet1!B:D""), 2, FALSE), ""Not Found"")"),"aɪst")</f>
        <v>aɪst</v>
      </c>
      <c r="E1084" s="2" t="str">
        <f>IFERROR(__xludf.DUMMYFUNCTION("IFERROR(VLOOKUP(A1084, IMPORTRANGE(""https://docs.google.com/spreadsheets/d/1-3Vjw2Cyy-mry5gbC8ypIR3YVGFfEpyFESummAta6sg/edit"", ""Sheet1!B:D""), 3, FALSE), ""Not Found"")"),"a ɪ s t ")</f>
        <v>a ɪ s t </v>
      </c>
    </row>
    <row r="1085">
      <c r="A1085" s="1" t="s">
        <v>1088</v>
      </c>
      <c r="B1085" s="1" t="s">
        <v>5</v>
      </c>
      <c r="C1085" s="2">
        <f>IFERROR(__xludf.DUMMYFUNCTION("IFERROR(VLOOKUP(A1085, IMPORTRANGE(""https://docs.google.com/spreadsheets/d/1AVX9GT0dgogEBStecCXMMQ29tWz3gBrtNB8yIromXbY/edit?gid=741673867"", ""out1g!A:B""), 2, FALSE), 0)"),357.0)</f>
        <v>357</v>
      </c>
      <c r="D1085" s="2" t="str">
        <f>IFERROR(__xludf.DUMMYFUNCTION("IFERROR(VLOOKUP(A1085, IMPORTRANGE(""https://docs.google.com/spreadsheets/d/1-3Vjw2Cyy-mry5gbC8ypIR3YVGFfEpyFESummAta6sg/edit"", ""Sheet1!B:D""), 2, FALSE), ""Not Found"")"),"plid")</f>
        <v>plid</v>
      </c>
      <c r="E1085" s="2" t="str">
        <f>IFERROR(__xludf.DUMMYFUNCTION("IFERROR(VLOOKUP(A1085, IMPORTRANGE(""https://docs.google.com/spreadsheets/d/1-3Vjw2Cyy-mry5gbC8ypIR3YVGFfEpyFESummAta6sg/edit"", ""Sheet1!B:D""), 3, FALSE), ""Not Found"")"),"p l i d ")</f>
        <v>p l i d </v>
      </c>
    </row>
    <row r="1086">
      <c r="A1086" s="1" t="s">
        <v>1089</v>
      </c>
      <c r="B1086" s="1" t="s">
        <v>5</v>
      </c>
      <c r="C1086" s="2">
        <f>IFERROR(__xludf.DUMMYFUNCTION("IFERROR(VLOOKUP(A1086, IMPORTRANGE(""https://docs.google.com/spreadsheets/d/1AVX9GT0dgogEBStecCXMMQ29tWz3gBrtNB8yIromXbY/edit?gid=741673867"", ""out1g!A:B""), 2, FALSE), 0)"),262.0)</f>
        <v>262</v>
      </c>
      <c r="D1086" s="2" t="str">
        <f>IFERROR(__xludf.DUMMYFUNCTION("IFERROR(VLOOKUP(A1086, IMPORTRANGE(""https://docs.google.com/spreadsheets/d/1-3Vjw2Cyy-mry5gbC8ypIR3YVGFfEpyFESummAta6sg/edit"", ""Sheet1!B:D""), 2, FALSE), ""Not Found"")"),"ʃildz")</f>
        <v>ʃildz</v>
      </c>
      <c r="E1086" s="2" t="str">
        <f>IFERROR(__xludf.DUMMYFUNCTION("IFERROR(VLOOKUP(A1086, IMPORTRANGE(""https://docs.google.com/spreadsheets/d/1-3Vjw2Cyy-mry5gbC8ypIR3YVGFfEpyFESummAta6sg/edit"", ""Sheet1!B:D""), 3, FALSE), ""Not Found"")"),"ʃ i l d z ")</f>
        <v>ʃ i l d z </v>
      </c>
    </row>
    <row r="1087">
      <c r="A1087" s="1" t="s">
        <v>1090</v>
      </c>
      <c r="B1087" s="1" t="s">
        <v>5</v>
      </c>
      <c r="C1087" s="2">
        <f>IFERROR(__xludf.DUMMYFUNCTION("IFERROR(VLOOKUP(A1087, IMPORTRANGE(""https://docs.google.com/spreadsheets/d/1AVX9GT0dgogEBStecCXMMQ29tWz3gBrtNB8yIromXbY/edit?gid=741673867"", ""out1g!A:B""), 2, FALSE), 0)"),695.0)</f>
        <v>695</v>
      </c>
      <c r="D1087" s="2" t="str">
        <f>IFERROR(__xludf.DUMMYFUNCTION("IFERROR(VLOOKUP(A1087, IMPORTRANGE(""https://docs.google.com/spreadsheets/d/1-3Vjw2Cyy-mry5gbC8ypIR3YVGFfEpyFESummAta6sg/edit"", ""Sheet1!B:D""), 2, FALSE), ""Not Found"")"),"bəgz")</f>
        <v>bəgz</v>
      </c>
      <c r="E1087" s="2" t="str">
        <f>IFERROR(__xludf.DUMMYFUNCTION("IFERROR(VLOOKUP(A1087, IMPORTRANGE(""https://docs.google.com/spreadsheets/d/1-3Vjw2Cyy-mry5gbC8ypIR3YVGFfEpyFESummAta6sg/edit"", ""Sheet1!B:D""), 3, FALSE), ""Not Found"")"),"b ə g z ")</f>
        <v>b ə g z </v>
      </c>
    </row>
    <row r="1088">
      <c r="A1088" s="1" t="s">
        <v>1091</v>
      </c>
      <c r="B1088" s="1" t="s">
        <v>5</v>
      </c>
      <c r="C1088" s="2">
        <f>IFERROR(__xludf.DUMMYFUNCTION("IFERROR(VLOOKUP(A1088, IMPORTRANGE(""https://docs.google.com/spreadsheets/d/1AVX9GT0dgogEBStecCXMMQ29tWz3gBrtNB8yIromXbY/edit?gid=741673867"", ""out1g!A:B""), 2, FALSE), 0)"),71.0)</f>
        <v>71</v>
      </c>
      <c r="D1088" s="2" t="str">
        <f>IFERROR(__xludf.DUMMYFUNCTION("IFERROR(VLOOKUP(A1088, IMPORTRANGE(""https://docs.google.com/spreadsheets/d/1-3Vjw2Cyy-mry5gbC8ypIR3YVGFfEpyFESummAta6sg/edit"", ""Sheet1!B:D""), 2, FALSE), ""Not Found"")"),"wɛpt")</f>
        <v>wɛpt</v>
      </c>
      <c r="E1088" s="2" t="str">
        <f>IFERROR(__xludf.DUMMYFUNCTION("IFERROR(VLOOKUP(A1088, IMPORTRANGE(""https://docs.google.com/spreadsheets/d/1-3Vjw2Cyy-mry5gbC8ypIR3YVGFfEpyFESummAta6sg/edit"", ""Sheet1!B:D""), 3, FALSE), ""Not Found"")"),"w ɛ p t ")</f>
        <v>w ɛ p t </v>
      </c>
    </row>
    <row r="1089">
      <c r="A1089" s="1" t="s">
        <v>1092</v>
      </c>
      <c r="B1089" s="1" t="s">
        <v>5</v>
      </c>
      <c r="C1089" s="2">
        <f>IFERROR(__xludf.DUMMYFUNCTION("IFERROR(VLOOKUP(A1089, IMPORTRANGE(""https://docs.google.com/spreadsheets/d/1AVX9GT0dgogEBStecCXMMQ29tWz3gBrtNB8yIromXbY/edit?gid=741673867"", ""out1g!A:B""), 2, FALSE), 0)"),291.0)</f>
        <v>291</v>
      </c>
      <c r="D1089" s="2" t="str">
        <f>IFERROR(__xludf.DUMMYFUNCTION("IFERROR(VLOOKUP(A1089, IMPORTRANGE(""https://docs.google.com/spreadsheets/d/1-3Vjw2Cyy-mry5gbC8ypIR3YVGFfEpyFESummAta6sg/edit"", ""Sheet1!B:D""), 2, FALSE), ""Not Found"")"),"fləd")</f>
        <v>fləd</v>
      </c>
      <c r="E1089" s="2" t="str">
        <f>IFERROR(__xludf.DUMMYFUNCTION("IFERROR(VLOOKUP(A1089, IMPORTRANGE(""https://docs.google.com/spreadsheets/d/1-3Vjw2Cyy-mry5gbC8ypIR3YVGFfEpyFESummAta6sg/edit"", ""Sheet1!B:D""), 3, FALSE), ""Not Found"")"),"f l ə d ")</f>
        <v>f l ə d </v>
      </c>
    </row>
    <row r="1090">
      <c r="A1090" s="1" t="s">
        <v>1093</v>
      </c>
      <c r="B1090" s="1" t="s">
        <v>5</v>
      </c>
      <c r="C1090" s="2">
        <f>IFERROR(__xludf.DUMMYFUNCTION("IFERROR(VLOOKUP(A1090, IMPORTRANGE(""https://docs.google.com/spreadsheets/d/1AVX9GT0dgogEBStecCXMMQ29tWz3gBrtNB8yIromXbY/edit?gid=741673867"", ""out1g!A:B""), 2, FALSE), 0)"),143.0)</f>
        <v>143</v>
      </c>
      <c r="D1090" s="2" t="str">
        <f>IFERROR(__xludf.DUMMYFUNCTION("IFERROR(VLOOKUP(A1090, IMPORTRANGE(""https://docs.google.com/spreadsheets/d/1-3Vjw2Cyy-mry5gbC8ypIR3YVGFfEpyFESummAta6sg/edit"", ""Sheet1!B:D""), 2, FALSE), ""Not Found"")"),"devi")</f>
        <v>devi</v>
      </c>
      <c r="E1090" s="2" t="str">
        <f>IFERROR(__xludf.DUMMYFUNCTION("IFERROR(VLOOKUP(A1090, IMPORTRANGE(""https://docs.google.com/spreadsheets/d/1-3Vjw2Cyy-mry5gbC8ypIR3YVGFfEpyFESummAta6sg/edit"", ""Sheet1!B:D""), 3, FALSE), ""Not Found"")"),"d e v i ")</f>
        <v>d e v i </v>
      </c>
    </row>
    <row r="1091">
      <c r="A1091" s="1" t="s">
        <v>1094</v>
      </c>
      <c r="B1091" s="1" t="s">
        <v>5</v>
      </c>
      <c r="C1091" s="2">
        <f>IFERROR(__xludf.DUMMYFUNCTION("IFERROR(VLOOKUP(A1091, IMPORTRANGE(""https://docs.google.com/spreadsheets/d/1AVX9GT0dgogEBStecCXMMQ29tWz3gBrtNB8yIromXbY/edit?gid=741673867"", ""out1g!A:B""), 2, FALSE), 0)"),66.0)</f>
        <v>66</v>
      </c>
      <c r="D1091" s="2" t="str">
        <f>IFERROR(__xludf.DUMMYFUNCTION("IFERROR(VLOOKUP(A1091, IMPORTRANGE(""https://docs.google.com/spreadsheets/d/1-3Vjw2Cyy-mry5gbC8ypIR3YVGFfEpyFESummAta6sg/edit"", ""Sheet1!B:D""), 2, FALSE), ""Not Found"")"),"tɪŋ")</f>
        <v>tɪŋ</v>
      </c>
      <c r="E1091" s="2" t="str">
        <f>IFERROR(__xludf.DUMMYFUNCTION("IFERROR(VLOOKUP(A1091, IMPORTRANGE(""https://docs.google.com/spreadsheets/d/1-3Vjw2Cyy-mry5gbC8ypIR3YVGFfEpyFESummAta6sg/edit"", ""Sheet1!B:D""), 3, FALSE), ""Not Found"")"),"t ɪ ŋ ")</f>
        <v>t ɪ ŋ </v>
      </c>
    </row>
    <row r="1092">
      <c r="A1092" s="1" t="s">
        <v>1095</v>
      </c>
      <c r="B1092" s="1" t="s">
        <v>5</v>
      </c>
      <c r="C1092" s="2">
        <f>IFERROR(__xludf.DUMMYFUNCTION("IFERROR(VLOOKUP(A1092, IMPORTRANGE(""https://docs.google.com/spreadsheets/d/1AVX9GT0dgogEBStecCXMMQ29tWz3gBrtNB8yIromXbY/edit?gid=741673867"", ""out1g!A:B""), 2, FALSE), 0)"),50.0)</f>
        <v>50</v>
      </c>
      <c r="D1092" s="2" t="str">
        <f>IFERROR(__xludf.DUMMYFUNCTION("IFERROR(VLOOKUP(A1092, IMPORTRANGE(""https://docs.google.com/spreadsheets/d/1-3Vjw2Cyy-mry5gbC8ypIR3YVGFfEpyFESummAta6sg/edit"", ""Sheet1!B:D""), 2, FALSE), ""Not Found"")"),"gɑrnət")</f>
        <v>gɑrnət</v>
      </c>
      <c r="E1092" s="2" t="str">
        <f>IFERROR(__xludf.DUMMYFUNCTION("IFERROR(VLOOKUP(A1092, IMPORTRANGE(""https://docs.google.com/spreadsheets/d/1-3Vjw2Cyy-mry5gbC8ypIR3YVGFfEpyFESummAta6sg/edit"", ""Sheet1!B:D""), 3, FALSE), ""Not Found"")"),"g ɑ r n ə t ")</f>
        <v>g ɑ r n ə t </v>
      </c>
    </row>
    <row r="1093">
      <c r="A1093" s="1" t="s">
        <v>1096</v>
      </c>
      <c r="B1093" s="1" t="s">
        <v>5</v>
      </c>
      <c r="C1093" s="2">
        <f>IFERROR(__xludf.DUMMYFUNCTION("IFERROR(VLOOKUP(A1093, IMPORTRANGE(""https://docs.google.com/spreadsheets/d/1AVX9GT0dgogEBStecCXMMQ29tWz3gBrtNB8yIromXbY/edit?gid=741673867"", ""out1g!A:B""), 2, FALSE), 0)"),88.0)</f>
        <v>88</v>
      </c>
      <c r="D1093" s="2" t="str">
        <f>IFERROR(__xludf.DUMMYFUNCTION("IFERROR(VLOOKUP(A1093, IMPORTRANGE(""https://docs.google.com/spreadsheets/d/1-3Vjw2Cyy-mry5gbC8ypIR3YVGFfEpyFESummAta6sg/edit"", ""Sheet1!B:D""), 2, FALSE), ""Not Found"")"),"dəmər")</f>
        <v>dəmər</v>
      </c>
      <c r="E1093" s="2" t="str">
        <f>IFERROR(__xludf.DUMMYFUNCTION("IFERROR(VLOOKUP(A1093, IMPORTRANGE(""https://docs.google.com/spreadsheets/d/1-3Vjw2Cyy-mry5gbC8ypIR3YVGFfEpyFESummAta6sg/edit"", ""Sheet1!B:D""), 3, FALSE), ""Not Found"")"),"d ə m ə r ")</f>
        <v>d ə m ə r </v>
      </c>
    </row>
    <row r="1094">
      <c r="A1094" s="1" t="s">
        <v>1097</v>
      </c>
      <c r="B1094" s="1" t="s">
        <v>5</v>
      </c>
      <c r="C1094" s="2">
        <f>IFERROR(__xludf.DUMMYFUNCTION("IFERROR(VLOOKUP(A1094, IMPORTRANGE(""https://docs.google.com/spreadsheets/d/1AVX9GT0dgogEBStecCXMMQ29tWz3gBrtNB8yIromXbY/edit?gid=741673867"", ""out1g!A:B""), 2, FALSE), 0)"),302.0)</f>
        <v>302</v>
      </c>
      <c r="D1094" s="2" t="str">
        <f>IFERROR(__xludf.DUMMYFUNCTION("IFERROR(VLOOKUP(A1094, IMPORTRANGE(""https://docs.google.com/spreadsheets/d/1-3Vjw2Cyy-mry5gbC8ypIR3YVGFfEpyFESummAta6sg/edit"", ""Sheet1!B:D""), 2, FALSE), ""Not Found"")"),"wɪt")</f>
        <v>wɪt</v>
      </c>
      <c r="E1094" s="2" t="str">
        <f>IFERROR(__xludf.DUMMYFUNCTION("IFERROR(VLOOKUP(A1094, IMPORTRANGE(""https://docs.google.com/spreadsheets/d/1-3Vjw2Cyy-mry5gbC8ypIR3YVGFfEpyFESummAta6sg/edit"", ""Sheet1!B:D""), 3, FALSE), ""Not Found"")"),"w ɪ t ")</f>
        <v>w ɪ t </v>
      </c>
    </row>
    <row r="1095">
      <c r="A1095" s="1" t="s">
        <v>1098</v>
      </c>
      <c r="B1095" s="1" t="s">
        <v>5</v>
      </c>
      <c r="C1095" s="2">
        <f>IFERROR(__xludf.DUMMYFUNCTION("IFERROR(VLOOKUP(A1095, IMPORTRANGE(""https://docs.google.com/spreadsheets/d/1AVX9GT0dgogEBStecCXMMQ29tWz3gBrtNB8yIromXbY/edit?gid=741673867"", ""out1g!A:B""), 2, FALSE), 0)"),425.0)</f>
        <v>425</v>
      </c>
      <c r="D1095" s="2" t="str">
        <f>IFERROR(__xludf.DUMMYFUNCTION("IFERROR(VLOOKUP(A1095, IMPORTRANGE(""https://docs.google.com/spreadsheets/d/1-3Vjw2Cyy-mry5gbC8ypIR3YVGFfEpyFESummAta6sg/edit"", ""Sheet1!B:D""), 2, FALSE), ""Not Found"")"),"dɛltə")</f>
        <v>dɛltə</v>
      </c>
      <c r="E1095" s="2" t="str">
        <f>IFERROR(__xludf.DUMMYFUNCTION("IFERROR(VLOOKUP(A1095, IMPORTRANGE(""https://docs.google.com/spreadsheets/d/1-3Vjw2Cyy-mry5gbC8ypIR3YVGFfEpyFESummAta6sg/edit"", ""Sheet1!B:D""), 3, FALSE), ""Not Found"")"),"d ɛ l t ə ")</f>
        <v>d ɛ l t ə </v>
      </c>
    </row>
    <row r="1096">
      <c r="A1096" s="1" t="s">
        <v>1099</v>
      </c>
      <c r="B1096" s="1" t="s">
        <v>5</v>
      </c>
      <c r="C1096" s="2">
        <f>IFERROR(__xludf.DUMMYFUNCTION("IFERROR(VLOOKUP(A1096, IMPORTRANGE(""https://docs.google.com/spreadsheets/d/1AVX9GT0dgogEBStecCXMMQ29tWz3gBrtNB8yIromXbY/edit?gid=741673867"", ""out1g!A:B""), 2, FALSE), 0)"),85.0)</f>
        <v>85</v>
      </c>
      <c r="D1096" s="2" t="str">
        <f>IFERROR(__xludf.DUMMYFUNCTION("IFERROR(VLOOKUP(A1096, IMPORTRANGE(""https://docs.google.com/spreadsheets/d/1-3Vjw2Cyy-mry5gbC8ypIR3YVGFfEpyFESummAta6sg/edit"", ""Sheet1!B:D""), 2, FALSE), ""Not Found"")"),"bɛrɪŋz")</f>
        <v>bɛrɪŋz</v>
      </c>
      <c r="E1096" s="2" t="str">
        <f>IFERROR(__xludf.DUMMYFUNCTION("IFERROR(VLOOKUP(A1096, IMPORTRANGE(""https://docs.google.com/spreadsheets/d/1-3Vjw2Cyy-mry5gbC8ypIR3YVGFfEpyFESummAta6sg/edit"", ""Sheet1!B:D""), 3, FALSE), ""Not Found"")"),"b ɛ r ɪ ŋ z ")</f>
        <v>b ɛ r ɪ ŋ z </v>
      </c>
    </row>
    <row r="1097">
      <c r="A1097" s="1" t="s">
        <v>1100</v>
      </c>
      <c r="B1097" s="1" t="s">
        <v>5</v>
      </c>
      <c r="C1097" s="2">
        <f>IFERROR(__xludf.DUMMYFUNCTION("IFERROR(VLOOKUP(A1097, IMPORTRANGE(""https://docs.google.com/spreadsheets/d/1AVX9GT0dgogEBStecCXMMQ29tWz3gBrtNB8yIromXbY/edit?gid=741673867"", ""out1g!A:B""), 2, FALSE), 0)"),76.0)</f>
        <v>76</v>
      </c>
      <c r="D1097" s="2" t="str">
        <f>IFERROR(__xludf.DUMMYFUNCTION("IFERROR(VLOOKUP(A1097, IMPORTRANGE(""https://docs.google.com/spreadsheets/d/1-3Vjw2Cyy-mry5gbC8ypIR3YVGFfEpyFESummAta6sg/edit"", ""Sheet1!B:D""), 2, FALSE), ""Not Found"")"),"pɔrz")</f>
        <v>pɔrz</v>
      </c>
      <c r="E1097" s="2" t="str">
        <f>IFERROR(__xludf.DUMMYFUNCTION("IFERROR(VLOOKUP(A1097, IMPORTRANGE(""https://docs.google.com/spreadsheets/d/1-3Vjw2Cyy-mry5gbC8ypIR3YVGFfEpyFESummAta6sg/edit"", ""Sheet1!B:D""), 3, FALSE), ""Not Found"")"),"p ɔ r z ")</f>
        <v>p ɔ r z </v>
      </c>
    </row>
    <row r="1098">
      <c r="A1098" s="1" t="s">
        <v>1101</v>
      </c>
      <c r="B1098" s="1" t="s">
        <v>5</v>
      </c>
      <c r="C1098" s="2">
        <f>IFERROR(__xludf.DUMMYFUNCTION("IFERROR(VLOOKUP(A1098, IMPORTRANGE(""https://docs.google.com/spreadsheets/d/1AVX9GT0dgogEBStecCXMMQ29tWz3gBrtNB8yIromXbY/edit?gid=741673867"", ""out1g!A:B""), 2, FALSE), 0)"),2362.0)</f>
        <v>2362</v>
      </c>
      <c r="D1098" s="2" t="str">
        <f>IFERROR(__xludf.DUMMYFUNCTION("IFERROR(VLOOKUP(A1098, IMPORTRANGE(""https://docs.google.com/spreadsheets/d/1-3Vjw2Cyy-mry5gbC8ypIR3YVGFfEpyFESummAta6sg/edit"", ""Sheet1!B:D""), 2, FALSE), ""Not Found"")"),"ʤi")</f>
        <v>ʤi</v>
      </c>
      <c r="E1098" s="2" t="str">
        <f>IFERROR(__xludf.DUMMYFUNCTION("IFERROR(VLOOKUP(A1098, IMPORTRANGE(""https://docs.google.com/spreadsheets/d/1-3Vjw2Cyy-mry5gbC8ypIR3YVGFfEpyFESummAta6sg/edit"", ""Sheet1!B:D""), 3, FALSE), ""Not Found"")"),"ʤ i ")</f>
        <v>ʤ i </v>
      </c>
    </row>
    <row r="1099">
      <c r="A1099" s="1" t="s">
        <v>1102</v>
      </c>
      <c r="B1099" s="1" t="s">
        <v>5</v>
      </c>
      <c r="C1099" s="2">
        <f>IFERROR(__xludf.DUMMYFUNCTION("IFERROR(VLOOKUP(A1099, IMPORTRANGE(""https://docs.google.com/spreadsheets/d/1AVX9GT0dgogEBStecCXMMQ29tWz3gBrtNB8yIromXbY/edit?gid=741673867"", ""out1g!A:B""), 2, FALSE), 0)"),79.0)</f>
        <v>79</v>
      </c>
      <c r="D1099" s="2" t="str">
        <f>IFERROR(__xludf.DUMMYFUNCTION("IFERROR(VLOOKUP(A1099, IMPORTRANGE(""https://docs.google.com/spreadsheets/d/1-3Vjw2Cyy-mry5gbC8ypIR3YVGFfEpyFESummAta6sg/edit"", ""Sheet1!B:D""), 2, FALSE), ""Not Found"")"),"stɔkt")</f>
        <v>stɔkt</v>
      </c>
      <c r="E1099" s="2" t="str">
        <f>IFERROR(__xludf.DUMMYFUNCTION("IFERROR(VLOOKUP(A1099, IMPORTRANGE(""https://docs.google.com/spreadsheets/d/1-3Vjw2Cyy-mry5gbC8ypIR3YVGFfEpyFESummAta6sg/edit"", ""Sheet1!B:D""), 3, FALSE), ""Not Found"")"),"s t ɔ k t ")</f>
        <v>s t ɔ k t </v>
      </c>
    </row>
    <row r="1100">
      <c r="A1100" s="1" t="s">
        <v>1103</v>
      </c>
      <c r="B1100" s="1" t="s">
        <v>5</v>
      </c>
      <c r="C1100" s="2">
        <f>IFERROR(__xludf.DUMMYFUNCTION("IFERROR(VLOOKUP(A1100, IMPORTRANGE(""https://docs.google.com/spreadsheets/d/1AVX9GT0dgogEBStecCXMMQ29tWz3gBrtNB8yIromXbY/edit?gid=741673867"", ""out1g!A:B""), 2, FALSE), 0)"),1081.0)</f>
        <v>1081</v>
      </c>
      <c r="D1100" s="2" t="str">
        <f>IFERROR(__xludf.DUMMYFUNCTION("IFERROR(VLOOKUP(A1100, IMPORTRANGE(""https://docs.google.com/spreadsheets/d/1-3Vjw2Cyy-mry5gbC8ypIR3YVGFfEpyFESummAta6sg/edit"", ""Sheet1!B:D""), 2, FALSE), ""Not Found"")"),"haɪli")</f>
        <v>haɪli</v>
      </c>
      <c r="E1100" s="2" t="str">
        <f>IFERROR(__xludf.DUMMYFUNCTION("IFERROR(VLOOKUP(A1100, IMPORTRANGE(""https://docs.google.com/spreadsheets/d/1-3Vjw2Cyy-mry5gbC8ypIR3YVGFfEpyFESummAta6sg/edit"", ""Sheet1!B:D""), 3, FALSE), ""Not Found"")"),"h a ɪ l i ")</f>
        <v>h a ɪ l i </v>
      </c>
    </row>
    <row r="1101">
      <c r="A1101" s="1" t="s">
        <v>1104</v>
      </c>
      <c r="B1101" s="1" t="s">
        <v>5</v>
      </c>
      <c r="C1101" s="2">
        <f>IFERROR(__xludf.DUMMYFUNCTION("IFERROR(VLOOKUP(A1101, IMPORTRANGE(""https://docs.google.com/spreadsheets/d/1AVX9GT0dgogEBStecCXMMQ29tWz3gBrtNB8yIromXbY/edit?gid=741673867"", ""out1g!A:B""), 2, FALSE), 0)"),293.0)</f>
        <v>293</v>
      </c>
      <c r="D1101" s="2" t="str">
        <f>IFERROR(__xludf.DUMMYFUNCTION("IFERROR(VLOOKUP(A1101, IMPORTRANGE(""https://docs.google.com/spreadsheets/d/1-3Vjw2Cyy-mry5gbC8ypIR3YVGFfEpyFESummAta6sg/edit"", ""Sheet1!B:D""), 2, FALSE), ""Not Found"")"),"suɪŋ")</f>
        <v>suɪŋ</v>
      </c>
      <c r="E1101" s="2" t="str">
        <f>IFERROR(__xludf.DUMMYFUNCTION("IFERROR(VLOOKUP(A1101, IMPORTRANGE(""https://docs.google.com/spreadsheets/d/1-3Vjw2Cyy-mry5gbC8ypIR3YVGFfEpyFESummAta6sg/edit"", ""Sheet1!B:D""), 3, FALSE), ""Not Found"")"),"s u ɪ ŋ ")</f>
        <v>s u ɪ ŋ </v>
      </c>
    </row>
    <row r="1102">
      <c r="A1102" s="1" t="s">
        <v>1105</v>
      </c>
      <c r="B1102" s="1" t="s">
        <v>5</v>
      </c>
      <c r="C1102" s="2">
        <f>IFERROR(__xludf.DUMMYFUNCTION("IFERROR(VLOOKUP(A1102, IMPORTRANGE(""https://docs.google.com/spreadsheets/d/1AVX9GT0dgogEBStecCXMMQ29tWz3gBrtNB8yIromXbY/edit?gid=741673867"", ""out1g!A:B""), 2, FALSE), 0)"),231.0)</f>
        <v>231</v>
      </c>
      <c r="D1102" s="2" t="str">
        <f>IFERROR(__xludf.DUMMYFUNCTION("IFERROR(VLOOKUP(A1102, IMPORTRANGE(""https://docs.google.com/spreadsheets/d/1-3Vjw2Cyy-mry5gbC8ypIR3YVGFfEpyFESummAta6sg/edit"", ""Sheet1!B:D""), 2, FALSE), ""Not Found"")"),"pæks")</f>
        <v>pæks</v>
      </c>
      <c r="E1102" s="2" t="str">
        <f>IFERROR(__xludf.DUMMYFUNCTION("IFERROR(VLOOKUP(A1102, IMPORTRANGE(""https://docs.google.com/spreadsheets/d/1-3Vjw2Cyy-mry5gbC8ypIR3YVGFfEpyFESummAta6sg/edit"", ""Sheet1!B:D""), 3, FALSE), ""Not Found"")"),"p æ k s ")</f>
        <v>p æ k s </v>
      </c>
    </row>
    <row r="1103">
      <c r="A1103" s="1" t="s">
        <v>1106</v>
      </c>
      <c r="B1103" s="1" t="s">
        <v>5</v>
      </c>
      <c r="C1103" s="2">
        <f>IFERROR(__xludf.DUMMYFUNCTION("IFERROR(VLOOKUP(A1103, IMPORTRANGE(""https://docs.google.com/spreadsheets/d/1AVX9GT0dgogEBStecCXMMQ29tWz3gBrtNB8yIromXbY/edit?gid=741673867"", ""out1g!A:B""), 2, FALSE), 0)"),914.0)</f>
        <v>914</v>
      </c>
      <c r="D1103" s="2" t="str">
        <f>IFERROR(__xludf.DUMMYFUNCTION("IFERROR(VLOOKUP(A1103, IMPORTRANGE(""https://docs.google.com/spreadsheets/d/1-3Vjw2Cyy-mry5gbC8ypIR3YVGFfEpyFESummAta6sg/edit"", ""Sheet1!B:D""), 2, FALSE), ""Not Found"")"),"sent")</f>
        <v>sent</v>
      </c>
      <c r="E1103" s="2" t="str">
        <f>IFERROR(__xludf.DUMMYFUNCTION("IFERROR(VLOOKUP(A1103, IMPORTRANGE(""https://docs.google.com/spreadsheets/d/1-3Vjw2Cyy-mry5gbC8ypIR3YVGFfEpyFESummAta6sg/edit"", ""Sheet1!B:D""), 3, FALSE), ""Not Found"")"),"s e n t ")</f>
        <v>s e n t </v>
      </c>
    </row>
    <row r="1104">
      <c r="A1104" s="1" t="s">
        <v>1107</v>
      </c>
      <c r="B1104" s="1" t="s">
        <v>5</v>
      </c>
      <c r="C1104" s="2">
        <f>IFERROR(__xludf.DUMMYFUNCTION("IFERROR(VLOOKUP(A1104, IMPORTRANGE(""https://docs.google.com/spreadsheets/d/1AVX9GT0dgogEBStecCXMMQ29tWz3gBrtNB8yIromXbY/edit?gid=741673867"", ""out1g!A:B""), 2, FALSE), 0)"),19.0)</f>
        <v>19</v>
      </c>
      <c r="D1104" s="2" t="str">
        <f>IFERROR(__xludf.DUMMYFUNCTION("IFERROR(VLOOKUP(A1104, IMPORTRANGE(""https://docs.google.com/spreadsheets/d/1-3Vjw2Cyy-mry5gbC8ypIR3YVGFfEpyFESummAta6sg/edit"", ""Sheet1!B:D""), 2, FALSE), ""Not Found"")"),"prɪm")</f>
        <v>prɪm</v>
      </c>
      <c r="E1104" s="2" t="str">
        <f>IFERROR(__xludf.DUMMYFUNCTION("IFERROR(VLOOKUP(A1104, IMPORTRANGE(""https://docs.google.com/spreadsheets/d/1-3Vjw2Cyy-mry5gbC8ypIR3YVGFfEpyFESummAta6sg/edit"", ""Sheet1!B:D""), 3, FALSE), ""Not Found"")"),"p r ɪ m ")</f>
        <v>p r ɪ m </v>
      </c>
    </row>
    <row r="1105">
      <c r="A1105" s="1" t="s">
        <v>1108</v>
      </c>
      <c r="B1105" s="1" t="s">
        <v>5</v>
      </c>
      <c r="C1105" s="2">
        <f>IFERROR(__xludf.DUMMYFUNCTION("IFERROR(VLOOKUP(A1105, IMPORTRANGE(""https://docs.google.com/spreadsheets/d/1AVX9GT0dgogEBStecCXMMQ29tWz3gBrtNB8yIromXbY/edit?gid=741673867"", ""out1g!A:B""), 2, FALSE), 0)"),43.0)</f>
        <v>43</v>
      </c>
      <c r="D1105" s="2" t="str">
        <f>IFERROR(__xludf.DUMMYFUNCTION("IFERROR(VLOOKUP(A1105, IMPORTRANGE(""https://docs.google.com/spreadsheets/d/1-3Vjw2Cyy-mry5gbC8ypIR3YVGFfEpyFESummAta6sg/edit"", ""Sheet1!B:D""), 2, FALSE), ""Not Found"")"),"butiz")</f>
        <v>butiz</v>
      </c>
      <c r="E1105" s="2" t="str">
        <f>IFERROR(__xludf.DUMMYFUNCTION("IFERROR(VLOOKUP(A1105, IMPORTRANGE(""https://docs.google.com/spreadsheets/d/1-3Vjw2Cyy-mry5gbC8ypIR3YVGFfEpyFESummAta6sg/edit"", ""Sheet1!B:D""), 3, FALSE), ""Not Found"")"),"b u t i z ")</f>
        <v>b u t i z </v>
      </c>
    </row>
    <row r="1106">
      <c r="A1106" s="1" t="s">
        <v>1109</v>
      </c>
      <c r="B1106" s="1" t="s">
        <v>5</v>
      </c>
      <c r="C1106" s="2">
        <f>IFERROR(__xludf.DUMMYFUNCTION("IFERROR(VLOOKUP(A1106, IMPORTRANGE(""https://docs.google.com/spreadsheets/d/1AVX9GT0dgogEBStecCXMMQ29tWz3gBrtNB8yIromXbY/edit?gid=741673867"", ""out1g!A:B""), 2, FALSE), 0)"),571.0)</f>
        <v>571</v>
      </c>
      <c r="D1106" s="2" t="str">
        <f>IFERROR(__xludf.DUMMYFUNCTION("IFERROR(VLOOKUP(A1106, IMPORTRANGE(""https://docs.google.com/spreadsheets/d/1-3Vjw2Cyy-mry5gbC8ypIR3YVGFfEpyFESummAta6sg/edit"", ""Sheet1!B:D""), 2, FALSE), ""Not Found"")"),"gɪg")</f>
        <v>gɪg</v>
      </c>
      <c r="E1106" s="2" t="str">
        <f>IFERROR(__xludf.DUMMYFUNCTION("IFERROR(VLOOKUP(A1106, IMPORTRANGE(""https://docs.google.com/spreadsheets/d/1-3Vjw2Cyy-mry5gbC8ypIR3YVGFfEpyFESummAta6sg/edit"", ""Sheet1!B:D""), 3, FALSE), ""Not Found"")"),"g ɪ g ")</f>
        <v>g ɪ g </v>
      </c>
    </row>
    <row r="1107">
      <c r="A1107" s="1" t="s">
        <v>1110</v>
      </c>
      <c r="B1107" s="1" t="s">
        <v>5</v>
      </c>
      <c r="C1107" s="2">
        <f>IFERROR(__xludf.DUMMYFUNCTION("IFERROR(VLOOKUP(A1107, IMPORTRANGE(""https://docs.google.com/spreadsheets/d/1AVX9GT0dgogEBStecCXMMQ29tWz3gBrtNB8yIromXbY/edit?gid=741673867"", ""out1g!A:B""), 2, FALSE), 0)"),2150.0)</f>
        <v>2150</v>
      </c>
      <c r="D1107" s="2" t="str">
        <f>IFERROR(__xludf.DUMMYFUNCTION("IFERROR(VLOOKUP(A1107, IMPORTRANGE(""https://docs.google.com/spreadsheets/d/1-3Vjw2Cyy-mry5gbC8ypIR3YVGFfEpyFESummAta6sg/edit"", ""Sheet1!B:D""), 2, FALSE), ""Not Found"")"),"əgli")</f>
        <v>əgli</v>
      </c>
      <c r="E1107" s="2" t="str">
        <f>IFERROR(__xludf.DUMMYFUNCTION("IFERROR(VLOOKUP(A1107, IMPORTRANGE(""https://docs.google.com/spreadsheets/d/1-3Vjw2Cyy-mry5gbC8ypIR3YVGFfEpyFESummAta6sg/edit"", ""Sheet1!B:D""), 3, FALSE), ""Not Found"")"),"ə g l i ")</f>
        <v>ə g l i </v>
      </c>
    </row>
    <row r="1108">
      <c r="A1108" s="1" t="s">
        <v>1111</v>
      </c>
      <c r="B1108" s="1" t="s">
        <v>5</v>
      </c>
      <c r="C1108" s="2">
        <f>IFERROR(__xludf.DUMMYFUNCTION("IFERROR(VLOOKUP(A1108, IMPORTRANGE(""https://docs.google.com/spreadsheets/d/1AVX9GT0dgogEBStecCXMMQ29tWz3gBrtNB8yIromXbY/edit?gid=741673867"", ""out1g!A:B""), 2, FALSE), 0)"),199.0)</f>
        <v>199</v>
      </c>
      <c r="D1108" s="2" t="str">
        <f>IFERROR(__xludf.DUMMYFUNCTION("IFERROR(VLOOKUP(A1108, IMPORTRANGE(""https://docs.google.com/spreadsheets/d/1-3Vjw2Cyy-mry5gbC8ypIR3YVGFfEpyFESummAta6sg/edit"", ""Sheet1!B:D""), 2, FALSE), ""Not Found"")"),"grisi")</f>
        <v>grisi</v>
      </c>
      <c r="E1108" s="2" t="str">
        <f>IFERROR(__xludf.DUMMYFUNCTION("IFERROR(VLOOKUP(A1108, IMPORTRANGE(""https://docs.google.com/spreadsheets/d/1-3Vjw2Cyy-mry5gbC8ypIR3YVGFfEpyFESummAta6sg/edit"", ""Sheet1!B:D""), 3, FALSE), ""Not Found"")"),"g r i s i ")</f>
        <v>g r i s i </v>
      </c>
    </row>
    <row r="1109">
      <c r="A1109" s="1" t="s">
        <v>1112</v>
      </c>
      <c r="B1109" s="1" t="s">
        <v>5</v>
      </c>
      <c r="C1109" s="2">
        <f>IFERROR(__xludf.DUMMYFUNCTION("IFERROR(VLOOKUP(A1109, IMPORTRANGE(""https://docs.google.com/spreadsheets/d/1AVX9GT0dgogEBStecCXMMQ29tWz3gBrtNB8yIromXbY/edit?gid=741673867"", ""out1g!A:B""), 2, FALSE), 0)"),153.0)</f>
        <v>153</v>
      </c>
      <c r="D1109" s="2" t="str">
        <f>IFERROR(__xludf.DUMMYFUNCTION("IFERROR(VLOOKUP(A1109, IMPORTRANGE(""https://docs.google.com/spreadsheets/d/1-3Vjw2Cyy-mry5gbC8ypIR3YVGFfEpyFESummAta6sg/edit"", ""Sheet1!B:D""), 2, FALSE), ""Not Found"")"),"mədi")</f>
        <v>mədi</v>
      </c>
      <c r="E1109" s="2" t="str">
        <f>IFERROR(__xludf.DUMMYFUNCTION("IFERROR(VLOOKUP(A1109, IMPORTRANGE(""https://docs.google.com/spreadsheets/d/1-3Vjw2Cyy-mry5gbC8ypIR3YVGFfEpyFESummAta6sg/edit"", ""Sheet1!B:D""), 3, FALSE), ""Not Found"")"),"m ə d i ")</f>
        <v>m ə d i </v>
      </c>
    </row>
    <row r="1110">
      <c r="A1110" s="1" t="s">
        <v>1113</v>
      </c>
      <c r="B1110" s="1" t="s">
        <v>5</v>
      </c>
      <c r="C1110" s="2">
        <f>IFERROR(__xludf.DUMMYFUNCTION("IFERROR(VLOOKUP(A1110, IMPORTRANGE(""https://docs.google.com/spreadsheets/d/1AVX9GT0dgogEBStecCXMMQ29tWz3gBrtNB8yIromXbY/edit?gid=741673867"", ""out1g!A:B""), 2, FALSE), 0)"),709.0)</f>
        <v>709</v>
      </c>
      <c r="D1110" s="2" t="str">
        <f>IFERROR(__xludf.DUMMYFUNCTION("IFERROR(VLOOKUP(A1110, IMPORTRANGE(""https://docs.google.com/spreadsheets/d/1-3Vjw2Cyy-mry5gbC8ypIR3YVGFfEpyFESummAta6sg/edit"", ""Sheet1!B:D""), 2, FALSE), ""Not Found"")"),"kaʊntər")</f>
        <v>kaʊntər</v>
      </c>
      <c r="E1110" s="2" t="str">
        <f>IFERROR(__xludf.DUMMYFUNCTION("IFERROR(VLOOKUP(A1110, IMPORTRANGE(""https://docs.google.com/spreadsheets/d/1-3Vjw2Cyy-mry5gbC8ypIR3YVGFfEpyFESummAta6sg/edit"", ""Sheet1!B:D""), 3, FALSE), ""Not Found"")"),"k a ʊ n t ə r ")</f>
        <v>k a ʊ n t ə r </v>
      </c>
    </row>
    <row r="1111">
      <c r="A1111" s="1" t="s">
        <v>1114</v>
      </c>
      <c r="B1111" s="1" t="s">
        <v>5</v>
      </c>
      <c r="C1111" s="2">
        <f>IFERROR(__xludf.DUMMYFUNCTION("IFERROR(VLOOKUP(A1111, IMPORTRANGE(""https://docs.google.com/spreadsheets/d/1AVX9GT0dgogEBStecCXMMQ29tWz3gBrtNB8yIromXbY/edit?gid=741673867"", ""out1g!A:B""), 2, FALSE), 0)"),3558.0)</f>
        <v>3558</v>
      </c>
      <c r="D1111" s="2" t="str">
        <f>IFERROR(__xludf.DUMMYFUNCTION("IFERROR(VLOOKUP(A1111, IMPORTRANGE(""https://docs.google.com/spreadsheets/d/1-3Vjw2Cyy-mry5gbC8ypIR3YVGFfEpyFESummAta6sg/edit"", ""Sheet1!B:D""), 2, FALSE), ""Not Found"")"),"sevd")</f>
        <v>sevd</v>
      </c>
      <c r="E1111" s="2" t="str">
        <f>IFERROR(__xludf.DUMMYFUNCTION("IFERROR(VLOOKUP(A1111, IMPORTRANGE(""https://docs.google.com/spreadsheets/d/1-3Vjw2Cyy-mry5gbC8ypIR3YVGFfEpyFESummAta6sg/edit"", ""Sheet1!B:D""), 3, FALSE), ""Not Found"")"),"s e v d ")</f>
        <v>s e v d </v>
      </c>
    </row>
    <row r="1112">
      <c r="A1112" s="1" t="s">
        <v>1115</v>
      </c>
      <c r="B1112" s="1" t="s">
        <v>5</v>
      </c>
      <c r="C1112" s="2">
        <f>IFERROR(__xludf.DUMMYFUNCTION("IFERROR(VLOOKUP(A1112, IMPORTRANGE(""https://docs.google.com/spreadsheets/d/1AVX9GT0dgogEBStecCXMMQ29tWz3gBrtNB8yIromXbY/edit?gid=741673867"", ""out1g!A:B""), 2, FALSE), 0)"),57.0)</f>
        <v>57</v>
      </c>
      <c r="D1112" s="2" t="str">
        <f>IFERROR(__xludf.DUMMYFUNCTION("IFERROR(VLOOKUP(A1112, IMPORTRANGE(""https://docs.google.com/spreadsheets/d/1-3Vjw2Cyy-mry5gbC8ypIR3YVGFfEpyFESummAta6sg/edit"", ""Sheet1!B:D""), 2, FALSE), ""Not Found"")"),"rɪvɪr")</f>
        <v>rɪvɪr</v>
      </c>
      <c r="E1112" s="2" t="str">
        <f>IFERROR(__xludf.DUMMYFUNCTION("IFERROR(VLOOKUP(A1112, IMPORTRANGE(""https://docs.google.com/spreadsheets/d/1-3Vjw2Cyy-mry5gbC8ypIR3YVGFfEpyFESummAta6sg/edit"", ""Sheet1!B:D""), 3, FALSE), ""Not Found"")"),"r ɪ v ɪ r ")</f>
        <v>r ɪ v ɪ r </v>
      </c>
    </row>
    <row r="1113">
      <c r="A1113" s="1" t="s">
        <v>1116</v>
      </c>
      <c r="B1113" s="1" t="s">
        <v>5</v>
      </c>
      <c r="C1113" s="2">
        <f>IFERROR(__xludf.DUMMYFUNCTION("IFERROR(VLOOKUP(A1113, IMPORTRANGE(""https://docs.google.com/spreadsheets/d/1AVX9GT0dgogEBStecCXMMQ29tWz3gBrtNB8yIromXbY/edit?gid=741673867"", ""out1g!A:B""), 2, FALSE), 0)"),178.0)</f>
        <v>178</v>
      </c>
      <c r="D1113" s="2" t="str">
        <f>IFERROR(__xludf.DUMMYFUNCTION("IFERROR(VLOOKUP(A1113, IMPORTRANGE(""https://docs.google.com/spreadsheets/d/1-3Vjw2Cyy-mry5gbC8ypIR3YVGFfEpyFESummAta6sg/edit"", ""Sheet1!B:D""), 2, FALSE), ""Not Found"")"),"mæt")</f>
        <v>mæt</v>
      </c>
      <c r="E1113" s="2" t="str">
        <f>IFERROR(__xludf.DUMMYFUNCTION("IFERROR(VLOOKUP(A1113, IMPORTRANGE(""https://docs.google.com/spreadsheets/d/1-3Vjw2Cyy-mry5gbC8ypIR3YVGFfEpyFESummAta6sg/edit"", ""Sheet1!B:D""), 3, FALSE), ""Not Found"")"),"m æ t ")</f>
        <v>m æ t </v>
      </c>
    </row>
    <row r="1114">
      <c r="A1114" s="1" t="s">
        <v>1117</v>
      </c>
      <c r="B1114" s="1" t="s">
        <v>5</v>
      </c>
      <c r="C1114" s="2">
        <f>IFERROR(__xludf.DUMMYFUNCTION("IFERROR(VLOOKUP(A1114, IMPORTRANGE(""https://docs.google.com/spreadsheets/d/1AVX9GT0dgogEBStecCXMMQ29tWz3gBrtNB8yIromXbY/edit?gid=741673867"", ""out1g!A:B""), 2, FALSE), 0)"),391.0)</f>
        <v>391</v>
      </c>
      <c r="D1114" s="2" t="str">
        <f>IFERROR(__xludf.DUMMYFUNCTION("IFERROR(VLOOKUP(A1114, IMPORTRANGE(""https://docs.google.com/spreadsheets/d/1-3Vjw2Cyy-mry5gbC8ypIR3YVGFfEpyFESummAta6sg/edit"", ""Sheet1!B:D""), 2, FALSE), ""Not Found"")"),"pɛri")</f>
        <v>pɛri</v>
      </c>
      <c r="E1114" s="2" t="str">
        <f>IFERROR(__xludf.DUMMYFUNCTION("IFERROR(VLOOKUP(A1114, IMPORTRANGE(""https://docs.google.com/spreadsheets/d/1-3Vjw2Cyy-mry5gbC8ypIR3YVGFfEpyFESummAta6sg/edit"", ""Sheet1!B:D""), 3, FALSE), ""Not Found"")"),"p ɛ r i ")</f>
        <v>p ɛ r i </v>
      </c>
    </row>
    <row r="1115">
      <c r="A1115" s="1" t="s">
        <v>1118</v>
      </c>
      <c r="B1115" s="1" t="s">
        <v>5</v>
      </c>
      <c r="C1115" s="2">
        <f>IFERROR(__xludf.DUMMYFUNCTION("IFERROR(VLOOKUP(A1115, IMPORTRANGE(""https://docs.google.com/spreadsheets/d/1AVX9GT0dgogEBStecCXMMQ29tWz3gBrtNB8yIromXbY/edit?gid=741673867"", ""out1g!A:B""), 2, FALSE), 0)"),325.0)</f>
        <v>325</v>
      </c>
      <c r="D1115" s="2" t="str">
        <f>IFERROR(__xludf.DUMMYFUNCTION("IFERROR(VLOOKUP(A1115, IMPORTRANGE(""https://docs.google.com/spreadsheets/d/1-3Vjw2Cyy-mry5gbC8ypIR3YVGFfEpyFESummAta6sg/edit"", ""Sheet1!B:D""), 2, FALSE), ""Not Found"")"),"he")</f>
        <v>he</v>
      </c>
      <c r="E1115" s="2" t="str">
        <f>IFERROR(__xludf.DUMMYFUNCTION("IFERROR(VLOOKUP(A1115, IMPORTRANGE(""https://docs.google.com/spreadsheets/d/1-3Vjw2Cyy-mry5gbC8ypIR3YVGFfEpyFESummAta6sg/edit"", ""Sheet1!B:D""), 3, FALSE), ""Not Found"")"),"h e ")</f>
        <v>h e </v>
      </c>
    </row>
    <row r="1116">
      <c r="A1116" s="1" t="s">
        <v>1119</v>
      </c>
      <c r="B1116" s="1" t="s">
        <v>5</v>
      </c>
      <c r="C1116" s="2">
        <f>IFERROR(__xludf.DUMMYFUNCTION("IFERROR(VLOOKUP(A1116, IMPORTRANGE(""https://docs.google.com/spreadsheets/d/1AVX9GT0dgogEBStecCXMMQ29tWz3gBrtNB8yIromXbY/edit?gid=741673867"", ""out1g!A:B""), 2, FALSE), 0)"),3383.0)</f>
        <v>3383</v>
      </c>
      <c r="D1116" s="2" t="str">
        <f>IFERROR(__xludf.DUMMYFUNCTION("IFERROR(VLOOKUP(A1116, IMPORTRANGE(""https://docs.google.com/spreadsheets/d/1-3Vjw2Cyy-mry5gbC8ypIR3YVGFfEpyFESummAta6sg/edit"", ""Sheet1!B:D""), 2, FALSE), ""Not Found"")"),"kæt")</f>
        <v>kæt</v>
      </c>
      <c r="E1116" s="2" t="str">
        <f>IFERROR(__xludf.DUMMYFUNCTION("IFERROR(VLOOKUP(A1116, IMPORTRANGE(""https://docs.google.com/spreadsheets/d/1-3Vjw2Cyy-mry5gbC8ypIR3YVGFfEpyFESummAta6sg/edit"", ""Sheet1!B:D""), 3, FALSE), ""Not Found"")"),"k æ t ")</f>
        <v>k æ t </v>
      </c>
    </row>
    <row r="1117">
      <c r="A1117" s="1" t="s">
        <v>1120</v>
      </c>
      <c r="B1117" s="1" t="s">
        <v>5</v>
      </c>
      <c r="C1117" s="2">
        <f>IFERROR(__xludf.DUMMYFUNCTION("IFERROR(VLOOKUP(A1117, IMPORTRANGE(""https://docs.google.com/spreadsheets/d/1AVX9GT0dgogEBStecCXMMQ29tWz3gBrtNB8yIromXbY/edit?gid=741673867"", ""out1g!A:B""), 2, FALSE), 0)"),50.0)</f>
        <v>50</v>
      </c>
      <c r="D1117" s="2" t="str">
        <f>IFERROR(__xludf.DUMMYFUNCTION("IFERROR(VLOOKUP(A1117, IMPORTRANGE(""https://docs.google.com/spreadsheets/d/1-3Vjw2Cyy-mry5gbC8ypIR3YVGFfEpyFESummAta6sg/edit"", ""Sheet1!B:D""), 2, FALSE), ""Not Found"")"),"sɑgi")</f>
        <v>sɑgi</v>
      </c>
      <c r="E1117" s="2" t="str">
        <f>IFERROR(__xludf.DUMMYFUNCTION("IFERROR(VLOOKUP(A1117, IMPORTRANGE(""https://docs.google.com/spreadsheets/d/1-3Vjw2Cyy-mry5gbC8ypIR3YVGFfEpyFESummAta6sg/edit"", ""Sheet1!B:D""), 3, FALSE), ""Not Found"")"),"s ɑ g i ")</f>
        <v>s ɑ g i </v>
      </c>
    </row>
    <row r="1118">
      <c r="A1118" s="1" t="s">
        <v>1121</v>
      </c>
      <c r="B1118" s="1" t="s">
        <v>5</v>
      </c>
      <c r="C1118" s="2">
        <f>IFERROR(__xludf.DUMMYFUNCTION("IFERROR(VLOOKUP(A1118, IMPORTRANGE(""https://docs.google.com/spreadsheets/d/1AVX9GT0dgogEBStecCXMMQ29tWz3gBrtNB8yIromXbY/edit?gid=741673867"", ""out1g!A:B""), 2, FALSE), 0)"),807.0)</f>
        <v>807</v>
      </c>
      <c r="D1118" s="2" t="str">
        <f>IFERROR(__xludf.DUMMYFUNCTION("IFERROR(VLOOKUP(A1118, IMPORTRANGE(""https://docs.google.com/spreadsheets/d/1-3Vjw2Cyy-mry5gbC8ypIR3YVGFfEpyFESummAta6sg/edit"", ""Sheet1!B:D""), 2, FALSE), ""Not Found"")"),"traɪz")</f>
        <v>traɪz</v>
      </c>
      <c r="E1118" s="2" t="str">
        <f>IFERROR(__xludf.DUMMYFUNCTION("IFERROR(VLOOKUP(A1118, IMPORTRANGE(""https://docs.google.com/spreadsheets/d/1-3Vjw2Cyy-mry5gbC8ypIR3YVGFfEpyFESummAta6sg/edit"", ""Sheet1!B:D""), 3, FALSE), ""Not Found"")"),"t r a ɪ z ")</f>
        <v>t r a ɪ z </v>
      </c>
    </row>
    <row r="1119">
      <c r="A1119" s="1" t="s">
        <v>1122</v>
      </c>
      <c r="B1119" s="1" t="s">
        <v>5</v>
      </c>
      <c r="C1119" s="2">
        <f>IFERROR(__xludf.DUMMYFUNCTION("IFERROR(VLOOKUP(A1119, IMPORTRANGE(""https://docs.google.com/spreadsheets/d/1AVX9GT0dgogEBStecCXMMQ29tWz3gBrtNB8yIromXbY/edit?gid=741673867"", ""out1g!A:B""), 2, FALSE), 0)"),24.0)</f>
        <v>24</v>
      </c>
      <c r="D1119" s="2" t="str">
        <f>IFERROR(__xludf.DUMMYFUNCTION("IFERROR(VLOOKUP(A1119, IMPORTRANGE(""https://docs.google.com/spreadsheets/d/1-3Vjw2Cyy-mry5gbC8ypIR3YVGFfEpyFESummAta6sg/edit"", ""Sheet1!B:D""), 2, FALSE), ""Not Found"")"),"slər")</f>
        <v>slər</v>
      </c>
      <c r="E1119" s="2" t="str">
        <f>IFERROR(__xludf.DUMMYFUNCTION("IFERROR(VLOOKUP(A1119, IMPORTRANGE(""https://docs.google.com/spreadsheets/d/1-3Vjw2Cyy-mry5gbC8ypIR3YVGFfEpyFESummAta6sg/edit"", ""Sheet1!B:D""), 3, FALSE), ""Not Found"")"),"s l ə r ")</f>
        <v>s l ə r </v>
      </c>
    </row>
    <row r="1120">
      <c r="A1120" s="1" t="s">
        <v>1123</v>
      </c>
      <c r="B1120" s="1" t="s">
        <v>5</v>
      </c>
      <c r="C1120" s="2">
        <f>IFERROR(__xludf.DUMMYFUNCTION("IFERROR(VLOOKUP(A1120, IMPORTRANGE(""https://docs.google.com/spreadsheets/d/1AVX9GT0dgogEBStecCXMMQ29tWz3gBrtNB8yIromXbY/edit?gid=741673867"", ""out1g!A:B""), 2, FALSE), 0)"),7878.0)</f>
        <v>7878</v>
      </c>
      <c r="D1120" s="2" t="str">
        <f>IFERROR(__xludf.DUMMYFUNCTION("IFERROR(VLOOKUP(A1120, IMPORTRANGE(""https://docs.google.com/spreadsheets/d/1-3Vjw2Cyy-mry5gbC8ypIR3YVGFfEpyFESummAta6sg/edit"", ""Sheet1!B:D""), 2, FALSE), ""Not Found"")"),"əlaɪv")</f>
        <v>əlaɪv</v>
      </c>
      <c r="E1120" s="2" t="str">
        <f>IFERROR(__xludf.DUMMYFUNCTION("IFERROR(VLOOKUP(A1120, IMPORTRANGE(""https://docs.google.com/spreadsheets/d/1-3Vjw2Cyy-mry5gbC8ypIR3YVGFfEpyFESummAta6sg/edit"", ""Sheet1!B:D""), 3, FALSE), ""Not Found"")"),"ə l a ɪ v ")</f>
        <v>ə l a ɪ v </v>
      </c>
    </row>
    <row r="1121">
      <c r="A1121" s="1" t="s">
        <v>1124</v>
      </c>
      <c r="B1121" s="1" t="s">
        <v>5</v>
      </c>
      <c r="C1121" s="2">
        <f>IFERROR(__xludf.DUMMYFUNCTION("IFERROR(VLOOKUP(A1121, IMPORTRANGE(""https://docs.google.com/spreadsheets/d/1AVX9GT0dgogEBStecCXMMQ29tWz3gBrtNB8yIromXbY/edit?gid=741673867"", ""out1g!A:B""), 2, FALSE), 0)"),612.0)</f>
        <v>612</v>
      </c>
      <c r="D1121" s="2" t="str">
        <f>IFERROR(__xludf.DUMMYFUNCTION("IFERROR(VLOOKUP(A1121, IMPORTRANGE(""https://docs.google.com/spreadsheets/d/1-3Vjw2Cyy-mry5gbC8ypIR3YVGFfEpyFESummAta6sg/edit"", ""Sheet1!B:D""), 2, FALSE), ""Not Found"")"),"lɔɪəl")</f>
        <v>lɔɪəl</v>
      </c>
      <c r="E1121" s="2" t="str">
        <f>IFERROR(__xludf.DUMMYFUNCTION("IFERROR(VLOOKUP(A1121, IMPORTRANGE(""https://docs.google.com/spreadsheets/d/1-3Vjw2Cyy-mry5gbC8ypIR3YVGFfEpyFESummAta6sg/edit"", ""Sheet1!B:D""), 3, FALSE), ""Not Found"")"),"l ɔ ɪ ə l ")</f>
        <v>l ɔ ɪ ə l </v>
      </c>
    </row>
    <row r="1122">
      <c r="A1122" s="1" t="s">
        <v>1125</v>
      </c>
      <c r="B1122" s="1" t="s">
        <v>5</v>
      </c>
      <c r="C1122" s="2">
        <f>IFERROR(__xludf.DUMMYFUNCTION("IFERROR(VLOOKUP(A1122, IMPORTRANGE(""https://docs.google.com/spreadsheets/d/1AVX9GT0dgogEBStecCXMMQ29tWz3gBrtNB8yIromXbY/edit?gid=741673867"", ""out1g!A:B""), 2, FALSE), 0)"),293.0)</f>
        <v>293</v>
      </c>
      <c r="D1122" s="2" t="str">
        <f>IFERROR(__xludf.DUMMYFUNCTION("IFERROR(VLOOKUP(A1122, IMPORTRANGE(""https://docs.google.com/spreadsheets/d/1-3Vjw2Cyy-mry5gbC8ypIR3YVGFfEpyFESummAta6sg/edit"", ""Sheet1!B:D""), 2, FALSE), ""Not Found"")"),"roʊlər")</f>
        <v>roʊlər</v>
      </c>
      <c r="E1122" s="2" t="str">
        <f>IFERROR(__xludf.DUMMYFUNCTION("IFERROR(VLOOKUP(A1122, IMPORTRANGE(""https://docs.google.com/spreadsheets/d/1-3Vjw2Cyy-mry5gbC8ypIR3YVGFfEpyFESummAta6sg/edit"", ""Sheet1!B:D""), 3, FALSE), ""Not Found"")"),"r o ʊ l ə r ")</f>
        <v>r o ʊ l ə r </v>
      </c>
    </row>
    <row r="1123">
      <c r="A1123" s="1" t="s">
        <v>1126</v>
      </c>
      <c r="B1123" s="1" t="s">
        <v>5</v>
      </c>
      <c r="C1123" s="2">
        <f>IFERROR(__xludf.DUMMYFUNCTION("IFERROR(VLOOKUP(A1123, IMPORTRANGE(""https://docs.google.com/spreadsheets/d/1AVX9GT0dgogEBStecCXMMQ29tWz3gBrtNB8yIromXbY/edit?gid=741673867"", ""out1g!A:B""), 2, FALSE), 0)"),895.0)</f>
        <v>895</v>
      </c>
      <c r="D1123" s="2" t="str">
        <f>IFERROR(__xludf.DUMMYFUNCTION("IFERROR(VLOOKUP(A1123, IMPORTRANGE(""https://docs.google.com/spreadsheets/d/1-3Vjw2Cyy-mry5gbC8ypIR3YVGFfEpyFESummAta6sg/edit"", ""Sheet1!B:D""), 2, FALSE), ""Not Found"")"),"suts")</f>
        <v>suts</v>
      </c>
      <c r="E1123" s="2" t="str">
        <f>IFERROR(__xludf.DUMMYFUNCTION("IFERROR(VLOOKUP(A1123, IMPORTRANGE(""https://docs.google.com/spreadsheets/d/1-3Vjw2Cyy-mry5gbC8ypIR3YVGFfEpyFESummAta6sg/edit"", ""Sheet1!B:D""), 3, FALSE), ""Not Found"")"),"s u t s ")</f>
        <v>s u t s </v>
      </c>
    </row>
    <row r="1124">
      <c r="A1124" s="1" t="s">
        <v>1127</v>
      </c>
      <c r="B1124" s="1" t="s">
        <v>5</v>
      </c>
      <c r="C1124" s="2">
        <f>IFERROR(__xludf.DUMMYFUNCTION("IFERROR(VLOOKUP(A1124, IMPORTRANGE(""https://docs.google.com/spreadsheets/d/1AVX9GT0dgogEBStecCXMMQ29tWz3gBrtNB8yIromXbY/edit?gid=741673867"", ""out1g!A:B""), 2, FALSE), 0)"),10.0)</f>
        <v>10</v>
      </c>
      <c r="D1124" s="2" t="str">
        <f>IFERROR(__xludf.DUMMYFUNCTION("IFERROR(VLOOKUP(A1124, IMPORTRANGE(""https://docs.google.com/spreadsheets/d/1-3Vjw2Cyy-mry5gbC8ypIR3YVGFfEpyFESummAta6sg/edit"", ""Sheet1!B:D""), 2, FALSE), ""Not Found"")"),"hivd")</f>
        <v>hivd</v>
      </c>
      <c r="E1124" s="2" t="str">
        <f>IFERROR(__xludf.DUMMYFUNCTION("IFERROR(VLOOKUP(A1124, IMPORTRANGE(""https://docs.google.com/spreadsheets/d/1-3Vjw2Cyy-mry5gbC8ypIR3YVGFfEpyFESummAta6sg/edit"", ""Sheet1!B:D""), 3, FALSE), ""Not Found"")"),"h i v d ")</f>
        <v>h i v d </v>
      </c>
    </row>
    <row r="1125">
      <c r="A1125" s="1" t="s">
        <v>1128</v>
      </c>
      <c r="B1125" s="1" t="s">
        <v>5</v>
      </c>
      <c r="C1125" s="2">
        <f>IFERROR(__xludf.DUMMYFUNCTION("IFERROR(VLOOKUP(A1125, IMPORTRANGE(""https://docs.google.com/spreadsheets/d/1AVX9GT0dgogEBStecCXMMQ29tWz3gBrtNB8yIromXbY/edit?gid=741673867"", ""out1g!A:B""), 2, FALSE), 0)"),185.0)</f>
        <v>185</v>
      </c>
      <c r="D1125" s="2" t="str">
        <f>IFERROR(__xludf.DUMMYFUNCTION("IFERROR(VLOOKUP(A1125, IMPORTRANGE(""https://docs.google.com/spreadsheets/d/1-3Vjw2Cyy-mry5gbC8ypIR3YVGFfEpyFESummAta6sg/edit"", ""Sheet1!B:D""), 2, FALSE), ""Not Found"")"),"swɑp")</f>
        <v>swɑp</v>
      </c>
      <c r="E1125" s="2" t="str">
        <f>IFERROR(__xludf.DUMMYFUNCTION("IFERROR(VLOOKUP(A1125, IMPORTRANGE(""https://docs.google.com/spreadsheets/d/1-3Vjw2Cyy-mry5gbC8ypIR3YVGFfEpyFESummAta6sg/edit"", ""Sheet1!B:D""), 3, FALSE), ""Not Found"")"),"s w ɑ p ")</f>
        <v>s w ɑ p </v>
      </c>
    </row>
    <row r="1126">
      <c r="A1126" s="1" t="s">
        <v>1129</v>
      </c>
      <c r="B1126" s="1" t="s">
        <v>5</v>
      </c>
      <c r="C1126" s="2">
        <f>IFERROR(__xludf.DUMMYFUNCTION("IFERROR(VLOOKUP(A1126, IMPORTRANGE(""https://docs.google.com/spreadsheets/d/1AVX9GT0dgogEBStecCXMMQ29tWz3gBrtNB8yIromXbY/edit?gid=741673867"", ""out1g!A:B""), 2, FALSE), 0)"),4238.0)</f>
        <v>4238</v>
      </c>
      <c r="D1126" s="2" t="str">
        <f>IFERROR(__xludf.DUMMYFUNCTION("IFERROR(VLOOKUP(A1126, IMPORTRANGE(""https://docs.google.com/spreadsheets/d/1-3Vjw2Cyy-mry5gbC8ypIR3YVGFfEpyFESummAta6sg/edit"", ""Sheet1!B:D""), 2, FALSE), ""Not Found"")"),"nɪr")</f>
        <v>nɪr</v>
      </c>
      <c r="E1126" s="2" t="str">
        <f>IFERROR(__xludf.DUMMYFUNCTION("IFERROR(VLOOKUP(A1126, IMPORTRANGE(""https://docs.google.com/spreadsheets/d/1-3Vjw2Cyy-mry5gbC8ypIR3YVGFfEpyFESummAta6sg/edit"", ""Sheet1!B:D""), 3, FALSE), ""Not Found"")"),"n ɪ r ")</f>
        <v>n ɪ r </v>
      </c>
    </row>
    <row r="1127">
      <c r="A1127" s="1" t="s">
        <v>1130</v>
      </c>
      <c r="B1127" s="1" t="s">
        <v>5</v>
      </c>
      <c r="C1127" s="2">
        <f>IFERROR(__xludf.DUMMYFUNCTION("IFERROR(VLOOKUP(A1127, IMPORTRANGE(""https://docs.google.com/spreadsheets/d/1AVX9GT0dgogEBStecCXMMQ29tWz3gBrtNB8yIromXbY/edit?gid=741673867"", ""out1g!A:B""), 2, FALSE), 0)"),66.0)</f>
        <v>66</v>
      </c>
      <c r="D1127" s="2" t="str">
        <f>IFERROR(__xludf.DUMMYFUNCTION("IFERROR(VLOOKUP(A1127, IMPORTRANGE(""https://docs.google.com/spreadsheets/d/1-3Vjw2Cyy-mry5gbC8ypIR3YVGFfEpyFESummAta6sg/edit"", ""Sheet1!B:D""), 2, FALSE), ""Not Found"")"),"mesə")</f>
        <v>mesə</v>
      </c>
      <c r="E1127" s="2" t="str">
        <f>IFERROR(__xludf.DUMMYFUNCTION("IFERROR(VLOOKUP(A1127, IMPORTRANGE(""https://docs.google.com/spreadsheets/d/1-3Vjw2Cyy-mry5gbC8ypIR3YVGFfEpyFESummAta6sg/edit"", ""Sheet1!B:D""), 3, FALSE), ""Not Found"")"),"m e s ə ")</f>
        <v>m e s ə </v>
      </c>
    </row>
    <row r="1128">
      <c r="A1128" s="1" t="s">
        <v>1131</v>
      </c>
      <c r="B1128" s="1" t="s">
        <v>5</v>
      </c>
      <c r="C1128" s="2">
        <f>IFERROR(__xludf.DUMMYFUNCTION("IFERROR(VLOOKUP(A1128, IMPORTRANGE(""https://docs.google.com/spreadsheets/d/1AVX9GT0dgogEBStecCXMMQ29tWz3gBrtNB8yIromXbY/edit?gid=741673867"", ""out1g!A:B""), 2, FALSE), 0)"),324.0)</f>
        <v>324</v>
      </c>
      <c r="D1128" s="2" t="str">
        <f>IFERROR(__xludf.DUMMYFUNCTION("IFERROR(VLOOKUP(A1128, IMPORTRANGE(""https://docs.google.com/spreadsheets/d/1-3Vjw2Cyy-mry5gbC8ypIR3YVGFfEpyFESummAta6sg/edit"", ""Sheet1!B:D""), 2, FALSE), ""Not Found"")"),"fraɪtən")</f>
        <v>fraɪtən</v>
      </c>
      <c r="E1128" s="2" t="str">
        <f>IFERROR(__xludf.DUMMYFUNCTION("IFERROR(VLOOKUP(A1128, IMPORTRANGE(""https://docs.google.com/spreadsheets/d/1-3Vjw2Cyy-mry5gbC8ypIR3YVGFfEpyFESummAta6sg/edit"", ""Sheet1!B:D""), 3, FALSE), ""Not Found"")"),"f r a ɪ t ə n ")</f>
        <v>f r a ɪ t ə n </v>
      </c>
    </row>
    <row r="1129">
      <c r="A1129" s="1" t="s">
        <v>1132</v>
      </c>
      <c r="B1129" s="1" t="s">
        <v>5</v>
      </c>
      <c r="C1129" s="2">
        <f>IFERROR(__xludf.DUMMYFUNCTION("IFERROR(VLOOKUP(A1129, IMPORTRANGE(""https://docs.google.com/spreadsheets/d/1AVX9GT0dgogEBStecCXMMQ29tWz3gBrtNB8yIromXbY/edit?gid=741673867"", ""out1g!A:B""), 2, FALSE), 0)"),1788.0)</f>
        <v>1788</v>
      </c>
      <c r="D1129" s="2" t="str">
        <f>IFERROR(__xludf.DUMMYFUNCTION("IFERROR(VLOOKUP(A1129, IMPORTRANGE(""https://docs.google.com/spreadsheets/d/1-3Vjw2Cyy-mry5gbC8ypIR3YVGFfEpyFESummAta6sg/edit"", ""Sheet1!B:D""), 2, FALSE), ""Not Found"")"),"blɛs")</f>
        <v>blɛs</v>
      </c>
      <c r="E1129" s="2" t="str">
        <f>IFERROR(__xludf.DUMMYFUNCTION("IFERROR(VLOOKUP(A1129, IMPORTRANGE(""https://docs.google.com/spreadsheets/d/1-3Vjw2Cyy-mry5gbC8ypIR3YVGFfEpyFESummAta6sg/edit"", ""Sheet1!B:D""), 3, FALSE), ""Not Found"")"),"b l ɛ s ")</f>
        <v>b l ɛ s </v>
      </c>
    </row>
    <row r="1130">
      <c r="A1130" s="1" t="s">
        <v>1133</v>
      </c>
      <c r="B1130" s="1" t="s">
        <v>5</v>
      </c>
      <c r="C1130" s="2">
        <f>IFERROR(__xludf.DUMMYFUNCTION("IFERROR(VLOOKUP(A1130, IMPORTRANGE(""https://docs.google.com/spreadsheets/d/1AVX9GT0dgogEBStecCXMMQ29tWz3gBrtNB8yIromXbY/edit?gid=741673867"", ""out1g!A:B""), 2, FALSE), 0)"),612.0)</f>
        <v>612</v>
      </c>
      <c r="D1130" s="2" t="str">
        <f>IFERROR(__xludf.DUMMYFUNCTION("IFERROR(VLOOKUP(A1130, IMPORTRANGE(""https://docs.google.com/spreadsheets/d/1-3Vjw2Cyy-mry5gbC8ypIR3YVGFfEpyFESummAta6sg/edit"", ""Sheet1!B:D""), 2, FALSE), ""Not Found"")"),"kle")</f>
        <v>kle</v>
      </c>
      <c r="E1130" s="2" t="str">
        <f>IFERROR(__xludf.DUMMYFUNCTION("IFERROR(VLOOKUP(A1130, IMPORTRANGE(""https://docs.google.com/spreadsheets/d/1-3Vjw2Cyy-mry5gbC8ypIR3YVGFfEpyFESummAta6sg/edit"", ""Sheet1!B:D""), 3, FALSE), ""Not Found"")"),"k l e ")</f>
        <v>k l e </v>
      </c>
    </row>
    <row r="1131">
      <c r="A1131" s="1" t="s">
        <v>1134</v>
      </c>
      <c r="B1131" s="1" t="s">
        <v>5</v>
      </c>
      <c r="C1131" s="2">
        <f>IFERROR(__xludf.DUMMYFUNCTION("IFERROR(VLOOKUP(A1131, IMPORTRANGE(""https://docs.google.com/spreadsheets/d/1AVX9GT0dgogEBStecCXMMQ29tWz3gBrtNB8yIromXbY/edit?gid=741673867"", ""out1g!A:B""), 2, FALSE), 0)"),751.0)</f>
        <v>751</v>
      </c>
      <c r="D1131" s="2" t="str">
        <f>IFERROR(__xludf.DUMMYFUNCTION("IFERROR(VLOOKUP(A1131, IMPORTRANGE(""https://docs.google.com/spreadsheets/d/1-3Vjw2Cyy-mry5gbC8ypIR3YVGFfEpyFESummAta6sg/edit"", ""Sheet1!B:D""), 2, FALSE), ""Not Found"")"),"brɔd")</f>
        <v>brɔd</v>
      </c>
      <c r="E1131" s="2" t="str">
        <f>IFERROR(__xludf.DUMMYFUNCTION("IFERROR(VLOOKUP(A1131, IMPORTRANGE(""https://docs.google.com/spreadsheets/d/1-3Vjw2Cyy-mry5gbC8ypIR3YVGFfEpyFESummAta6sg/edit"", ""Sheet1!B:D""), 3, FALSE), ""Not Found"")"),"b r ɔ d ")</f>
        <v>b r ɔ d </v>
      </c>
    </row>
    <row r="1132">
      <c r="A1132" s="1" t="s">
        <v>1135</v>
      </c>
      <c r="B1132" s="1" t="s">
        <v>5</v>
      </c>
      <c r="C1132" s="2">
        <f>IFERROR(__xludf.DUMMYFUNCTION("IFERROR(VLOOKUP(A1132, IMPORTRANGE(""https://docs.google.com/spreadsheets/d/1AVX9GT0dgogEBStecCXMMQ29tWz3gBrtNB8yIromXbY/edit?gid=741673867"", ""out1g!A:B""), 2, FALSE), 0)"),203.0)</f>
        <v>203</v>
      </c>
      <c r="D1132" s="2" t="str">
        <f>IFERROR(__xludf.DUMMYFUNCTION("IFERROR(VLOOKUP(A1132, IMPORTRANGE(""https://docs.google.com/spreadsheets/d/1-3Vjw2Cyy-mry5gbC8ypIR3YVGFfEpyFESummAta6sg/edit"", ""Sheet1!B:D""), 2, FALSE), ""Not Found"")"),"də")</f>
        <v>də</v>
      </c>
      <c r="E1132" s="2" t="str">
        <f>IFERROR(__xludf.DUMMYFUNCTION("IFERROR(VLOOKUP(A1132, IMPORTRANGE(""https://docs.google.com/spreadsheets/d/1-3Vjw2Cyy-mry5gbC8ypIR3YVGFfEpyFESummAta6sg/edit"", ""Sheet1!B:D""), 3, FALSE), ""Not Found"")"),"d ə ")</f>
        <v>d ə </v>
      </c>
    </row>
    <row r="1133">
      <c r="A1133" s="1" t="s">
        <v>1136</v>
      </c>
      <c r="B1133" s="1" t="s">
        <v>5</v>
      </c>
      <c r="C1133" s="2">
        <f>IFERROR(__xludf.DUMMYFUNCTION("IFERROR(VLOOKUP(A1133, IMPORTRANGE(""https://docs.google.com/spreadsheets/d/1AVX9GT0dgogEBStecCXMMQ29tWz3gBrtNB8yIromXbY/edit?gid=741673867"", ""out1g!A:B""), 2, FALSE), 0)"),77.0)</f>
        <v>77</v>
      </c>
      <c r="D1133" s="2" t="str">
        <f>IFERROR(__xludf.DUMMYFUNCTION("IFERROR(VLOOKUP(A1133, IMPORTRANGE(""https://docs.google.com/spreadsheets/d/1-3Vjw2Cyy-mry5gbC8ypIR3YVGFfEpyFESummAta6sg/edit"", ""Sheet1!B:D""), 2, FALSE), ""Not Found"")"),"eks")</f>
        <v>eks</v>
      </c>
      <c r="E1133" s="2" t="str">
        <f>IFERROR(__xludf.DUMMYFUNCTION("IFERROR(VLOOKUP(A1133, IMPORTRANGE(""https://docs.google.com/spreadsheets/d/1-3Vjw2Cyy-mry5gbC8ypIR3YVGFfEpyFESummAta6sg/edit"", ""Sheet1!B:D""), 3, FALSE), ""Not Found"")"),"e k s ")</f>
        <v>e k s </v>
      </c>
    </row>
    <row r="1134">
      <c r="A1134" s="1" t="s">
        <v>1137</v>
      </c>
      <c r="B1134" s="1" t="s">
        <v>5</v>
      </c>
      <c r="C1134" s="2">
        <f>IFERROR(__xludf.DUMMYFUNCTION("IFERROR(VLOOKUP(A1134, IMPORTRANGE(""https://docs.google.com/spreadsheets/d/1AVX9GT0dgogEBStecCXMMQ29tWz3gBrtNB8yIromXbY/edit?gid=741673867"", ""out1g!A:B""), 2, FALSE), 0)"),158.0)</f>
        <v>158</v>
      </c>
      <c r="D1134" s="2" t="str">
        <f>IFERROR(__xludf.DUMMYFUNCTION("IFERROR(VLOOKUP(A1134, IMPORTRANGE(""https://docs.google.com/spreadsheets/d/1-3Vjw2Cyy-mry5gbC8ypIR3YVGFfEpyFESummAta6sg/edit"", ""Sheet1!B:D""), 2, FALSE), ""Not Found"")"),"loʊnər")</f>
        <v>loʊnər</v>
      </c>
      <c r="E1134" s="2" t="str">
        <f>IFERROR(__xludf.DUMMYFUNCTION("IFERROR(VLOOKUP(A1134, IMPORTRANGE(""https://docs.google.com/spreadsheets/d/1-3Vjw2Cyy-mry5gbC8ypIR3YVGFfEpyFESummAta6sg/edit"", ""Sheet1!B:D""), 3, FALSE), ""Not Found"")"),"l o ʊ n ə r ")</f>
        <v>l o ʊ n ə r </v>
      </c>
    </row>
    <row r="1135">
      <c r="A1135" s="1" t="s">
        <v>1138</v>
      </c>
      <c r="B1135" s="1" t="s">
        <v>5</v>
      </c>
      <c r="C1135" s="2">
        <f>IFERROR(__xludf.DUMMYFUNCTION("IFERROR(VLOOKUP(A1135, IMPORTRANGE(""https://docs.google.com/spreadsheets/d/1AVX9GT0dgogEBStecCXMMQ29tWz3gBrtNB8yIromXbY/edit?gid=741673867"", ""out1g!A:B""), 2, FALSE), 0)"),58.0)</f>
        <v>58</v>
      </c>
      <c r="D1135" s="2" t="str">
        <f>IFERROR(__xludf.DUMMYFUNCTION("IFERROR(VLOOKUP(A1135, IMPORTRANGE(""https://docs.google.com/spreadsheets/d/1-3Vjw2Cyy-mry5gbC8ypIR3YVGFfEpyFESummAta6sg/edit"", ""Sheet1!B:D""), 2, FALSE), ""Not Found"")"),"stɔrmd")</f>
        <v>stɔrmd</v>
      </c>
      <c r="E1135" s="2" t="str">
        <f>IFERROR(__xludf.DUMMYFUNCTION("IFERROR(VLOOKUP(A1135, IMPORTRANGE(""https://docs.google.com/spreadsheets/d/1-3Vjw2Cyy-mry5gbC8ypIR3YVGFfEpyFESummAta6sg/edit"", ""Sheet1!B:D""), 3, FALSE), ""Not Found"")"),"s t ɔ r m d ")</f>
        <v>s t ɔ r m d </v>
      </c>
    </row>
    <row r="1136">
      <c r="A1136" s="1" t="s">
        <v>1139</v>
      </c>
      <c r="B1136" s="1" t="s">
        <v>5</v>
      </c>
      <c r="C1136" s="2">
        <f>IFERROR(__xludf.DUMMYFUNCTION("IFERROR(VLOOKUP(A1136, IMPORTRANGE(""https://docs.google.com/spreadsheets/d/1AVX9GT0dgogEBStecCXMMQ29tWz3gBrtNB8yIromXbY/edit?gid=741673867"", ""out1g!A:B""), 2, FALSE), 0)"),23850.0)</f>
        <v>23850</v>
      </c>
      <c r="D1136" s="2" t="str">
        <f>IFERROR(__xludf.DUMMYFUNCTION("IFERROR(VLOOKUP(A1136, IMPORTRANGE(""https://docs.google.com/spreadsheets/d/1-3Vjw2Cyy-mry5gbC8ypIR3YVGFfEpyFESummAta6sg/edit"", ""Sheet1!B:D""), 2, FALSE), ""Not Found"")"),"mɪs")</f>
        <v>mɪs</v>
      </c>
      <c r="E1136" s="2" t="str">
        <f>IFERROR(__xludf.DUMMYFUNCTION("IFERROR(VLOOKUP(A1136, IMPORTRANGE(""https://docs.google.com/spreadsheets/d/1-3Vjw2Cyy-mry5gbC8ypIR3YVGFfEpyFESummAta6sg/edit"", ""Sheet1!B:D""), 3, FALSE), ""Not Found"")"),"m ɪ s ")</f>
        <v>m ɪ s </v>
      </c>
    </row>
    <row r="1137">
      <c r="A1137" s="1" t="s">
        <v>1140</v>
      </c>
      <c r="B1137" s="1" t="s">
        <v>5</v>
      </c>
      <c r="C1137" s="2">
        <f>IFERROR(__xludf.DUMMYFUNCTION("IFERROR(VLOOKUP(A1137, IMPORTRANGE(""https://docs.google.com/spreadsheets/d/1AVX9GT0dgogEBStecCXMMQ29tWz3gBrtNB8yIromXbY/edit?gid=741673867"", ""out1g!A:B""), 2, FALSE), 0)"),178.0)</f>
        <v>178</v>
      </c>
      <c r="D1137" s="2" t="str">
        <f>IFERROR(__xludf.DUMMYFUNCTION("IFERROR(VLOOKUP(A1137, IMPORTRANGE(""https://docs.google.com/spreadsheets/d/1-3Vjw2Cyy-mry5gbC8ypIR3YVGFfEpyFESummAta6sg/edit"", ""Sheet1!B:D""), 2, FALSE), ""Not Found"")"),"poʊloʊ")</f>
        <v>poʊloʊ</v>
      </c>
      <c r="E1137" s="2" t="str">
        <f>IFERROR(__xludf.DUMMYFUNCTION("IFERROR(VLOOKUP(A1137, IMPORTRANGE(""https://docs.google.com/spreadsheets/d/1-3Vjw2Cyy-mry5gbC8ypIR3YVGFfEpyFESummAta6sg/edit"", ""Sheet1!B:D""), 3, FALSE), ""Not Found"")"),"p o ʊ l o ʊ ")</f>
        <v>p o ʊ l o ʊ </v>
      </c>
    </row>
    <row r="1138">
      <c r="A1138" s="1" t="s">
        <v>1141</v>
      </c>
      <c r="B1138" s="1" t="s">
        <v>5</v>
      </c>
      <c r="C1138" s="2">
        <f>IFERROR(__xludf.DUMMYFUNCTION("IFERROR(VLOOKUP(A1138, IMPORTRANGE(""https://docs.google.com/spreadsheets/d/1AVX9GT0dgogEBStecCXMMQ29tWz3gBrtNB8yIromXbY/edit?gid=741673867"", ""out1g!A:B""), 2, FALSE), 0)"),580.0)</f>
        <v>580</v>
      </c>
      <c r="D1138" s="2" t="str">
        <f>IFERROR(__xludf.DUMMYFUNCTION("IFERROR(VLOOKUP(A1138, IMPORTRANGE(""https://docs.google.com/spreadsheets/d/1-3Vjw2Cyy-mry5gbC8ypIR3YVGFfEpyFESummAta6sg/edit"", ""Sheet1!B:D""), 2, FALSE), ""Not Found"")"),"kɑk")</f>
        <v>kɑk</v>
      </c>
      <c r="E1138" s="2" t="str">
        <f>IFERROR(__xludf.DUMMYFUNCTION("IFERROR(VLOOKUP(A1138, IMPORTRANGE(""https://docs.google.com/spreadsheets/d/1-3Vjw2Cyy-mry5gbC8ypIR3YVGFfEpyFESummAta6sg/edit"", ""Sheet1!B:D""), 3, FALSE), ""Not Found"")"),"k ɑ k ")</f>
        <v>k ɑ k </v>
      </c>
    </row>
    <row r="1139">
      <c r="A1139" s="1" t="s">
        <v>1142</v>
      </c>
      <c r="B1139" s="1" t="s">
        <v>5</v>
      </c>
      <c r="C1139" s="2">
        <f>IFERROR(__xludf.DUMMYFUNCTION("IFERROR(VLOOKUP(A1139, IMPORTRANGE(""https://docs.google.com/spreadsheets/d/1AVX9GT0dgogEBStecCXMMQ29tWz3gBrtNB8yIromXbY/edit?gid=741673867"", ""out1g!A:B""), 2, FALSE), 0)"),109.0)</f>
        <v>109</v>
      </c>
      <c r="D1139" s="2" t="str">
        <f>IFERROR(__xludf.DUMMYFUNCTION("IFERROR(VLOOKUP(A1139, IMPORTRANGE(""https://docs.google.com/spreadsheets/d/1-3Vjw2Cyy-mry5gbC8ypIR3YVGFfEpyFESummAta6sg/edit"", ""Sheet1!B:D""), 2, FALSE), ""Not Found"")"),"kæbz")</f>
        <v>kæbz</v>
      </c>
      <c r="E1139" s="2" t="str">
        <f>IFERROR(__xludf.DUMMYFUNCTION("IFERROR(VLOOKUP(A1139, IMPORTRANGE(""https://docs.google.com/spreadsheets/d/1-3Vjw2Cyy-mry5gbC8ypIR3YVGFfEpyFESummAta6sg/edit"", ""Sheet1!B:D""), 3, FALSE), ""Not Found"")"),"k æ b z ")</f>
        <v>k æ b z </v>
      </c>
    </row>
    <row r="1140">
      <c r="A1140" s="1" t="s">
        <v>1143</v>
      </c>
      <c r="B1140" s="1" t="s">
        <v>5</v>
      </c>
      <c r="C1140" s="2">
        <f>IFERROR(__xludf.DUMMYFUNCTION("IFERROR(VLOOKUP(A1140, IMPORTRANGE(""https://docs.google.com/spreadsheets/d/1AVX9GT0dgogEBStecCXMMQ29tWz3gBrtNB8yIromXbY/edit?gid=741673867"", ""out1g!A:B""), 2, FALSE), 0)"),1261.0)</f>
        <v>1261</v>
      </c>
      <c r="D1140" s="2" t="str">
        <f>IFERROR(__xludf.DUMMYFUNCTION("IFERROR(VLOOKUP(A1140, IMPORTRANGE(""https://docs.google.com/spreadsheets/d/1-3Vjw2Cyy-mry5gbC8ypIR3YVGFfEpyFESummAta6sg/edit"", ""Sheet1!B:D""), 2, FALSE), ""Not Found"")"),"wɔlz")</f>
        <v>wɔlz</v>
      </c>
      <c r="E1140" s="2" t="str">
        <f>IFERROR(__xludf.DUMMYFUNCTION("IFERROR(VLOOKUP(A1140, IMPORTRANGE(""https://docs.google.com/spreadsheets/d/1-3Vjw2Cyy-mry5gbC8ypIR3YVGFfEpyFESummAta6sg/edit"", ""Sheet1!B:D""), 3, FALSE), ""Not Found"")"),"w ɔ l z ")</f>
        <v>w ɔ l z </v>
      </c>
    </row>
    <row r="1141">
      <c r="A1141" s="1" t="s">
        <v>1144</v>
      </c>
      <c r="B1141" s="1" t="s">
        <v>5</v>
      </c>
      <c r="C1141" s="2">
        <f>IFERROR(__xludf.DUMMYFUNCTION("IFERROR(VLOOKUP(A1141, IMPORTRANGE(""https://docs.google.com/spreadsheets/d/1AVX9GT0dgogEBStecCXMMQ29tWz3gBrtNB8yIromXbY/edit?gid=741673867"", ""out1g!A:B""), 2, FALSE), 0)"),49.0)</f>
        <v>49</v>
      </c>
      <c r="D1141" s="2" t="str">
        <f>IFERROR(__xludf.DUMMYFUNCTION("IFERROR(VLOOKUP(A1141, IMPORTRANGE(""https://docs.google.com/spreadsheets/d/1-3Vjw2Cyy-mry5gbC8ypIR3YVGFfEpyFESummAta6sg/edit"", ""Sheet1!B:D""), 2, FALSE), ""Not Found"")"),"loʊərz")</f>
        <v>loʊərz</v>
      </c>
      <c r="E1141" s="2" t="str">
        <f>IFERROR(__xludf.DUMMYFUNCTION("IFERROR(VLOOKUP(A1141, IMPORTRANGE(""https://docs.google.com/spreadsheets/d/1-3Vjw2Cyy-mry5gbC8ypIR3YVGFfEpyFESummAta6sg/edit"", ""Sheet1!B:D""), 3, FALSE), ""Not Found"")"),"l o ʊ ə r z ")</f>
        <v>l o ʊ ə r z </v>
      </c>
    </row>
    <row r="1142">
      <c r="A1142" s="1" t="s">
        <v>1145</v>
      </c>
      <c r="B1142" s="1" t="s">
        <v>5</v>
      </c>
      <c r="C1142" s="2">
        <f>IFERROR(__xludf.DUMMYFUNCTION("IFERROR(VLOOKUP(A1142, IMPORTRANGE(""https://docs.google.com/spreadsheets/d/1AVX9GT0dgogEBStecCXMMQ29tWz3gBrtNB8yIromXbY/edit?gid=741673867"", ""out1g!A:B""), 2, FALSE), 0)"),65.0)</f>
        <v>65</v>
      </c>
      <c r="D1142" s="2" t="str">
        <f>IFERROR(__xludf.DUMMYFUNCTION("IFERROR(VLOOKUP(A1142, IMPORTRANGE(""https://docs.google.com/spreadsheets/d/1-3Vjw2Cyy-mry5gbC8ypIR3YVGFfEpyFESummAta6sg/edit"", ""Sheet1!B:D""), 2, FALSE), ""Not Found"")"),"roʊɪŋ")</f>
        <v>roʊɪŋ</v>
      </c>
      <c r="E1142" s="2" t="str">
        <f>IFERROR(__xludf.DUMMYFUNCTION("IFERROR(VLOOKUP(A1142, IMPORTRANGE(""https://docs.google.com/spreadsheets/d/1-3Vjw2Cyy-mry5gbC8ypIR3YVGFfEpyFESummAta6sg/edit"", ""Sheet1!B:D""), 3, FALSE), ""Not Found"")"),"r o ʊ ɪ ŋ ")</f>
        <v>r o ʊ ɪ ŋ </v>
      </c>
    </row>
    <row r="1143">
      <c r="A1143" s="1" t="s">
        <v>1146</v>
      </c>
      <c r="B1143" s="1" t="s">
        <v>5</v>
      </c>
      <c r="C1143" s="2">
        <f>IFERROR(__xludf.DUMMYFUNCTION("IFERROR(VLOOKUP(A1143, IMPORTRANGE(""https://docs.google.com/spreadsheets/d/1AVX9GT0dgogEBStecCXMMQ29tWz3gBrtNB8yIromXbY/edit?gid=741673867"", ""out1g!A:B""), 2, FALSE), 0)"),88.0)</f>
        <v>88</v>
      </c>
      <c r="D1143" s="2" t="str">
        <f>IFERROR(__xludf.DUMMYFUNCTION("IFERROR(VLOOKUP(A1143, IMPORTRANGE(""https://docs.google.com/spreadsheets/d/1-3Vjw2Cyy-mry5gbC8ypIR3YVGFfEpyFESummAta6sg/edit"", ""Sheet1!B:D""), 2, FALSE), ""Not Found"")"),"kɔɪ")</f>
        <v>kɔɪ</v>
      </c>
      <c r="E1143" s="2" t="str">
        <f>IFERROR(__xludf.DUMMYFUNCTION("IFERROR(VLOOKUP(A1143, IMPORTRANGE(""https://docs.google.com/spreadsheets/d/1-3Vjw2Cyy-mry5gbC8ypIR3YVGFfEpyFESummAta6sg/edit"", ""Sheet1!B:D""), 3, FALSE), ""Not Found"")"),"k ɔ ɪ ")</f>
        <v>k ɔ ɪ </v>
      </c>
    </row>
    <row r="1144">
      <c r="A1144" s="1" t="s">
        <v>1147</v>
      </c>
      <c r="B1144" s="1" t="s">
        <v>5</v>
      </c>
      <c r="C1144" s="2">
        <f>IFERROR(__xludf.DUMMYFUNCTION("IFERROR(VLOOKUP(A1144, IMPORTRANGE(""https://docs.google.com/spreadsheets/d/1AVX9GT0dgogEBStecCXMMQ29tWz3gBrtNB8yIromXbY/edit?gid=741673867"", ""out1g!A:B""), 2, FALSE), 0)"),85.0)</f>
        <v>85</v>
      </c>
      <c r="D1144" s="2" t="str">
        <f>IFERROR(__xludf.DUMMYFUNCTION("IFERROR(VLOOKUP(A1144, IMPORTRANGE(""https://docs.google.com/spreadsheets/d/1-3Vjw2Cyy-mry5gbC8ypIR3YVGFfEpyFESummAta6sg/edit"", ""Sheet1!B:D""), 2, FALSE), ""Not Found"")"),"pərv")</f>
        <v>pərv</v>
      </c>
      <c r="E1144" s="2" t="str">
        <f>IFERROR(__xludf.DUMMYFUNCTION("IFERROR(VLOOKUP(A1144, IMPORTRANGE(""https://docs.google.com/spreadsheets/d/1-3Vjw2Cyy-mry5gbC8ypIR3YVGFfEpyFESummAta6sg/edit"", ""Sheet1!B:D""), 3, FALSE), ""Not Found"")"),"p ə r v ")</f>
        <v>p ə r v </v>
      </c>
    </row>
    <row r="1145">
      <c r="A1145" s="1" t="s">
        <v>1148</v>
      </c>
      <c r="B1145" s="1" t="s">
        <v>5</v>
      </c>
      <c r="C1145" s="2">
        <f>IFERROR(__xludf.DUMMYFUNCTION("IFERROR(VLOOKUP(A1145, IMPORTRANGE(""https://docs.google.com/spreadsheets/d/1AVX9GT0dgogEBStecCXMMQ29tWz3gBrtNB8yIromXbY/edit?gid=741673867"", ""out1g!A:B""), 2, FALSE), 0)"),252.0)</f>
        <v>252</v>
      </c>
      <c r="D1145" s="2" t="str">
        <f>IFERROR(__xludf.DUMMYFUNCTION("IFERROR(VLOOKUP(A1145, IMPORTRANGE(""https://docs.google.com/spreadsheets/d/1-3Vjw2Cyy-mry5gbC8ypIR3YVGFfEpyFESummAta6sg/edit"", ""Sheet1!B:D""), 2, FALSE), ""Not Found"")"),"skɛʧ")</f>
        <v>skɛʧ</v>
      </c>
      <c r="E1145" s="2" t="str">
        <f>IFERROR(__xludf.DUMMYFUNCTION("IFERROR(VLOOKUP(A1145, IMPORTRANGE(""https://docs.google.com/spreadsheets/d/1-3Vjw2Cyy-mry5gbC8ypIR3YVGFfEpyFESummAta6sg/edit"", ""Sheet1!B:D""), 3, FALSE), ""Not Found"")"),"s k ɛ ʧ ")</f>
        <v>s k ɛ ʧ </v>
      </c>
    </row>
    <row r="1146">
      <c r="A1146" s="1" t="s">
        <v>1149</v>
      </c>
      <c r="B1146" s="1" t="s">
        <v>5</v>
      </c>
      <c r="C1146" s="2">
        <f>IFERROR(__xludf.DUMMYFUNCTION("IFERROR(VLOOKUP(A1146, IMPORTRANGE(""https://docs.google.com/spreadsheets/d/1AVX9GT0dgogEBStecCXMMQ29tWz3gBrtNB8yIromXbY/edit?gid=741673867"", ""out1g!A:B""), 2, FALSE), 0)"),189.0)</f>
        <v>189</v>
      </c>
      <c r="D1146" s="2" t="str">
        <f>IFERROR(__xludf.DUMMYFUNCTION("IFERROR(VLOOKUP(A1146, IMPORTRANGE(""https://docs.google.com/spreadsheets/d/1-3Vjw2Cyy-mry5gbC8ypIR3YVGFfEpyFESummAta6sg/edit"", ""Sheet1!B:D""), 2, FALSE), ""Not Found"")"),"krɔsɪz")</f>
        <v>krɔsɪz</v>
      </c>
      <c r="E1146" s="2" t="str">
        <f>IFERROR(__xludf.DUMMYFUNCTION("IFERROR(VLOOKUP(A1146, IMPORTRANGE(""https://docs.google.com/spreadsheets/d/1-3Vjw2Cyy-mry5gbC8ypIR3YVGFfEpyFESummAta6sg/edit"", ""Sheet1!B:D""), 3, FALSE), ""Not Found"")"),"k r ɔ s ɪ z ")</f>
        <v>k r ɔ s ɪ z </v>
      </c>
    </row>
    <row r="1147">
      <c r="A1147" s="1" t="s">
        <v>1150</v>
      </c>
      <c r="B1147" s="1" t="s">
        <v>5</v>
      </c>
      <c r="C1147" s="2">
        <f>IFERROR(__xludf.DUMMYFUNCTION("IFERROR(VLOOKUP(A1147, IMPORTRANGE(""https://docs.google.com/spreadsheets/d/1AVX9GT0dgogEBStecCXMMQ29tWz3gBrtNB8yIromXbY/edit?gid=741673867"", ""out1g!A:B""), 2, FALSE), 0)"),184.0)</f>
        <v>184</v>
      </c>
      <c r="D1147" s="2" t="str">
        <f>IFERROR(__xludf.DUMMYFUNCTION("IFERROR(VLOOKUP(A1147, IMPORTRANGE(""https://docs.google.com/spreadsheets/d/1-3Vjw2Cyy-mry5gbC8ypIR3YVGFfEpyFESummAta6sg/edit"", ""Sheet1!B:D""), 2, FALSE), ""Not Found"")"),"ʃaɪnz")</f>
        <v>ʃaɪnz</v>
      </c>
      <c r="E1147" s="2" t="str">
        <f>IFERROR(__xludf.DUMMYFUNCTION("IFERROR(VLOOKUP(A1147, IMPORTRANGE(""https://docs.google.com/spreadsheets/d/1-3Vjw2Cyy-mry5gbC8ypIR3YVGFfEpyFESummAta6sg/edit"", ""Sheet1!B:D""), 3, FALSE), ""Not Found"")"),"ʃ a ɪ n z ")</f>
        <v>ʃ a ɪ n z </v>
      </c>
    </row>
    <row r="1148">
      <c r="A1148" s="1" t="s">
        <v>1151</v>
      </c>
      <c r="B1148" s="1" t="s">
        <v>5</v>
      </c>
      <c r="C1148" s="2">
        <f>IFERROR(__xludf.DUMMYFUNCTION("IFERROR(VLOOKUP(A1148, IMPORTRANGE(""https://docs.google.com/spreadsheets/d/1AVX9GT0dgogEBStecCXMMQ29tWz3gBrtNB8yIromXbY/edit?gid=741673867"", ""out1g!A:B""), 2, FALSE), 0)"),4595.0)</f>
        <v>4595</v>
      </c>
      <c r="D1148" s="2" t="str">
        <f>IFERROR(__xludf.DUMMYFUNCTION("IFERROR(VLOOKUP(A1148, IMPORTRANGE(""https://docs.google.com/spreadsheets/d/1-3Vjw2Cyy-mry5gbC8ypIR3YVGFfEpyFESummAta6sg/edit"", ""Sheet1!B:D""), 2, FALSE), ""Not Found"")"),"kwɪt")</f>
        <v>kwɪt</v>
      </c>
      <c r="E1148" s="2" t="str">
        <f>IFERROR(__xludf.DUMMYFUNCTION("IFERROR(VLOOKUP(A1148, IMPORTRANGE(""https://docs.google.com/spreadsheets/d/1-3Vjw2Cyy-mry5gbC8ypIR3YVGFfEpyFESummAta6sg/edit"", ""Sheet1!B:D""), 3, FALSE), ""Not Found"")"),"k w ɪ t ")</f>
        <v>k w ɪ t </v>
      </c>
    </row>
    <row r="1149">
      <c r="A1149" s="1" t="s">
        <v>1152</v>
      </c>
      <c r="B1149" s="1" t="s">
        <v>5</v>
      </c>
      <c r="C1149" s="2">
        <f>IFERROR(__xludf.DUMMYFUNCTION("IFERROR(VLOOKUP(A1149, IMPORTRANGE(""https://docs.google.com/spreadsheets/d/1AVX9GT0dgogEBStecCXMMQ29tWz3gBrtNB8yIromXbY/edit?gid=741673867"", ""out1g!A:B""), 2, FALSE), 0)"),5010.0)</f>
        <v>5010</v>
      </c>
      <c r="D1149" s="2" t="str">
        <f>IFERROR(__xludf.DUMMYFUNCTION("IFERROR(VLOOKUP(A1149, IMPORTRANGE(""https://docs.google.com/spreadsheets/d/1-3Vjw2Cyy-mry5gbC8ypIR3YVGFfEpyFESummAta6sg/edit"", ""Sheet1!B:D""), 2, FALSE), ""Not Found"")"),"et")</f>
        <v>et</v>
      </c>
      <c r="E1149" s="2" t="str">
        <f>IFERROR(__xludf.DUMMYFUNCTION("IFERROR(VLOOKUP(A1149, IMPORTRANGE(""https://docs.google.com/spreadsheets/d/1-3Vjw2Cyy-mry5gbC8ypIR3YVGFfEpyFESummAta6sg/edit"", ""Sheet1!B:D""), 3, FALSE), ""Not Found"")"),"e t ")</f>
        <v>e t </v>
      </c>
    </row>
    <row r="1150">
      <c r="A1150" s="1" t="s">
        <v>1153</v>
      </c>
      <c r="B1150" s="1" t="s">
        <v>5</v>
      </c>
      <c r="C1150" s="2">
        <f>IFERROR(__xludf.DUMMYFUNCTION("IFERROR(VLOOKUP(A1150, IMPORTRANGE(""https://docs.google.com/spreadsheets/d/1AVX9GT0dgogEBStecCXMMQ29tWz3gBrtNB8yIromXbY/edit?gid=741673867"", ""out1g!A:B""), 2, FALSE), 0)"),2054.0)</f>
        <v>2054</v>
      </c>
      <c r="D1150" s="2" t="str">
        <f>IFERROR(__xludf.DUMMYFUNCTION("IFERROR(VLOOKUP(A1150, IMPORTRANGE(""https://docs.google.com/spreadsheets/d/1-3Vjw2Cyy-mry5gbC8ypIR3YVGFfEpyFESummAta6sg/edit"", ""Sheet1!B:D""), 2, FALSE), ""Not Found"")"),"vegəs")</f>
        <v>vegəs</v>
      </c>
      <c r="E1150" s="2" t="str">
        <f>IFERROR(__xludf.DUMMYFUNCTION("IFERROR(VLOOKUP(A1150, IMPORTRANGE(""https://docs.google.com/spreadsheets/d/1-3Vjw2Cyy-mry5gbC8ypIR3YVGFfEpyFESummAta6sg/edit"", ""Sheet1!B:D""), 3, FALSE), ""Not Found"")"),"v e g ə s ")</f>
        <v>v e g ə s </v>
      </c>
    </row>
    <row r="1151">
      <c r="A1151" s="1" t="s">
        <v>1154</v>
      </c>
      <c r="B1151" s="1" t="s">
        <v>5</v>
      </c>
      <c r="C1151" s="2">
        <f>IFERROR(__xludf.DUMMYFUNCTION("IFERROR(VLOOKUP(A1151, IMPORTRANGE(""https://docs.google.com/spreadsheets/d/1AVX9GT0dgogEBStecCXMMQ29tWz3gBrtNB8yIromXbY/edit?gid=741673867"", ""out1g!A:B""), 2, FALSE), 0)"),85.0)</f>
        <v>85</v>
      </c>
      <c r="D1151" s="2" t="str">
        <f>IFERROR(__xludf.DUMMYFUNCTION("IFERROR(VLOOKUP(A1151, IMPORTRANGE(""https://docs.google.com/spreadsheets/d/1-3Vjw2Cyy-mry5gbC8ypIR3YVGFfEpyFESummAta6sg/edit"", ""Sheet1!B:D""), 2, FALSE), ""Not Found"")"),"fʊrər")</f>
        <v>fʊrər</v>
      </c>
      <c r="E1151" s="2" t="str">
        <f>IFERROR(__xludf.DUMMYFUNCTION("IFERROR(VLOOKUP(A1151, IMPORTRANGE(""https://docs.google.com/spreadsheets/d/1-3Vjw2Cyy-mry5gbC8ypIR3YVGFfEpyFESummAta6sg/edit"", ""Sheet1!B:D""), 3, FALSE), ""Not Found"")"),"f ʊ r ə r ")</f>
        <v>f ʊ r ə r </v>
      </c>
    </row>
    <row r="1152">
      <c r="A1152" s="1" t="s">
        <v>1155</v>
      </c>
      <c r="B1152" s="1" t="s">
        <v>5</v>
      </c>
      <c r="C1152" s="2">
        <f>IFERROR(__xludf.DUMMYFUNCTION("IFERROR(VLOOKUP(A1152, IMPORTRANGE(""https://docs.google.com/spreadsheets/d/1AVX9GT0dgogEBStecCXMMQ29tWz3gBrtNB8yIromXbY/edit?gid=741673867"", ""out1g!A:B""), 2, FALSE), 0)"),1320.0)</f>
        <v>1320</v>
      </c>
      <c r="D1152" s="2" t="str">
        <f>IFERROR(__xludf.DUMMYFUNCTION("IFERROR(VLOOKUP(A1152, IMPORTRANGE(""https://docs.google.com/spreadsheets/d/1-3Vjw2Cyy-mry5gbC8ypIR3YVGFfEpyFESummAta6sg/edit"", ""Sheet1!B:D""), 2, FALSE), ""Not Found"")"),"slɪp")</f>
        <v>slɪp</v>
      </c>
      <c r="E1152" s="2" t="str">
        <f>IFERROR(__xludf.DUMMYFUNCTION("IFERROR(VLOOKUP(A1152, IMPORTRANGE(""https://docs.google.com/spreadsheets/d/1-3Vjw2Cyy-mry5gbC8ypIR3YVGFfEpyFESummAta6sg/edit"", ""Sheet1!B:D""), 3, FALSE), ""Not Found"")"),"s l ɪ p ")</f>
        <v>s l ɪ p </v>
      </c>
    </row>
    <row r="1153">
      <c r="A1153" s="1" t="s">
        <v>1156</v>
      </c>
      <c r="B1153" s="1" t="s">
        <v>5</v>
      </c>
      <c r="C1153" s="2">
        <f>IFERROR(__xludf.DUMMYFUNCTION("IFERROR(VLOOKUP(A1153, IMPORTRANGE(""https://docs.google.com/spreadsheets/d/1AVX9GT0dgogEBStecCXMMQ29tWz3gBrtNB8yIromXbY/edit?gid=741673867"", ""out1g!A:B""), 2, FALSE), 0)"),1099.0)</f>
        <v>1099</v>
      </c>
      <c r="D1153" s="2" t="str">
        <f>IFERROR(__xludf.DUMMYFUNCTION("IFERROR(VLOOKUP(A1153, IMPORTRANGE(""https://docs.google.com/spreadsheets/d/1-3Vjw2Cyy-mry5gbC8ypIR3YVGFfEpyFESummAta6sg/edit"", ""Sheet1!B:D""), 2, FALSE), ""Not Found"")"),"roʊlɪŋ")</f>
        <v>roʊlɪŋ</v>
      </c>
      <c r="E1153" s="2" t="str">
        <f>IFERROR(__xludf.DUMMYFUNCTION("IFERROR(VLOOKUP(A1153, IMPORTRANGE(""https://docs.google.com/spreadsheets/d/1-3Vjw2Cyy-mry5gbC8ypIR3YVGFfEpyFESummAta6sg/edit"", ""Sheet1!B:D""), 3, FALSE), ""Not Found"")"),"r o ʊ l ɪ ŋ ")</f>
        <v>r o ʊ l ɪ ŋ </v>
      </c>
    </row>
    <row r="1154">
      <c r="A1154" s="1" t="s">
        <v>1157</v>
      </c>
      <c r="B1154" s="1" t="s">
        <v>5</v>
      </c>
      <c r="C1154" s="2">
        <f>IFERROR(__xludf.DUMMYFUNCTION("IFERROR(VLOOKUP(A1154, IMPORTRANGE(""https://docs.google.com/spreadsheets/d/1AVX9GT0dgogEBStecCXMMQ29tWz3gBrtNB8yIromXbY/edit?gid=741673867"", ""out1g!A:B""), 2, FALSE), 0)"),482.0)</f>
        <v>482</v>
      </c>
      <c r="D1154" s="2" t="str">
        <f>IFERROR(__xludf.DUMMYFUNCTION("IFERROR(VLOOKUP(A1154, IMPORTRANGE(""https://docs.google.com/spreadsheets/d/1-3Vjw2Cyy-mry5gbC8ypIR3YVGFfEpyFESummAta6sg/edit"", ""Sheet1!B:D""), 2, FALSE), ""Not Found"")"),"prez")</f>
        <v>prez</v>
      </c>
      <c r="E1154" s="2" t="str">
        <f>IFERROR(__xludf.DUMMYFUNCTION("IFERROR(VLOOKUP(A1154, IMPORTRANGE(""https://docs.google.com/spreadsheets/d/1-3Vjw2Cyy-mry5gbC8ypIR3YVGFfEpyFESummAta6sg/edit"", ""Sheet1!B:D""), 3, FALSE), ""Not Found"")"),"p r e z ")</f>
        <v>p r e z </v>
      </c>
    </row>
    <row r="1155">
      <c r="A1155" s="1" t="s">
        <v>1158</v>
      </c>
      <c r="B1155" s="1" t="s">
        <v>5</v>
      </c>
      <c r="C1155" s="2">
        <f>IFERROR(__xludf.DUMMYFUNCTION("IFERROR(VLOOKUP(A1155, IMPORTRANGE(""https://docs.google.com/spreadsheets/d/1AVX9GT0dgogEBStecCXMMQ29tWz3gBrtNB8yIromXbY/edit?gid=741673867"", ""out1g!A:B""), 2, FALSE), 0)"),243.0)</f>
        <v>243</v>
      </c>
      <c r="D1155" s="2" t="str">
        <f>IFERROR(__xludf.DUMMYFUNCTION("IFERROR(VLOOKUP(A1155, IMPORTRANGE(""https://docs.google.com/spreadsheets/d/1-3Vjw2Cyy-mry5gbC8ypIR3YVGFfEpyFESummAta6sg/edit"", ""Sheet1!B:D""), 2, FALSE), ""Not Found"")"),"poʊəmz")</f>
        <v>poʊəmz</v>
      </c>
      <c r="E1155" s="2" t="str">
        <f>IFERROR(__xludf.DUMMYFUNCTION("IFERROR(VLOOKUP(A1155, IMPORTRANGE(""https://docs.google.com/spreadsheets/d/1-3Vjw2Cyy-mry5gbC8ypIR3YVGFfEpyFESummAta6sg/edit"", ""Sheet1!B:D""), 3, FALSE), ""Not Found"")"),"p o ʊ ə m z ")</f>
        <v>p o ʊ ə m z </v>
      </c>
    </row>
    <row r="1156">
      <c r="A1156" s="1" t="s">
        <v>1159</v>
      </c>
      <c r="B1156" s="1" t="s">
        <v>5</v>
      </c>
      <c r="C1156" s="2">
        <f>IFERROR(__xludf.DUMMYFUNCTION("IFERROR(VLOOKUP(A1156, IMPORTRANGE(""https://docs.google.com/spreadsheets/d/1AVX9GT0dgogEBStecCXMMQ29tWz3gBrtNB8yIromXbY/edit?gid=741673867"", ""out1g!A:B""), 2, FALSE), 0)"),93.0)</f>
        <v>93</v>
      </c>
      <c r="D1156" s="2" t="str">
        <f>IFERROR(__xludf.DUMMYFUNCTION("IFERROR(VLOOKUP(A1156, IMPORTRANGE(""https://docs.google.com/spreadsheets/d/1-3Vjw2Cyy-mry5gbC8ypIR3YVGFfEpyFESummAta6sg/edit"", ""Sheet1!B:D""), 2, FALSE), ""Not Found"")"),"wɪlt")</f>
        <v>wɪlt</v>
      </c>
      <c r="E1156" s="2" t="str">
        <f>IFERROR(__xludf.DUMMYFUNCTION("IFERROR(VLOOKUP(A1156, IMPORTRANGE(""https://docs.google.com/spreadsheets/d/1-3Vjw2Cyy-mry5gbC8ypIR3YVGFfEpyFESummAta6sg/edit"", ""Sheet1!B:D""), 3, FALSE), ""Not Found"")"),"w ɪ l t ")</f>
        <v>w ɪ l t </v>
      </c>
    </row>
    <row r="1157">
      <c r="A1157" s="1" t="s">
        <v>1160</v>
      </c>
      <c r="B1157" s="1" t="s">
        <v>5</v>
      </c>
      <c r="C1157" s="2">
        <f>IFERROR(__xludf.DUMMYFUNCTION("IFERROR(VLOOKUP(A1157, IMPORTRANGE(""https://docs.google.com/spreadsheets/d/1AVX9GT0dgogEBStecCXMMQ29tWz3gBrtNB8yIromXbY/edit?gid=741673867"", ""out1g!A:B""), 2, FALSE), 0)"),1357.0)</f>
        <v>1357</v>
      </c>
      <c r="D1157" s="2" t="str">
        <f>IFERROR(__xludf.DUMMYFUNCTION("IFERROR(VLOOKUP(A1157, IMPORTRANGE(""https://docs.google.com/spreadsheets/d/1-3Vjw2Cyy-mry5gbC8ypIR3YVGFfEpyFESummAta6sg/edit"", ""Sheet1!B:D""), 2, FALSE), ""Not Found"")"),"best")</f>
        <v>best</v>
      </c>
      <c r="E1157" s="2" t="str">
        <f>IFERROR(__xludf.DUMMYFUNCTION("IFERROR(VLOOKUP(A1157, IMPORTRANGE(""https://docs.google.com/spreadsheets/d/1-3Vjw2Cyy-mry5gbC8ypIR3YVGFfEpyFESummAta6sg/edit"", ""Sheet1!B:D""), 3, FALSE), ""Not Found"")"),"b e s t ")</f>
        <v>b e s t </v>
      </c>
    </row>
    <row r="1158">
      <c r="A1158" s="1" t="s">
        <v>1161</v>
      </c>
      <c r="B1158" s="1" t="s">
        <v>5</v>
      </c>
      <c r="C1158" s="2">
        <f>IFERROR(__xludf.DUMMYFUNCTION("IFERROR(VLOOKUP(A1158, IMPORTRANGE(""https://docs.google.com/spreadsheets/d/1AVX9GT0dgogEBStecCXMMQ29tWz3gBrtNB8yIromXbY/edit?gid=741673867"", ""out1g!A:B""), 2, FALSE), 0)"),111.0)</f>
        <v>111</v>
      </c>
      <c r="D1158" s="2" t="str">
        <f>IFERROR(__xludf.DUMMYFUNCTION("IFERROR(VLOOKUP(A1158, IMPORTRANGE(""https://docs.google.com/spreadsheets/d/1-3Vjw2Cyy-mry5gbC8ypIR3YVGFfEpyFESummAta6sg/edit"", ""Sheet1!B:D""), 2, FALSE), ""Not Found"")"),"ænti")</f>
        <v>ænti</v>
      </c>
      <c r="E1158" s="2" t="str">
        <f>IFERROR(__xludf.DUMMYFUNCTION("IFERROR(VLOOKUP(A1158, IMPORTRANGE(""https://docs.google.com/spreadsheets/d/1-3Vjw2Cyy-mry5gbC8ypIR3YVGFfEpyFESummAta6sg/edit"", ""Sheet1!B:D""), 3, FALSE), ""Not Found"")"),"æ n t i ")</f>
        <v>æ n t i </v>
      </c>
    </row>
    <row r="1159">
      <c r="A1159" s="1" t="s">
        <v>1162</v>
      </c>
      <c r="B1159" s="1" t="s">
        <v>5</v>
      </c>
      <c r="C1159" s="2">
        <f>IFERROR(__xludf.DUMMYFUNCTION("IFERROR(VLOOKUP(A1159, IMPORTRANGE(""https://docs.google.com/spreadsheets/d/1AVX9GT0dgogEBStecCXMMQ29tWz3gBrtNB8yIromXbY/edit?gid=741673867"", ""out1g!A:B""), 2, FALSE), 0)"),627.0)</f>
        <v>627</v>
      </c>
      <c r="D1159" s="2" t="str">
        <f>IFERROR(__xludf.DUMMYFUNCTION("IFERROR(VLOOKUP(A1159, IMPORTRANGE(""https://docs.google.com/spreadsheets/d/1-3Vjw2Cyy-mry5gbC8ypIR3YVGFfEpyFESummAta6sg/edit"", ""Sheet1!B:D""), 2, FALSE), ""Not Found"")"),"θərsti")</f>
        <v>θərsti</v>
      </c>
      <c r="E1159" s="2" t="str">
        <f>IFERROR(__xludf.DUMMYFUNCTION("IFERROR(VLOOKUP(A1159, IMPORTRANGE(""https://docs.google.com/spreadsheets/d/1-3Vjw2Cyy-mry5gbC8ypIR3YVGFfEpyFESummAta6sg/edit"", ""Sheet1!B:D""), 3, FALSE), ""Not Found"")"),"θ ə r s t i ")</f>
        <v>θ ə r s t i </v>
      </c>
    </row>
    <row r="1160">
      <c r="A1160" s="1" t="s">
        <v>1163</v>
      </c>
      <c r="B1160" s="1" t="s">
        <v>5</v>
      </c>
      <c r="C1160" s="2">
        <f>IFERROR(__xludf.DUMMYFUNCTION("IFERROR(VLOOKUP(A1160, IMPORTRANGE(""https://docs.google.com/spreadsheets/d/1AVX9GT0dgogEBStecCXMMQ29tWz3gBrtNB8yIromXbY/edit?gid=741673867"", ""out1g!A:B""), 2, FALSE), 0)"),1210.0)</f>
        <v>1210</v>
      </c>
      <c r="D1160" s="2" t="str">
        <f>IFERROR(__xludf.DUMMYFUNCTION("IFERROR(VLOOKUP(A1160, IMPORTRANGE(""https://docs.google.com/spreadsheets/d/1-3Vjw2Cyy-mry5gbC8ypIR3YVGFfEpyFESummAta6sg/edit"", ""Sheet1!B:D""), 2, FALSE), ""Not Found"")"),"laʊzi")</f>
        <v>laʊzi</v>
      </c>
      <c r="E1160" s="2" t="str">
        <f>IFERROR(__xludf.DUMMYFUNCTION("IFERROR(VLOOKUP(A1160, IMPORTRANGE(""https://docs.google.com/spreadsheets/d/1-3Vjw2Cyy-mry5gbC8ypIR3YVGFfEpyFESummAta6sg/edit"", ""Sheet1!B:D""), 3, FALSE), ""Not Found"")"),"l a ʊ z i ")</f>
        <v>l a ʊ z i </v>
      </c>
    </row>
    <row r="1161">
      <c r="A1161" s="1" t="s">
        <v>1164</v>
      </c>
      <c r="B1161" s="1" t="s">
        <v>5</v>
      </c>
      <c r="C1161" s="2">
        <f>IFERROR(__xludf.DUMMYFUNCTION("IFERROR(VLOOKUP(A1161, IMPORTRANGE(""https://docs.google.com/spreadsheets/d/1AVX9GT0dgogEBStecCXMMQ29tWz3gBrtNB8yIromXbY/edit?gid=741673867"", ""out1g!A:B""), 2, FALSE), 0)"),1545.0)</f>
        <v>1545</v>
      </c>
      <c r="D1161" s="2" t="str">
        <f>IFERROR(__xludf.DUMMYFUNCTION("IFERROR(VLOOKUP(A1161, IMPORTRANGE(""https://docs.google.com/spreadsheets/d/1-3Vjw2Cyy-mry5gbC8ypIR3YVGFfEpyFESummAta6sg/edit"", ""Sheet1!B:D""), 2, FALSE), ""Not Found"")"),"oʊʃən")</f>
        <v>oʊʃən</v>
      </c>
      <c r="E1161" s="2" t="str">
        <f>IFERROR(__xludf.DUMMYFUNCTION("IFERROR(VLOOKUP(A1161, IMPORTRANGE(""https://docs.google.com/spreadsheets/d/1-3Vjw2Cyy-mry5gbC8ypIR3YVGFfEpyFESummAta6sg/edit"", ""Sheet1!B:D""), 3, FALSE), ""Not Found"")"),"o ʊ ʃ ə n ")</f>
        <v>o ʊ ʃ ə n </v>
      </c>
    </row>
    <row r="1162">
      <c r="A1162" s="1" t="s">
        <v>1165</v>
      </c>
      <c r="B1162" s="1" t="s">
        <v>5</v>
      </c>
      <c r="C1162" s="2">
        <f>IFERROR(__xludf.DUMMYFUNCTION("IFERROR(VLOOKUP(A1162, IMPORTRANGE(""https://docs.google.com/spreadsheets/d/1AVX9GT0dgogEBStecCXMMQ29tWz3gBrtNB8yIromXbY/edit?gid=741673867"", ""out1g!A:B""), 2, FALSE), 0)"),202.0)</f>
        <v>202</v>
      </c>
      <c r="D1162" s="2" t="str">
        <f>IFERROR(__xludf.DUMMYFUNCTION("IFERROR(VLOOKUP(A1162, IMPORTRANGE(""https://docs.google.com/spreadsheets/d/1-3Vjw2Cyy-mry5gbC8ypIR3YVGFfEpyFESummAta6sg/edit"", ""Sheet1!B:D""), 2, FALSE), ""Not Found"")"),"weʤər")</f>
        <v>weʤər</v>
      </c>
      <c r="E1162" s="2" t="str">
        <f>IFERROR(__xludf.DUMMYFUNCTION("IFERROR(VLOOKUP(A1162, IMPORTRANGE(""https://docs.google.com/spreadsheets/d/1-3Vjw2Cyy-mry5gbC8ypIR3YVGFfEpyFESummAta6sg/edit"", ""Sheet1!B:D""), 3, FALSE), ""Not Found"")"),"w e ʤ ə r ")</f>
        <v>w e ʤ ə r </v>
      </c>
    </row>
    <row r="1163">
      <c r="A1163" s="1" t="s">
        <v>1166</v>
      </c>
      <c r="B1163" s="1" t="s">
        <v>5</v>
      </c>
      <c r="C1163" s="2">
        <f>IFERROR(__xludf.DUMMYFUNCTION("IFERROR(VLOOKUP(A1163, IMPORTRANGE(""https://docs.google.com/spreadsheets/d/1AVX9GT0dgogEBStecCXMMQ29tWz3gBrtNB8yIromXbY/edit?gid=741673867"", ""out1g!A:B""), 2, FALSE), 0)"),33.0)</f>
        <v>33</v>
      </c>
      <c r="D1163" s="2" t="str">
        <f>IFERROR(__xludf.DUMMYFUNCTION("IFERROR(VLOOKUP(A1163, IMPORTRANGE(""https://docs.google.com/spreadsheets/d/1-3Vjw2Cyy-mry5gbC8ypIR3YVGFfEpyFESummAta6sg/edit"", ""Sheet1!B:D""), 2, FALSE), ""Not Found"")"),"nez")</f>
        <v>nez</v>
      </c>
      <c r="E1163" s="2" t="str">
        <f>IFERROR(__xludf.DUMMYFUNCTION("IFERROR(VLOOKUP(A1163, IMPORTRANGE(""https://docs.google.com/spreadsheets/d/1-3Vjw2Cyy-mry5gbC8ypIR3YVGFfEpyFESummAta6sg/edit"", ""Sheet1!B:D""), 3, FALSE), ""Not Found"")"),"n e z ")</f>
        <v>n e z </v>
      </c>
    </row>
    <row r="1164">
      <c r="A1164" s="1" t="s">
        <v>1167</v>
      </c>
      <c r="B1164" s="1" t="s">
        <v>5</v>
      </c>
      <c r="C1164" s="2">
        <f>IFERROR(__xludf.DUMMYFUNCTION("IFERROR(VLOOKUP(A1164, IMPORTRANGE(""https://docs.google.com/spreadsheets/d/1AVX9GT0dgogEBStecCXMMQ29tWz3gBrtNB8yIromXbY/edit?gid=741673867"", ""out1g!A:B""), 2, FALSE), 0)"),989.0)</f>
        <v>989</v>
      </c>
      <c r="D1164" s="2" t="str">
        <f>IFERROR(__xludf.DUMMYFUNCTION("IFERROR(VLOOKUP(A1164, IMPORTRANGE(""https://docs.google.com/spreadsheets/d/1-3Vjw2Cyy-mry5gbC8ypIR3YVGFfEpyFESummAta6sg/edit"", ""Sheet1!B:D""), 2, FALSE), ""Not Found"")"),"tres")</f>
        <v>tres</v>
      </c>
      <c r="E1164" s="2" t="str">
        <f>IFERROR(__xludf.DUMMYFUNCTION("IFERROR(VLOOKUP(A1164, IMPORTRANGE(""https://docs.google.com/spreadsheets/d/1-3Vjw2Cyy-mry5gbC8ypIR3YVGFfEpyFESummAta6sg/edit"", ""Sheet1!B:D""), 3, FALSE), ""Not Found"")"),"t r e s ")</f>
        <v>t r e s </v>
      </c>
    </row>
    <row r="1165">
      <c r="A1165" s="1" t="s">
        <v>1168</v>
      </c>
      <c r="B1165" s="1" t="s">
        <v>5</v>
      </c>
      <c r="C1165" s="2">
        <f>IFERROR(__xludf.DUMMYFUNCTION("IFERROR(VLOOKUP(A1165, IMPORTRANGE(""https://docs.google.com/spreadsheets/d/1AVX9GT0dgogEBStecCXMMQ29tWz3gBrtNB8yIromXbY/edit?gid=741673867"", ""out1g!A:B""), 2, FALSE), 0)"),827.0)</f>
        <v>827</v>
      </c>
      <c r="D1165" s="2" t="str">
        <f>IFERROR(__xludf.DUMMYFUNCTION("IFERROR(VLOOKUP(A1165, IMPORTRANGE(""https://docs.google.com/spreadsheets/d/1-3Vjw2Cyy-mry5gbC8ypIR3YVGFfEpyFESummAta6sg/edit"", ""Sheet1!B:D""), 2, FALSE), ""Not Found"")"),"saɪdz")</f>
        <v>saɪdz</v>
      </c>
      <c r="E1165" s="2" t="str">
        <f>IFERROR(__xludf.DUMMYFUNCTION("IFERROR(VLOOKUP(A1165, IMPORTRANGE(""https://docs.google.com/spreadsheets/d/1-3Vjw2Cyy-mry5gbC8ypIR3YVGFfEpyFESummAta6sg/edit"", ""Sheet1!B:D""), 3, FALSE), ""Not Found"")"),"s a ɪ d z ")</f>
        <v>s a ɪ d z </v>
      </c>
    </row>
    <row r="1166">
      <c r="A1166" s="1" t="s">
        <v>1169</v>
      </c>
      <c r="B1166" s="1" t="s">
        <v>5</v>
      </c>
      <c r="C1166" s="2">
        <f>IFERROR(__xludf.DUMMYFUNCTION("IFERROR(VLOOKUP(A1166, IMPORTRANGE(""https://docs.google.com/spreadsheets/d/1AVX9GT0dgogEBStecCXMMQ29tWz3gBrtNB8yIromXbY/edit?gid=741673867"", ""out1g!A:B""), 2, FALSE), 0)"),56.0)</f>
        <v>56</v>
      </c>
      <c r="D1166" s="2" t="str">
        <f>IFERROR(__xludf.DUMMYFUNCTION("IFERROR(VLOOKUP(A1166, IMPORTRANGE(""https://docs.google.com/spreadsheets/d/1-3Vjw2Cyy-mry5gbC8ypIR3YVGFfEpyFESummAta6sg/edit"", ""Sheet1!B:D""), 2, FALSE), ""Not Found"")"),"sigəlz")</f>
        <v>sigəlz</v>
      </c>
      <c r="E1166" s="2" t="str">
        <f>IFERROR(__xludf.DUMMYFUNCTION("IFERROR(VLOOKUP(A1166, IMPORTRANGE(""https://docs.google.com/spreadsheets/d/1-3Vjw2Cyy-mry5gbC8ypIR3YVGFfEpyFESummAta6sg/edit"", ""Sheet1!B:D""), 3, FALSE), ""Not Found"")"),"s i g ə l z ")</f>
        <v>s i g ə l z </v>
      </c>
    </row>
    <row r="1167">
      <c r="A1167" s="1" t="s">
        <v>1170</v>
      </c>
      <c r="B1167" s="1" t="s">
        <v>5</v>
      </c>
      <c r="C1167" s="2">
        <f>IFERROR(__xludf.DUMMYFUNCTION("IFERROR(VLOOKUP(A1167, IMPORTRANGE(""https://docs.google.com/spreadsheets/d/1AVX9GT0dgogEBStecCXMMQ29tWz3gBrtNB8yIromXbY/edit?gid=741673867"", ""out1g!A:B""), 2, FALSE), 0)"),3611.0)</f>
        <v>3611</v>
      </c>
      <c r="D1167" s="2" t="str">
        <f>IFERROR(__xludf.DUMMYFUNCTION("IFERROR(VLOOKUP(A1167, IMPORTRANGE(""https://docs.google.com/spreadsheets/d/1-3Vjw2Cyy-mry5gbC8ypIR3YVGFfEpyFESummAta6sg/edit"", ""Sheet1!B:D""), 2, FALSE), ""Not Found"")"),"ɑrt")</f>
        <v>ɑrt</v>
      </c>
      <c r="E1167" s="2" t="str">
        <f>IFERROR(__xludf.DUMMYFUNCTION("IFERROR(VLOOKUP(A1167, IMPORTRANGE(""https://docs.google.com/spreadsheets/d/1-3Vjw2Cyy-mry5gbC8ypIR3YVGFfEpyFESummAta6sg/edit"", ""Sheet1!B:D""), 3, FALSE), ""Not Found"")"),"ɑ r t ")</f>
        <v>ɑ r t </v>
      </c>
    </row>
    <row r="1168">
      <c r="A1168" s="1" t="s">
        <v>1171</v>
      </c>
      <c r="B1168" s="1" t="s">
        <v>5</v>
      </c>
      <c r="C1168" s="2">
        <f>IFERROR(__xludf.DUMMYFUNCTION("IFERROR(VLOOKUP(A1168, IMPORTRANGE(""https://docs.google.com/spreadsheets/d/1AVX9GT0dgogEBStecCXMMQ29tWz3gBrtNB8yIromXbY/edit?gid=741673867"", ""out1g!A:B""), 2, FALSE), 0)"),1637.0)</f>
        <v>1637</v>
      </c>
      <c r="D1168" s="2" t="str">
        <f>IFERROR(__xludf.DUMMYFUNCTION("IFERROR(VLOOKUP(A1168, IMPORTRANGE(""https://docs.google.com/spreadsheets/d/1-3Vjw2Cyy-mry5gbC8ypIR3YVGFfEpyFESummAta6sg/edit"", ""Sheet1!B:D""), 2, FALSE), ""Not Found"")"),"rənz")</f>
        <v>rənz</v>
      </c>
      <c r="E1168" s="2" t="str">
        <f>IFERROR(__xludf.DUMMYFUNCTION("IFERROR(VLOOKUP(A1168, IMPORTRANGE(""https://docs.google.com/spreadsheets/d/1-3Vjw2Cyy-mry5gbC8ypIR3YVGFfEpyFESummAta6sg/edit"", ""Sheet1!B:D""), 3, FALSE), ""Not Found"")"),"r ə n z ")</f>
        <v>r ə n z </v>
      </c>
    </row>
    <row r="1169">
      <c r="A1169" s="1" t="s">
        <v>1172</v>
      </c>
      <c r="B1169" s="1" t="s">
        <v>5</v>
      </c>
      <c r="C1169" s="2">
        <f>IFERROR(__xludf.DUMMYFUNCTION("IFERROR(VLOOKUP(A1169, IMPORTRANGE(""https://docs.google.com/spreadsheets/d/1AVX9GT0dgogEBStecCXMMQ29tWz3gBrtNB8yIromXbY/edit?gid=741673867"", ""out1g!A:B""), 2, FALSE), 0)"),82.0)</f>
        <v>82</v>
      </c>
      <c r="D1169" s="2" t="str">
        <f>IFERROR(__xludf.DUMMYFUNCTION("IFERROR(VLOOKUP(A1169, IMPORTRANGE(""https://docs.google.com/spreadsheets/d/1-3Vjw2Cyy-mry5gbC8ypIR3YVGFfEpyFESummAta6sg/edit"", ""Sheet1!B:D""), 2, FALSE), ""Not Found"")"),"snɔr")</f>
        <v>snɔr</v>
      </c>
      <c r="E1169" s="2" t="str">
        <f>IFERROR(__xludf.DUMMYFUNCTION("IFERROR(VLOOKUP(A1169, IMPORTRANGE(""https://docs.google.com/spreadsheets/d/1-3Vjw2Cyy-mry5gbC8ypIR3YVGFfEpyFESummAta6sg/edit"", ""Sheet1!B:D""), 3, FALSE), ""Not Found"")"),"s n ɔ r ")</f>
        <v>s n ɔ r </v>
      </c>
    </row>
    <row r="1170">
      <c r="A1170" s="1" t="s">
        <v>1173</v>
      </c>
      <c r="B1170" s="1" t="s">
        <v>5</v>
      </c>
      <c r="C1170" s="2">
        <f>IFERROR(__xludf.DUMMYFUNCTION("IFERROR(VLOOKUP(A1170, IMPORTRANGE(""https://docs.google.com/spreadsheets/d/1AVX9GT0dgogEBStecCXMMQ29tWz3gBrtNB8yIromXbY/edit?gid=741673867"", ""out1g!A:B""), 2, FALSE), 0)"),289.0)</f>
        <v>289</v>
      </c>
      <c r="D1170" s="2" t="str">
        <f>IFERROR(__xludf.DUMMYFUNCTION("IFERROR(VLOOKUP(A1170, IMPORTRANGE(""https://docs.google.com/spreadsheets/d/1-3Vjw2Cyy-mry5gbC8ypIR3YVGFfEpyFESummAta6sg/edit"", ""Sheet1!B:D""), 2, FALSE), ""Not Found"")"),"haɪd")</f>
        <v>haɪd</v>
      </c>
      <c r="E1170" s="2" t="str">
        <f>IFERROR(__xludf.DUMMYFUNCTION("IFERROR(VLOOKUP(A1170, IMPORTRANGE(""https://docs.google.com/spreadsheets/d/1-3Vjw2Cyy-mry5gbC8ypIR3YVGFfEpyFESummAta6sg/edit"", ""Sheet1!B:D""), 3, FALSE), ""Not Found"")"),"h a ɪ d ")</f>
        <v>h a ɪ d </v>
      </c>
    </row>
    <row r="1171">
      <c r="A1171" s="1" t="s">
        <v>1174</v>
      </c>
      <c r="B1171" s="1" t="s">
        <v>5</v>
      </c>
      <c r="C1171" s="2">
        <f>IFERROR(__xludf.DUMMYFUNCTION("IFERROR(VLOOKUP(A1171, IMPORTRANGE(""https://docs.google.com/spreadsheets/d/1AVX9GT0dgogEBStecCXMMQ29tWz3gBrtNB8yIromXbY/edit?gid=741673867"", ""out1g!A:B""), 2, FALSE), 0)"),642.0)</f>
        <v>642</v>
      </c>
      <c r="D1171" s="2" t="str">
        <f>IFERROR(__xludf.DUMMYFUNCTION("IFERROR(VLOOKUP(A1171, IMPORTRANGE(""https://docs.google.com/spreadsheets/d/1-3Vjw2Cyy-mry5gbC8ypIR3YVGFfEpyFESummAta6sg/edit"", ""Sheet1!B:D""), 2, FALSE), ""Not Found"")"),"bɪd")</f>
        <v>bɪd</v>
      </c>
      <c r="E1171" s="2" t="str">
        <f>IFERROR(__xludf.DUMMYFUNCTION("IFERROR(VLOOKUP(A1171, IMPORTRANGE(""https://docs.google.com/spreadsheets/d/1-3Vjw2Cyy-mry5gbC8ypIR3YVGFfEpyFESummAta6sg/edit"", ""Sheet1!B:D""), 3, FALSE), ""Not Found"")"),"b ɪ d ")</f>
        <v>b ɪ d </v>
      </c>
    </row>
    <row r="1172">
      <c r="A1172" s="1" t="s">
        <v>1175</v>
      </c>
      <c r="B1172" s="1" t="s">
        <v>5</v>
      </c>
      <c r="C1172" s="2">
        <f>IFERROR(__xludf.DUMMYFUNCTION("IFERROR(VLOOKUP(A1172, IMPORTRANGE(""https://docs.google.com/spreadsheets/d/1AVX9GT0dgogEBStecCXMMQ29tWz3gBrtNB8yIromXbY/edit?gid=741673867"", ""out1g!A:B""), 2, FALSE), 0)"),80.0)</f>
        <v>80</v>
      </c>
      <c r="D1172" s="2" t="str">
        <f>IFERROR(__xludf.DUMMYFUNCTION("IFERROR(VLOOKUP(A1172, IMPORTRANGE(""https://docs.google.com/spreadsheets/d/1-3Vjw2Cyy-mry5gbC8ypIR3YVGFfEpyFESummAta6sg/edit"", ""Sheet1!B:D""), 2, FALSE), ""Not Found"")"),"plɑ")</f>
        <v>plɑ</v>
      </c>
      <c r="E1172" s="2" t="str">
        <f>IFERROR(__xludf.DUMMYFUNCTION("IFERROR(VLOOKUP(A1172, IMPORTRANGE(""https://docs.google.com/spreadsheets/d/1-3Vjw2Cyy-mry5gbC8ypIR3YVGFfEpyFESummAta6sg/edit"", ""Sheet1!B:D""), 3, FALSE), ""Not Found"")"),"p l ɑ ")</f>
        <v>p l ɑ </v>
      </c>
    </row>
    <row r="1173">
      <c r="A1173" s="1" t="s">
        <v>1176</v>
      </c>
      <c r="B1173" s="1" t="s">
        <v>5</v>
      </c>
      <c r="C1173" s="2">
        <f>IFERROR(__xludf.DUMMYFUNCTION("IFERROR(VLOOKUP(A1173, IMPORTRANGE(""https://docs.google.com/spreadsheets/d/1AVX9GT0dgogEBStecCXMMQ29tWz3gBrtNB8yIromXbY/edit?gid=741673867"", ""out1g!A:B""), 2, FALSE), 0)"),94.0)</f>
        <v>94</v>
      </c>
      <c r="D1173" s="2" t="str">
        <f>IFERROR(__xludf.DUMMYFUNCTION("IFERROR(VLOOKUP(A1173, IMPORTRANGE(""https://docs.google.com/spreadsheets/d/1-3Vjw2Cyy-mry5gbC8ypIR3YVGFfEpyFESummAta6sg/edit"", ""Sheet1!B:D""), 2, FALSE), ""Not Found"")"),"slɑp")</f>
        <v>slɑp</v>
      </c>
      <c r="E1173" s="2" t="str">
        <f>IFERROR(__xludf.DUMMYFUNCTION("IFERROR(VLOOKUP(A1173, IMPORTRANGE(""https://docs.google.com/spreadsheets/d/1-3Vjw2Cyy-mry5gbC8ypIR3YVGFfEpyFESummAta6sg/edit"", ""Sheet1!B:D""), 3, FALSE), ""Not Found"")"),"s l ɑ p ")</f>
        <v>s l ɑ p </v>
      </c>
    </row>
    <row r="1174">
      <c r="A1174" s="1" t="s">
        <v>1177</v>
      </c>
      <c r="B1174" s="1" t="s">
        <v>5</v>
      </c>
      <c r="C1174" s="2">
        <f>IFERROR(__xludf.DUMMYFUNCTION("IFERROR(VLOOKUP(A1174, IMPORTRANGE(""https://docs.google.com/spreadsheets/d/1AVX9GT0dgogEBStecCXMMQ29tWz3gBrtNB8yIromXbY/edit?gid=741673867"", ""out1g!A:B""), 2, FALSE), 0)"),111.0)</f>
        <v>111</v>
      </c>
      <c r="D1174" s="2" t="str">
        <f>IFERROR(__xludf.DUMMYFUNCTION("IFERROR(VLOOKUP(A1174, IMPORTRANGE(""https://docs.google.com/spreadsheets/d/1-3Vjw2Cyy-mry5gbC8ypIR3YVGFfEpyFESummAta6sg/edit"", ""Sheet1!B:D""), 2, FALSE), ""Not Found"")"),"wɔŋkər")</f>
        <v>wɔŋkər</v>
      </c>
      <c r="E1174" s="2" t="str">
        <f>IFERROR(__xludf.DUMMYFUNCTION("IFERROR(VLOOKUP(A1174, IMPORTRANGE(""https://docs.google.com/spreadsheets/d/1-3Vjw2Cyy-mry5gbC8ypIR3YVGFfEpyFESummAta6sg/edit"", ""Sheet1!B:D""), 3, FALSE), ""Not Found"")"),"w ɔ ŋ k ə r ")</f>
        <v>w ɔ ŋ k ə r </v>
      </c>
    </row>
    <row r="1175">
      <c r="A1175" s="1" t="s">
        <v>1178</v>
      </c>
      <c r="B1175" s="1" t="s">
        <v>5</v>
      </c>
      <c r="C1175" s="2">
        <f>IFERROR(__xludf.DUMMYFUNCTION("IFERROR(VLOOKUP(A1175, IMPORTRANGE(""https://docs.google.com/spreadsheets/d/1AVX9GT0dgogEBStecCXMMQ29tWz3gBrtNB8yIromXbY/edit?gid=741673867"", ""out1g!A:B""), 2, FALSE), 0)"),105.0)</f>
        <v>105</v>
      </c>
      <c r="D1175" s="2" t="str">
        <f>IFERROR(__xludf.DUMMYFUNCTION("IFERROR(VLOOKUP(A1175, IMPORTRANGE(""https://docs.google.com/spreadsheets/d/1-3Vjw2Cyy-mry5gbC8ypIR3YVGFfEpyFESummAta6sg/edit"", ""Sheet1!B:D""), 2, FALSE), ""Not Found"")"),"haʊl")</f>
        <v>haʊl</v>
      </c>
      <c r="E1175" s="2" t="str">
        <f>IFERROR(__xludf.DUMMYFUNCTION("IFERROR(VLOOKUP(A1175, IMPORTRANGE(""https://docs.google.com/spreadsheets/d/1-3Vjw2Cyy-mry5gbC8ypIR3YVGFfEpyFESummAta6sg/edit"", ""Sheet1!B:D""), 3, FALSE), ""Not Found"")"),"h a ʊ l ")</f>
        <v>h a ʊ l </v>
      </c>
    </row>
    <row r="1176">
      <c r="A1176" s="1" t="s">
        <v>1179</v>
      </c>
      <c r="B1176" s="1" t="s">
        <v>5</v>
      </c>
      <c r="C1176" s="2">
        <f>IFERROR(__xludf.DUMMYFUNCTION("IFERROR(VLOOKUP(A1176, IMPORTRANGE(""https://docs.google.com/spreadsheets/d/1AVX9GT0dgogEBStecCXMMQ29tWz3gBrtNB8yIromXbY/edit?gid=741673867"", ""out1g!A:B""), 2, FALSE), 0)"),2331.0)</f>
        <v>2331</v>
      </c>
      <c r="D1176" s="2" t="str">
        <f>IFERROR(__xludf.DUMMYFUNCTION("IFERROR(VLOOKUP(A1176, IMPORTRANGE(""https://docs.google.com/spreadsheets/d/1-3Vjw2Cyy-mry5gbC8ypIR3YVGFfEpyFESummAta6sg/edit"", ""Sheet1!B:D""), 2, FALSE), ""Not Found"")"),"brɪʤ")</f>
        <v>brɪʤ</v>
      </c>
      <c r="E1176" s="2" t="str">
        <f>IFERROR(__xludf.DUMMYFUNCTION("IFERROR(VLOOKUP(A1176, IMPORTRANGE(""https://docs.google.com/spreadsheets/d/1-3Vjw2Cyy-mry5gbC8ypIR3YVGFfEpyFESummAta6sg/edit"", ""Sheet1!B:D""), 3, FALSE), ""Not Found"")"),"b r ɪ ʤ ")</f>
        <v>b r ɪ ʤ </v>
      </c>
    </row>
    <row r="1177">
      <c r="A1177" s="1" t="s">
        <v>1180</v>
      </c>
      <c r="B1177" s="1" t="s">
        <v>5</v>
      </c>
      <c r="C1177" s="2">
        <f>IFERROR(__xludf.DUMMYFUNCTION("IFERROR(VLOOKUP(A1177, IMPORTRANGE(""https://docs.google.com/spreadsheets/d/1AVX9GT0dgogEBStecCXMMQ29tWz3gBrtNB8yIromXbY/edit?gid=741673867"", ""out1g!A:B""), 2, FALSE), 0)"),73.0)</f>
        <v>73</v>
      </c>
      <c r="D1177" s="2" t="str">
        <f>IFERROR(__xludf.DUMMYFUNCTION("IFERROR(VLOOKUP(A1177, IMPORTRANGE(""https://docs.google.com/spreadsheets/d/1-3Vjw2Cyy-mry5gbC8ypIR3YVGFfEpyFESummAta6sg/edit"", ""Sheet1!B:D""), 2, FALSE), ""Not Found"")"),"sɔlts")</f>
        <v>sɔlts</v>
      </c>
      <c r="E1177" s="2" t="str">
        <f>IFERROR(__xludf.DUMMYFUNCTION("IFERROR(VLOOKUP(A1177, IMPORTRANGE(""https://docs.google.com/spreadsheets/d/1-3Vjw2Cyy-mry5gbC8ypIR3YVGFfEpyFESummAta6sg/edit"", ""Sheet1!B:D""), 3, FALSE), ""Not Found"")"),"s ɔ l t s ")</f>
        <v>s ɔ l t s </v>
      </c>
    </row>
    <row r="1178">
      <c r="A1178" s="1" t="s">
        <v>1181</v>
      </c>
      <c r="B1178" s="1" t="s">
        <v>5</v>
      </c>
      <c r="C1178" s="2">
        <f>IFERROR(__xludf.DUMMYFUNCTION("IFERROR(VLOOKUP(A1178, IMPORTRANGE(""https://docs.google.com/spreadsheets/d/1AVX9GT0dgogEBStecCXMMQ29tWz3gBrtNB8yIromXbY/edit?gid=741673867"", ""out1g!A:B""), 2, FALSE), 0)"),4246.0)</f>
        <v>4246</v>
      </c>
      <c r="D1178" s="2" t="str">
        <f>IFERROR(__xludf.DUMMYFUNCTION("IFERROR(VLOOKUP(A1178, IMPORTRANGE(""https://docs.google.com/spreadsheets/d/1-3Vjw2Cyy-mry5gbC8ypIR3YVGFfEpyFESummAta6sg/edit"", ""Sheet1!B:D""), 2, FALSE), ""Not Found"")"),"lɛd")</f>
        <v>lɛd</v>
      </c>
      <c r="E1178" s="2" t="str">
        <f>IFERROR(__xludf.DUMMYFUNCTION("IFERROR(VLOOKUP(A1178, IMPORTRANGE(""https://docs.google.com/spreadsheets/d/1-3Vjw2Cyy-mry5gbC8ypIR3YVGFfEpyFESummAta6sg/edit"", ""Sheet1!B:D""), 3, FALSE), ""Not Found"")"),"l ɛ d ")</f>
        <v>l ɛ d </v>
      </c>
    </row>
    <row r="1179">
      <c r="A1179" s="1" t="s">
        <v>1182</v>
      </c>
      <c r="B1179" s="1" t="s">
        <v>5</v>
      </c>
      <c r="C1179" s="2">
        <f>IFERROR(__xludf.DUMMYFUNCTION("IFERROR(VLOOKUP(A1179, IMPORTRANGE(""https://docs.google.com/spreadsheets/d/1AVX9GT0dgogEBStecCXMMQ29tWz3gBrtNB8yIromXbY/edit?gid=741673867"", ""out1g!A:B""), 2, FALSE), 0)"),1300.0)</f>
        <v>1300</v>
      </c>
      <c r="D1179" s="2" t="str">
        <f>IFERROR(__xludf.DUMMYFUNCTION("IFERROR(VLOOKUP(A1179, IMPORTRANGE(""https://docs.google.com/spreadsheets/d/1-3Vjw2Cyy-mry5gbC8ypIR3YVGFfEpyFESummAta6sg/edit"", ""Sheet1!B:D""), 2, FALSE), ""Not Found"")"),"pɪst")</f>
        <v>pɪst</v>
      </c>
      <c r="E1179" s="2" t="str">
        <f>IFERROR(__xludf.DUMMYFUNCTION("IFERROR(VLOOKUP(A1179, IMPORTRANGE(""https://docs.google.com/spreadsheets/d/1-3Vjw2Cyy-mry5gbC8ypIR3YVGFfEpyFESummAta6sg/edit"", ""Sheet1!B:D""), 3, FALSE), ""Not Found"")"),"p ɪ s t ")</f>
        <v>p ɪ s t </v>
      </c>
    </row>
    <row r="1180">
      <c r="A1180" s="1" t="s">
        <v>1183</v>
      </c>
      <c r="B1180" s="1" t="s">
        <v>5</v>
      </c>
      <c r="C1180" s="2">
        <f>IFERROR(__xludf.DUMMYFUNCTION("IFERROR(VLOOKUP(A1180, IMPORTRANGE(""https://docs.google.com/spreadsheets/d/1AVX9GT0dgogEBStecCXMMQ29tWz3gBrtNB8yIromXbY/edit?gid=741673867"", ""out1g!A:B""), 2, FALSE), 0)"),47.0)</f>
        <v>47</v>
      </c>
      <c r="D1180" s="2" t="str">
        <f>IFERROR(__xludf.DUMMYFUNCTION("IFERROR(VLOOKUP(A1180, IMPORTRANGE(""https://docs.google.com/spreadsheets/d/1-3Vjw2Cyy-mry5gbC8ypIR3YVGFfEpyFESummAta6sg/edit"", ""Sheet1!B:D""), 2, FALSE), ""Not Found"")"),"ki")</f>
        <v>ki</v>
      </c>
      <c r="E1180" s="2" t="str">
        <f>IFERROR(__xludf.DUMMYFUNCTION("IFERROR(VLOOKUP(A1180, IMPORTRANGE(""https://docs.google.com/spreadsheets/d/1-3Vjw2Cyy-mry5gbC8ypIR3YVGFfEpyFESummAta6sg/edit"", ""Sheet1!B:D""), 3, FALSE), ""Not Found"")"),"k i ")</f>
        <v>k i </v>
      </c>
    </row>
    <row r="1181">
      <c r="A1181" s="1" t="s">
        <v>1184</v>
      </c>
      <c r="B1181" s="1" t="s">
        <v>5</v>
      </c>
      <c r="C1181" s="2">
        <f>IFERROR(__xludf.DUMMYFUNCTION("IFERROR(VLOOKUP(A1181, IMPORTRANGE(""https://docs.google.com/spreadsheets/d/1AVX9GT0dgogEBStecCXMMQ29tWz3gBrtNB8yIromXbY/edit?gid=741673867"", ""out1g!A:B""), 2, FALSE), 0)"),10176.0)</f>
        <v>10176</v>
      </c>
      <c r="D1181" s="2" t="str">
        <f>IFERROR(__xludf.DUMMYFUNCTION("IFERROR(VLOOKUP(A1181, IMPORTRANGE(""https://docs.google.com/spreadsheets/d/1-3Vjw2Cyy-mry5gbC8ypIR3YVGFfEpyFESummAta6sg/edit"", ""Sheet1!B:D""), 2, FALSE), ""Not Found"")"),"sɪks")</f>
        <v>sɪks</v>
      </c>
      <c r="E1181" s="2" t="str">
        <f>IFERROR(__xludf.DUMMYFUNCTION("IFERROR(VLOOKUP(A1181, IMPORTRANGE(""https://docs.google.com/spreadsheets/d/1-3Vjw2Cyy-mry5gbC8ypIR3YVGFfEpyFESummAta6sg/edit"", ""Sheet1!B:D""), 3, FALSE), ""Not Found"")"),"s ɪ k s ")</f>
        <v>s ɪ k s </v>
      </c>
    </row>
    <row r="1182">
      <c r="A1182" s="1" t="s">
        <v>1185</v>
      </c>
      <c r="B1182" s="1" t="s">
        <v>5</v>
      </c>
      <c r="C1182" s="2">
        <f>IFERROR(__xludf.DUMMYFUNCTION("IFERROR(VLOOKUP(A1182, IMPORTRANGE(""https://docs.google.com/spreadsheets/d/1AVX9GT0dgogEBStecCXMMQ29tWz3gBrtNB8yIromXbY/edit?gid=741673867"", ""out1g!A:B""), 2, FALSE), 0)"),134.0)</f>
        <v>134</v>
      </c>
      <c r="D1182" s="2" t="str">
        <f>IFERROR(__xludf.DUMMYFUNCTION("IFERROR(VLOOKUP(A1182, IMPORTRANGE(""https://docs.google.com/spreadsheets/d/1-3Vjw2Cyy-mry5gbC8ypIR3YVGFfEpyFESummAta6sg/edit"", ""Sheet1!B:D""), 2, FALSE), ""Not Found"")"),"stɑkɪŋ")</f>
        <v>stɑkɪŋ</v>
      </c>
      <c r="E1182" s="2" t="str">
        <f>IFERROR(__xludf.DUMMYFUNCTION("IFERROR(VLOOKUP(A1182, IMPORTRANGE(""https://docs.google.com/spreadsheets/d/1-3Vjw2Cyy-mry5gbC8ypIR3YVGFfEpyFESummAta6sg/edit"", ""Sheet1!B:D""), 3, FALSE), ""Not Found"")"),"s t ɑ k ɪ ŋ ")</f>
        <v>s t ɑ k ɪ ŋ </v>
      </c>
    </row>
    <row r="1183">
      <c r="A1183" s="1" t="s">
        <v>1186</v>
      </c>
      <c r="B1183" s="1" t="s">
        <v>5</v>
      </c>
      <c r="C1183" s="2">
        <f>IFERROR(__xludf.DUMMYFUNCTION("IFERROR(VLOOKUP(A1183, IMPORTRANGE(""https://docs.google.com/spreadsheets/d/1AVX9GT0dgogEBStecCXMMQ29tWz3gBrtNB8yIromXbY/edit?gid=741673867"", ""out1g!A:B""), 2, FALSE), 0)"),253.0)</f>
        <v>253</v>
      </c>
      <c r="D1183" s="2" t="str">
        <f>IFERROR(__xludf.DUMMYFUNCTION("IFERROR(VLOOKUP(A1183, IMPORTRANGE(""https://docs.google.com/spreadsheets/d/1-3Vjw2Cyy-mry5gbC8ypIR3YVGFfEpyFESummAta6sg/edit"", ""Sheet1!B:D""), 2, FALSE), ""Not Found"")"),"bərdi")</f>
        <v>bərdi</v>
      </c>
      <c r="E1183" s="2" t="str">
        <f>IFERROR(__xludf.DUMMYFUNCTION("IFERROR(VLOOKUP(A1183, IMPORTRANGE(""https://docs.google.com/spreadsheets/d/1-3Vjw2Cyy-mry5gbC8ypIR3YVGFfEpyFESummAta6sg/edit"", ""Sheet1!B:D""), 3, FALSE), ""Not Found"")"),"b ə r d i ")</f>
        <v>b ə r d i </v>
      </c>
    </row>
    <row r="1184">
      <c r="A1184" s="1" t="s">
        <v>1187</v>
      </c>
      <c r="B1184" s="1" t="s">
        <v>5</v>
      </c>
      <c r="C1184" s="2">
        <f>IFERROR(__xludf.DUMMYFUNCTION("IFERROR(VLOOKUP(A1184, IMPORTRANGE(""https://docs.google.com/spreadsheets/d/1AVX9GT0dgogEBStecCXMMQ29tWz3gBrtNB8yIromXbY/edit?gid=741673867"", ""out1g!A:B""), 2, FALSE), 0)"),115.0)</f>
        <v>115</v>
      </c>
      <c r="D1184" s="2" t="str">
        <f>IFERROR(__xludf.DUMMYFUNCTION("IFERROR(VLOOKUP(A1184, IMPORTRANGE(""https://docs.google.com/spreadsheets/d/1-3Vjw2Cyy-mry5gbC8ypIR3YVGFfEpyFESummAta6sg/edit"", ""Sheet1!B:D""), 2, FALSE), ""Not Found"")"),"trəmp")</f>
        <v>trəmp</v>
      </c>
      <c r="E1184" s="2" t="str">
        <f>IFERROR(__xludf.DUMMYFUNCTION("IFERROR(VLOOKUP(A1184, IMPORTRANGE(""https://docs.google.com/spreadsheets/d/1-3Vjw2Cyy-mry5gbC8ypIR3YVGFfEpyFESummAta6sg/edit"", ""Sheet1!B:D""), 3, FALSE), ""Not Found"")"),"t r ə m p ")</f>
        <v>t r ə m p </v>
      </c>
    </row>
    <row r="1185">
      <c r="A1185" s="1" t="s">
        <v>1188</v>
      </c>
      <c r="B1185" s="1" t="s">
        <v>5</v>
      </c>
      <c r="C1185" s="2">
        <f>IFERROR(__xludf.DUMMYFUNCTION("IFERROR(VLOOKUP(A1185, IMPORTRANGE(""https://docs.google.com/spreadsheets/d/1AVX9GT0dgogEBStecCXMMQ29tWz3gBrtNB8yIromXbY/edit?gid=741673867"", ""out1g!A:B""), 2, FALSE), 0)"),316.0)</f>
        <v>316</v>
      </c>
      <c r="D1185" s="2" t="str">
        <f>IFERROR(__xludf.DUMMYFUNCTION("IFERROR(VLOOKUP(A1185, IMPORTRANGE(""https://docs.google.com/spreadsheets/d/1-3Vjw2Cyy-mry5gbC8ypIR3YVGFfEpyFESummAta6sg/edit"", ""Sheet1!B:D""), 2, FALSE), ""Not Found"")"),"smaɪlz")</f>
        <v>smaɪlz</v>
      </c>
      <c r="E1185" s="2" t="str">
        <f>IFERROR(__xludf.DUMMYFUNCTION("IFERROR(VLOOKUP(A1185, IMPORTRANGE(""https://docs.google.com/spreadsheets/d/1-3Vjw2Cyy-mry5gbC8ypIR3YVGFfEpyFESummAta6sg/edit"", ""Sheet1!B:D""), 3, FALSE), ""Not Found"")"),"s m a ɪ l z ")</f>
        <v>s m a ɪ l z </v>
      </c>
    </row>
    <row r="1186">
      <c r="A1186" s="1" t="s">
        <v>1189</v>
      </c>
      <c r="B1186" s="1" t="s">
        <v>5</v>
      </c>
      <c r="C1186" s="2">
        <f>IFERROR(__xludf.DUMMYFUNCTION("IFERROR(VLOOKUP(A1186, IMPORTRANGE(""https://docs.google.com/spreadsheets/d/1AVX9GT0dgogEBStecCXMMQ29tWz3gBrtNB8yIromXbY/edit?gid=741673867"", ""out1g!A:B""), 2, FALSE), 0)"),69.0)</f>
        <v>69</v>
      </c>
      <c r="D1186" s="2" t="str">
        <f>IFERROR(__xludf.DUMMYFUNCTION("IFERROR(VLOOKUP(A1186, IMPORTRANGE(""https://docs.google.com/spreadsheets/d/1-3Vjw2Cyy-mry5gbC8ypIR3YVGFfEpyFESummAta6sg/edit"", ""Sheet1!B:D""), 2, FALSE), ""Not Found"")"),"stɛr")</f>
        <v>stɛr</v>
      </c>
      <c r="E1186" s="2" t="str">
        <f>IFERROR(__xludf.DUMMYFUNCTION("IFERROR(VLOOKUP(A1186, IMPORTRANGE(""https://docs.google.com/spreadsheets/d/1-3Vjw2Cyy-mry5gbC8ypIR3YVGFfEpyFESummAta6sg/edit"", ""Sheet1!B:D""), 3, FALSE), ""Not Found"")"),"s t ɛ r ")</f>
        <v>s t ɛ r </v>
      </c>
    </row>
    <row r="1187">
      <c r="A1187" s="1" t="s">
        <v>1190</v>
      </c>
      <c r="B1187" s="1" t="s">
        <v>5</v>
      </c>
      <c r="C1187" s="2">
        <f>IFERROR(__xludf.DUMMYFUNCTION("IFERROR(VLOOKUP(A1187, IMPORTRANGE(""https://docs.google.com/spreadsheets/d/1AVX9GT0dgogEBStecCXMMQ29tWz3gBrtNB8yIromXbY/edit?gid=741673867"", ""out1g!A:B""), 2, FALSE), 0)"),2888.0)</f>
        <v>2888</v>
      </c>
      <c r="D1187" s="2" t="str">
        <f>IFERROR(__xludf.DUMMYFUNCTION("IFERROR(VLOOKUP(A1187, IMPORTRANGE(""https://docs.google.com/spreadsheets/d/1-3Vjw2Cyy-mry5gbC8ypIR3YVGFfEpyFESummAta6sg/edit"", ""Sheet1!B:D""), 2, FALSE), ""Not Found"")"),"biʧ")</f>
        <v>biʧ</v>
      </c>
      <c r="E1187" s="2" t="str">
        <f>IFERROR(__xludf.DUMMYFUNCTION("IFERROR(VLOOKUP(A1187, IMPORTRANGE(""https://docs.google.com/spreadsheets/d/1-3Vjw2Cyy-mry5gbC8ypIR3YVGFfEpyFESummAta6sg/edit"", ""Sheet1!B:D""), 3, FALSE), ""Not Found"")"),"b i ʧ ")</f>
        <v>b i ʧ </v>
      </c>
    </row>
    <row r="1188">
      <c r="A1188" s="1" t="s">
        <v>1191</v>
      </c>
      <c r="B1188" s="1" t="s">
        <v>5</v>
      </c>
      <c r="C1188" s="2">
        <f>IFERROR(__xludf.DUMMYFUNCTION("IFERROR(VLOOKUP(A1188, IMPORTRANGE(""https://docs.google.com/spreadsheets/d/1AVX9GT0dgogEBStecCXMMQ29tWz3gBrtNB8yIromXbY/edit?gid=741673867"", ""out1g!A:B""), 2, FALSE), 0)"),78.0)</f>
        <v>78</v>
      </c>
      <c r="D1188" s="2" t="str">
        <f>IFERROR(__xludf.DUMMYFUNCTION("IFERROR(VLOOKUP(A1188, IMPORTRANGE(""https://docs.google.com/spreadsheets/d/1-3Vjw2Cyy-mry5gbC8ypIR3YVGFfEpyFESummAta6sg/edit"", ""Sheet1!B:D""), 2, FALSE), ""Not Found"")"),"kuli")</f>
        <v>kuli</v>
      </c>
      <c r="E1188" s="2" t="str">
        <f>IFERROR(__xludf.DUMMYFUNCTION("IFERROR(VLOOKUP(A1188, IMPORTRANGE(""https://docs.google.com/spreadsheets/d/1-3Vjw2Cyy-mry5gbC8ypIR3YVGFfEpyFESummAta6sg/edit"", ""Sheet1!B:D""), 3, FALSE), ""Not Found"")"),"k u l i ")</f>
        <v>k u l i </v>
      </c>
    </row>
    <row r="1189">
      <c r="A1189" s="1" t="s">
        <v>1192</v>
      </c>
      <c r="B1189" s="1" t="s">
        <v>5</v>
      </c>
      <c r="C1189" s="2">
        <f>IFERROR(__xludf.DUMMYFUNCTION("IFERROR(VLOOKUP(A1189, IMPORTRANGE(""https://docs.google.com/spreadsheets/d/1AVX9GT0dgogEBStecCXMMQ29tWz3gBrtNB8yIromXbY/edit?gid=741673867"", ""out1g!A:B""), 2, FALSE), 0)"),2233.0)</f>
        <v>2233</v>
      </c>
      <c r="D1189" s="2" t="str">
        <f>IFERROR(__xludf.DUMMYFUNCTION("IFERROR(VLOOKUP(A1189, IMPORTRANGE(""https://docs.google.com/spreadsheets/d/1-3Vjw2Cyy-mry5gbC8ypIR3YVGFfEpyFESummAta6sg/edit"", ""Sheet1!B:D""), 2, FALSE), ""Not Found"")"),"fæstər")</f>
        <v>fæstər</v>
      </c>
      <c r="E1189" s="2" t="str">
        <f>IFERROR(__xludf.DUMMYFUNCTION("IFERROR(VLOOKUP(A1189, IMPORTRANGE(""https://docs.google.com/spreadsheets/d/1-3Vjw2Cyy-mry5gbC8ypIR3YVGFfEpyFESummAta6sg/edit"", ""Sheet1!B:D""), 3, FALSE), ""Not Found"")"),"f æ s t ə r ")</f>
        <v>f æ s t ə r </v>
      </c>
    </row>
    <row r="1190">
      <c r="A1190" s="1" t="s">
        <v>1193</v>
      </c>
      <c r="B1190" s="1" t="s">
        <v>5</v>
      </c>
      <c r="C1190" s="2">
        <f>IFERROR(__xludf.DUMMYFUNCTION("IFERROR(VLOOKUP(A1190, IMPORTRANGE(""https://docs.google.com/spreadsheets/d/1AVX9GT0dgogEBStecCXMMQ29tWz3gBrtNB8yIromXbY/edit?gid=741673867"", ""out1g!A:B""), 2, FALSE), 0)"),12.0)</f>
        <v>12</v>
      </c>
      <c r="D1190" s="2" t="str">
        <f>IFERROR(__xludf.DUMMYFUNCTION("IFERROR(VLOOKUP(A1190, IMPORTRANGE(""https://docs.google.com/spreadsheets/d/1-3Vjw2Cyy-mry5gbC8ypIR3YVGFfEpyFESummAta6sg/edit"", ""Sheet1!B:D""), 2, FALSE), ""Not Found"")"),"fɛmz")</f>
        <v>fɛmz</v>
      </c>
      <c r="E1190" s="2" t="str">
        <f>IFERROR(__xludf.DUMMYFUNCTION("IFERROR(VLOOKUP(A1190, IMPORTRANGE(""https://docs.google.com/spreadsheets/d/1-3Vjw2Cyy-mry5gbC8ypIR3YVGFfEpyFESummAta6sg/edit"", ""Sheet1!B:D""), 3, FALSE), ""Not Found"")"),"f ɛ m z ")</f>
        <v>f ɛ m z </v>
      </c>
    </row>
    <row r="1191">
      <c r="A1191" s="1" t="s">
        <v>1194</v>
      </c>
      <c r="B1191" s="1" t="s">
        <v>5</v>
      </c>
      <c r="C1191" s="2">
        <f>IFERROR(__xludf.DUMMYFUNCTION("IFERROR(VLOOKUP(A1191, IMPORTRANGE(""https://docs.google.com/spreadsheets/d/1AVX9GT0dgogEBStecCXMMQ29tWz3gBrtNB8yIromXbY/edit?gid=741673867"", ""out1g!A:B""), 2, FALSE), 0)"),69.0)</f>
        <v>69</v>
      </c>
      <c r="D1191" s="2" t="str">
        <f>IFERROR(__xludf.DUMMYFUNCTION("IFERROR(VLOOKUP(A1191, IMPORTRANGE(""https://docs.google.com/spreadsheets/d/1-3Vjw2Cyy-mry5gbC8ypIR3YVGFfEpyFESummAta6sg/edit"", ""Sheet1!B:D""), 2, FALSE), ""Not Found"")"),"stɑrʧ")</f>
        <v>stɑrʧ</v>
      </c>
      <c r="E1191" s="2" t="str">
        <f>IFERROR(__xludf.DUMMYFUNCTION("IFERROR(VLOOKUP(A1191, IMPORTRANGE(""https://docs.google.com/spreadsheets/d/1-3Vjw2Cyy-mry5gbC8ypIR3YVGFfEpyFESummAta6sg/edit"", ""Sheet1!B:D""), 3, FALSE), ""Not Found"")"),"s t ɑ r ʧ ")</f>
        <v>s t ɑ r ʧ </v>
      </c>
    </row>
    <row r="1192">
      <c r="A1192" s="1" t="s">
        <v>1195</v>
      </c>
      <c r="B1192" s="1" t="s">
        <v>5</v>
      </c>
      <c r="C1192" s="2">
        <f>IFERROR(__xludf.DUMMYFUNCTION("IFERROR(VLOOKUP(A1192, IMPORTRANGE(""https://docs.google.com/spreadsheets/d/1AVX9GT0dgogEBStecCXMMQ29tWz3gBrtNB8yIromXbY/edit?gid=741673867"", ""out1g!A:B""), 2, FALSE), 0)"),74.0)</f>
        <v>74</v>
      </c>
      <c r="D1192" s="2" t="str">
        <f>IFERROR(__xludf.DUMMYFUNCTION("IFERROR(VLOOKUP(A1192, IMPORTRANGE(""https://docs.google.com/spreadsheets/d/1-3Vjw2Cyy-mry5gbC8ypIR3YVGFfEpyFESummAta6sg/edit"", ""Sheet1!B:D""), 2, FALSE), ""Not Found"")"),"hɛroʊən")</f>
        <v>hɛroʊən</v>
      </c>
      <c r="E1192" s="2" t="str">
        <f>IFERROR(__xludf.DUMMYFUNCTION("IFERROR(VLOOKUP(A1192, IMPORTRANGE(""https://docs.google.com/spreadsheets/d/1-3Vjw2Cyy-mry5gbC8ypIR3YVGFfEpyFESummAta6sg/edit"", ""Sheet1!B:D""), 3, FALSE), ""Not Found"")"),"h ɛ r o ʊ ə n ")</f>
        <v>h ɛ r o ʊ ə n </v>
      </c>
    </row>
    <row r="1193">
      <c r="A1193" s="1" t="s">
        <v>1196</v>
      </c>
      <c r="B1193" s="1" t="s">
        <v>5</v>
      </c>
      <c r="C1193" s="2">
        <f>IFERROR(__xludf.DUMMYFUNCTION("IFERROR(VLOOKUP(A1193, IMPORTRANGE(""https://docs.google.com/spreadsheets/d/1AVX9GT0dgogEBStecCXMMQ29tWz3gBrtNB8yIromXbY/edit?gid=741673867"", ""out1g!A:B""), 2, FALSE), 0)"),1468.0)</f>
        <v>1468</v>
      </c>
      <c r="D1193" s="2" t="str">
        <f>IFERROR(__xludf.DUMMYFUNCTION("IFERROR(VLOOKUP(A1193, IMPORTRANGE(""https://docs.google.com/spreadsheets/d/1-3Vjw2Cyy-mry5gbC8ypIR3YVGFfEpyFESummAta6sg/edit"", ""Sheet1!B:D""), 2, FALSE), ""Not Found"")"),"ʃɑk")</f>
        <v>ʃɑk</v>
      </c>
      <c r="E1193" s="2" t="str">
        <f>IFERROR(__xludf.DUMMYFUNCTION("IFERROR(VLOOKUP(A1193, IMPORTRANGE(""https://docs.google.com/spreadsheets/d/1-3Vjw2Cyy-mry5gbC8ypIR3YVGFfEpyFESummAta6sg/edit"", ""Sheet1!B:D""), 3, FALSE), ""Not Found"")"),"ʃ ɑ k ")</f>
        <v>ʃ ɑ k </v>
      </c>
    </row>
    <row r="1194">
      <c r="A1194" s="1" t="s">
        <v>1197</v>
      </c>
      <c r="B1194" s="1" t="s">
        <v>5</v>
      </c>
      <c r="C1194" s="2">
        <f>IFERROR(__xludf.DUMMYFUNCTION("IFERROR(VLOOKUP(A1194, IMPORTRANGE(""https://docs.google.com/spreadsheets/d/1AVX9GT0dgogEBStecCXMMQ29tWz3gBrtNB8yIromXbY/edit?gid=741673867"", ""out1g!A:B""), 2, FALSE), 0)"),455.0)</f>
        <v>455</v>
      </c>
      <c r="D1194" s="2" t="str">
        <f>IFERROR(__xludf.DUMMYFUNCTION("IFERROR(VLOOKUP(A1194, IMPORTRANGE(""https://docs.google.com/spreadsheets/d/1-3Vjw2Cyy-mry5gbC8ypIR3YVGFfEpyFESummAta6sg/edit"", ""Sheet1!B:D""), 2, FALSE), ""Not Found"")"),"sɪnz")</f>
        <v>sɪnz</v>
      </c>
      <c r="E1194" s="2" t="str">
        <f>IFERROR(__xludf.DUMMYFUNCTION("IFERROR(VLOOKUP(A1194, IMPORTRANGE(""https://docs.google.com/spreadsheets/d/1-3Vjw2Cyy-mry5gbC8ypIR3YVGFfEpyFESummAta6sg/edit"", ""Sheet1!B:D""), 3, FALSE), ""Not Found"")"),"s ɪ n z ")</f>
        <v>s ɪ n z </v>
      </c>
    </row>
    <row r="1195">
      <c r="A1195" s="1" t="s">
        <v>1198</v>
      </c>
      <c r="B1195" s="1" t="s">
        <v>5</v>
      </c>
      <c r="C1195" s="2">
        <f>IFERROR(__xludf.DUMMYFUNCTION("IFERROR(VLOOKUP(A1195, IMPORTRANGE(""https://docs.google.com/spreadsheets/d/1AVX9GT0dgogEBStecCXMMQ29tWz3gBrtNB8yIromXbY/edit?gid=741673867"", ""out1g!A:B""), 2, FALSE), 0)"),85.0)</f>
        <v>85</v>
      </c>
      <c r="D1195" s="2" t="str">
        <f>IFERROR(__xludf.DUMMYFUNCTION("IFERROR(VLOOKUP(A1195, IMPORTRANGE(""https://docs.google.com/spreadsheets/d/1-3Vjw2Cyy-mry5gbC8ypIR3YVGFfEpyFESummAta6sg/edit"", ""Sheet1!B:D""), 2, FALSE), ""Not Found"")"),"raɪtfəli")</f>
        <v>raɪtfəli</v>
      </c>
      <c r="E1195" s="2" t="str">
        <f>IFERROR(__xludf.DUMMYFUNCTION("IFERROR(VLOOKUP(A1195, IMPORTRANGE(""https://docs.google.com/spreadsheets/d/1-3Vjw2Cyy-mry5gbC8ypIR3YVGFfEpyFESummAta6sg/edit"", ""Sheet1!B:D""), 3, FALSE), ""Not Found"")"),"r a ɪ t f ə l i ")</f>
        <v>r a ɪ t f ə l i </v>
      </c>
    </row>
    <row r="1196">
      <c r="A1196" s="1" t="s">
        <v>1199</v>
      </c>
      <c r="B1196" s="1" t="s">
        <v>5</v>
      </c>
      <c r="C1196" s="2">
        <f>IFERROR(__xludf.DUMMYFUNCTION("IFERROR(VLOOKUP(A1196, IMPORTRANGE(""https://docs.google.com/spreadsheets/d/1AVX9GT0dgogEBStecCXMMQ29tWz3gBrtNB8yIromXbY/edit?gid=741673867"", ""out1g!A:B""), 2, FALSE), 0)"),149.0)</f>
        <v>149</v>
      </c>
      <c r="D1196" s="2" t="str">
        <f>IFERROR(__xludf.DUMMYFUNCTION("IFERROR(VLOOKUP(A1196, IMPORTRANGE(""https://docs.google.com/spreadsheets/d/1-3Vjw2Cyy-mry5gbC8ypIR3YVGFfEpyFESummAta6sg/edit"", ""Sheet1!B:D""), 2, FALSE), ""Not Found"")"),"spɛns")</f>
        <v>spɛns</v>
      </c>
      <c r="E1196" s="2" t="str">
        <f>IFERROR(__xludf.DUMMYFUNCTION("IFERROR(VLOOKUP(A1196, IMPORTRANGE(""https://docs.google.com/spreadsheets/d/1-3Vjw2Cyy-mry5gbC8ypIR3YVGFfEpyFESummAta6sg/edit"", ""Sheet1!B:D""), 3, FALSE), ""Not Found"")"),"s p ɛ n s ")</f>
        <v>s p ɛ n s </v>
      </c>
    </row>
    <row r="1197">
      <c r="A1197" s="1" t="s">
        <v>1200</v>
      </c>
      <c r="B1197" s="1" t="s">
        <v>5</v>
      </c>
      <c r="C1197" s="2">
        <f>IFERROR(__xludf.DUMMYFUNCTION("IFERROR(VLOOKUP(A1197, IMPORTRANGE(""https://docs.google.com/spreadsheets/d/1AVX9GT0dgogEBStecCXMMQ29tWz3gBrtNB8yIromXbY/edit?gid=741673867"", ""out1g!A:B""), 2, FALSE), 0)"),9.0)</f>
        <v>9</v>
      </c>
      <c r="D1197" s="2" t="str">
        <f>IFERROR(__xludf.DUMMYFUNCTION("IFERROR(VLOOKUP(A1197, IMPORTRANGE(""https://docs.google.com/spreadsheets/d/1-3Vjw2Cyy-mry5gbC8ypIR3YVGFfEpyFESummAta6sg/edit"", ""Sheet1!B:D""), 2, FALSE), ""Not Found"")"),"bəstjər")</f>
        <v>bəstjər</v>
      </c>
      <c r="E1197" s="2" t="str">
        <f>IFERROR(__xludf.DUMMYFUNCTION("IFERROR(VLOOKUP(A1197, IMPORTRANGE(""https://docs.google.com/spreadsheets/d/1-3Vjw2Cyy-mry5gbC8ypIR3YVGFfEpyFESummAta6sg/edit"", ""Sheet1!B:D""), 3, FALSE), ""Not Found"")"),"b ə s t j ə r ")</f>
        <v>b ə s t j ə r </v>
      </c>
    </row>
    <row r="1198">
      <c r="A1198" s="1" t="s">
        <v>1201</v>
      </c>
      <c r="B1198" s="1" t="s">
        <v>5</v>
      </c>
      <c r="C1198" s="2">
        <f>IFERROR(__xludf.DUMMYFUNCTION("IFERROR(VLOOKUP(A1198, IMPORTRANGE(""https://docs.google.com/spreadsheets/d/1AVX9GT0dgogEBStecCXMMQ29tWz3gBrtNB8yIromXbY/edit?gid=741673867"", ""out1g!A:B""), 2, FALSE), 0)"),2511.0)</f>
        <v>2511</v>
      </c>
      <c r="D1198" s="2" t="str">
        <f>IFERROR(__xludf.DUMMYFUNCTION("IFERROR(VLOOKUP(A1198, IMPORTRANGE(""https://docs.google.com/spreadsheets/d/1-3Vjw2Cyy-mry5gbC8ypIR3YVGFfEpyFESummAta6sg/edit"", ""Sheet1!B:D""), 2, FALSE), ""Not Found"")"),"ʧɛr")</f>
        <v>ʧɛr</v>
      </c>
      <c r="E1198" s="2" t="str">
        <f>IFERROR(__xludf.DUMMYFUNCTION("IFERROR(VLOOKUP(A1198, IMPORTRANGE(""https://docs.google.com/spreadsheets/d/1-3Vjw2Cyy-mry5gbC8ypIR3YVGFfEpyFESummAta6sg/edit"", ""Sheet1!B:D""), 3, FALSE), ""Not Found"")"),"ʧ ɛ r ")</f>
        <v>ʧ ɛ r </v>
      </c>
    </row>
    <row r="1199">
      <c r="A1199" s="1" t="s">
        <v>1202</v>
      </c>
      <c r="B1199" s="1" t="s">
        <v>5</v>
      </c>
      <c r="C1199" s="2">
        <f>IFERROR(__xludf.DUMMYFUNCTION("IFERROR(VLOOKUP(A1199, IMPORTRANGE(""https://docs.google.com/spreadsheets/d/1AVX9GT0dgogEBStecCXMMQ29tWz3gBrtNB8yIromXbY/edit?gid=741673867"", ""out1g!A:B""), 2, FALSE), 0)"),895.0)</f>
        <v>895</v>
      </c>
      <c r="D1199" s="2" t="str">
        <f>IFERROR(__xludf.DUMMYFUNCTION("IFERROR(VLOOKUP(A1199, IMPORTRANGE(""https://docs.google.com/spreadsheets/d/1-3Vjw2Cyy-mry5gbC8ypIR3YVGFfEpyFESummAta6sg/edit"", ""Sheet1!B:D""), 2, FALSE), ""Not Found"")"),"lɔd")</f>
        <v>lɔd</v>
      </c>
      <c r="E1199" s="2" t="str">
        <f>IFERROR(__xludf.DUMMYFUNCTION("IFERROR(VLOOKUP(A1199, IMPORTRANGE(""https://docs.google.com/spreadsheets/d/1-3Vjw2Cyy-mry5gbC8ypIR3YVGFfEpyFESummAta6sg/edit"", ""Sheet1!B:D""), 3, FALSE), ""Not Found"")"),"l ɔ d ")</f>
        <v>l ɔ d </v>
      </c>
    </row>
    <row r="1200">
      <c r="A1200" s="1" t="s">
        <v>1203</v>
      </c>
      <c r="B1200" s="1" t="s">
        <v>5</v>
      </c>
      <c r="C1200" s="2">
        <f>IFERROR(__xludf.DUMMYFUNCTION("IFERROR(VLOOKUP(A1200, IMPORTRANGE(""https://docs.google.com/spreadsheets/d/1AVX9GT0dgogEBStecCXMMQ29tWz3gBrtNB8yIromXbY/edit?gid=741673867"", ""out1g!A:B""), 2, FALSE), 0)"),146.0)</f>
        <v>146</v>
      </c>
      <c r="D1200" s="2" t="str">
        <f>IFERROR(__xludf.DUMMYFUNCTION("IFERROR(VLOOKUP(A1200, IMPORTRANGE(""https://docs.google.com/spreadsheets/d/1-3Vjw2Cyy-mry5gbC8ypIR3YVGFfEpyFESummAta6sg/edit"", ""Sheet1!B:D""), 2, FALSE), ""Not Found"")"),"gæbi")</f>
        <v>gæbi</v>
      </c>
      <c r="E1200" s="2" t="str">
        <f>IFERROR(__xludf.DUMMYFUNCTION("IFERROR(VLOOKUP(A1200, IMPORTRANGE(""https://docs.google.com/spreadsheets/d/1-3Vjw2Cyy-mry5gbC8ypIR3YVGFfEpyFESummAta6sg/edit"", ""Sheet1!B:D""), 3, FALSE), ""Not Found"")"),"g æ b i ")</f>
        <v>g æ b i </v>
      </c>
    </row>
    <row r="1201">
      <c r="A1201" s="1" t="s">
        <v>1204</v>
      </c>
      <c r="B1201" s="1" t="s">
        <v>5</v>
      </c>
      <c r="C1201" s="2">
        <f>IFERROR(__xludf.DUMMYFUNCTION("IFERROR(VLOOKUP(A1201, IMPORTRANGE(""https://docs.google.com/spreadsheets/d/1AVX9GT0dgogEBStecCXMMQ29tWz3gBrtNB8yIromXbY/edit?gid=741673867"", ""out1g!A:B""), 2, FALSE), 0)"),2912.0)</f>
        <v>2912</v>
      </c>
      <c r="D1201" s="2" t="str">
        <f>IFERROR(__xludf.DUMMYFUNCTION("IFERROR(VLOOKUP(A1201, IMPORTRANGE(""https://docs.google.com/spreadsheets/d/1-3Vjw2Cyy-mry5gbC8ypIR3YVGFfEpyFESummAta6sg/edit"", ""Sheet1!B:D""), 2, FALSE), ""Not Found"")"),"sɪli")</f>
        <v>sɪli</v>
      </c>
      <c r="E1201" s="2" t="str">
        <f>IFERROR(__xludf.DUMMYFUNCTION("IFERROR(VLOOKUP(A1201, IMPORTRANGE(""https://docs.google.com/spreadsheets/d/1-3Vjw2Cyy-mry5gbC8ypIR3YVGFfEpyFESummAta6sg/edit"", ""Sheet1!B:D""), 3, FALSE), ""Not Found"")"),"s ɪ l i ")</f>
        <v>s ɪ l i </v>
      </c>
    </row>
    <row r="1202">
      <c r="A1202" s="1" t="s">
        <v>1205</v>
      </c>
      <c r="B1202" s="1" t="s">
        <v>5</v>
      </c>
      <c r="C1202" s="2">
        <f>IFERROR(__xludf.DUMMYFUNCTION("IFERROR(VLOOKUP(A1202, IMPORTRANGE(""https://docs.google.com/spreadsheets/d/1AVX9GT0dgogEBStecCXMMQ29tWz3gBrtNB8yIromXbY/edit?gid=741673867"", ""out1g!A:B""), 2, FALSE), 0)"),46.0)</f>
        <v>46</v>
      </c>
      <c r="D1202" s="2" t="str">
        <f>IFERROR(__xludf.DUMMYFUNCTION("IFERROR(VLOOKUP(A1202, IMPORTRANGE(""https://docs.google.com/spreadsheets/d/1-3Vjw2Cyy-mry5gbC8ypIR3YVGFfEpyFESummAta6sg/edit"", ""Sheet1!B:D""), 2, FALSE), ""Not Found"")"),"sɛntɪd")</f>
        <v>sɛntɪd</v>
      </c>
      <c r="E1202" s="2" t="str">
        <f>IFERROR(__xludf.DUMMYFUNCTION("IFERROR(VLOOKUP(A1202, IMPORTRANGE(""https://docs.google.com/spreadsheets/d/1-3Vjw2Cyy-mry5gbC8ypIR3YVGFfEpyFESummAta6sg/edit"", ""Sheet1!B:D""), 3, FALSE), ""Not Found"")"),"s ɛ n t ɪ d ")</f>
        <v>s ɛ n t ɪ d </v>
      </c>
    </row>
    <row r="1203">
      <c r="A1203" s="1" t="s">
        <v>1206</v>
      </c>
      <c r="B1203" s="1" t="s">
        <v>5</v>
      </c>
      <c r="C1203" s="2">
        <f>IFERROR(__xludf.DUMMYFUNCTION("IFERROR(VLOOKUP(A1203, IMPORTRANGE(""https://docs.google.com/spreadsheets/d/1AVX9GT0dgogEBStecCXMMQ29tWz3gBrtNB8yIromXbY/edit?gid=741673867"", ""out1g!A:B""), 2, FALSE), 0)"),67.0)</f>
        <v>67</v>
      </c>
      <c r="D1203" s="2" t="str">
        <f>IFERROR(__xludf.DUMMYFUNCTION("IFERROR(VLOOKUP(A1203, IMPORTRANGE(""https://docs.google.com/spreadsheets/d/1-3Vjw2Cyy-mry5gbC8ypIR3YVGFfEpyFESummAta6sg/edit"", ""Sheet1!B:D""), 2, FALSE), ""Not Found"")"),"poʊkt")</f>
        <v>poʊkt</v>
      </c>
      <c r="E1203" s="2" t="str">
        <f>IFERROR(__xludf.DUMMYFUNCTION("IFERROR(VLOOKUP(A1203, IMPORTRANGE(""https://docs.google.com/spreadsheets/d/1-3Vjw2Cyy-mry5gbC8ypIR3YVGFfEpyFESummAta6sg/edit"", ""Sheet1!B:D""), 3, FALSE), ""Not Found"")"),"p o ʊ k t ")</f>
        <v>p o ʊ k t </v>
      </c>
    </row>
    <row r="1204">
      <c r="A1204" s="1" t="s">
        <v>1207</v>
      </c>
      <c r="B1204" s="1" t="s">
        <v>5</v>
      </c>
      <c r="C1204" s="2">
        <f>IFERROR(__xludf.DUMMYFUNCTION("IFERROR(VLOOKUP(A1204, IMPORTRANGE(""https://docs.google.com/spreadsheets/d/1AVX9GT0dgogEBStecCXMMQ29tWz3gBrtNB8yIromXbY/edit?gid=741673867"", ""out1g!A:B""), 2, FALSE), 0)"),242.0)</f>
        <v>242</v>
      </c>
      <c r="D1204" s="2" t="str">
        <f>IFERROR(__xludf.DUMMYFUNCTION("IFERROR(VLOOKUP(A1204, IMPORTRANGE(""https://docs.google.com/spreadsheets/d/1-3Vjw2Cyy-mry5gbC8ypIR3YVGFfEpyFESummAta6sg/edit"", ""Sheet1!B:D""), 2, FALSE), ""Not Found"")"),"mɛdz")</f>
        <v>mɛdz</v>
      </c>
      <c r="E1204" s="2" t="str">
        <f>IFERROR(__xludf.DUMMYFUNCTION("IFERROR(VLOOKUP(A1204, IMPORTRANGE(""https://docs.google.com/spreadsheets/d/1-3Vjw2Cyy-mry5gbC8ypIR3YVGFfEpyFESummAta6sg/edit"", ""Sheet1!B:D""), 3, FALSE), ""Not Found"")"),"m ɛ d z ")</f>
        <v>m ɛ d z </v>
      </c>
    </row>
    <row r="1205">
      <c r="A1205" s="1" t="s">
        <v>1208</v>
      </c>
      <c r="B1205" s="1" t="s">
        <v>5</v>
      </c>
      <c r="C1205" s="2">
        <f>IFERROR(__xludf.DUMMYFUNCTION("IFERROR(VLOOKUP(A1205, IMPORTRANGE(""https://docs.google.com/spreadsheets/d/1AVX9GT0dgogEBStecCXMMQ29tWz3gBrtNB8yIromXbY/edit?gid=741673867"", ""out1g!A:B""), 2, FALSE), 0)"),486.0)</f>
        <v>486</v>
      </c>
      <c r="D1205" s="2" t="str">
        <f>IFERROR(__xludf.DUMMYFUNCTION("IFERROR(VLOOKUP(A1205, IMPORTRANGE(""https://docs.google.com/spreadsheets/d/1-3Vjw2Cyy-mry5gbC8ypIR3YVGFfEpyFESummAta6sg/edit"", ""Sheet1!B:D""), 2, FALSE), ""Not Found"")"),"nis")</f>
        <v>nis</v>
      </c>
      <c r="E1205" s="2" t="str">
        <f>IFERROR(__xludf.DUMMYFUNCTION("IFERROR(VLOOKUP(A1205, IMPORTRANGE(""https://docs.google.com/spreadsheets/d/1-3Vjw2Cyy-mry5gbC8ypIR3YVGFfEpyFESummAta6sg/edit"", ""Sheet1!B:D""), 3, FALSE), ""Not Found"")"),"n i s ")</f>
        <v>n i s </v>
      </c>
    </row>
    <row r="1206">
      <c r="A1206" s="1" t="s">
        <v>1209</v>
      </c>
      <c r="B1206" s="1" t="s">
        <v>5</v>
      </c>
      <c r="C1206" s="2">
        <f>IFERROR(__xludf.DUMMYFUNCTION("IFERROR(VLOOKUP(A1206, IMPORTRANGE(""https://docs.google.com/spreadsheets/d/1AVX9GT0dgogEBStecCXMMQ29tWz3gBrtNB8yIromXbY/edit?gid=741673867"", ""out1g!A:B""), 2, FALSE), 0)"),30.0)</f>
        <v>30</v>
      </c>
      <c r="D1206" s="2" t="str">
        <f>IFERROR(__xludf.DUMMYFUNCTION("IFERROR(VLOOKUP(A1206, IMPORTRANGE(""https://docs.google.com/spreadsheets/d/1-3Vjw2Cyy-mry5gbC8ypIR3YVGFfEpyFESummAta6sg/edit"", ""Sheet1!B:D""), 2, FALSE), ""Not Found"")"),"krɔli")</f>
        <v>krɔli</v>
      </c>
      <c r="E1206" s="2" t="str">
        <f>IFERROR(__xludf.DUMMYFUNCTION("IFERROR(VLOOKUP(A1206, IMPORTRANGE(""https://docs.google.com/spreadsheets/d/1-3Vjw2Cyy-mry5gbC8ypIR3YVGFfEpyFESummAta6sg/edit"", ""Sheet1!B:D""), 3, FALSE), ""Not Found"")"),"k r ɔ l i ")</f>
        <v>k r ɔ l i </v>
      </c>
    </row>
    <row r="1207">
      <c r="A1207" s="1" t="s">
        <v>1210</v>
      </c>
      <c r="B1207" s="1" t="s">
        <v>5</v>
      </c>
      <c r="C1207" s="2">
        <f>IFERROR(__xludf.DUMMYFUNCTION("IFERROR(VLOOKUP(A1207, IMPORTRANGE(""https://docs.google.com/spreadsheets/d/1AVX9GT0dgogEBStecCXMMQ29tWz3gBrtNB8yIromXbY/edit?gid=741673867"", ""out1g!A:B""), 2, FALSE), 0)"),934.0)</f>
        <v>934</v>
      </c>
      <c r="D1207" s="2" t="str">
        <f>IFERROR(__xludf.DUMMYFUNCTION("IFERROR(VLOOKUP(A1207, IMPORTRANGE(""https://docs.google.com/spreadsheets/d/1-3Vjw2Cyy-mry5gbC8ypIR3YVGFfEpyFESummAta6sg/edit"", ""Sheet1!B:D""), 2, FALSE), ""Not Found"")"),"sik")</f>
        <v>sik</v>
      </c>
      <c r="E1207" s="2" t="str">
        <f>IFERROR(__xludf.DUMMYFUNCTION("IFERROR(VLOOKUP(A1207, IMPORTRANGE(""https://docs.google.com/spreadsheets/d/1-3Vjw2Cyy-mry5gbC8ypIR3YVGFfEpyFESummAta6sg/edit"", ""Sheet1!B:D""), 3, FALSE), ""Not Found"")"),"s i k ")</f>
        <v>s i k </v>
      </c>
    </row>
    <row r="1208">
      <c r="A1208" s="1" t="s">
        <v>1211</v>
      </c>
      <c r="B1208" s="1" t="s">
        <v>5</v>
      </c>
      <c r="C1208" s="2">
        <f>IFERROR(__xludf.DUMMYFUNCTION("IFERROR(VLOOKUP(A1208, IMPORTRANGE(""https://docs.google.com/spreadsheets/d/1AVX9GT0dgogEBStecCXMMQ29tWz3gBrtNB8yIromXbY/edit?gid=741673867"", ""out1g!A:B""), 2, FALSE), 0)"),212.0)</f>
        <v>212</v>
      </c>
      <c r="D1208" s="2" t="str">
        <f>IFERROR(__xludf.DUMMYFUNCTION("IFERROR(VLOOKUP(A1208, IMPORTRANGE(""https://docs.google.com/spreadsheets/d/1-3Vjw2Cyy-mry5gbC8ypIR3YVGFfEpyFESummAta6sg/edit"", ""Sheet1!B:D""), 2, FALSE), ""Not Found"")"),"bəmər")</f>
        <v>bəmər</v>
      </c>
      <c r="E1208" s="2" t="str">
        <f>IFERROR(__xludf.DUMMYFUNCTION("IFERROR(VLOOKUP(A1208, IMPORTRANGE(""https://docs.google.com/spreadsheets/d/1-3Vjw2Cyy-mry5gbC8ypIR3YVGFfEpyFESummAta6sg/edit"", ""Sheet1!B:D""), 3, FALSE), ""Not Found"")"),"b ə m ə r ")</f>
        <v>b ə m ə r </v>
      </c>
    </row>
    <row r="1209">
      <c r="A1209" s="1" t="s">
        <v>1212</v>
      </c>
      <c r="B1209" s="1" t="s">
        <v>5</v>
      </c>
      <c r="C1209" s="2">
        <f>IFERROR(__xludf.DUMMYFUNCTION("IFERROR(VLOOKUP(A1209, IMPORTRANGE(""https://docs.google.com/spreadsheets/d/1AVX9GT0dgogEBStecCXMMQ29tWz3gBrtNB8yIromXbY/edit?gid=741673867"", ""out1g!A:B""), 2, FALSE), 0)"),16.0)</f>
        <v>16</v>
      </c>
      <c r="D1209" s="2" t="str">
        <f>IFERROR(__xludf.DUMMYFUNCTION("IFERROR(VLOOKUP(A1209, IMPORTRANGE(""https://docs.google.com/spreadsheets/d/1-3Vjw2Cyy-mry5gbC8ypIR3YVGFfEpyFESummAta6sg/edit"", ""Sheet1!B:D""), 2, FALSE), ""Not Found"")"),"spaɪnz")</f>
        <v>spaɪnz</v>
      </c>
      <c r="E1209" s="2" t="str">
        <f>IFERROR(__xludf.DUMMYFUNCTION("IFERROR(VLOOKUP(A1209, IMPORTRANGE(""https://docs.google.com/spreadsheets/d/1-3Vjw2Cyy-mry5gbC8ypIR3YVGFfEpyFESummAta6sg/edit"", ""Sheet1!B:D""), 3, FALSE), ""Not Found"")"),"s p a ɪ n z ")</f>
        <v>s p a ɪ n z </v>
      </c>
    </row>
    <row r="1210">
      <c r="A1210" s="1" t="s">
        <v>1213</v>
      </c>
      <c r="B1210" s="1" t="s">
        <v>5</v>
      </c>
      <c r="C1210" s="2">
        <f>IFERROR(__xludf.DUMMYFUNCTION("IFERROR(VLOOKUP(A1210, IMPORTRANGE(""https://docs.google.com/spreadsheets/d/1AVX9GT0dgogEBStecCXMMQ29tWz3gBrtNB8yIromXbY/edit?gid=741673867"", ""out1g!A:B""), 2, FALSE), 0)"),267620.0)</f>
        <v>267620</v>
      </c>
      <c r="D1210" s="2" t="str">
        <f>IFERROR(__xludf.DUMMYFUNCTION("IFERROR(VLOOKUP(A1210, IMPORTRANGE(""https://docs.google.com/spreadsheets/d/1-3Vjw2Cyy-mry5gbC8ypIR3YVGFfEpyFESummAta6sg/edit"", ""Sheet1!B:D""), 2, FALSE), ""Not Found"")"),"kən")</f>
        <v>kən</v>
      </c>
      <c r="E1210" s="2" t="str">
        <f>IFERROR(__xludf.DUMMYFUNCTION("IFERROR(VLOOKUP(A1210, IMPORTRANGE(""https://docs.google.com/spreadsheets/d/1-3Vjw2Cyy-mry5gbC8ypIR3YVGFfEpyFESummAta6sg/edit"", ""Sheet1!B:D""), 3, FALSE), ""Not Found"")"),"k ə n ")</f>
        <v>k ə n </v>
      </c>
    </row>
    <row r="1211">
      <c r="A1211" s="1" t="s">
        <v>1214</v>
      </c>
      <c r="B1211" s="1" t="s">
        <v>5</v>
      </c>
      <c r="C1211" s="2">
        <f>IFERROR(__xludf.DUMMYFUNCTION("IFERROR(VLOOKUP(A1211, IMPORTRANGE(""https://docs.google.com/spreadsheets/d/1AVX9GT0dgogEBStecCXMMQ29tWz3gBrtNB8yIromXbY/edit?gid=741673867"", ""out1g!A:B""), 2, FALSE), 0)"),297.0)</f>
        <v>297</v>
      </c>
      <c r="D1211" s="2" t="str">
        <f>IFERROR(__xludf.DUMMYFUNCTION("IFERROR(VLOOKUP(A1211, IMPORTRANGE(""https://docs.google.com/spreadsheets/d/1-3Vjw2Cyy-mry5gbC8ypIR3YVGFfEpyFESummAta6sg/edit"", ""Sheet1!B:D""), 2, FALSE), ""Not Found"")"),"prɛst")</f>
        <v>prɛst</v>
      </c>
      <c r="E1211" s="2" t="str">
        <f>IFERROR(__xludf.DUMMYFUNCTION("IFERROR(VLOOKUP(A1211, IMPORTRANGE(""https://docs.google.com/spreadsheets/d/1-3Vjw2Cyy-mry5gbC8ypIR3YVGFfEpyFESummAta6sg/edit"", ""Sheet1!B:D""), 3, FALSE), ""Not Found"")"),"p r ɛ s t ")</f>
        <v>p r ɛ s t </v>
      </c>
    </row>
    <row r="1212">
      <c r="A1212" s="1" t="s">
        <v>1215</v>
      </c>
      <c r="B1212" s="1" t="s">
        <v>5</v>
      </c>
      <c r="C1212" s="2">
        <f>IFERROR(__xludf.DUMMYFUNCTION("IFERROR(VLOOKUP(A1212, IMPORTRANGE(""https://docs.google.com/spreadsheets/d/1AVX9GT0dgogEBStecCXMMQ29tWz3gBrtNB8yIromXbY/edit?gid=741673867"", ""out1g!A:B""), 2, FALSE), 0)"),1668.0)</f>
        <v>1668</v>
      </c>
      <c r="D1212" s="2" t="str">
        <f>IFERROR(__xludf.DUMMYFUNCTION("IFERROR(VLOOKUP(A1212, IMPORTRANGE(""https://docs.google.com/spreadsheets/d/1-3Vjw2Cyy-mry5gbC8ypIR3YVGFfEpyFESummAta6sg/edit"", ""Sheet1!B:D""), 2, FALSE), ""Not Found"")"),"sted")</f>
        <v>sted</v>
      </c>
      <c r="E1212" s="2" t="str">
        <f>IFERROR(__xludf.DUMMYFUNCTION("IFERROR(VLOOKUP(A1212, IMPORTRANGE(""https://docs.google.com/spreadsheets/d/1-3Vjw2Cyy-mry5gbC8ypIR3YVGFfEpyFESummAta6sg/edit"", ""Sheet1!B:D""), 3, FALSE), ""Not Found"")"),"s t e d ")</f>
        <v>s t e d </v>
      </c>
    </row>
    <row r="1213">
      <c r="A1213" s="1" t="s">
        <v>1216</v>
      </c>
      <c r="B1213" s="1" t="s">
        <v>5</v>
      </c>
      <c r="C1213" s="2">
        <f>IFERROR(__xludf.DUMMYFUNCTION("IFERROR(VLOOKUP(A1213, IMPORTRANGE(""https://docs.google.com/spreadsheets/d/1AVX9GT0dgogEBStecCXMMQ29tWz3gBrtNB8yIromXbY/edit?gid=741673867"", ""out1g!A:B""), 2, FALSE), 0)"),548.0)</f>
        <v>548</v>
      </c>
      <c r="D1213" s="2" t="str">
        <f>IFERROR(__xludf.DUMMYFUNCTION("IFERROR(VLOOKUP(A1213, IMPORTRANGE(""https://docs.google.com/spreadsheets/d/1-3Vjw2Cyy-mry5gbC8ypIR3YVGFfEpyFESummAta6sg/edit"", ""Sheet1!B:D""), 2, FALSE), ""Not Found"")"),"lɪp")</f>
        <v>lɪp</v>
      </c>
      <c r="E1213" s="2" t="str">
        <f>IFERROR(__xludf.DUMMYFUNCTION("IFERROR(VLOOKUP(A1213, IMPORTRANGE(""https://docs.google.com/spreadsheets/d/1-3Vjw2Cyy-mry5gbC8ypIR3YVGFfEpyFESummAta6sg/edit"", ""Sheet1!B:D""), 3, FALSE), ""Not Found"")"),"l ɪ p ")</f>
        <v>l ɪ p </v>
      </c>
    </row>
    <row r="1214">
      <c r="A1214" s="1" t="s">
        <v>1217</v>
      </c>
      <c r="B1214" s="1" t="s">
        <v>5</v>
      </c>
      <c r="C1214" s="2">
        <f>IFERROR(__xludf.DUMMYFUNCTION("IFERROR(VLOOKUP(A1214, IMPORTRANGE(""https://docs.google.com/spreadsheets/d/1AVX9GT0dgogEBStecCXMMQ29tWz3gBrtNB8yIromXbY/edit?gid=741673867"", ""out1g!A:B""), 2, FALSE), 0)"),351.0)</f>
        <v>351</v>
      </c>
      <c r="D1214" s="2" t="str">
        <f>IFERROR(__xludf.DUMMYFUNCTION("IFERROR(VLOOKUP(A1214, IMPORTRANGE(""https://docs.google.com/spreadsheets/d/1-3Vjw2Cyy-mry5gbC8ypIR3YVGFfEpyFESummAta6sg/edit"", ""Sheet1!B:D""), 2, FALSE), ""Not Found"")"),"boʊlt")</f>
        <v>boʊlt</v>
      </c>
      <c r="E1214" s="2" t="str">
        <f>IFERROR(__xludf.DUMMYFUNCTION("IFERROR(VLOOKUP(A1214, IMPORTRANGE(""https://docs.google.com/spreadsheets/d/1-3Vjw2Cyy-mry5gbC8ypIR3YVGFfEpyFESummAta6sg/edit"", ""Sheet1!B:D""), 3, FALSE), ""Not Found"")"),"b o ʊ l t ")</f>
        <v>b o ʊ l t </v>
      </c>
    </row>
    <row r="1215">
      <c r="A1215" s="1" t="s">
        <v>1218</v>
      </c>
      <c r="B1215" s="1" t="s">
        <v>5</v>
      </c>
      <c r="C1215" s="2">
        <f>IFERROR(__xludf.DUMMYFUNCTION("IFERROR(VLOOKUP(A1215, IMPORTRANGE(""https://docs.google.com/spreadsheets/d/1AVX9GT0dgogEBStecCXMMQ29tWz3gBrtNB8yIromXbY/edit?gid=741673867"", ""out1g!A:B""), 2, FALSE), 0)"),49.0)</f>
        <v>49</v>
      </c>
      <c r="D1215" s="2" t="str">
        <f>IFERROR(__xludf.DUMMYFUNCTION("IFERROR(VLOOKUP(A1215, IMPORTRANGE(""https://docs.google.com/spreadsheets/d/1-3Vjw2Cyy-mry5gbC8ypIR3YVGFfEpyFESummAta6sg/edit"", ""Sheet1!B:D""), 2, FALSE), ""Not Found"")"),"ɪnɪt")</f>
        <v>ɪnɪt</v>
      </c>
      <c r="E1215" s="2" t="str">
        <f>IFERROR(__xludf.DUMMYFUNCTION("IFERROR(VLOOKUP(A1215, IMPORTRANGE(""https://docs.google.com/spreadsheets/d/1-3Vjw2Cyy-mry5gbC8ypIR3YVGFfEpyFESummAta6sg/edit"", ""Sheet1!B:D""), 3, FALSE), ""Not Found"")"),"ɪ n ɪ t ")</f>
        <v>ɪ n ɪ t </v>
      </c>
    </row>
    <row r="1216">
      <c r="A1216" s="1" t="s">
        <v>1219</v>
      </c>
      <c r="B1216" s="1" t="s">
        <v>5</v>
      </c>
      <c r="C1216" s="2">
        <f>IFERROR(__xludf.DUMMYFUNCTION("IFERROR(VLOOKUP(A1216, IMPORTRANGE(""https://docs.google.com/spreadsheets/d/1AVX9GT0dgogEBStecCXMMQ29tWz3gBrtNB8yIromXbY/edit?gid=741673867"", ""out1g!A:B""), 2, FALSE), 0)"),355.0)</f>
        <v>355</v>
      </c>
      <c r="D1216" s="2" t="str">
        <f>IFERROR(__xludf.DUMMYFUNCTION("IFERROR(VLOOKUP(A1216, IMPORTRANGE(""https://docs.google.com/spreadsheets/d/1-3Vjw2Cyy-mry5gbC8ypIR3YVGFfEpyFESummAta6sg/edit"", ""Sheet1!B:D""), 2, FALSE), ""Not Found"")"),"ʃɛlf")</f>
        <v>ʃɛlf</v>
      </c>
      <c r="E1216" s="2" t="str">
        <f>IFERROR(__xludf.DUMMYFUNCTION("IFERROR(VLOOKUP(A1216, IMPORTRANGE(""https://docs.google.com/spreadsheets/d/1-3Vjw2Cyy-mry5gbC8ypIR3YVGFfEpyFESummAta6sg/edit"", ""Sheet1!B:D""), 3, FALSE), ""Not Found"")"),"ʃ ɛ l f ")</f>
        <v>ʃ ɛ l f </v>
      </c>
    </row>
    <row r="1217">
      <c r="A1217" s="1" t="s">
        <v>1220</v>
      </c>
      <c r="B1217" s="1" t="s">
        <v>5</v>
      </c>
      <c r="C1217" s="2">
        <f>IFERROR(__xludf.DUMMYFUNCTION("IFERROR(VLOOKUP(A1217, IMPORTRANGE(""https://docs.google.com/spreadsheets/d/1AVX9GT0dgogEBStecCXMMQ29tWz3gBrtNB8yIromXbY/edit?gid=741673867"", ""out1g!A:B""), 2, FALSE), 0)"),121.0)</f>
        <v>121</v>
      </c>
      <c r="D1217" s="2" t="str">
        <f>IFERROR(__xludf.DUMMYFUNCTION("IFERROR(VLOOKUP(A1217, IMPORTRANGE(""https://docs.google.com/spreadsheets/d/1-3Vjw2Cyy-mry5gbC8ypIR3YVGFfEpyFESummAta6sg/edit"", ""Sheet1!B:D""), 2, FALSE), ""Not Found"")"),"widz")</f>
        <v>widz</v>
      </c>
      <c r="E1217" s="2" t="str">
        <f>IFERROR(__xludf.DUMMYFUNCTION("IFERROR(VLOOKUP(A1217, IMPORTRANGE(""https://docs.google.com/spreadsheets/d/1-3Vjw2Cyy-mry5gbC8ypIR3YVGFfEpyFESummAta6sg/edit"", ""Sheet1!B:D""), 3, FALSE), ""Not Found"")"),"w i d z ")</f>
        <v>w i d z </v>
      </c>
    </row>
    <row r="1218">
      <c r="A1218" s="1" t="s">
        <v>1221</v>
      </c>
      <c r="B1218" s="1" t="s">
        <v>5</v>
      </c>
      <c r="C1218" s="2">
        <f>IFERROR(__xludf.DUMMYFUNCTION("IFERROR(VLOOKUP(A1218, IMPORTRANGE(""https://docs.google.com/spreadsheets/d/1AVX9GT0dgogEBStecCXMMQ29tWz3gBrtNB8yIromXbY/edit?gid=741673867"", ""out1g!A:B""), 2, FALSE), 0)"),247.0)</f>
        <v>247</v>
      </c>
      <c r="D1218" s="2" t="str">
        <f>IFERROR(__xludf.DUMMYFUNCTION("IFERROR(VLOOKUP(A1218, IMPORTRANGE(""https://docs.google.com/spreadsheets/d/1-3Vjw2Cyy-mry5gbC8ypIR3YVGFfEpyFESummAta6sg/edit"", ""Sheet1!B:D""), 2, FALSE), ""Not Found"")"),"hɛns")</f>
        <v>hɛns</v>
      </c>
      <c r="E1218" s="2" t="str">
        <f>IFERROR(__xludf.DUMMYFUNCTION("IFERROR(VLOOKUP(A1218, IMPORTRANGE(""https://docs.google.com/spreadsheets/d/1-3Vjw2Cyy-mry5gbC8ypIR3YVGFfEpyFESummAta6sg/edit"", ""Sheet1!B:D""), 3, FALSE), ""Not Found"")"),"h ɛ n s ")</f>
        <v>h ɛ n s </v>
      </c>
    </row>
    <row r="1219">
      <c r="A1219" s="1" t="s">
        <v>1222</v>
      </c>
      <c r="B1219" s="1" t="s">
        <v>5</v>
      </c>
      <c r="C1219" s="2">
        <f>IFERROR(__xludf.DUMMYFUNCTION("IFERROR(VLOOKUP(A1219, IMPORTRANGE(""https://docs.google.com/spreadsheets/d/1AVX9GT0dgogEBStecCXMMQ29tWz3gBrtNB8yIromXbY/edit?gid=741673867"", ""out1g!A:B""), 2, FALSE), 0)"),273.0)</f>
        <v>273</v>
      </c>
      <c r="D1219" s="2" t="str">
        <f>IFERROR(__xludf.DUMMYFUNCTION("IFERROR(VLOOKUP(A1219, IMPORTRANGE(""https://docs.google.com/spreadsheets/d/1-3Vjw2Cyy-mry5gbC8ypIR3YVGFfEpyFESummAta6sg/edit"", ""Sheet1!B:D""), 2, FALSE), ""Not Found"")"),"spɑnsər")</f>
        <v>spɑnsər</v>
      </c>
      <c r="E1219" s="2" t="str">
        <f>IFERROR(__xludf.DUMMYFUNCTION("IFERROR(VLOOKUP(A1219, IMPORTRANGE(""https://docs.google.com/spreadsheets/d/1-3Vjw2Cyy-mry5gbC8ypIR3YVGFfEpyFESummAta6sg/edit"", ""Sheet1!B:D""), 3, FALSE), ""Not Found"")"),"s p ɑ n s ə r ")</f>
        <v>s p ɑ n s ə r </v>
      </c>
    </row>
    <row r="1220">
      <c r="A1220" s="1" t="s">
        <v>1223</v>
      </c>
      <c r="B1220" s="1" t="s">
        <v>5</v>
      </c>
      <c r="C1220" s="2">
        <f>IFERROR(__xludf.DUMMYFUNCTION("IFERROR(VLOOKUP(A1220, IMPORTRANGE(""https://docs.google.com/spreadsheets/d/1AVX9GT0dgogEBStecCXMMQ29tWz3gBrtNB8yIromXbY/edit?gid=741673867"", ""out1g!A:B""), 2, FALSE), 0)"),229.0)</f>
        <v>229</v>
      </c>
      <c r="D1220" s="2" t="str">
        <f>IFERROR(__xludf.DUMMYFUNCTION("IFERROR(VLOOKUP(A1220, IMPORTRANGE(""https://docs.google.com/spreadsheets/d/1-3Vjw2Cyy-mry5gbC8ypIR3YVGFfEpyFESummAta6sg/edit"", ""Sheet1!B:D""), 2, FALSE), ""Not Found"")"),"trɛk")</f>
        <v>trɛk</v>
      </c>
      <c r="E1220" s="2" t="str">
        <f>IFERROR(__xludf.DUMMYFUNCTION("IFERROR(VLOOKUP(A1220, IMPORTRANGE(""https://docs.google.com/spreadsheets/d/1-3Vjw2Cyy-mry5gbC8ypIR3YVGFfEpyFESummAta6sg/edit"", ""Sheet1!B:D""), 3, FALSE), ""Not Found"")"),"t r ɛ k ")</f>
        <v>t r ɛ k </v>
      </c>
    </row>
    <row r="1221">
      <c r="A1221" s="1" t="s">
        <v>1224</v>
      </c>
      <c r="B1221" s="1" t="s">
        <v>5</v>
      </c>
      <c r="C1221" s="2">
        <f>IFERROR(__xludf.DUMMYFUNCTION("IFERROR(VLOOKUP(A1221, IMPORTRANGE(""https://docs.google.com/spreadsheets/d/1AVX9GT0dgogEBStecCXMMQ29tWz3gBrtNB8yIromXbY/edit?gid=741673867"", ""out1g!A:B""), 2, FALSE), 0)"),70.0)</f>
        <v>70</v>
      </c>
      <c r="D1221" s="2" t="str">
        <f>IFERROR(__xludf.DUMMYFUNCTION("IFERROR(VLOOKUP(A1221, IMPORTRANGE(""https://docs.google.com/spreadsheets/d/1-3Vjw2Cyy-mry5gbC8ypIR3YVGFfEpyFESummAta6sg/edit"", ""Sheet1!B:D""), 2, FALSE), ""Not Found"")"),"sɛnsəs")</f>
        <v>sɛnsəs</v>
      </c>
      <c r="E1221" s="2" t="str">
        <f>IFERROR(__xludf.DUMMYFUNCTION("IFERROR(VLOOKUP(A1221, IMPORTRANGE(""https://docs.google.com/spreadsheets/d/1-3Vjw2Cyy-mry5gbC8ypIR3YVGFfEpyFESummAta6sg/edit"", ""Sheet1!B:D""), 3, FALSE), ""Not Found"")"),"s ɛ n s ə s ")</f>
        <v>s ɛ n s ə s </v>
      </c>
    </row>
    <row r="1222">
      <c r="A1222" s="1" t="s">
        <v>1225</v>
      </c>
      <c r="B1222" s="1" t="s">
        <v>5</v>
      </c>
      <c r="C1222" s="2">
        <f>IFERROR(__xludf.DUMMYFUNCTION("IFERROR(VLOOKUP(A1222, IMPORTRANGE(""https://docs.google.com/spreadsheets/d/1AVX9GT0dgogEBStecCXMMQ29tWz3gBrtNB8yIromXbY/edit?gid=741673867"", ""out1g!A:B""), 2, FALSE), 0)"),60.0)</f>
        <v>60</v>
      </c>
      <c r="D1222" s="2" t="str">
        <f>IFERROR(__xludf.DUMMYFUNCTION("IFERROR(VLOOKUP(A1222, IMPORTRANGE(""https://docs.google.com/spreadsheets/d/1-3Vjw2Cyy-mry5gbC8ypIR3YVGFfEpyFESummAta6sg/edit"", ""Sheet1!B:D""), 2, FALSE), ""Not Found"")"),"fɪli")</f>
        <v>fɪli</v>
      </c>
      <c r="E1222" s="2" t="str">
        <f>IFERROR(__xludf.DUMMYFUNCTION("IFERROR(VLOOKUP(A1222, IMPORTRANGE(""https://docs.google.com/spreadsheets/d/1-3Vjw2Cyy-mry5gbC8ypIR3YVGFfEpyFESummAta6sg/edit"", ""Sheet1!B:D""), 3, FALSE), ""Not Found"")"),"f ɪ l i ")</f>
        <v>f ɪ l i </v>
      </c>
    </row>
    <row r="1223">
      <c r="A1223" s="1" t="s">
        <v>1226</v>
      </c>
      <c r="B1223" s="1" t="s">
        <v>5</v>
      </c>
      <c r="C1223" s="2">
        <f>IFERROR(__xludf.DUMMYFUNCTION("IFERROR(VLOOKUP(A1223, IMPORTRANGE(""https://docs.google.com/spreadsheets/d/1AVX9GT0dgogEBStecCXMMQ29tWz3gBrtNB8yIromXbY/edit?gid=741673867"", ""out1g!A:B""), 2, FALSE), 0)"),5316.0)</f>
        <v>5316</v>
      </c>
      <c r="D1223" s="2" t="str">
        <f>IFERROR(__xludf.DUMMYFUNCTION("IFERROR(VLOOKUP(A1223, IMPORTRANGE(""https://docs.google.com/spreadsheets/d/1-3Vjw2Cyy-mry5gbC8ypIR3YVGFfEpyFESummAta6sg/edit"", ""Sheet1!B:D""), 2, FALSE), ""Not Found"")"),"mɛnt")</f>
        <v>mɛnt</v>
      </c>
      <c r="E1223" s="2" t="str">
        <f>IFERROR(__xludf.DUMMYFUNCTION("IFERROR(VLOOKUP(A1223, IMPORTRANGE(""https://docs.google.com/spreadsheets/d/1-3Vjw2Cyy-mry5gbC8ypIR3YVGFfEpyFESummAta6sg/edit"", ""Sheet1!B:D""), 3, FALSE), ""Not Found"")"),"m ɛ n t ")</f>
        <v>m ɛ n t </v>
      </c>
    </row>
    <row r="1224">
      <c r="A1224" s="1" t="s">
        <v>1227</v>
      </c>
      <c r="B1224" s="1" t="s">
        <v>5</v>
      </c>
      <c r="C1224" s="2">
        <f>IFERROR(__xludf.DUMMYFUNCTION("IFERROR(VLOOKUP(A1224, IMPORTRANGE(""https://docs.google.com/spreadsheets/d/1AVX9GT0dgogEBStecCXMMQ29tWz3gBrtNB8yIromXbY/edit?gid=741673867"", ""out1g!A:B""), 2, FALSE), 0)"),933.0)</f>
        <v>933</v>
      </c>
      <c r="D1224" s="2" t="str">
        <f>IFERROR(__xludf.DUMMYFUNCTION("IFERROR(VLOOKUP(A1224, IMPORTRANGE(""https://docs.google.com/spreadsheets/d/1-3Vjw2Cyy-mry5gbC8ypIR3YVGFfEpyFESummAta6sg/edit"", ""Sheet1!B:D""), 2, FALSE), ""Not Found"")"),"praɪm")</f>
        <v>praɪm</v>
      </c>
      <c r="E1224" s="2" t="str">
        <f>IFERROR(__xludf.DUMMYFUNCTION("IFERROR(VLOOKUP(A1224, IMPORTRANGE(""https://docs.google.com/spreadsheets/d/1-3Vjw2Cyy-mry5gbC8ypIR3YVGFfEpyFESummAta6sg/edit"", ""Sheet1!B:D""), 3, FALSE), ""Not Found"")"),"p r a ɪ m ")</f>
        <v>p r a ɪ m </v>
      </c>
    </row>
    <row r="1225">
      <c r="A1225" s="1" t="s">
        <v>1228</v>
      </c>
      <c r="B1225" s="1" t="s">
        <v>5</v>
      </c>
      <c r="C1225" s="2">
        <f>IFERROR(__xludf.DUMMYFUNCTION("IFERROR(VLOOKUP(A1225, IMPORTRANGE(""https://docs.google.com/spreadsheets/d/1AVX9GT0dgogEBStecCXMMQ29tWz3gBrtNB8yIromXbY/edit?gid=741673867"", ""out1g!A:B""), 2, FALSE), 0)"),4290.0)</f>
        <v>4290</v>
      </c>
      <c r="D1225" s="2" t="str">
        <f>IFERROR(__xludf.DUMMYFUNCTION("IFERROR(VLOOKUP(A1225, IMPORTRANGE(""https://docs.google.com/spreadsheets/d/1-3Vjw2Cyy-mry5gbC8ypIR3YVGFfEpyFESummAta6sg/edit"", ""Sheet1!B:D""), 2, FALSE), ""Not Found"")"),"kɑps")</f>
        <v>kɑps</v>
      </c>
      <c r="E1225" s="2" t="str">
        <f>IFERROR(__xludf.DUMMYFUNCTION("IFERROR(VLOOKUP(A1225, IMPORTRANGE(""https://docs.google.com/spreadsheets/d/1-3Vjw2Cyy-mry5gbC8ypIR3YVGFfEpyFESummAta6sg/edit"", ""Sheet1!B:D""), 3, FALSE), ""Not Found"")"),"k ɑ p s ")</f>
        <v>k ɑ p s </v>
      </c>
    </row>
    <row r="1226">
      <c r="A1226" s="1" t="s">
        <v>1229</v>
      </c>
      <c r="B1226" s="1" t="s">
        <v>5</v>
      </c>
      <c r="C1226" s="2">
        <f>IFERROR(__xludf.DUMMYFUNCTION("IFERROR(VLOOKUP(A1226, IMPORTRANGE(""https://docs.google.com/spreadsheets/d/1AVX9GT0dgogEBStecCXMMQ29tWz3gBrtNB8yIromXbY/edit?gid=741673867"", ""out1g!A:B""), 2, FALSE), 0)"),98.0)</f>
        <v>98</v>
      </c>
      <c r="D1226" s="2" t="str">
        <f>IFERROR(__xludf.DUMMYFUNCTION("IFERROR(VLOOKUP(A1226, IMPORTRANGE(""https://docs.google.com/spreadsheets/d/1-3Vjw2Cyy-mry5gbC8ypIR3YVGFfEpyFESummAta6sg/edit"", ""Sheet1!B:D""), 2, FALSE), ""Not Found"")"),"lenz")</f>
        <v>lenz</v>
      </c>
      <c r="E1226" s="2" t="str">
        <f>IFERROR(__xludf.DUMMYFUNCTION("IFERROR(VLOOKUP(A1226, IMPORTRANGE(""https://docs.google.com/spreadsheets/d/1-3Vjw2Cyy-mry5gbC8ypIR3YVGFfEpyFESummAta6sg/edit"", ""Sheet1!B:D""), 3, FALSE), ""Not Found"")"),"l e n z ")</f>
        <v>l e n z </v>
      </c>
    </row>
    <row r="1227">
      <c r="A1227" s="1" t="s">
        <v>1230</v>
      </c>
      <c r="B1227" s="1" t="s">
        <v>5</v>
      </c>
      <c r="C1227" s="2">
        <f>IFERROR(__xludf.DUMMYFUNCTION("IFERROR(VLOOKUP(A1227, IMPORTRANGE(""https://docs.google.com/spreadsheets/d/1AVX9GT0dgogEBStecCXMMQ29tWz3gBrtNB8yIromXbY/edit?gid=741673867"", ""out1g!A:B""), 2, FALSE), 0)"),238.0)</f>
        <v>238</v>
      </c>
      <c r="D1227" s="2" t="str">
        <f>IFERROR(__xludf.DUMMYFUNCTION("IFERROR(VLOOKUP(A1227, IMPORTRANGE(""https://docs.google.com/spreadsheets/d/1-3Vjw2Cyy-mry5gbC8ypIR3YVGFfEpyFESummAta6sg/edit"", ""Sheet1!B:D""), 2, FALSE), ""Not Found"")"),"træps")</f>
        <v>træps</v>
      </c>
      <c r="E1227" s="2" t="str">
        <f>IFERROR(__xludf.DUMMYFUNCTION("IFERROR(VLOOKUP(A1227, IMPORTRANGE(""https://docs.google.com/spreadsheets/d/1-3Vjw2Cyy-mry5gbC8ypIR3YVGFfEpyFESummAta6sg/edit"", ""Sheet1!B:D""), 3, FALSE), ""Not Found"")"),"t r æ p s ")</f>
        <v>t r æ p s </v>
      </c>
    </row>
    <row r="1228">
      <c r="A1228" s="1" t="s">
        <v>1231</v>
      </c>
      <c r="B1228" s="1" t="s">
        <v>5</v>
      </c>
      <c r="C1228" s="2">
        <f>IFERROR(__xludf.DUMMYFUNCTION("IFERROR(VLOOKUP(A1228, IMPORTRANGE(""https://docs.google.com/spreadsheets/d/1AVX9GT0dgogEBStecCXMMQ29tWz3gBrtNB8yIromXbY/edit?gid=741673867"", ""out1g!A:B""), 2, FALSE), 0)"),2937.0)</f>
        <v>2937</v>
      </c>
      <c r="D1228" s="2" t="str">
        <f>IFERROR(__xludf.DUMMYFUNCTION("IFERROR(VLOOKUP(A1228, IMPORTRANGE(""https://docs.google.com/spreadsheets/d/1-3Vjw2Cyy-mry5gbC8ypIR3YVGFfEpyFESummAta6sg/edit"", ""Sheet1!B:D""), 2, FALSE), ""Not Found"")"),"pæl")</f>
        <v>pæl</v>
      </c>
      <c r="E1228" s="2" t="str">
        <f>IFERROR(__xludf.DUMMYFUNCTION("IFERROR(VLOOKUP(A1228, IMPORTRANGE(""https://docs.google.com/spreadsheets/d/1-3Vjw2Cyy-mry5gbC8ypIR3YVGFfEpyFESummAta6sg/edit"", ""Sheet1!B:D""), 3, FALSE), ""Not Found"")"),"p æ l ")</f>
        <v>p æ l </v>
      </c>
    </row>
    <row r="1229">
      <c r="A1229" s="1" t="s">
        <v>1232</v>
      </c>
      <c r="B1229" s="1" t="s">
        <v>5</v>
      </c>
      <c r="C1229" s="2">
        <f>IFERROR(__xludf.DUMMYFUNCTION("IFERROR(VLOOKUP(A1229, IMPORTRANGE(""https://docs.google.com/spreadsheets/d/1AVX9GT0dgogEBStecCXMMQ29tWz3gBrtNB8yIromXbY/edit?gid=741673867"", ""out1g!A:B""), 2, FALSE), 0)"),82.0)</f>
        <v>82</v>
      </c>
      <c r="D1229" s="2" t="str">
        <f>IFERROR(__xludf.DUMMYFUNCTION("IFERROR(VLOOKUP(A1229, IMPORTRANGE(""https://docs.google.com/spreadsheets/d/1-3Vjw2Cyy-mry5gbC8ypIR3YVGFfEpyFESummAta6sg/edit"", ""Sheet1!B:D""), 2, FALSE), ""Not Found"")"),"kwek")</f>
        <v>kwek</v>
      </c>
      <c r="E1229" s="2" t="str">
        <f>IFERROR(__xludf.DUMMYFUNCTION("IFERROR(VLOOKUP(A1229, IMPORTRANGE(""https://docs.google.com/spreadsheets/d/1-3Vjw2Cyy-mry5gbC8ypIR3YVGFfEpyFESummAta6sg/edit"", ""Sheet1!B:D""), 3, FALSE), ""Not Found"")"),"k w e k ")</f>
        <v>k w e k </v>
      </c>
    </row>
    <row r="1230">
      <c r="A1230" s="1" t="s">
        <v>1233</v>
      </c>
      <c r="B1230" s="1" t="s">
        <v>5</v>
      </c>
      <c r="C1230" s="2">
        <f>IFERROR(__xludf.DUMMYFUNCTION("IFERROR(VLOOKUP(A1230, IMPORTRANGE(""https://docs.google.com/spreadsheets/d/1AVX9GT0dgogEBStecCXMMQ29tWz3gBrtNB8yIromXbY/edit?gid=741673867"", ""out1g!A:B""), 2, FALSE), 0)"),3554.0)</f>
        <v>3554</v>
      </c>
      <c r="D1230" s="2" t="str">
        <f>IFERROR(__xludf.DUMMYFUNCTION("IFERROR(VLOOKUP(A1230, IMPORTRANGE(""https://docs.google.com/spreadsheets/d/1-3Vjw2Cyy-mry5gbC8ypIR3YVGFfEpyFESummAta6sg/edit"", ""Sheet1!B:D""), 2, FALSE), ""Not Found"")"),"haɪd")</f>
        <v>haɪd</v>
      </c>
      <c r="E1230" s="2" t="str">
        <f>IFERROR(__xludf.DUMMYFUNCTION("IFERROR(VLOOKUP(A1230, IMPORTRANGE(""https://docs.google.com/spreadsheets/d/1-3Vjw2Cyy-mry5gbC8ypIR3YVGFfEpyFESummAta6sg/edit"", ""Sheet1!B:D""), 3, FALSE), ""Not Found"")"),"h a ɪ d ")</f>
        <v>h a ɪ d </v>
      </c>
    </row>
    <row r="1231">
      <c r="A1231" s="1" t="s">
        <v>1234</v>
      </c>
      <c r="B1231" s="1" t="s">
        <v>5</v>
      </c>
      <c r="C1231" s="2">
        <f>IFERROR(__xludf.DUMMYFUNCTION("IFERROR(VLOOKUP(A1231, IMPORTRANGE(""https://docs.google.com/spreadsheets/d/1AVX9GT0dgogEBStecCXMMQ29tWz3gBrtNB8yIromXbY/edit?gid=741673867"", ""out1g!A:B""), 2, FALSE), 0)"),2815.0)</f>
        <v>2815</v>
      </c>
      <c r="D1231" s="2" t="str">
        <f>IFERROR(__xludf.DUMMYFUNCTION("IFERROR(VLOOKUP(A1231, IMPORTRANGE(""https://docs.google.com/spreadsheets/d/1-3Vjw2Cyy-mry5gbC8ypIR3YVGFfEpyFESummAta6sg/edit"", ""Sheet1!B:D""), 2, FALSE), ""Not Found"")"),"rez")</f>
        <v>rez</v>
      </c>
      <c r="E1231" s="2" t="str">
        <f>IFERROR(__xludf.DUMMYFUNCTION("IFERROR(VLOOKUP(A1231, IMPORTRANGE(""https://docs.google.com/spreadsheets/d/1-3Vjw2Cyy-mry5gbC8ypIR3YVGFfEpyFESummAta6sg/edit"", ""Sheet1!B:D""), 3, FALSE), ""Not Found"")"),"r e z ")</f>
        <v>r e z </v>
      </c>
    </row>
    <row r="1232">
      <c r="A1232" s="1" t="s">
        <v>1235</v>
      </c>
      <c r="B1232" s="1" t="s">
        <v>5</v>
      </c>
      <c r="C1232" s="2">
        <f>IFERROR(__xludf.DUMMYFUNCTION("IFERROR(VLOOKUP(A1232, IMPORTRANGE(""https://docs.google.com/spreadsheets/d/1AVX9GT0dgogEBStecCXMMQ29tWz3gBrtNB8yIromXbY/edit?gid=741673867"", ""out1g!A:B""), 2, FALSE), 0)"),1877.0)</f>
        <v>1877</v>
      </c>
      <c r="D1232" s="2" t="str">
        <f>IFERROR(__xludf.DUMMYFUNCTION("IFERROR(VLOOKUP(A1232, IMPORTRANGE(""https://docs.google.com/spreadsheets/d/1-3Vjw2Cyy-mry5gbC8ypIR3YVGFfEpyFESummAta6sg/edit"", ""Sheet1!B:D""), 2, FALSE), ""Not Found"")"),"pent")</f>
        <v>pent</v>
      </c>
      <c r="E1232" s="2" t="str">
        <f>IFERROR(__xludf.DUMMYFUNCTION("IFERROR(VLOOKUP(A1232, IMPORTRANGE(""https://docs.google.com/spreadsheets/d/1-3Vjw2Cyy-mry5gbC8ypIR3YVGFfEpyFESummAta6sg/edit"", ""Sheet1!B:D""), 3, FALSE), ""Not Found"")"),"p e n t ")</f>
        <v>p e n t </v>
      </c>
    </row>
    <row r="1233">
      <c r="A1233" s="1" t="s">
        <v>1236</v>
      </c>
      <c r="B1233" s="1" t="s">
        <v>5</v>
      </c>
      <c r="C1233" s="2">
        <f>IFERROR(__xludf.DUMMYFUNCTION("IFERROR(VLOOKUP(A1233, IMPORTRANGE(""https://docs.google.com/spreadsheets/d/1AVX9GT0dgogEBStecCXMMQ29tWz3gBrtNB8yIromXbY/edit?gid=741673867"", ""out1g!A:B""), 2, FALSE), 0)"),2335.0)</f>
        <v>2335</v>
      </c>
      <c r="D1233" s="2" t="str">
        <f>IFERROR(__xludf.DUMMYFUNCTION("IFERROR(VLOOKUP(A1233, IMPORTRANGE(""https://docs.google.com/spreadsheets/d/1-3Vjw2Cyy-mry5gbC8ypIR3YVGFfEpyFESummAta6sg/edit"", ""Sheet1!B:D""), 2, FALSE), ""Not Found"")"),"sɛnər")</f>
        <v>sɛnər</v>
      </c>
      <c r="E1233" s="2" t="str">
        <f>IFERROR(__xludf.DUMMYFUNCTION("IFERROR(VLOOKUP(A1233, IMPORTRANGE(""https://docs.google.com/spreadsheets/d/1-3Vjw2Cyy-mry5gbC8ypIR3YVGFfEpyFESummAta6sg/edit"", ""Sheet1!B:D""), 3, FALSE), ""Not Found"")"),"s ɛ n ə r ")</f>
        <v>s ɛ n ə r </v>
      </c>
    </row>
    <row r="1234">
      <c r="A1234" s="1" t="s">
        <v>1237</v>
      </c>
      <c r="B1234" s="1" t="s">
        <v>5</v>
      </c>
      <c r="C1234" s="2">
        <f>IFERROR(__xludf.DUMMYFUNCTION("IFERROR(VLOOKUP(A1234, IMPORTRANGE(""https://docs.google.com/spreadsheets/d/1AVX9GT0dgogEBStecCXMMQ29tWz3gBrtNB8yIromXbY/edit?gid=741673867"", ""out1g!A:B""), 2, FALSE), 0)"),128.0)</f>
        <v>128</v>
      </c>
      <c r="D1234" s="2" t="str">
        <f>IFERROR(__xludf.DUMMYFUNCTION("IFERROR(VLOOKUP(A1234, IMPORTRANGE(""https://docs.google.com/spreadsheets/d/1-3Vjw2Cyy-mry5gbC8ypIR3YVGFfEpyFESummAta6sg/edit"", ""Sheet1!B:D""), 2, FALSE), ""Not Found"")"),"geʤ")</f>
        <v>geʤ</v>
      </c>
      <c r="E1234" s="2" t="str">
        <f>IFERROR(__xludf.DUMMYFUNCTION("IFERROR(VLOOKUP(A1234, IMPORTRANGE(""https://docs.google.com/spreadsheets/d/1-3Vjw2Cyy-mry5gbC8ypIR3YVGFfEpyFESummAta6sg/edit"", ""Sheet1!B:D""), 3, FALSE), ""Not Found"")"),"g e ʤ ")</f>
        <v>g e ʤ </v>
      </c>
    </row>
    <row r="1235">
      <c r="A1235" s="1" t="s">
        <v>1238</v>
      </c>
      <c r="B1235" s="1" t="s">
        <v>5</v>
      </c>
      <c r="C1235" s="2">
        <f>IFERROR(__xludf.DUMMYFUNCTION("IFERROR(VLOOKUP(A1235, IMPORTRANGE(""https://docs.google.com/spreadsheets/d/1AVX9GT0dgogEBStecCXMMQ29tWz3gBrtNB8yIromXbY/edit?gid=741673867"", ""out1g!A:B""), 2, FALSE), 0)"),104.0)</f>
        <v>104</v>
      </c>
      <c r="D1235" s="2" t="str">
        <f>IFERROR(__xludf.DUMMYFUNCTION("IFERROR(VLOOKUP(A1235, IMPORTRANGE(""https://docs.google.com/spreadsheets/d/1-3Vjw2Cyy-mry5gbC8ypIR3YVGFfEpyFESummAta6sg/edit"", ""Sheet1!B:D""), 2, FALSE), ""Not Found"")"),"pɔɪnti")</f>
        <v>pɔɪnti</v>
      </c>
      <c r="E1235" s="2" t="str">
        <f>IFERROR(__xludf.DUMMYFUNCTION("IFERROR(VLOOKUP(A1235, IMPORTRANGE(""https://docs.google.com/spreadsheets/d/1-3Vjw2Cyy-mry5gbC8ypIR3YVGFfEpyFESummAta6sg/edit"", ""Sheet1!B:D""), 3, FALSE), ""Not Found"")"),"p ɔ ɪ n t i ")</f>
        <v>p ɔ ɪ n t i </v>
      </c>
    </row>
    <row r="1236">
      <c r="A1236" s="1" t="s">
        <v>1239</v>
      </c>
      <c r="B1236" s="1" t="s">
        <v>5</v>
      </c>
      <c r="C1236" s="2">
        <f>IFERROR(__xludf.DUMMYFUNCTION("IFERROR(VLOOKUP(A1236, IMPORTRANGE(""https://docs.google.com/spreadsheets/d/1AVX9GT0dgogEBStecCXMMQ29tWz3gBrtNB8yIromXbY/edit?gid=741673867"", ""out1g!A:B""), 2, FALSE), 0)"),309.0)</f>
        <v>309</v>
      </c>
      <c r="D1236" s="2" t="str">
        <f>IFERROR(__xludf.DUMMYFUNCTION("IFERROR(VLOOKUP(A1236, IMPORTRANGE(""https://docs.google.com/spreadsheets/d/1-3Vjw2Cyy-mry5gbC8ypIR3YVGFfEpyFESummAta6sg/edit"", ""Sheet1!B:D""), 2, FALSE), ""Not Found"")"),"koʊm")</f>
        <v>koʊm</v>
      </c>
      <c r="E1236" s="2" t="str">
        <f>IFERROR(__xludf.DUMMYFUNCTION("IFERROR(VLOOKUP(A1236, IMPORTRANGE(""https://docs.google.com/spreadsheets/d/1-3Vjw2Cyy-mry5gbC8ypIR3YVGFfEpyFESummAta6sg/edit"", ""Sheet1!B:D""), 3, FALSE), ""Not Found"")"),"k o ʊ m ")</f>
        <v>k o ʊ m </v>
      </c>
    </row>
    <row r="1237">
      <c r="A1237" s="1" t="s">
        <v>1240</v>
      </c>
      <c r="B1237" s="1" t="s">
        <v>5</v>
      </c>
      <c r="C1237" s="2">
        <f>IFERROR(__xludf.DUMMYFUNCTION("IFERROR(VLOOKUP(A1237, IMPORTRANGE(""https://docs.google.com/spreadsheets/d/1AVX9GT0dgogEBStecCXMMQ29tWz3gBrtNB8yIromXbY/edit?gid=741673867"", ""out1g!A:B""), 2, FALSE), 0)"),591.0)</f>
        <v>591</v>
      </c>
      <c r="D1237" s="2" t="str">
        <f>IFERROR(__xludf.DUMMYFUNCTION("IFERROR(VLOOKUP(A1237, IMPORTRANGE(""https://docs.google.com/spreadsheets/d/1-3Vjw2Cyy-mry5gbC8ypIR3YVGFfEpyFESummAta6sg/edit"", ""Sheet1!B:D""), 2, FALSE), ""Not Found"")"),"lezi")</f>
        <v>lezi</v>
      </c>
      <c r="E1237" s="2" t="str">
        <f>IFERROR(__xludf.DUMMYFUNCTION("IFERROR(VLOOKUP(A1237, IMPORTRANGE(""https://docs.google.com/spreadsheets/d/1-3Vjw2Cyy-mry5gbC8ypIR3YVGFfEpyFESummAta6sg/edit"", ""Sheet1!B:D""), 3, FALSE), ""Not Found"")"),"l e z i ")</f>
        <v>l e z i </v>
      </c>
    </row>
    <row r="1238">
      <c r="A1238" s="1" t="s">
        <v>1241</v>
      </c>
      <c r="B1238" s="1" t="s">
        <v>5</v>
      </c>
      <c r="C1238" s="2">
        <f>IFERROR(__xludf.DUMMYFUNCTION("IFERROR(VLOOKUP(A1238, IMPORTRANGE(""https://docs.google.com/spreadsheets/d/1AVX9GT0dgogEBStecCXMMQ29tWz3gBrtNB8yIromXbY/edit?gid=741673867"", ""out1g!A:B""), 2, FALSE), 0)"),145.0)</f>
        <v>145</v>
      </c>
      <c r="D1238" s="2" t="str">
        <f>IFERROR(__xludf.DUMMYFUNCTION("IFERROR(VLOOKUP(A1238, IMPORTRANGE(""https://docs.google.com/spreadsheets/d/1-3Vjw2Cyy-mry5gbC8ypIR3YVGFfEpyFESummAta6sg/edit"", ""Sheet1!B:D""), 2, FALSE), ""Not Found"")"),"klɑks")</f>
        <v>klɑks</v>
      </c>
      <c r="E1238" s="2" t="str">
        <f>IFERROR(__xludf.DUMMYFUNCTION("IFERROR(VLOOKUP(A1238, IMPORTRANGE(""https://docs.google.com/spreadsheets/d/1-3Vjw2Cyy-mry5gbC8ypIR3YVGFfEpyFESummAta6sg/edit"", ""Sheet1!B:D""), 3, FALSE), ""Not Found"")"),"k l ɑ k s ")</f>
        <v>k l ɑ k s </v>
      </c>
    </row>
    <row r="1239">
      <c r="A1239" s="1" t="s">
        <v>1242</v>
      </c>
      <c r="B1239" s="1" t="s">
        <v>5</v>
      </c>
      <c r="C1239" s="2">
        <f>IFERROR(__xludf.DUMMYFUNCTION("IFERROR(VLOOKUP(A1239, IMPORTRANGE(""https://docs.google.com/spreadsheets/d/1AVX9GT0dgogEBStecCXMMQ29tWz3gBrtNB8yIromXbY/edit?gid=741673867"", ""out1g!A:B""), 2, FALSE), 0)"),99311.0)</f>
        <v>99311</v>
      </c>
      <c r="D1239" s="2" t="str">
        <f>IFERROR(__xludf.DUMMYFUNCTION("IFERROR(VLOOKUP(A1239, IMPORTRANGE(""https://docs.google.com/spreadsheets/d/1-3Vjw2Cyy-mry5gbC8ypIR3YVGFfEpyFESummAta6sg/edit"", ""Sheet1!B:D""), 2, FALSE), ""Not Found"")"),"lʊk")</f>
        <v>lʊk</v>
      </c>
      <c r="E1239" s="2" t="str">
        <f>IFERROR(__xludf.DUMMYFUNCTION("IFERROR(VLOOKUP(A1239, IMPORTRANGE(""https://docs.google.com/spreadsheets/d/1-3Vjw2Cyy-mry5gbC8ypIR3YVGFfEpyFESummAta6sg/edit"", ""Sheet1!B:D""), 3, FALSE), ""Not Found"")"),"l ʊ k ")</f>
        <v>l ʊ k </v>
      </c>
    </row>
    <row r="1240">
      <c r="A1240" s="1" t="s">
        <v>1243</v>
      </c>
      <c r="B1240" s="1" t="s">
        <v>5</v>
      </c>
      <c r="C1240" s="2">
        <f>IFERROR(__xludf.DUMMYFUNCTION("IFERROR(VLOOKUP(A1240, IMPORTRANGE(""https://docs.google.com/spreadsheets/d/1AVX9GT0dgogEBStecCXMMQ29tWz3gBrtNB8yIromXbY/edit?gid=741673867"", ""out1g!A:B""), 2, FALSE), 0)"),166.0)</f>
        <v>166</v>
      </c>
      <c r="D1240" s="2" t="str">
        <f>IFERROR(__xludf.DUMMYFUNCTION("IFERROR(VLOOKUP(A1240, IMPORTRANGE(""https://docs.google.com/spreadsheets/d/1-3Vjw2Cyy-mry5gbC8ypIR3YVGFfEpyFESummAta6sg/edit"", ""Sheet1!B:D""), 2, FALSE), ""Not Found"")"),"koʊp")</f>
        <v>koʊp</v>
      </c>
      <c r="E1240" s="2" t="str">
        <f>IFERROR(__xludf.DUMMYFUNCTION("IFERROR(VLOOKUP(A1240, IMPORTRANGE(""https://docs.google.com/spreadsheets/d/1-3Vjw2Cyy-mry5gbC8ypIR3YVGFfEpyFESummAta6sg/edit"", ""Sheet1!B:D""), 3, FALSE), ""Not Found"")"),"k o ʊ p ")</f>
        <v>k o ʊ p </v>
      </c>
    </row>
    <row r="1241">
      <c r="A1241" s="1" t="s">
        <v>1244</v>
      </c>
      <c r="B1241" s="1" t="s">
        <v>5</v>
      </c>
      <c r="C1241" s="2">
        <f>IFERROR(__xludf.DUMMYFUNCTION("IFERROR(VLOOKUP(A1241, IMPORTRANGE(""https://docs.google.com/spreadsheets/d/1AVX9GT0dgogEBStecCXMMQ29tWz3gBrtNB8yIromXbY/edit?gid=741673867"", ""out1g!A:B""), 2, FALSE), 0)"),742.0)</f>
        <v>742</v>
      </c>
      <c r="D1241" s="2" t="str">
        <f>IFERROR(__xludf.DUMMYFUNCTION("IFERROR(VLOOKUP(A1241, IMPORTRANGE(""https://docs.google.com/spreadsheets/d/1-3Vjw2Cyy-mry5gbC8ypIR3YVGFfEpyFESummAta6sg/edit"", ""Sheet1!B:D""), 2, FALSE), ""Not Found"")"),"ʧɪks")</f>
        <v>ʧɪks</v>
      </c>
      <c r="E1241" s="2" t="str">
        <f>IFERROR(__xludf.DUMMYFUNCTION("IFERROR(VLOOKUP(A1241, IMPORTRANGE(""https://docs.google.com/spreadsheets/d/1-3Vjw2Cyy-mry5gbC8ypIR3YVGFfEpyFESummAta6sg/edit"", ""Sheet1!B:D""), 3, FALSE), ""Not Found"")"),"ʧ ɪ k s ")</f>
        <v>ʧ ɪ k s </v>
      </c>
    </row>
    <row r="1242">
      <c r="A1242" s="1" t="s">
        <v>1245</v>
      </c>
      <c r="B1242" s="1" t="s">
        <v>5</v>
      </c>
      <c r="C1242" s="2">
        <f>IFERROR(__xludf.DUMMYFUNCTION("IFERROR(VLOOKUP(A1242, IMPORTRANGE(""https://docs.google.com/spreadsheets/d/1AVX9GT0dgogEBStecCXMMQ29tWz3gBrtNB8yIromXbY/edit?gid=741673867"", ""out1g!A:B""), 2, FALSE), 0)"),1272.0)</f>
        <v>1272</v>
      </c>
      <c r="D1242" s="2" t="str">
        <f>IFERROR(__xludf.DUMMYFUNCTION("IFERROR(VLOOKUP(A1242, IMPORTRANGE(""https://docs.google.com/spreadsheets/d/1-3Vjw2Cyy-mry5gbC8ypIR3YVGFfEpyFESummAta6sg/edit"", ""Sheet1!B:D""), 2, FALSE), ""Not Found"")"),"rɑbɪn")</f>
        <v>rɑbɪn</v>
      </c>
      <c r="E1242" s="2" t="str">
        <f>IFERROR(__xludf.DUMMYFUNCTION("IFERROR(VLOOKUP(A1242, IMPORTRANGE(""https://docs.google.com/spreadsheets/d/1-3Vjw2Cyy-mry5gbC8ypIR3YVGFfEpyFESummAta6sg/edit"", ""Sheet1!B:D""), 3, FALSE), ""Not Found"")"),"r ɑ b ɪ n ")</f>
        <v>r ɑ b ɪ n </v>
      </c>
    </row>
    <row r="1243">
      <c r="A1243" s="1" t="s">
        <v>1246</v>
      </c>
      <c r="B1243" s="1" t="s">
        <v>5</v>
      </c>
      <c r="C1243" s="2">
        <f>IFERROR(__xludf.DUMMYFUNCTION("IFERROR(VLOOKUP(A1243, IMPORTRANGE(""https://docs.google.com/spreadsheets/d/1AVX9GT0dgogEBStecCXMMQ29tWz3gBrtNB8yIromXbY/edit?gid=741673867"", ""out1g!A:B""), 2, FALSE), 0)"),673.0)</f>
        <v>673</v>
      </c>
      <c r="D1243" s="2" t="str">
        <f>IFERROR(__xludf.DUMMYFUNCTION("IFERROR(VLOOKUP(A1243, IMPORTRANGE(""https://docs.google.com/spreadsheets/d/1-3Vjw2Cyy-mry5gbC8ypIR3YVGFfEpyFESummAta6sg/edit"", ""Sheet1!B:D""), 2, FALSE), ""Not Found"")"),"stɪŋk")</f>
        <v>stɪŋk</v>
      </c>
      <c r="E1243" s="2" t="str">
        <f>IFERROR(__xludf.DUMMYFUNCTION("IFERROR(VLOOKUP(A1243, IMPORTRANGE(""https://docs.google.com/spreadsheets/d/1-3Vjw2Cyy-mry5gbC8ypIR3YVGFfEpyFESummAta6sg/edit"", ""Sheet1!B:D""), 3, FALSE), ""Not Found"")"),"s t ɪ ŋ k ")</f>
        <v>s t ɪ ŋ k </v>
      </c>
    </row>
    <row r="1244">
      <c r="A1244" s="1" t="s">
        <v>1247</v>
      </c>
      <c r="B1244" s="1" t="s">
        <v>5</v>
      </c>
      <c r="C1244" s="2">
        <f>IFERROR(__xludf.DUMMYFUNCTION("IFERROR(VLOOKUP(A1244, IMPORTRANGE(""https://docs.google.com/spreadsheets/d/1AVX9GT0dgogEBStecCXMMQ29tWz3gBrtNB8yIromXbY/edit?gid=741673867"", ""out1g!A:B""), 2, FALSE), 0)"),1586.0)</f>
        <v>1586</v>
      </c>
      <c r="D1244" s="2" t="str">
        <f>IFERROR(__xludf.DUMMYFUNCTION("IFERROR(VLOOKUP(A1244, IMPORTRANGE(""https://docs.google.com/spreadsheets/d/1-3Vjw2Cyy-mry5gbC8ypIR3YVGFfEpyFESummAta6sg/edit"", ""Sheet1!B:D""), 2, FALSE), ""Not Found"")"),"mɪ")</f>
        <v>mɪ</v>
      </c>
      <c r="E1244" s="2" t="str">
        <f>IFERROR(__xludf.DUMMYFUNCTION("IFERROR(VLOOKUP(A1244, IMPORTRANGE(""https://docs.google.com/spreadsheets/d/1-3Vjw2Cyy-mry5gbC8ypIR3YVGFfEpyFESummAta6sg/edit"", ""Sheet1!B:D""), 3, FALSE), ""Not Found"")"),"m ɪ ")</f>
        <v>m ɪ </v>
      </c>
    </row>
    <row r="1245">
      <c r="A1245" s="1" t="s">
        <v>1248</v>
      </c>
      <c r="B1245" s="1" t="s">
        <v>5</v>
      </c>
      <c r="C1245" s="2">
        <f>IFERROR(__xludf.DUMMYFUNCTION("IFERROR(VLOOKUP(A1245, IMPORTRANGE(""https://docs.google.com/spreadsheets/d/1AVX9GT0dgogEBStecCXMMQ29tWz3gBrtNB8yIromXbY/edit?gid=741673867"", ""out1g!A:B""), 2, FALSE), 0)"),65.0)</f>
        <v>65</v>
      </c>
      <c r="D1245" s="2" t="str">
        <f>IFERROR(__xludf.DUMMYFUNCTION("IFERROR(VLOOKUP(A1245, IMPORTRANGE(""https://docs.google.com/spreadsheets/d/1-3Vjw2Cyy-mry5gbC8ypIR3YVGFfEpyFESummAta6sg/edit"", ""Sheet1!B:D""), 2, FALSE), ""Not Found"")"),"daɪəz")</f>
        <v>daɪəz</v>
      </c>
      <c r="E1245" s="2" t="str">
        <f>IFERROR(__xludf.DUMMYFUNCTION("IFERROR(VLOOKUP(A1245, IMPORTRANGE(""https://docs.google.com/spreadsheets/d/1-3Vjw2Cyy-mry5gbC8ypIR3YVGFfEpyFESummAta6sg/edit"", ""Sheet1!B:D""), 3, FALSE), ""Not Found"")"),"d a ɪ ə z ")</f>
        <v>d a ɪ ə z </v>
      </c>
    </row>
    <row r="1246">
      <c r="A1246" s="1" t="s">
        <v>1249</v>
      </c>
      <c r="B1246" s="1" t="s">
        <v>5</v>
      </c>
      <c r="C1246" s="2">
        <f>IFERROR(__xludf.DUMMYFUNCTION("IFERROR(VLOOKUP(A1246, IMPORTRANGE(""https://docs.google.com/spreadsheets/d/1AVX9GT0dgogEBStecCXMMQ29tWz3gBrtNB8yIromXbY/edit?gid=741673867"", ""out1g!A:B""), 2, FALSE), 0)"),761.0)</f>
        <v>761</v>
      </c>
      <c r="D1246" s="2" t="str">
        <f>IFERROR(__xludf.DUMMYFUNCTION("IFERROR(VLOOKUP(A1246, IMPORTRANGE(""https://docs.google.com/spreadsheets/d/1-3Vjw2Cyy-mry5gbC8ypIR3YVGFfEpyFESummAta6sg/edit"", ""Sheet1!B:D""), 2, FALSE), ""Not Found"")"),"sɛts")</f>
        <v>sɛts</v>
      </c>
      <c r="E1246" s="2" t="str">
        <f>IFERROR(__xludf.DUMMYFUNCTION("IFERROR(VLOOKUP(A1246, IMPORTRANGE(""https://docs.google.com/spreadsheets/d/1-3Vjw2Cyy-mry5gbC8ypIR3YVGFfEpyFESummAta6sg/edit"", ""Sheet1!B:D""), 3, FALSE), ""Not Found"")"),"s ɛ t s ")</f>
        <v>s ɛ t s </v>
      </c>
    </row>
    <row r="1247">
      <c r="A1247" s="1" t="s">
        <v>1250</v>
      </c>
      <c r="B1247" s="1" t="s">
        <v>5</v>
      </c>
      <c r="C1247" s="2">
        <f>IFERROR(__xludf.DUMMYFUNCTION("IFERROR(VLOOKUP(A1247, IMPORTRANGE(""https://docs.google.com/spreadsheets/d/1AVX9GT0dgogEBStecCXMMQ29tWz3gBrtNB8yIromXbY/edit?gid=741673867"", ""out1g!A:B""), 2, FALSE), 0)"),110.0)</f>
        <v>110</v>
      </c>
      <c r="D1247" s="2" t="str">
        <f>IFERROR(__xludf.DUMMYFUNCTION("IFERROR(VLOOKUP(A1247, IMPORTRANGE(""https://docs.google.com/spreadsheets/d/1-3Vjw2Cyy-mry5gbC8ypIR3YVGFfEpyFESummAta6sg/edit"", ""Sheet1!B:D""), 2, FALSE), ""Not Found"")"),"rɑstər")</f>
        <v>rɑstər</v>
      </c>
      <c r="E1247" s="2" t="str">
        <f>IFERROR(__xludf.DUMMYFUNCTION("IFERROR(VLOOKUP(A1247, IMPORTRANGE(""https://docs.google.com/spreadsheets/d/1-3Vjw2Cyy-mry5gbC8ypIR3YVGFfEpyFESummAta6sg/edit"", ""Sheet1!B:D""), 3, FALSE), ""Not Found"")"),"r ɑ s t ə r ")</f>
        <v>r ɑ s t ə r </v>
      </c>
    </row>
    <row r="1248">
      <c r="A1248" s="1" t="s">
        <v>1251</v>
      </c>
      <c r="B1248" s="1" t="s">
        <v>5</v>
      </c>
      <c r="C1248" s="2">
        <f>IFERROR(__xludf.DUMMYFUNCTION("IFERROR(VLOOKUP(A1248, IMPORTRANGE(""https://docs.google.com/spreadsheets/d/1AVX9GT0dgogEBStecCXMMQ29tWz3gBrtNB8yIromXbY/edit?gid=741673867"", ""out1g!A:B""), 2, FALSE), 0)"),309.0)</f>
        <v>309</v>
      </c>
      <c r="D1248" s="2" t="str">
        <f>IFERROR(__xludf.DUMMYFUNCTION("IFERROR(VLOOKUP(A1248, IMPORTRANGE(""https://docs.google.com/spreadsheets/d/1-3Vjw2Cyy-mry5gbC8ypIR3YVGFfEpyFESummAta6sg/edit"", ""Sheet1!B:D""), 2, FALSE), ""Not Found"")"),"bæts")</f>
        <v>bæts</v>
      </c>
      <c r="E1248" s="2" t="str">
        <f>IFERROR(__xludf.DUMMYFUNCTION("IFERROR(VLOOKUP(A1248, IMPORTRANGE(""https://docs.google.com/spreadsheets/d/1-3Vjw2Cyy-mry5gbC8ypIR3YVGFfEpyFESummAta6sg/edit"", ""Sheet1!B:D""), 3, FALSE), ""Not Found"")"),"b æ t s ")</f>
        <v>b æ t s </v>
      </c>
    </row>
    <row r="1249">
      <c r="A1249" s="1" t="s">
        <v>1252</v>
      </c>
      <c r="B1249" s="1" t="s">
        <v>5</v>
      </c>
      <c r="C1249" s="2">
        <f>IFERROR(__xludf.DUMMYFUNCTION("IFERROR(VLOOKUP(A1249, IMPORTRANGE(""https://docs.google.com/spreadsheets/d/1AVX9GT0dgogEBStecCXMMQ29tWz3gBrtNB8yIromXbY/edit?gid=741673867"", ""out1g!A:B""), 2, FALSE), 0)"),175.0)</f>
        <v>175</v>
      </c>
      <c r="D1249" s="2" t="str">
        <f>IFERROR(__xludf.DUMMYFUNCTION("IFERROR(VLOOKUP(A1249, IMPORTRANGE(""https://docs.google.com/spreadsheets/d/1-3Vjw2Cyy-mry5gbC8ypIR3YVGFfEpyFESummAta6sg/edit"", ""Sheet1!B:D""), 2, FALSE), ""Not Found"")"),"glæns")</f>
        <v>glæns</v>
      </c>
      <c r="E1249" s="2" t="str">
        <f>IFERROR(__xludf.DUMMYFUNCTION("IFERROR(VLOOKUP(A1249, IMPORTRANGE(""https://docs.google.com/spreadsheets/d/1-3Vjw2Cyy-mry5gbC8ypIR3YVGFfEpyFESummAta6sg/edit"", ""Sheet1!B:D""), 3, FALSE), ""Not Found"")"),"g l æ n s ")</f>
        <v>g l æ n s </v>
      </c>
    </row>
    <row r="1250">
      <c r="A1250" s="1" t="s">
        <v>1253</v>
      </c>
      <c r="B1250" s="1" t="s">
        <v>5</v>
      </c>
      <c r="C1250" s="2">
        <f>IFERROR(__xludf.DUMMYFUNCTION("IFERROR(VLOOKUP(A1250, IMPORTRANGE(""https://docs.google.com/spreadsheets/d/1AVX9GT0dgogEBStecCXMMQ29tWz3gBrtNB8yIromXbY/edit?gid=741673867"", ""out1g!A:B""), 2, FALSE), 0)"),910.0)</f>
        <v>910</v>
      </c>
      <c r="D1250" s="2" t="str">
        <f>IFERROR(__xludf.DUMMYFUNCTION("IFERROR(VLOOKUP(A1250, IMPORTRANGE(""https://docs.google.com/spreadsheets/d/1-3Vjw2Cyy-mry5gbC8ypIR3YVGFfEpyFESummAta6sg/edit"", ""Sheet1!B:D""), 2, FALSE), ""Not Found"")"),"gaɪd")</f>
        <v>gaɪd</v>
      </c>
      <c r="E1250" s="2" t="str">
        <f>IFERROR(__xludf.DUMMYFUNCTION("IFERROR(VLOOKUP(A1250, IMPORTRANGE(""https://docs.google.com/spreadsheets/d/1-3Vjw2Cyy-mry5gbC8ypIR3YVGFfEpyFESummAta6sg/edit"", ""Sheet1!B:D""), 3, FALSE), ""Not Found"")"),"g a ɪ d ")</f>
        <v>g a ɪ d </v>
      </c>
    </row>
    <row r="1251">
      <c r="A1251" s="1" t="s">
        <v>1254</v>
      </c>
      <c r="B1251" s="1" t="s">
        <v>5</v>
      </c>
      <c r="C1251" s="2">
        <f>IFERROR(__xludf.DUMMYFUNCTION("IFERROR(VLOOKUP(A1251, IMPORTRANGE(""https://docs.google.com/spreadsheets/d/1AVX9GT0dgogEBStecCXMMQ29tWz3gBrtNB8yIromXbY/edit?gid=741673867"", ""out1g!A:B""), 2, FALSE), 0)"),28323.0)</f>
        <v>28323</v>
      </c>
      <c r="D1251" s="2" t="str">
        <f>IFERROR(__xludf.DUMMYFUNCTION("IFERROR(VLOOKUP(A1251, IMPORTRANGE(""https://docs.google.com/spreadsheets/d/1-3Vjw2Cyy-mry5gbC8ypIR3YVGFfEpyFESummAta6sg/edit"", ""Sheet1!B:D""), 2, FALSE), ""Not Found"")"),"hir")</f>
        <v>hir</v>
      </c>
      <c r="E1251" s="2" t="str">
        <f>IFERROR(__xludf.DUMMYFUNCTION("IFERROR(VLOOKUP(A1251, IMPORTRANGE(""https://docs.google.com/spreadsheets/d/1-3Vjw2Cyy-mry5gbC8ypIR3YVGFfEpyFESummAta6sg/edit"", ""Sheet1!B:D""), 3, FALSE), ""Not Found"")"),"h i r ")</f>
        <v>h i r </v>
      </c>
    </row>
    <row r="1252">
      <c r="A1252" s="1" t="s">
        <v>1255</v>
      </c>
      <c r="B1252" s="1" t="s">
        <v>5</v>
      </c>
      <c r="C1252" s="2">
        <f>IFERROR(__xludf.DUMMYFUNCTION("IFERROR(VLOOKUP(A1252, IMPORTRANGE(""https://docs.google.com/spreadsheets/d/1AVX9GT0dgogEBStecCXMMQ29tWz3gBrtNB8yIromXbY/edit?gid=741673867"", ""out1g!A:B""), 2, FALSE), 0)"),467.0)</f>
        <v>467</v>
      </c>
      <c r="D1252" s="2" t="str">
        <f>IFERROR(__xludf.DUMMYFUNCTION("IFERROR(VLOOKUP(A1252, IMPORTRANGE(""https://docs.google.com/spreadsheets/d/1-3Vjw2Cyy-mry5gbC8ypIR3YVGFfEpyFESummAta6sg/edit"", ""Sheet1!B:D""), 2, FALSE), ""Not Found"")"),"koʊdz")</f>
        <v>koʊdz</v>
      </c>
      <c r="E1252" s="2" t="str">
        <f>IFERROR(__xludf.DUMMYFUNCTION("IFERROR(VLOOKUP(A1252, IMPORTRANGE(""https://docs.google.com/spreadsheets/d/1-3Vjw2Cyy-mry5gbC8ypIR3YVGFfEpyFESummAta6sg/edit"", ""Sheet1!B:D""), 3, FALSE), ""Not Found"")"),"k o ʊ d z ")</f>
        <v>k o ʊ d z </v>
      </c>
    </row>
    <row r="1253">
      <c r="A1253" s="1" t="s">
        <v>1256</v>
      </c>
      <c r="B1253" s="1" t="s">
        <v>5</v>
      </c>
      <c r="C1253" s="2">
        <f>IFERROR(__xludf.DUMMYFUNCTION("IFERROR(VLOOKUP(A1253, IMPORTRANGE(""https://docs.google.com/spreadsheets/d/1AVX9GT0dgogEBStecCXMMQ29tWz3gBrtNB8yIromXbY/edit?gid=741673867"", ""out1g!A:B""), 2, FALSE), 0)"),82.0)</f>
        <v>82</v>
      </c>
      <c r="D1253" s="2" t="str">
        <f>IFERROR(__xludf.DUMMYFUNCTION("IFERROR(VLOOKUP(A1253, IMPORTRANGE(""https://docs.google.com/spreadsheets/d/1-3Vjw2Cyy-mry5gbC8ypIR3YVGFfEpyFESummAta6sg/edit"", ""Sheet1!B:D""), 2, FALSE), ""Not Found"")"),"glɛr")</f>
        <v>glɛr</v>
      </c>
      <c r="E1253" s="2" t="str">
        <f>IFERROR(__xludf.DUMMYFUNCTION("IFERROR(VLOOKUP(A1253, IMPORTRANGE(""https://docs.google.com/spreadsheets/d/1-3Vjw2Cyy-mry5gbC8ypIR3YVGFfEpyFESummAta6sg/edit"", ""Sheet1!B:D""), 3, FALSE), ""Not Found"")"),"g l ɛ r ")</f>
        <v>g l ɛ r </v>
      </c>
    </row>
    <row r="1254">
      <c r="A1254" s="1" t="s">
        <v>1257</v>
      </c>
      <c r="B1254" s="1" t="s">
        <v>5</v>
      </c>
      <c r="C1254" s="2">
        <f>IFERROR(__xludf.DUMMYFUNCTION("IFERROR(VLOOKUP(A1254, IMPORTRANGE(""https://docs.google.com/spreadsheets/d/1AVX9GT0dgogEBStecCXMMQ29tWz3gBrtNB8yIromXbY/edit?gid=741673867"", ""out1g!A:B""), 2, FALSE), 0)"),3424.0)</f>
        <v>3424</v>
      </c>
      <c r="D1254" s="2" t="str">
        <f>IFERROR(__xludf.DUMMYFUNCTION("IFERROR(VLOOKUP(A1254, IMPORTRANGE(""https://docs.google.com/spreadsheets/d/1-3Vjw2Cyy-mry5gbC8ypIR3YVGFfEpyFESummAta6sg/edit"", ""Sheet1!B:D""), 2, FALSE), ""Not Found"")"),"wɛðər")</f>
        <v>wɛðər</v>
      </c>
      <c r="E1254" s="2" t="str">
        <f>IFERROR(__xludf.DUMMYFUNCTION("IFERROR(VLOOKUP(A1254, IMPORTRANGE(""https://docs.google.com/spreadsheets/d/1-3Vjw2Cyy-mry5gbC8ypIR3YVGFfEpyFESummAta6sg/edit"", ""Sheet1!B:D""), 3, FALSE), ""Not Found"")"),"w ɛ ð ə r ")</f>
        <v>w ɛ ð ə r </v>
      </c>
    </row>
    <row r="1255">
      <c r="A1255" s="1" t="s">
        <v>1258</v>
      </c>
      <c r="B1255" s="1" t="s">
        <v>5</v>
      </c>
      <c r="C1255" s="2">
        <f>IFERROR(__xludf.DUMMYFUNCTION("IFERROR(VLOOKUP(A1255, IMPORTRANGE(""https://docs.google.com/spreadsheets/d/1AVX9GT0dgogEBStecCXMMQ29tWz3gBrtNB8yIromXbY/edit?gid=741673867"", ""out1g!A:B""), 2, FALSE), 0)"),132.0)</f>
        <v>132</v>
      </c>
      <c r="D1255" s="2" t="str">
        <f>IFERROR(__xludf.DUMMYFUNCTION("IFERROR(VLOOKUP(A1255, IMPORTRANGE(""https://docs.google.com/spreadsheets/d/1-3Vjw2Cyy-mry5gbC8ypIR3YVGFfEpyFESummAta6sg/edit"", ""Sheet1!B:D""), 2, FALSE), ""Not Found"")"),"maʊnɪd")</f>
        <v>maʊnɪd</v>
      </c>
      <c r="E1255" s="2" t="str">
        <f>IFERROR(__xludf.DUMMYFUNCTION("IFERROR(VLOOKUP(A1255, IMPORTRANGE(""https://docs.google.com/spreadsheets/d/1-3Vjw2Cyy-mry5gbC8ypIR3YVGFfEpyFESummAta6sg/edit"", ""Sheet1!B:D""), 3, FALSE), ""Not Found"")"),"m a ʊ n ɪ d ")</f>
        <v>m a ʊ n ɪ d </v>
      </c>
    </row>
    <row r="1256">
      <c r="A1256" s="1" t="s">
        <v>1259</v>
      </c>
      <c r="B1256" s="1" t="s">
        <v>5</v>
      </c>
      <c r="C1256" s="2">
        <f>IFERROR(__xludf.DUMMYFUNCTION("IFERROR(VLOOKUP(A1256, IMPORTRANGE(""https://docs.google.com/spreadsheets/d/1AVX9GT0dgogEBStecCXMMQ29tWz3gBrtNB8yIromXbY/edit?gid=741673867"", ""out1g!A:B""), 2, FALSE), 0)"),694.0)</f>
        <v>694</v>
      </c>
      <c r="D1256" s="2" t="str">
        <f>IFERROR(__xludf.DUMMYFUNCTION("IFERROR(VLOOKUP(A1256, IMPORTRANGE(""https://docs.google.com/spreadsheets/d/1-3Vjw2Cyy-mry5gbC8ypIR3YVGFfEpyFESummAta6sg/edit"", ""Sheet1!B:D""), 2, FALSE), ""Not Found"")"),"æd")</f>
        <v>æd</v>
      </c>
      <c r="E1256" s="2" t="str">
        <f>IFERROR(__xludf.DUMMYFUNCTION("IFERROR(VLOOKUP(A1256, IMPORTRANGE(""https://docs.google.com/spreadsheets/d/1-3Vjw2Cyy-mry5gbC8ypIR3YVGFfEpyFESummAta6sg/edit"", ""Sheet1!B:D""), 3, FALSE), ""Not Found"")"),"æ d ")</f>
        <v>æ d </v>
      </c>
    </row>
    <row r="1257">
      <c r="A1257" s="1" t="s">
        <v>1260</v>
      </c>
      <c r="B1257" s="1" t="s">
        <v>5</v>
      </c>
      <c r="C1257" s="2">
        <f>IFERROR(__xludf.DUMMYFUNCTION("IFERROR(VLOOKUP(A1257, IMPORTRANGE(""https://docs.google.com/spreadsheets/d/1AVX9GT0dgogEBStecCXMMQ29tWz3gBrtNB8yIromXbY/edit?gid=741673867"", ""out1g!A:B""), 2, FALSE), 0)"),168.0)</f>
        <v>168</v>
      </c>
      <c r="D1257" s="2" t="str">
        <f>IFERROR(__xludf.DUMMYFUNCTION("IFERROR(VLOOKUP(A1257, IMPORTRANGE(""https://docs.google.com/spreadsheets/d/1-3Vjw2Cyy-mry5gbC8ypIR3YVGFfEpyFESummAta6sg/edit"", ""Sheet1!B:D""), 2, FALSE), ""Not Found"")"),"tʊts")</f>
        <v>tʊts</v>
      </c>
      <c r="E1257" s="2" t="str">
        <f>IFERROR(__xludf.DUMMYFUNCTION("IFERROR(VLOOKUP(A1257, IMPORTRANGE(""https://docs.google.com/spreadsheets/d/1-3Vjw2Cyy-mry5gbC8ypIR3YVGFfEpyFESummAta6sg/edit"", ""Sheet1!B:D""), 3, FALSE), ""Not Found"")"),"t ʊ t s ")</f>
        <v>t ʊ t s </v>
      </c>
    </row>
    <row r="1258">
      <c r="A1258" s="1" t="s">
        <v>1261</v>
      </c>
      <c r="B1258" s="1" t="s">
        <v>5</v>
      </c>
      <c r="C1258" s="2">
        <f>IFERROR(__xludf.DUMMYFUNCTION("IFERROR(VLOOKUP(A1258, IMPORTRANGE(""https://docs.google.com/spreadsheets/d/1AVX9GT0dgogEBStecCXMMQ29tWz3gBrtNB8yIromXbY/edit?gid=741673867"", ""out1g!A:B""), 2, FALSE), 0)"),108.0)</f>
        <v>108</v>
      </c>
      <c r="D1258" s="2" t="str">
        <f>IFERROR(__xludf.DUMMYFUNCTION("IFERROR(VLOOKUP(A1258, IMPORTRANGE(""https://docs.google.com/spreadsheets/d/1-3Vjw2Cyy-mry5gbC8ypIR3YVGFfEpyFESummAta6sg/edit"", ""Sheet1!B:D""), 2, FALSE), ""Not Found"")"),"snɪp")</f>
        <v>snɪp</v>
      </c>
      <c r="E1258" s="2" t="str">
        <f>IFERROR(__xludf.DUMMYFUNCTION("IFERROR(VLOOKUP(A1258, IMPORTRANGE(""https://docs.google.com/spreadsheets/d/1-3Vjw2Cyy-mry5gbC8ypIR3YVGFfEpyFESummAta6sg/edit"", ""Sheet1!B:D""), 3, FALSE), ""Not Found"")"),"s n ɪ p ")</f>
        <v>s n ɪ p </v>
      </c>
    </row>
    <row r="1259">
      <c r="A1259" s="1" t="s">
        <v>1262</v>
      </c>
      <c r="B1259" s="1" t="s">
        <v>5</v>
      </c>
      <c r="C1259" s="2">
        <f>IFERROR(__xludf.DUMMYFUNCTION("IFERROR(VLOOKUP(A1259, IMPORTRANGE(""https://docs.google.com/spreadsheets/d/1AVX9GT0dgogEBStecCXMMQ29tWz3gBrtNB8yIromXbY/edit?gid=741673867"", ""out1g!A:B""), 2, FALSE), 0)"),58.0)</f>
        <v>58</v>
      </c>
      <c r="D1259" s="2" t="str">
        <f>IFERROR(__xludf.DUMMYFUNCTION("IFERROR(VLOOKUP(A1259, IMPORTRANGE(""https://docs.google.com/spreadsheets/d/1-3Vjw2Cyy-mry5gbC8ypIR3YVGFfEpyFESummAta6sg/edit"", ""Sheet1!B:D""), 2, FALSE), ""Not Found"")"),"hini")</f>
        <v>hini</v>
      </c>
      <c r="E1259" s="2" t="str">
        <f>IFERROR(__xludf.DUMMYFUNCTION("IFERROR(VLOOKUP(A1259, IMPORTRANGE(""https://docs.google.com/spreadsheets/d/1-3Vjw2Cyy-mry5gbC8ypIR3YVGFfEpyFESummAta6sg/edit"", ""Sheet1!B:D""), 3, FALSE), ""Not Found"")"),"h i n i ")</f>
        <v>h i n i </v>
      </c>
    </row>
    <row r="1260">
      <c r="A1260" s="1" t="s">
        <v>1263</v>
      </c>
      <c r="B1260" s="1" t="s">
        <v>5</v>
      </c>
      <c r="C1260" s="2">
        <f>IFERROR(__xludf.DUMMYFUNCTION("IFERROR(VLOOKUP(A1260, IMPORTRANGE(""https://docs.google.com/spreadsheets/d/1AVX9GT0dgogEBStecCXMMQ29tWz3gBrtNB8yIromXbY/edit?gid=741673867"", ""out1g!A:B""), 2, FALSE), 0)"),56438.0)</f>
        <v>56438</v>
      </c>
      <c r="D1260" s="2" t="str">
        <f>IFERROR(__xludf.DUMMYFUNCTION("IFERROR(VLOOKUP(A1260, IMPORTRANGE(""https://docs.google.com/spreadsheets/d/1-3Vjw2Cyy-mry5gbC8ypIR3YVGFfEpyFESummAta6sg/edit"", ""Sheet1!B:D""), 2, FALSE), ""Not Found"")"),"æm")</f>
        <v>æm</v>
      </c>
      <c r="E1260" s="2" t="str">
        <f>IFERROR(__xludf.DUMMYFUNCTION("IFERROR(VLOOKUP(A1260, IMPORTRANGE(""https://docs.google.com/spreadsheets/d/1-3Vjw2Cyy-mry5gbC8ypIR3YVGFfEpyFESummAta6sg/edit"", ""Sheet1!B:D""), 3, FALSE), ""Not Found"")"),"æ m ")</f>
        <v>æ m </v>
      </c>
    </row>
    <row r="1261">
      <c r="A1261" s="1" t="s">
        <v>1264</v>
      </c>
      <c r="B1261" s="1" t="s">
        <v>5</v>
      </c>
      <c r="C1261" s="2">
        <f>IFERROR(__xludf.DUMMYFUNCTION("IFERROR(VLOOKUP(A1261, IMPORTRANGE(""https://docs.google.com/spreadsheets/d/1AVX9GT0dgogEBStecCXMMQ29tWz3gBrtNB8yIromXbY/edit?gid=741673867"", ""out1g!A:B""), 2, FALSE), 0)"),63.0)</f>
        <v>63</v>
      </c>
      <c r="D1261" s="2" t="str">
        <f>IFERROR(__xludf.DUMMYFUNCTION("IFERROR(VLOOKUP(A1261, IMPORTRANGE(""https://docs.google.com/spreadsheets/d/1-3Vjw2Cyy-mry5gbC8ypIR3YVGFfEpyFESummAta6sg/edit"", ""Sheet1!B:D""), 2, FALSE), ""Not Found"")"),"oʊɪŋ")</f>
        <v>oʊɪŋ</v>
      </c>
      <c r="E1261" s="2" t="str">
        <f>IFERROR(__xludf.DUMMYFUNCTION("IFERROR(VLOOKUP(A1261, IMPORTRANGE(""https://docs.google.com/spreadsheets/d/1-3Vjw2Cyy-mry5gbC8ypIR3YVGFfEpyFESummAta6sg/edit"", ""Sheet1!B:D""), 3, FALSE), ""Not Found"")"),"o ʊ ɪ ŋ ")</f>
        <v>o ʊ ɪ ŋ </v>
      </c>
    </row>
    <row r="1262">
      <c r="A1262" s="1" t="s">
        <v>1265</v>
      </c>
      <c r="B1262" s="1" t="s">
        <v>5</v>
      </c>
      <c r="C1262" s="2">
        <f>IFERROR(__xludf.DUMMYFUNCTION("IFERROR(VLOOKUP(A1262, IMPORTRANGE(""https://docs.google.com/spreadsheets/d/1AVX9GT0dgogEBStecCXMMQ29tWz3gBrtNB8yIromXbY/edit?gid=741673867"", ""out1g!A:B""), 2, FALSE), 0)"),138.0)</f>
        <v>138</v>
      </c>
      <c r="D1262" s="2" t="str">
        <f>IFERROR(__xludf.DUMMYFUNCTION("IFERROR(VLOOKUP(A1262, IMPORTRANGE(""https://docs.google.com/spreadsheets/d/1-3Vjw2Cyy-mry5gbC8ypIR3YVGFfEpyFESummAta6sg/edit"", ""Sheet1!B:D""), 2, FALSE), ""Not Found"")"),"pɔlin")</f>
        <v>pɔlin</v>
      </c>
      <c r="E1262" s="2" t="str">
        <f>IFERROR(__xludf.DUMMYFUNCTION("IFERROR(VLOOKUP(A1262, IMPORTRANGE(""https://docs.google.com/spreadsheets/d/1-3Vjw2Cyy-mry5gbC8ypIR3YVGFfEpyFESummAta6sg/edit"", ""Sheet1!B:D""), 3, FALSE), ""Not Found"")"),"p ɔ l i n ")</f>
        <v>p ɔ l i n </v>
      </c>
    </row>
    <row r="1263">
      <c r="A1263" s="1" t="s">
        <v>1266</v>
      </c>
      <c r="B1263" s="1" t="s">
        <v>5</v>
      </c>
      <c r="C1263" s="2">
        <f>IFERROR(__xludf.DUMMYFUNCTION("IFERROR(VLOOKUP(A1263, IMPORTRANGE(""https://docs.google.com/spreadsheets/d/1AVX9GT0dgogEBStecCXMMQ29tWz3gBrtNB8yIromXbY/edit?gid=741673867"", ""out1g!A:B""), 2, FALSE), 0)"),46.0)</f>
        <v>46</v>
      </c>
      <c r="D1263" s="2" t="str">
        <f>IFERROR(__xludf.DUMMYFUNCTION("IFERROR(VLOOKUP(A1263, IMPORTRANGE(""https://docs.google.com/spreadsheets/d/1-3Vjw2Cyy-mry5gbC8ypIR3YVGFfEpyFESummAta6sg/edit"", ""Sheet1!B:D""), 2, FALSE), ""Not Found"")"),"təbz")</f>
        <v>təbz</v>
      </c>
      <c r="E1263" s="2" t="str">
        <f>IFERROR(__xludf.DUMMYFUNCTION("IFERROR(VLOOKUP(A1263, IMPORTRANGE(""https://docs.google.com/spreadsheets/d/1-3Vjw2Cyy-mry5gbC8ypIR3YVGFfEpyFESummAta6sg/edit"", ""Sheet1!B:D""), 3, FALSE), ""Not Found"")"),"t ə b z ")</f>
        <v>t ə b z </v>
      </c>
    </row>
    <row r="1264">
      <c r="A1264" s="1" t="s">
        <v>1267</v>
      </c>
      <c r="B1264" s="1" t="s">
        <v>5</v>
      </c>
      <c r="C1264" s="2">
        <f>IFERROR(__xludf.DUMMYFUNCTION("IFERROR(VLOOKUP(A1264, IMPORTRANGE(""https://docs.google.com/spreadsheets/d/1AVX9GT0dgogEBStecCXMMQ29tWz3gBrtNB8yIromXbY/edit?gid=741673867"", ""out1g!A:B""), 2, FALSE), 0)"),998.0)</f>
        <v>998</v>
      </c>
      <c r="D1264" s="2" t="str">
        <f>IFERROR(__xludf.DUMMYFUNCTION("IFERROR(VLOOKUP(A1264, IMPORTRANGE(""https://docs.google.com/spreadsheets/d/1-3Vjw2Cyy-mry5gbC8ypIR3YVGFfEpyFESummAta6sg/edit"", ""Sheet1!B:D""), 2, FALSE), ""Not Found"")"),"vɪk")</f>
        <v>vɪk</v>
      </c>
      <c r="E1264" s="2" t="str">
        <f>IFERROR(__xludf.DUMMYFUNCTION("IFERROR(VLOOKUP(A1264, IMPORTRANGE(""https://docs.google.com/spreadsheets/d/1-3Vjw2Cyy-mry5gbC8ypIR3YVGFfEpyFESummAta6sg/edit"", ""Sheet1!B:D""), 3, FALSE), ""Not Found"")"),"v ɪ k ")</f>
        <v>v ɪ k </v>
      </c>
    </row>
    <row r="1265">
      <c r="A1265" s="1" t="s">
        <v>1268</v>
      </c>
      <c r="B1265" s="1" t="s">
        <v>5</v>
      </c>
      <c r="C1265" s="2">
        <f>IFERROR(__xludf.DUMMYFUNCTION("IFERROR(VLOOKUP(A1265, IMPORTRANGE(""https://docs.google.com/spreadsheets/d/1AVX9GT0dgogEBStecCXMMQ29tWz3gBrtNB8yIromXbY/edit?gid=741673867"", ""out1g!A:B""), 2, FALSE), 0)"),16989.0)</f>
        <v>16989</v>
      </c>
      <c r="D1265" s="2" t="str">
        <f>IFERROR(__xludf.DUMMYFUNCTION("IFERROR(VLOOKUP(A1265, IMPORTRANGE(""https://docs.google.com/spreadsheets/d/1-3Vjw2Cyy-mry5gbC8ypIR3YVGFfEpyFESummAta6sg/edit"", ""Sheet1!B:D""), 2, FALSE), ""Not Found"")"),"skul")</f>
        <v>skul</v>
      </c>
      <c r="E1265" s="2" t="str">
        <f>IFERROR(__xludf.DUMMYFUNCTION("IFERROR(VLOOKUP(A1265, IMPORTRANGE(""https://docs.google.com/spreadsheets/d/1-3Vjw2Cyy-mry5gbC8ypIR3YVGFfEpyFESummAta6sg/edit"", ""Sheet1!B:D""), 3, FALSE), ""Not Found"")"),"s k u l ")</f>
        <v>s k u l </v>
      </c>
    </row>
    <row r="1266">
      <c r="A1266" s="1" t="s">
        <v>1269</v>
      </c>
      <c r="B1266" s="1" t="s">
        <v>5</v>
      </c>
      <c r="C1266" s="2">
        <f>IFERROR(__xludf.DUMMYFUNCTION("IFERROR(VLOOKUP(A1266, IMPORTRANGE(""https://docs.google.com/spreadsheets/d/1AVX9GT0dgogEBStecCXMMQ29tWz3gBrtNB8yIromXbY/edit?gid=741673867"", ""out1g!A:B""), 2, FALSE), 0)"),182.0)</f>
        <v>182</v>
      </c>
      <c r="D1266" s="2" t="str">
        <f>IFERROR(__xludf.DUMMYFUNCTION("IFERROR(VLOOKUP(A1266, IMPORTRANGE(""https://docs.google.com/spreadsheets/d/1-3Vjw2Cyy-mry5gbC8ypIR3YVGFfEpyFESummAta6sg/edit"", ""Sheet1!B:D""), 2, FALSE), ""Not Found"")"),"nəti")</f>
        <v>nəti</v>
      </c>
      <c r="E1266" s="2" t="str">
        <f>IFERROR(__xludf.DUMMYFUNCTION("IFERROR(VLOOKUP(A1266, IMPORTRANGE(""https://docs.google.com/spreadsheets/d/1-3Vjw2Cyy-mry5gbC8ypIR3YVGFfEpyFESummAta6sg/edit"", ""Sheet1!B:D""), 3, FALSE), ""Not Found"")"),"n ə t i ")</f>
        <v>n ə t i </v>
      </c>
    </row>
    <row r="1267">
      <c r="A1267" s="1" t="s">
        <v>1270</v>
      </c>
      <c r="B1267" s="1" t="s">
        <v>5</v>
      </c>
      <c r="C1267" s="2">
        <f>IFERROR(__xludf.DUMMYFUNCTION("IFERROR(VLOOKUP(A1267, IMPORTRANGE(""https://docs.google.com/spreadsheets/d/1AVX9GT0dgogEBStecCXMMQ29tWz3gBrtNB8yIromXbY/edit?gid=741673867"", ""out1g!A:B""), 2, FALSE), 0)"),1326.0)</f>
        <v>1326</v>
      </c>
      <c r="D1267" s="2" t="str">
        <f>IFERROR(__xludf.DUMMYFUNCTION("IFERROR(VLOOKUP(A1267, IMPORTRANGE(""https://docs.google.com/spreadsheets/d/1-3Vjw2Cyy-mry5gbC8ypIR3YVGFfEpyFESummAta6sg/edit"", ""Sheet1!B:D""), 2, FALSE), ""Not Found"")"),"rumz")</f>
        <v>rumz</v>
      </c>
      <c r="E1267" s="2" t="str">
        <f>IFERROR(__xludf.DUMMYFUNCTION("IFERROR(VLOOKUP(A1267, IMPORTRANGE(""https://docs.google.com/spreadsheets/d/1-3Vjw2Cyy-mry5gbC8ypIR3YVGFfEpyFESummAta6sg/edit"", ""Sheet1!B:D""), 3, FALSE), ""Not Found"")"),"r u m z ")</f>
        <v>r u m z </v>
      </c>
    </row>
    <row r="1268">
      <c r="A1268" s="1" t="s">
        <v>1271</v>
      </c>
      <c r="B1268" s="1" t="s">
        <v>5</v>
      </c>
      <c r="C1268" s="2">
        <f>IFERROR(__xludf.DUMMYFUNCTION("IFERROR(VLOOKUP(A1268, IMPORTRANGE(""https://docs.google.com/spreadsheets/d/1AVX9GT0dgogEBStecCXMMQ29tWz3gBrtNB8yIromXbY/edit?gid=741673867"", ""out1g!A:B""), 2, FALSE), 0)"),89.0)</f>
        <v>89</v>
      </c>
      <c r="D1268" s="2" t="str">
        <f>IFERROR(__xludf.DUMMYFUNCTION("IFERROR(VLOOKUP(A1268, IMPORTRANGE(""https://docs.google.com/spreadsheets/d/1-3Vjw2Cyy-mry5gbC8ypIR3YVGFfEpyFESummAta6sg/edit"", ""Sheet1!B:D""), 2, FALSE), ""Not Found"")"),"ljæŋ")</f>
        <v>ljæŋ</v>
      </c>
      <c r="E1268" s="2" t="str">
        <f>IFERROR(__xludf.DUMMYFUNCTION("IFERROR(VLOOKUP(A1268, IMPORTRANGE(""https://docs.google.com/spreadsheets/d/1-3Vjw2Cyy-mry5gbC8ypIR3YVGFfEpyFESummAta6sg/edit"", ""Sheet1!B:D""), 3, FALSE), ""Not Found"")"),"l j æ ŋ ")</f>
        <v>l j æ ŋ </v>
      </c>
    </row>
    <row r="1269">
      <c r="A1269" s="1" t="s">
        <v>1272</v>
      </c>
      <c r="B1269" s="1" t="s">
        <v>5</v>
      </c>
      <c r="C1269" s="2">
        <f>IFERROR(__xludf.DUMMYFUNCTION("IFERROR(VLOOKUP(A1269, IMPORTRANGE(""https://docs.google.com/spreadsheets/d/1AVX9GT0dgogEBStecCXMMQ29tWz3gBrtNB8yIromXbY/edit?gid=741673867"", ""out1g!A:B""), 2, FALSE), 0)"),1810.0)</f>
        <v>1810</v>
      </c>
      <c r="D1269" s="2" t="str">
        <f>IFERROR(__xludf.DUMMYFUNCTION("IFERROR(VLOOKUP(A1269, IMPORTRANGE(""https://docs.google.com/spreadsheets/d/1-3Vjw2Cyy-mry5gbC8ypIR3YVGFfEpyFESummAta6sg/edit"", ""Sheet1!B:D""), 2, FALSE), ""Not Found"")"),"slɛpt")</f>
        <v>slɛpt</v>
      </c>
      <c r="E1269" s="2" t="str">
        <f>IFERROR(__xludf.DUMMYFUNCTION("IFERROR(VLOOKUP(A1269, IMPORTRANGE(""https://docs.google.com/spreadsheets/d/1-3Vjw2Cyy-mry5gbC8ypIR3YVGFfEpyFESummAta6sg/edit"", ""Sheet1!B:D""), 3, FALSE), ""Not Found"")"),"s l ɛ p t ")</f>
        <v>s l ɛ p t </v>
      </c>
    </row>
    <row r="1270">
      <c r="A1270" s="1" t="s">
        <v>1273</v>
      </c>
      <c r="B1270" s="1" t="s">
        <v>5</v>
      </c>
      <c r="C1270" s="2">
        <f>IFERROR(__xludf.DUMMYFUNCTION("IFERROR(VLOOKUP(A1270, IMPORTRANGE(""https://docs.google.com/spreadsheets/d/1AVX9GT0dgogEBStecCXMMQ29tWz3gBrtNB8yIromXbY/edit?gid=741673867"", ""out1g!A:B""), 2, FALSE), 0)"),48.0)</f>
        <v>48</v>
      </c>
      <c r="D1270" s="2" t="str">
        <f>IFERROR(__xludf.DUMMYFUNCTION("IFERROR(VLOOKUP(A1270, IMPORTRANGE(""https://docs.google.com/spreadsheets/d/1-3Vjw2Cyy-mry5gbC8ypIR3YVGFfEpyFESummAta6sg/edit"", ""Sheet1!B:D""), 2, FALSE), ""Not Found"")"),"ædm")</f>
        <v>ædm</v>
      </c>
      <c r="E1270" s="2" t="str">
        <f>IFERROR(__xludf.DUMMYFUNCTION("IFERROR(VLOOKUP(A1270, IMPORTRANGE(""https://docs.google.com/spreadsheets/d/1-3Vjw2Cyy-mry5gbC8ypIR3YVGFfEpyFESummAta6sg/edit"", ""Sheet1!B:D""), 3, FALSE), ""Not Found"")"),"æ d m ")</f>
        <v>æ d m </v>
      </c>
    </row>
    <row r="1271">
      <c r="A1271" s="1" t="s">
        <v>1274</v>
      </c>
      <c r="B1271" s="1" t="s">
        <v>5</v>
      </c>
      <c r="C1271" s="2">
        <f>IFERROR(__xludf.DUMMYFUNCTION("IFERROR(VLOOKUP(A1271, IMPORTRANGE(""https://docs.google.com/spreadsheets/d/1AVX9GT0dgogEBStecCXMMQ29tWz3gBrtNB8yIromXbY/edit?gid=741673867"", ""out1g!A:B""), 2, FALSE), 0)"),98.0)</f>
        <v>98</v>
      </c>
      <c r="D1271" s="2" t="str">
        <f>IFERROR(__xludf.DUMMYFUNCTION("IFERROR(VLOOKUP(A1271, IMPORTRANGE(""https://docs.google.com/spreadsheets/d/1-3Vjw2Cyy-mry5gbC8ypIR3YVGFfEpyFESummAta6sg/edit"", ""Sheet1!B:D""), 2, FALSE), ""Not Found"")"),"soʊ")</f>
        <v>soʊ</v>
      </c>
      <c r="E1271" s="2" t="str">
        <f>IFERROR(__xludf.DUMMYFUNCTION("IFERROR(VLOOKUP(A1271, IMPORTRANGE(""https://docs.google.com/spreadsheets/d/1-3Vjw2Cyy-mry5gbC8ypIR3YVGFfEpyFESummAta6sg/edit"", ""Sheet1!B:D""), 3, FALSE), ""Not Found"")"),"s o ʊ ")</f>
        <v>s o ʊ </v>
      </c>
    </row>
    <row r="1272">
      <c r="A1272" s="1" t="s">
        <v>1275</v>
      </c>
      <c r="B1272" s="1" t="s">
        <v>5</v>
      </c>
      <c r="C1272" s="2">
        <f>IFERROR(__xludf.DUMMYFUNCTION("IFERROR(VLOOKUP(A1272, IMPORTRANGE(""https://docs.google.com/spreadsheets/d/1AVX9GT0dgogEBStecCXMMQ29tWz3gBrtNB8yIromXbY/edit?gid=741673867"", ""out1g!A:B""), 2, FALSE), 0)"),51.0)</f>
        <v>51</v>
      </c>
      <c r="D1272" s="2" t="str">
        <f>IFERROR(__xludf.DUMMYFUNCTION("IFERROR(VLOOKUP(A1272, IMPORTRANGE(""https://docs.google.com/spreadsheets/d/1-3Vjw2Cyy-mry5gbC8ypIR3YVGFfEpyFESummAta6sg/edit"", ""Sheet1!B:D""), 2, FALSE), ""Not Found"")"),"daɪvz")</f>
        <v>daɪvz</v>
      </c>
      <c r="E1272" s="2" t="str">
        <f>IFERROR(__xludf.DUMMYFUNCTION("IFERROR(VLOOKUP(A1272, IMPORTRANGE(""https://docs.google.com/spreadsheets/d/1-3Vjw2Cyy-mry5gbC8ypIR3YVGFfEpyFESummAta6sg/edit"", ""Sheet1!B:D""), 3, FALSE), ""Not Found"")"),"d a ɪ v z ")</f>
        <v>d a ɪ v z </v>
      </c>
    </row>
    <row r="1273">
      <c r="A1273" s="1" t="s">
        <v>1276</v>
      </c>
      <c r="B1273" s="1" t="s">
        <v>5</v>
      </c>
      <c r="C1273" s="2">
        <f>IFERROR(__xludf.DUMMYFUNCTION("IFERROR(VLOOKUP(A1273, IMPORTRANGE(""https://docs.google.com/spreadsheets/d/1AVX9GT0dgogEBStecCXMMQ29tWz3gBrtNB8yIromXbY/edit?gid=741673867"", ""out1g!A:B""), 2, FALSE), 0)"),45.0)</f>
        <v>45</v>
      </c>
      <c r="D1273" s="2" t="str">
        <f>IFERROR(__xludf.DUMMYFUNCTION("IFERROR(VLOOKUP(A1273, IMPORTRANGE(""https://docs.google.com/spreadsheets/d/1-3Vjw2Cyy-mry5gbC8ypIR3YVGFfEpyFESummAta6sg/edit"", ""Sheet1!B:D""), 2, FALSE), ""Not Found"")"),"brɔθ")</f>
        <v>brɔθ</v>
      </c>
      <c r="E1273" s="2" t="str">
        <f>IFERROR(__xludf.DUMMYFUNCTION("IFERROR(VLOOKUP(A1273, IMPORTRANGE(""https://docs.google.com/spreadsheets/d/1-3Vjw2Cyy-mry5gbC8ypIR3YVGFfEpyFESummAta6sg/edit"", ""Sheet1!B:D""), 3, FALSE), ""Not Found"")"),"b r ɔ θ ")</f>
        <v>b r ɔ θ </v>
      </c>
    </row>
    <row r="1274">
      <c r="A1274" s="1" t="s">
        <v>1277</v>
      </c>
      <c r="B1274" s="1" t="s">
        <v>5</v>
      </c>
      <c r="C1274" s="2">
        <f>IFERROR(__xludf.DUMMYFUNCTION("IFERROR(VLOOKUP(A1274, IMPORTRANGE(""https://docs.google.com/spreadsheets/d/1AVX9GT0dgogEBStecCXMMQ29tWz3gBrtNB8yIromXbY/edit?gid=741673867"", ""out1g!A:B""), 2, FALSE), 0)"),1501.0)</f>
        <v>1501</v>
      </c>
      <c r="D1274" s="2" t="str">
        <f>IFERROR(__xludf.DUMMYFUNCTION("IFERROR(VLOOKUP(A1274, IMPORTRANGE(""https://docs.google.com/spreadsheets/d/1-3Vjw2Cyy-mry5gbC8ypIR3YVGFfEpyFESummAta6sg/edit"", ""Sheet1!B:D""), 2, FALSE), ""Not Found"")"),"rəʃən")</f>
        <v>rəʃən</v>
      </c>
      <c r="E1274" s="2" t="str">
        <f>IFERROR(__xludf.DUMMYFUNCTION("IFERROR(VLOOKUP(A1274, IMPORTRANGE(""https://docs.google.com/spreadsheets/d/1-3Vjw2Cyy-mry5gbC8ypIR3YVGFfEpyFESummAta6sg/edit"", ""Sheet1!B:D""), 3, FALSE), ""Not Found"")"),"r ə ʃ ə n ")</f>
        <v>r ə ʃ ə n </v>
      </c>
    </row>
    <row r="1275">
      <c r="A1275" s="1" t="s">
        <v>1278</v>
      </c>
      <c r="B1275" s="1" t="s">
        <v>5</v>
      </c>
      <c r="C1275" s="2">
        <f>IFERROR(__xludf.DUMMYFUNCTION("IFERROR(VLOOKUP(A1275, IMPORTRANGE(""https://docs.google.com/spreadsheets/d/1AVX9GT0dgogEBStecCXMMQ29tWz3gBrtNB8yIromXbY/edit?gid=741673867"", ""out1g!A:B""), 2, FALSE), 0)"),69.0)</f>
        <v>69</v>
      </c>
      <c r="D1275" s="2" t="str">
        <f>IFERROR(__xludf.DUMMYFUNCTION("IFERROR(VLOOKUP(A1275, IMPORTRANGE(""https://docs.google.com/spreadsheets/d/1-3Vjw2Cyy-mry5gbC8ypIR3YVGFfEpyFESummAta6sg/edit"", ""Sheet1!B:D""), 2, FALSE), ""Not Found"")"),"rɪps")</f>
        <v>rɪps</v>
      </c>
      <c r="E1275" s="2" t="str">
        <f>IFERROR(__xludf.DUMMYFUNCTION("IFERROR(VLOOKUP(A1275, IMPORTRANGE(""https://docs.google.com/spreadsheets/d/1-3Vjw2Cyy-mry5gbC8ypIR3YVGFfEpyFESummAta6sg/edit"", ""Sheet1!B:D""), 3, FALSE), ""Not Found"")"),"r ɪ p s ")</f>
        <v>r ɪ p s </v>
      </c>
    </row>
    <row r="1276">
      <c r="A1276" s="1" t="s">
        <v>1279</v>
      </c>
      <c r="B1276" s="1" t="s">
        <v>5</v>
      </c>
      <c r="C1276" s="2">
        <f>IFERROR(__xludf.DUMMYFUNCTION("IFERROR(VLOOKUP(A1276, IMPORTRANGE(""https://docs.google.com/spreadsheets/d/1AVX9GT0dgogEBStecCXMMQ29tWz3gBrtNB8yIromXbY/edit?gid=741673867"", ""out1g!A:B""), 2, FALSE), 0)"),205.0)</f>
        <v>205</v>
      </c>
      <c r="D1276" s="2" t="str">
        <f>IFERROR(__xludf.DUMMYFUNCTION("IFERROR(VLOOKUP(A1276, IMPORTRANGE(""https://docs.google.com/spreadsheets/d/1-3Vjw2Cyy-mry5gbC8ypIR3YVGFfEpyFESummAta6sg/edit"", ""Sheet1!B:D""), 2, FALSE), ""Not Found"")"),"wɪski")</f>
        <v>wɪski</v>
      </c>
      <c r="E1276" s="2" t="str">
        <f>IFERROR(__xludf.DUMMYFUNCTION("IFERROR(VLOOKUP(A1276, IMPORTRANGE(""https://docs.google.com/spreadsheets/d/1-3Vjw2Cyy-mry5gbC8ypIR3YVGFfEpyFESummAta6sg/edit"", ""Sheet1!B:D""), 3, FALSE), ""Not Found"")"),"w ɪ s k i ")</f>
        <v>w ɪ s k i </v>
      </c>
    </row>
    <row r="1277">
      <c r="A1277" s="1" t="s">
        <v>1280</v>
      </c>
      <c r="B1277" s="1" t="s">
        <v>5</v>
      </c>
      <c r="C1277" s="2">
        <f>IFERROR(__xludf.DUMMYFUNCTION("IFERROR(VLOOKUP(A1277, IMPORTRANGE(""https://docs.google.com/spreadsheets/d/1AVX9GT0dgogEBStecCXMMQ29tWz3gBrtNB8yIromXbY/edit?gid=741673867"", ""out1g!A:B""), 2, FALSE), 0)"),446.0)</f>
        <v>446</v>
      </c>
      <c r="D1277" s="2" t="str">
        <f>IFERROR(__xludf.DUMMYFUNCTION("IFERROR(VLOOKUP(A1277, IMPORTRANGE(""https://docs.google.com/spreadsheets/d/1-3Vjw2Cyy-mry5gbC8ypIR3YVGFfEpyFESummAta6sg/edit"", ""Sheet1!B:D""), 2, FALSE), ""Not Found"")"),"swɔr")</f>
        <v>swɔr</v>
      </c>
      <c r="E1277" s="2" t="str">
        <f>IFERROR(__xludf.DUMMYFUNCTION("IFERROR(VLOOKUP(A1277, IMPORTRANGE(""https://docs.google.com/spreadsheets/d/1-3Vjw2Cyy-mry5gbC8ypIR3YVGFfEpyFESummAta6sg/edit"", ""Sheet1!B:D""), 3, FALSE), ""Not Found"")"),"s w ɔ r ")</f>
        <v>s w ɔ r </v>
      </c>
    </row>
    <row r="1278">
      <c r="A1278" s="1" t="s">
        <v>1281</v>
      </c>
      <c r="B1278" s="1" t="s">
        <v>5</v>
      </c>
      <c r="C1278" s="2">
        <f>IFERROR(__xludf.DUMMYFUNCTION("IFERROR(VLOOKUP(A1278, IMPORTRANGE(""https://docs.google.com/spreadsheets/d/1AVX9GT0dgogEBStecCXMMQ29tWz3gBrtNB8yIromXbY/edit?gid=741673867"", ""out1g!A:B""), 2, FALSE), 0)"),822.0)</f>
        <v>822</v>
      </c>
      <c r="D1278" s="2" t="str">
        <f>IFERROR(__xludf.DUMMYFUNCTION("IFERROR(VLOOKUP(A1278, IMPORTRANGE(""https://docs.google.com/spreadsheets/d/1-3Vjw2Cyy-mry5gbC8ypIR3YVGFfEpyFESummAta6sg/edit"", ""Sheet1!B:D""), 2, FALSE), ""Not Found"")"),"wɪski")</f>
        <v>wɪski</v>
      </c>
      <c r="E1278" s="2" t="str">
        <f>IFERROR(__xludf.DUMMYFUNCTION("IFERROR(VLOOKUP(A1278, IMPORTRANGE(""https://docs.google.com/spreadsheets/d/1-3Vjw2Cyy-mry5gbC8ypIR3YVGFfEpyFESummAta6sg/edit"", ""Sheet1!B:D""), 3, FALSE), ""Not Found"")"),"w ɪ s k i ")</f>
        <v>w ɪ s k i </v>
      </c>
    </row>
    <row r="1279">
      <c r="A1279" s="1" t="s">
        <v>1282</v>
      </c>
      <c r="B1279" s="1" t="s">
        <v>5</v>
      </c>
      <c r="C1279" s="2">
        <f>IFERROR(__xludf.DUMMYFUNCTION("IFERROR(VLOOKUP(A1279, IMPORTRANGE(""https://docs.google.com/spreadsheets/d/1AVX9GT0dgogEBStecCXMMQ29tWz3gBrtNB8yIromXbY/edit?gid=741673867"", ""out1g!A:B""), 2, FALSE), 0)"),55.0)</f>
        <v>55</v>
      </c>
      <c r="D1279" s="2" t="str">
        <f>IFERROR(__xludf.DUMMYFUNCTION("IFERROR(VLOOKUP(A1279, IMPORTRANGE(""https://docs.google.com/spreadsheets/d/1-3Vjw2Cyy-mry5gbC8ypIR3YVGFfEpyFESummAta6sg/edit"", ""Sheet1!B:D""), 2, FALSE), ""Not Found"")"),"blik")</f>
        <v>blik</v>
      </c>
      <c r="E1279" s="2" t="str">
        <f>IFERROR(__xludf.DUMMYFUNCTION("IFERROR(VLOOKUP(A1279, IMPORTRANGE(""https://docs.google.com/spreadsheets/d/1-3Vjw2Cyy-mry5gbC8ypIR3YVGFfEpyFESummAta6sg/edit"", ""Sheet1!B:D""), 3, FALSE), ""Not Found"")"),"b l i k ")</f>
        <v>b l i k </v>
      </c>
    </row>
    <row r="1280">
      <c r="A1280" s="1" t="s">
        <v>1283</v>
      </c>
      <c r="B1280" s="1" t="s">
        <v>5</v>
      </c>
      <c r="C1280" s="2">
        <f>IFERROR(__xludf.DUMMYFUNCTION("IFERROR(VLOOKUP(A1280, IMPORTRANGE(""https://docs.google.com/spreadsheets/d/1AVX9GT0dgogEBStecCXMMQ29tWz3gBrtNB8yIromXbY/edit?gid=741673867"", ""out1g!A:B""), 2, FALSE), 0)"),134.0)</f>
        <v>134</v>
      </c>
      <c r="D1280" s="2" t="str">
        <f>IFERROR(__xludf.DUMMYFUNCTION("IFERROR(VLOOKUP(A1280, IMPORTRANGE(""https://docs.google.com/spreadsheets/d/1-3Vjw2Cyy-mry5gbC8ypIR3YVGFfEpyFESummAta6sg/edit"", ""Sheet1!B:D""), 2, FALSE), ""Not Found"")"),"grænd")</f>
        <v>grænd</v>
      </c>
      <c r="E1280" s="2" t="str">
        <f>IFERROR(__xludf.DUMMYFUNCTION("IFERROR(VLOOKUP(A1280, IMPORTRANGE(""https://docs.google.com/spreadsheets/d/1-3Vjw2Cyy-mry5gbC8ypIR3YVGFfEpyFESummAta6sg/edit"", ""Sheet1!B:D""), 3, FALSE), ""Not Found"")"),"g r æ n d ")</f>
        <v>g r æ n d </v>
      </c>
    </row>
    <row r="1281">
      <c r="A1281" s="1" t="s">
        <v>1284</v>
      </c>
      <c r="B1281" s="1" t="s">
        <v>5</v>
      </c>
      <c r="C1281" s="2">
        <f>IFERROR(__xludf.DUMMYFUNCTION("IFERROR(VLOOKUP(A1281, IMPORTRANGE(""https://docs.google.com/spreadsheets/d/1AVX9GT0dgogEBStecCXMMQ29tWz3gBrtNB8yIromXbY/edit?gid=741673867"", ""out1g!A:B""), 2, FALSE), 0)"),68.0)</f>
        <v>68</v>
      </c>
      <c r="D1281" s="2" t="str">
        <f>IFERROR(__xludf.DUMMYFUNCTION("IFERROR(VLOOKUP(A1281, IMPORTRANGE(""https://docs.google.com/spreadsheets/d/1-3Vjw2Cyy-mry5gbC8ypIR3YVGFfEpyFESummAta6sg/edit"", ""Sheet1!B:D""), 2, FALSE), ""Not Found"")"),"hɛnz")</f>
        <v>hɛnz</v>
      </c>
      <c r="E1281" s="2" t="str">
        <f>IFERROR(__xludf.DUMMYFUNCTION("IFERROR(VLOOKUP(A1281, IMPORTRANGE(""https://docs.google.com/spreadsheets/d/1-3Vjw2Cyy-mry5gbC8ypIR3YVGFfEpyFESummAta6sg/edit"", ""Sheet1!B:D""), 3, FALSE), ""Not Found"")"),"h ɛ n z ")</f>
        <v>h ɛ n z </v>
      </c>
    </row>
    <row r="1282">
      <c r="A1282" s="1" t="s">
        <v>1285</v>
      </c>
      <c r="B1282" s="1" t="s">
        <v>5</v>
      </c>
      <c r="C1282" s="2">
        <f>IFERROR(__xludf.DUMMYFUNCTION("IFERROR(VLOOKUP(A1282, IMPORTRANGE(""https://docs.google.com/spreadsheets/d/1AVX9GT0dgogEBStecCXMMQ29tWz3gBrtNB8yIromXbY/edit?gid=741673867"", ""out1g!A:B""), 2, FALSE), 0)"),4596.0)</f>
        <v>4596</v>
      </c>
      <c r="D1282" s="2" t="str">
        <f>IFERROR(__xludf.DUMMYFUNCTION("IFERROR(VLOOKUP(A1282, IMPORTRANGE(""https://docs.google.com/spreadsheets/d/1-3Vjw2Cyy-mry5gbC8ypIR3YVGFfEpyFESummAta6sg/edit"", ""Sheet1!B:D""), 2, FALSE), ""Not Found"")"),"pitər")</f>
        <v>pitər</v>
      </c>
      <c r="E1282" s="2" t="str">
        <f>IFERROR(__xludf.DUMMYFUNCTION("IFERROR(VLOOKUP(A1282, IMPORTRANGE(""https://docs.google.com/spreadsheets/d/1-3Vjw2Cyy-mry5gbC8ypIR3YVGFfEpyFESummAta6sg/edit"", ""Sheet1!B:D""), 3, FALSE), ""Not Found"")"),"p i t ə r ")</f>
        <v>p i t ə r </v>
      </c>
    </row>
    <row r="1283">
      <c r="A1283" s="1" t="s">
        <v>1286</v>
      </c>
      <c r="B1283" s="1" t="s">
        <v>5</v>
      </c>
      <c r="C1283" s="2">
        <f>IFERROR(__xludf.DUMMYFUNCTION("IFERROR(VLOOKUP(A1283, IMPORTRANGE(""https://docs.google.com/spreadsheets/d/1AVX9GT0dgogEBStecCXMMQ29tWz3gBrtNB8yIromXbY/edit?gid=741673867"", ""out1g!A:B""), 2, FALSE), 0)"),227.0)</f>
        <v>227</v>
      </c>
      <c r="D1283" s="2" t="str">
        <f>IFERROR(__xludf.DUMMYFUNCTION("IFERROR(VLOOKUP(A1283, IMPORTRANGE(""https://docs.google.com/spreadsheets/d/1-3Vjw2Cyy-mry5gbC8ypIR3YVGFfEpyFESummAta6sg/edit"", ""Sheet1!B:D""), 2, FALSE), ""Not Found"")"),"pəf")</f>
        <v>pəf</v>
      </c>
      <c r="E1283" s="2" t="str">
        <f>IFERROR(__xludf.DUMMYFUNCTION("IFERROR(VLOOKUP(A1283, IMPORTRANGE(""https://docs.google.com/spreadsheets/d/1-3Vjw2Cyy-mry5gbC8ypIR3YVGFfEpyFESummAta6sg/edit"", ""Sheet1!B:D""), 3, FALSE), ""Not Found"")"),"p ə f ")</f>
        <v>p ə f </v>
      </c>
    </row>
    <row r="1284">
      <c r="A1284" s="1" t="s">
        <v>1287</v>
      </c>
      <c r="B1284" s="1" t="s">
        <v>5</v>
      </c>
      <c r="C1284" s="2">
        <f>IFERROR(__xludf.DUMMYFUNCTION("IFERROR(VLOOKUP(A1284, IMPORTRANGE(""https://docs.google.com/spreadsheets/d/1AVX9GT0dgogEBStecCXMMQ29tWz3gBrtNB8yIromXbY/edit?gid=741673867"", ""out1g!A:B""), 2, FALSE), 0)"),892.0)</f>
        <v>892</v>
      </c>
      <c r="D1284" s="2" t="str">
        <f>IFERROR(__xludf.DUMMYFUNCTION("IFERROR(VLOOKUP(A1284, IMPORTRANGE(""https://docs.google.com/spreadsheets/d/1-3Vjw2Cyy-mry5gbC8ypIR3YVGFfEpyFESummAta6sg/edit"", ""Sheet1!B:D""), 2, FALSE), ""Not Found"")"),"flæg")</f>
        <v>flæg</v>
      </c>
      <c r="E1284" s="2" t="str">
        <f>IFERROR(__xludf.DUMMYFUNCTION("IFERROR(VLOOKUP(A1284, IMPORTRANGE(""https://docs.google.com/spreadsheets/d/1-3Vjw2Cyy-mry5gbC8ypIR3YVGFfEpyFESummAta6sg/edit"", ""Sheet1!B:D""), 3, FALSE), ""Not Found"")"),"f l æ g ")</f>
        <v>f l æ g </v>
      </c>
    </row>
    <row r="1285">
      <c r="A1285" s="1" t="s">
        <v>1288</v>
      </c>
      <c r="B1285" s="1" t="s">
        <v>5</v>
      </c>
      <c r="C1285" s="2">
        <f>IFERROR(__xludf.DUMMYFUNCTION("IFERROR(VLOOKUP(A1285, IMPORTRANGE(""https://docs.google.com/spreadsheets/d/1AVX9GT0dgogEBStecCXMMQ29tWz3gBrtNB8yIromXbY/edit?gid=741673867"", ""out1g!A:B""), 2, FALSE), 0)"),24636.0)</f>
        <v>24636</v>
      </c>
      <c r="D1285" s="2" t="str">
        <f>IFERROR(__xludf.DUMMYFUNCTION("IFERROR(VLOOKUP(A1285, IMPORTRANGE(""https://docs.google.com/spreadsheets/d/1-3Vjw2Cyy-mry5gbC8ypIR3YVGFfEpyFESummAta6sg/edit"", ""Sheet1!B:D""), 2, FALSE), ""Not Found"")"),"kɑr")</f>
        <v>kɑr</v>
      </c>
      <c r="E1285" s="2" t="str">
        <f>IFERROR(__xludf.DUMMYFUNCTION("IFERROR(VLOOKUP(A1285, IMPORTRANGE(""https://docs.google.com/spreadsheets/d/1-3Vjw2Cyy-mry5gbC8ypIR3YVGFfEpyFESummAta6sg/edit"", ""Sheet1!B:D""), 3, FALSE), ""Not Found"")"),"k ɑ r ")</f>
        <v>k ɑ r </v>
      </c>
    </row>
    <row r="1286">
      <c r="A1286" s="1" t="s">
        <v>1289</v>
      </c>
      <c r="B1286" s="1" t="s">
        <v>5</v>
      </c>
      <c r="C1286" s="2">
        <f>IFERROR(__xludf.DUMMYFUNCTION("IFERROR(VLOOKUP(A1286, IMPORTRANGE(""https://docs.google.com/spreadsheets/d/1AVX9GT0dgogEBStecCXMMQ29tWz3gBrtNB8yIromXbY/edit?gid=741673867"", ""out1g!A:B""), 2, FALSE), 0)"),469.0)</f>
        <v>469</v>
      </c>
      <c r="D1286" s="2" t="str">
        <f>IFERROR(__xludf.DUMMYFUNCTION("IFERROR(VLOOKUP(A1286, IMPORTRANGE(""https://docs.google.com/spreadsheets/d/1-3Vjw2Cyy-mry5gbC8ypIR3YVGFfEpyFESummAta6sg/edit"", ""Sheet1!B:D""), 2, FALSE), ""Not Found"")"),"əraɪvz")</f>
        <v>əraɪvz</v>
      </c>
      <c r="E1286" s="2" t="str">
        <f>IFERROR(__xludf.DUMMYFUNCTION("IFERROR(VLOOKUP(A1286, IMPORTRANGE(""https://docs.google.com/spreadsheets/d/1-3Vjw2Cyy-mry5gbC8ypIR3YVGFfEpyFESummAta6sg/edit"", ""Sheet1!B:D""), 3, FALSE), ""Not Found"")"),"ə r a ɪ v z ")</f>
        <v>ə r a ɪ v z </v>
      </c>
    </row>
    <row r="1287">
      <c r="A1287" s="1" t="s">
        <v>1290</v>
      </c>
      <c r="B1287" s="1" t="s">
        <v>5</v>
      </c>
      <c r="C1287" s="2">
        <f>IFERROR(__xludf.DUMMYFUNCTION("IFERROR(VLOOKUP(A1287, IMPORTRANGE(""https://docs.google.com/spreadsheets/d/1AVX9GT0dgogEBStecCXMMQ29tWz3gBrtNB8yIromXbY/edit?gid=741673867"", ""out1g!A:B""), 2, FALSE), 0)"),697.0)</f>
        <v>697</v>
      </c>
      <c r="D1287" s="2" t="str">
        <f>IFERROR(__xludf.DUMMYFUNCTION("IFERROR(VLOOKUP(A1287, IMPORTRANGE(""https://docs.google.com/spreadsheets/d/1-3Vjw2Cyy-mry5gbC8ypIR3YVGFfEpyFESummAta6sg/edit"", ""Sheet1!B:D""), 2, FALSE), ""Not Found"")"),"rɛk")</f>
        <v>rɛk</v>
      </c>
      <c r="E1287" s="2" t="str">
        <f>IFERROR(__xludf.DUMMYFUNCTION("IFERROR(VLOOKUP(A1287, IMPORTRANGE(""https://docs.google.com/spreadsheets/d/1-3Vjw2Cyy-mry5gbC8ypIR3YVGFfEpyFESummAta6sg/edit"", ""Sheet1!B:D""), 3, FALSE), ""Not Found"")"),"r ɛ k ")</f>
        <v>r ɛ k </v>
      </c>
    </row>
    <row r="1288">
      <c r="A1288" s="1" t="s">
        <v>1291</v>
      </c>
      <c r="B1288" s="1" t="s">
        <v>5</v>
      </c>
      <c r="C1288" s="2">
        <f>IFERROR(__xludf.DUMMYFUNCTION("IFERROR(VLOOKUP(A1288, IMPORTRANGE(""https://docs.google.com/spreadsheets/d/1AVX9GT0dgogEBStecCXMMQ29tWz3gBrtNB8yIromXbY/edit?gid=741673867"", ""out1g!A:B""), 2, FALSE), 0)"),331.0)</f>
        <v>331</v>
      </c>
      <c r="D1288" s="2" t="str">
        <f>IFERROR(__xludf.DUMMYFUNCTION("IFERROR(VLOOKUP(A1288, IMPORTRANGE(""https://docs.google.com/spreadsheets/d/1-3Vjw2Cyy-mry5gbC8ypIR3YVGFfEpyFESummAta6sg/edit"", ""Sheet1!B:D""), 2, FALSE), ""Not Found"")"),"stɑrk")</f>
        <v>stɑrk</v>
      </c>
      <c r="E1288" s="2" t="str">
        <f>IFERROR(__xludf.DUMMYFUNCTION("IFERROR(VLOOKUP(A1288, IMPORTRANGE(""https://docs.google.com/spreadsheets/d/1-3Vjw2Cyy-mry5gbC8ypIR3YVGFfEpyFESummAta6sg/edit"", ""Sheet1!B:D""), 3, FALSE), ""Not Found"")"),"s t ɑ r k ")</f>
        <v>s t ɑ r k </v>
      </c>
    </row>
    <row r="1289">
      <c r="A1289" s="1" t="s">
        <v>1292</v>
      </c>
      <c r="B1289" s="1" t="s">
        <v>5</v>
      </c>
      <c r="C1289" s="2">
        <f>IFERROR(__xludf.DUMMYFUNCTION("IFERROR(VLOOKUP(A1289, IMPORTRANGE(""https://docs.google.com/spreadsheets/d/1AVX9GT0dgogEBStecCXMMQ29tWz3gBrtNB8yIromXbY/edit?gid=741673867"", ""out1g!A:B""), 2, FALSE), 0)"),732.0)</f>
        <v>732</v>
      </c>
      <c r="D1289" s="2" t="str">
        <f>IFERROR(__xludf.DUMMYFUNCTION("IFERROR(VLOOKUP(A1289, IMPORTRANGE(""https://docs.google.com/spreadsheets/d/1-3Vjw2Cyy-mry5gbC8ypIR3YVGFfEpyFESummAta6sg/edit"", ""Sheet1!B:D""), 2, FALSE), ""Not Found"")"),"brif")</f>
        <v>brif</v>
      </c>
      <c r="E1289" s="2" t="str">
        <f>IFERROR(__xludf.DUMMYFUNCTION("IFERROR(VLOOKUP(A1289, IMPORTRANGE(""https://docs.google.com/spreadsheets/d/1-3Vjw2Cyy-mry5gbC8ypIR3YVGFfEpyFESummAta6sg/edit"", ""Sheet1!B:D""), 3, FALSE), ""Not Found"")"),"b r i f ")</f>
        <v>b r i f </v>
      </c>
    </row>
    <row r="1290">
      <c r="A1290" s="1" t="s">
        <v>1293</v>
      </c>
      <c r="B1290" s="1" t="s">
        <v>5</v>
      </c>
      <c r="C1290" s="2">
        <f>IFERROR(__xludf.DUMMYFUNCTION("IFERROR(VLOOKUP(A1290, IMPORTRANGE(""https://docs.google.com/spreadsheets/d/1AVX9GT0dgogEBStecCXMMQ29tWz3gBrtNB8yIromXbY/edit?gid=741673867"", ""out1g!A:B""), 2, FALSE), 0)"),117.0)</f>
        <v>117</v>
      </c>
      <c r="D1290" s="2" t="str">
        <f>IFERROR(__xludf.DUMMYFUNCTION("IFERROR(VLOOKUP(A1290, IMPORTRANGE(""https://docs.google.com/spreadsheets/d/1-3Vjw2Cyy-mry5gbC8ypIR3YVGFfEpyFESummAta6sg/edit"", ""Sheet1!B:D""), 2, FALSE), ""Not Found"")"),"piɪŋ")</f>
        <v>piɪŋ</v>
      </c>
      <c r="E1290" s="2" t="str">
        <f>IFERROR(__xludf.DUMMYFUNCTION("IFERROR(VLOOKUP(A1290, IMPORTRANGE(""https://docs.google.com/spreadsheets/d/1-3Vjw2Cyy-mry5gbC8ypIR3YVGFfEpyFESummAta6sg/edit"", ""Sheet1!B:D""), 3, FALSE), ""Not Found"")"),"p i ɪ ŋ ")</f>
        <v>p i ɪ ŋ </v>
      </c>
    </row>
    <row r="1291">
      <c r="A1291" s="1" t="s">
        <v>1294</v>
      </c>
      <c r="B1291" s="1" t="s">
        <v>5</v>
      </c>
      <c r="C1291" s="2">
        <f>IFERROR(__xludf.DUMMYFUNCTION("IFERROR(VLOOKUP(A1291, IMPORTRANGE(""https://docs.google.com/spreadsheets/d/1AVX9GT0dgogEBStecCXMMQ29tWz3gBrtNB8yIromXbY/edit?gid=741673867"", ""out1g!A:B""), 2, FALSE), 0)"),18.0)</f>
        <v>18</v>
      </c>
      <c r="D1291" s="2" t="str">
        <f>IFERROR(__xludf.DUMMYFUNCTION("IFERROR(VLOOKUP(A1291, IMPORTRANGE(""https://docs.google.com/spreadsheets/d/1-3Vjw2Cyy-mry5gbC8ypIR3YVGFfEpyFESummAta6sg/edit"", ""Sheet1!B:D""), 2, FALSE), ""Not Found"")"),"ɪmɪts")</f>
        <v>ɪmɪts</v>
      </c>
      <c r="E1291" s="2" t="str">
        <f>IFERROR(__xludf.DUMMYFUNCTION("IFERROR(VLOOKUP(A1291, IMPORTRANGE(""https://docs.google.com/spreadsheets/d/1-3Vjw2Cyy-mry5gbC8ypIR3YVGFfEpyFESummAta6sg/edit"", ""Sheet1!B:D""), 3, FALSE), ""Not Found"")"),"ɪ m ɪ t s ")</f>
        <v>ɪ m ɪ t s </v>
      </c>
    </row>
    <row r="1292">
      <c r="A1292" s="1" t="s">
        <v>1295</v>
      </c>
      <c r="B1292" s="1" t="s">
        <v>5</v>
      </c>
      <c r="C1292" s="2">
        <f>IFERROR(__xludf.DUMMYFUNCTION("IFERROR(VLOOKUP(A1292, IMPORTRANGE(""https://docs.google.com/spreadsheets/d/1AVX9GT0dgogEBStecCXMMQ29tWz3gBrtNB8yIromXbY/edit?gid=741673867"", ""out1g!A:B""), 2, FALSE), 0)"),158.0)</f>
        <v>158</v>
      </c>
      <c r="D1292" s="2" t="str">
        <f>IFERROR(__xludf.DUMMYFUNCTION("IFERROR(VLOOKUP(A1292, IMPORTRANGE(""https://docs.google.com/spreadsheets/d/1-3Vjw2Cyy-mry5gbC8ypIR3YVGFfEpyFESummAta6sg/edit"", ""Sheet1!B:D""), 2, FALSE), ""Not Found"")"),"taɪɪŋ")</f>
        <v>taɪɪŋ</v>
      </c>
      <c r="E1292" s="2" t="str">
        <f>IFERROR(__xludf.DUMMYFUNCTION("IFERROR(VLOOKUP(A1292, IMPORTRANGE(""https://docs.google.com/spreadsheets/d/1-3Vjw2Cyy-mry5gbC8ypIR3YVGFfEpyFESummAta6sg/edit"", ""Sheet1!B:D""), 3, FALSE), ""Not Found"")"),"t a ɪ ɪ ŋ ")</f>
        <v>t a ɪ ɪ ŋ </v>
      </c>
    </row>
    <row r="1293">
      <c r="A1293" s="1" t="s">
        <v>1296</v>
      </c>
      <c r="B1293" s="1" t="s">
        <v>5</v>
      </c>
      <c r="C1293" s="2">
        <f>IFERROR(__xludf.DUMMYFUNCTION("IFERROR(VLOOKUP(A1293, IMPORTRANGE(""https://docs.google.com/spreadsheets/d/1AVX9GT0dgogEBStecCXMMQ29tWz3gBrtNB8yIromXbY/edit?gid=741673867"", ""out1g!A:B""), 2, FALSE), 0)"),359.0)</f>
        <v>359</v>
      </c>
      <c r="D1293" s="2" t="str">
        <f>IFERROR(__xludf.DUMMYFUNCTION("IFERROR(VLOOKUP(A1293, IMPORTRANGE(""https://docs.google.com/spreadsheets/d/1-3Vjw2Cyy-mry5gbC8ypIR3YVGFfEpyFESummAta6sg/edit"", ""Sheet1!B:D""), 2, FALSE), ""Not Found"")"),"pərsut")</f>
        <v>pərsut</v>
      </c>
      <c r="E1293" s="2" t="str">
        <f>IFERROR(__xludf.DUMMYFUNCTION("IFERROR(VLOOKUP(A1293, IMPORTRANGE(""https://docs.google.com/spreadsheets/d/1-3Vjw2Cyy-mry5gbC8ypIR3YVGFfEpyFESummAta6sg/edit"", ""Sheet1!B:D""), 3, FALSE), ""Not Found"")"),"p ə r s u t ")</f>
        <v>p ə r s u t </v>
      </c>
    </row>
    <row r="1294">
      <c r="A1294" s="1" t="s">
        <v>1297</v>
      </c>
      <c r="B1294" s="1" t="s">
        <v>5</v>
      </c>
      <c r="C1294" s="2">
        <f>IFERROR(__xludf.DUMMYFUNCTION("IFERROR(VLOOKUP(A1294, IMPORTRANGE(""https://docs.google.com/spreadsheets/d/1AVX9GT0dgogEBStecCXMMQ29tWz3gBrtNB8yIromXbY/edit?gid=741673867"", ""out1g!A:B""), 2, FALSE), 0)"),86.0)</f>
        <v>86</v>
      </c>
      <c r="D1294" s="2" t="str">
        <f>IFERROR(__xludf.DUMMYFUNCTION("IFERROR(VLOOKUP(A1294, IMPORTRANGE(""https://docs.google.com/spreadsheets/d/1-3Vjw2Cyy-mry5gbC8ypIR3YVGFfEpyFESummAta6sg/edit"", ""Sheet1!B:D""), 2, FALSE), ""Not Found"")"),"hɑpt")</f>
        <v>hɑpt</v>
      </c>
      <c r="E1294" s="2" t="str">
        <f>IFERROR(__xludf.DUMMYFUNCTION("IFERROR(VLOOKUP(A1294, IMPORTRANGE(""https://docs.google.com/spreadsheets/d/1-3Vjw2Cyy-mry5gbC8ypIR3YVGFfEpyFESummAta6sg/edit"", ""Sheet1!B:D""), 3, FALSE), ""Not Found"")"),"h ɑ p t ")</f>
        <v>h ɑ p t </v>
      </c>
    </row>
    <row r="1295">
      <c r="A1295" s="1" t="s">
        <v>1298</v>
      </c>
      <c r="B1295" s="1" t="s">
        <v>5</v>
      </c>
      <c r="C1295" s="2">
        <f>IFERROR(__xludf.DUMMYFUNCTION("IFERROR(VLOOKUP(A1295, IMPORTRANGE(""https://docs.google.com/spreadsheets/d/1AVX9GT0dgogEBStecCXMMQ29tWz3gBrtNB8yIromXbY/edit?gid=741673867"", ""out1g!A:B""), 2, FALSE), 0)"),2337.0)</f>
        <v>2337</v>
      </c>
      <c r="D1295" s="2" t="str">
        <f>IFERROR(__xludf.DUMMYFUNCTION("IFERROR(VLOOKUP(A1295, IMPORTRANGE(""https://docs.google.com/spreadsheets/d/1-3Vjw2Cyy-mry5gbC8ypIR3YVGFfEpyFESummAta6sg/edit"", ""Sheet1!B:D""), 2, FALSE), ""Not Found"")"),"blaɪnd")</f>
        <v>blaɪnd</v>
      </c>
      <c r="E1295" s="2" t="str">
        <f>IFERROR(__xludf.DUMMYFUNCTION("IFERROR(VLOOKUP(A1295, IMPORTRANGE(""https://docs.google.com/spreadsheets/d/1-3Vjw2Cyy-mry5gbC8ypIR3YVGFfEpyFESummAta6sg/edit"", ""Sheet1!B:D""), 3, FALSE), ""Not Found"")"),"b l a ɪ n d ")</f>
        <v>b l a ɪ n d </v>
      </c>
    </row>
    <row r="1296">
      <c r="A1296" s="1" t="s">
        <v>1299</v>
      </c>
      <c r="B1296" s="1" t="s">
        <v>5</v>
      </c>
      <c r="C1296" s="2">
        <f>IFERROR(__xludf.DUMMYFUNCTION("IFERROR(VLOOKUP(A1296, IMPORTRANGE(""https://docs.google.com/spreadsheets/d/1AVX9GT0dgogEBStecCXMMQ29tWz3gBrtNB8yIromXbY/edit?gid=741673867"", ""out1g!A:B""), 2, FALSE), 0)"),3550.0)</f>
        <v>3550</v>
      </c>
      <c r="D1296" s="2" t="str">
        <f>IFERROR(__xludf.DUMMYFUNCTION("IFERROR(VLOOKUP(A1296, IMPORTRANGE(""https://docs.google.com/spreadsheets/d/1-3Vjw2Cyy-mry5gbC8ypIR3YVGFfEpyFESummAta6sg/edit"", ""Sheet1!B:D""), 2, FALSE), ""Not Found"")"),"pis")</f>
        <v>pis</v>
      </c>
      <c r="E1296" s="2" t="str">
        <f>IFERROR(__xludf.DUMMYFUNCTION("IFERROR(VLOOKUP(A1296, IMPORTRANGE(""https://docs.google.com/spreadsheets/d/1-3Vjw2Cyy-mry5gbC8ypIR3YVGFfEpyFESummAta6sg/edit"", ""Sheet1!B:D""), 3, FALSE), ""Not Found"")"),"p i s ")</f>
        <v>p i s </v>
      </c>
    </row>
    <row r="1297">
      <c r="A1297" s="1" t="s">
        <v>1300</v>
      </c>
      <c r="B1297" s="1" t="s">
        <v>5</v>
      </c>
      <c r="C1297" s="2">
        <f>IFERROR(__xludf.DUMMYFUNCTION("IFERROR(VLOOKUP(A1297, IMPORTRANGE(""https://docs.google.com/spreadsheets/d/1AVX9GT0dgogEBStecCXMMQ29tWz3gBrtNB8yIromXbY/edit?gid=741673867"", ""out1g!A:B""), 2, FALSE), 0)"),111.0)</f>
        <v>111</v>
      </c>
      <c r="D1297" s="2" t="str">
        <f>IFERROR(__xludf.DUMMYFUNCTION("IFERROR(VLOOKUP(A1297, IMPORTRANGE(""https://docs.google.com/spreadsheets/d/1-3Vjw2Cyy-mry5gbC8ypIR3YVGFfEpyFESummAta6sg/edit"", ""Sheet1!B:D""), 2, FALSE), ""Not Found"")"),"næg")</f>
        <v>næg</v>
      </c>
      <c r="E1297" s="2" t="str">
        <f>IFERROR(__xludf.DUMMYFUNCTION("IFERROR(VLOOKUP(A1297, IMPORTRANGE(""https://docs.google.com/spreadsheets/d/1-3Vjw2Cyy-mry5gbC8ypIR3YVGFfEpyFESummAta6sg/edit"", ""Sheet1!B:D""), 3, FALSE), ""Not Found"")"),"n æ g ")</f>
        <v>n æ g </v>
      </c>
    </row>
    <row r="1298">
      <c r="A1298" s="1" t="s">
        <v>1301</v>
      </c>
      <c r="B1298" s="1" t="s">
        <v>5</v>
      </c>
      <c r="C1298" s="2">
        <f>IFERROR(__xludf.DUMMYFUNCTION("IFERROR(VLOOKUP(A1298, IMPORTRANGE(""https://docs.google.com/spreadsheets/d/1AVX9GT0dgogEBStecCXMMQ29tWz3gBrtNB8yIromXbY/edit?gid=741673867"", ""out1g!A:B""), 2, FALSE), 0)"),534.0)</f>
        <v>534</v>
      </c>
      <c r="D1298" s="2" t="str">
        <f>IFERROR(__xludf.DUMMYFUNCTION("IFERROR(VLOOKUP(A1298, IMPORTRANGE(""https://docs.google.com/spreadsheets/d/1-3Vjw2Cyy-mry5gbC8ypIR3YVGFfEpyFESummAta6sg/edit"", ""Sheet1!B:D""), 2, FALSE), ""Not Found"")"),"ʃɛrd")</f>
        <v>ʃɛrd</v>
      </c>
      <c r="E1298" s="2" t="str">
        <f>IFERROR(__xludf.DUMMYFUNCTION("IFERROR(VLOOKUP(A1298, IMPORTRANGE(""https://docs.google.com/spreadsheets/d/1-3Vjw2Cyy-mry5gbC8ypIR3YVGFfEpyFESummAta6sg/edit"", ""Sheet1!B:D""), 3, FALSE), ""Not Found"")"),"ʃ ɛ r d ")</f>
        <v>ʃ ɛ r d </v>
      </c>
    </row>
    <row r="1299">
      <c r="A1299" s="1" t="s">
        <v>1302</v>
      </c>
      <c r="B1299" s="1" t="s">
        <v>5</v>
      </c>
      <c r="C1299" s="2">
        <f>IFERROR(__xludf.DUMMYFUNCTION("IFERROR(VLOOKUP(A1299, IMPORTRANGE(""https://docs.google.com/spreadsheets/d/1AVX9GT0dgogEBStecCXMMQ29tWz3gBrtNB8yIromXbY/edit?gid=741673867"", ""out1g!A:B""), 2, FALSE), 0)"),149.0)</f>
        <v>149</v>
      </c>
      <c r="D1299" s="2" t="str">
        <f>IFERROR(__xludf.DUMMYFUNCTION("IFERROR(VLOOKUP(A1299, IMPORTRANGE(""https://docs.google.com/spreadsheets/d/1-3Vjw2Cyy-mry5gbC8ypIR3YVGFfEpyFESummAta6sg/edit"", ""Sheet1!B:D""), 2, FALSE), ""Not Found"")"),"slɛd")</f>
        <v>slɛd</v>
      </c>
      <c r="E1299" s="2" t="str">
        <f>IFERROR(__xludf.DUMMYFUNCTION("IFERROR(VLOOKUP(A1299, IMPORTRANGE(""https://docs.google.com/spreadsheets/d/1-3Vjw2Cyy-mry5gbC8ypIR3YVGFfEpyFESummAta6sg/edit"", ""Sheet1!B:D""), 3, FALSE), ""Not Found"")"),"s l ɛ d ")</f>
        <v>s l ɛ d </v>
      </c>
    </row>
    <row r="1300">
      <c r="A1300" s="1" t="s">
        <v>1303</v>
      </c>
      <c r="B1300" s="1" t="s">
        <v>5</v>
      </c>
      <c r="C1300" s="2">
        <f>IFERROR(__xludf.DUMMYFUNCTION("IFERROR(VLOOKUP(A1300, IMPORTRANGE(""https://docs.google.com/spreadsheets/d/1AVX9GT0dgogEBStecCXMMQ29tWz3gBrtNB8yIromXbY/edit?gid=741673867"", ""out1g!A:B""), 2, FALSE), 0)"),295.0)</f>
        <v>295</v>
      </c>
      <c r="D1300" s="2" t="str">
        <f>IFERROR(__xludf.DUMMYFUNCTION("IFERROR(VLOOKUP(A1300, IMPORTRANGE(""https://docs.google.com/spreadsheets/d/1-3Vjw2Cyy-mry5gbC8ypIR3YVGFfEpyFESummAta6sg/edit"", ""Sheet1!B:D""), 2, FALSE), ""Not Found"")"),"strik")</f>
        <v>strik</v>
      </c>
      <c r="E1300" s="2" t="str">
        <f>IFERROR(__xludf.DUMMYFUNCTION("IFERROR(VLOOKUP(A1300, IMPORTRANGE(""https://docs.google.com/spreadsheets/d/1-3Vjw2Cyy-mry5gbC8ypIR3YVGFfEpyFESummAta6sg/edit"", ""Sheet1!B:D""), 3, FALSE), ""Not Found"")"),"s t r i k ")</f>
        <v>s t r i k </v>
      </c>
    </row>
    <row r="1301">
      <c r="A1301" s="1" t="s">
        <v>1304</v>
      </c>
      <c r="B1301" s="1" t="s">
        <v>5</v>
      </c>
      <c r="C1301" s="2">
        <f>IFERROR(__xludf.DUMMYFUNCTION("IFERROR(VLOOKUP(A1301, IMPORTRANGE(""https://docs.google.com/spreadsheets/d/1AVX9GT0dgogEBStecCXMMQ29tWz3gBrtNB8yIromXbY/edit?gid=741673867"", ""out1g!A:B""), 2, FALSE), 0)"),168631.0)</f>
        <v>168631</v>
      </c>
      <c r="D1301" s="2" t="str">
        <f>IFERROR(__xludf.DUMMYFUNCTION("IFERROR(VLOOKUP(A1301, IMPORTRANGE(""https://docs.google.com/spreadsheets/d/1-3Vjw2Cyy-mry5gbC8ypIR3YVGFfEpyFESummAta6sg/edit"", ""Sheet1!B:D""), 2, FALSE), ""Not Found"")"),"gɑt")</f>
        <v>gɑt</v>
      </c>
      <c r="E1301" s="2" t="str">
        <f>IFERROR(__xludf.DUMMYFUNCTION("IFERROR(VLOOKUP(A1301, IMPORTRANGE(""https://docs.google.com/spreadsheets/d/1-3Vjw2Cyy-mry5gbC8ypIR3YVGFfEpyFESummAta6sg/edit"", ""Sheet1!B:D""), 3, FALSE), ""Not Found"")"),"g ɑ t ")</f>
        <v>g ɑ t </v>
      </c>
    </row>
    <row r="1302">
      <c r="A1302" s="1" t="s">
        <v>1305</v>
      </c>
      <c r="B1302" s="1" t="s">
        <v>5</v>
      </c>
      <c r="C1302" s="2">
        <f>IFERROR(__xludf.DUMMYFUNCTION("IFERROR(VLOOKUP(A1302, IMPORTRANGE(""https://docs.google.com/spreadsheets/d/1AVX9GT0dgogEBStecCXMMQ29tWz3gBrtNB8yIromXbY/edit?gid=741673867"", ""out1g!A:B""), 2, FALSE), 0)"),55.0)</f>
        <v>55</v>
      </c>
      <c r="D1302" s="2" t="str">
        <f>IFERROR(__xludf.DUMMYFUNCTION("IFERROR(VLOOKUP(A1302, IMPORTRANGE(""https://docs.google.com/spreadsheets/d/1-3Vjw2Cyy-mry5gbC8ypIR3YVGFfEpyFESummAta6sg/edit"", ""Sheet1!B:D""), 2, FALSE), ""Not Found"")"),"nin")</f>
        <v>nin</v>
      </c>
      <c r="E1302" s="2" t="str">
        <f>IFERROR(__xludf.DUMMYFUNCTION("IFERROR(VLOOKUP(A1302, IMPORTRANGE(""https://docs.google.com/spreadsheets/d/1-3Vjw2Cyy-mry5gbC8ypIR3YVGFfEpyFESummAta6sg/edit"", ""Sheet1!B:D""), 3, FALSE), ""Not Found"")"),"n i n ")</f>
        <v>n i n </v>
      </c>
    </row>
    <row r="1303">
      <c r="A1303" s="1" t="s">
        <v>1306</v>
      </c>
      <c r="B1303" s="1" t="s">
        <v>5</v>
      </c>
      <c r="C1303" s="2">
        <f>IFERROR(__xludf.DUMMYFUNCTION("IFERROR(VLOOKUP(A1303, IMPORTRANGE(""https://docs.google.com/spreadsheets/d/1AVX9GT0dgogEBStecCXMMQ29tWz3gBrtNB8yIromXbY/edit?gid=741673867"", ""out1g!A:B""), 2, FALSE), 0)"),62.0)</f>
        <v>62</v>
      </c>
      <c r="D1303" s="2" t="str">
        <f>IFERROR(__xludf.DUMMYFUNCTION("IFERROR(VLOOKUP(A1303, IMPORTRANGE(""https://docs.google.com/spreadsheets/d/1-3Vjw2Cyy-mry5gbC8ypIR3YVGFfEpyFESummAta6sg/edit"", ""Sheet1!B:D""), 2, FALSE), ""Not Found"")"),"rɪŋ")</f>
        <v>rɪŋ</v>
      </c>
      <c r="E1303" s="2" t="str">
        <f>IFERROR(__xludf.DUMMYFUNCTION("IFERROR(VLOOKUP(A1303, IMPORTRANGE(""https://docs.google.com/spreadsheets/d/1-3Vjw2Cyy-mry5gbC8ypIR3YVGFfEpyFESummAta6sg/edit"", ""Sheet1!B:D""), 3, FALSE), ""Not Found"")"),"r ɪ ŋ ")</f>
        <v>r ɪ ŋ </v>
      </c>
    </row>
    <row r="1304">
      <c r="A1304" s="1" t="s">
        <v>1307</v>
      </c>
      <c r="B1304" s="1" t="s">
        <v>5</v>
      </c>
      <c r="C1304" s="2">
        <f>IFERROR(__xludf.DUMMYFUNCTION("IFERROR(VLOOKUP(A1304, IMPORTRANGE(""https://docs.google.com/spreadsheets/d/1AVX9GT0dgogEBStecCXMMQ29tWz3gBrtNB8yIromXbY/edit?gid=741673867"", ""out1g!A:B""), 2, FALSE), 0)"),87.0)</f>
        <v>87</v>
      </c>
      <c r="D1304" s="2" t="str">
        <f>IFERROR(__xludf.DUMMYFUNCTION("IFERROR(VLOOKUP(A1304, IMPORTRANGE(""https://docs.google.com/spreadsheets/d/1-3Vjw2Cyy-mry5gbC8ypIR3YVGFfEpyFESummAta6sg/edit"", ""Sheet1!B:D""), 2, FALSE), ""Not Found"")"),"læks")</f>
        <v>læks</v>
      </c>
      <c r="E1304" s="2" t="str">
        <f>IFERROR(__xludf.DUMMYFUNCTION("IFERROR(VLOOKUP(A1304, IMPORTRANGE(""https://docs.google.com/spreadsheets/d/1-3Vjw2Cyy-mry5gbC8ypIR3YVGFfEpyFESummAta6sg/edit"", ""Sheet1!B:D""), 3, FALSE), ""Not Found"")"),"l æ k s ")</f>
        <v>l æ k s </v>
      </c>
    </row>
    <row r="1305">
      <c r="A1305" s="1" t="s">
        <v>1308</v>
      </c>
      <c r="B1305" s="1" t="s">
        <v>5</v>
      </c>
      <c r="C1305" s="2">
        <f>IFERROR(__xludf.DUMMYFUNCTION("IFERROR(VLOOKUP(A1305, IMPORTRANGE(""https://docs.google.com/spreadsheets/d/1AVX9GT0dgogEBStecCXMMQ29tWz3gBrtNB8yIromXbY/edit?gid=741673867"", ""out1g!A:B""), 2, FALSE), 0)"),281.0)</f>
        <v>281</v>
      </c>
      <c r="D1305" s="2" t="str">
        <f>IFERROR(__xludf.DUMMYFUNCTION("IFERROR(VLOOKUP(A1305, IMPORTRANGE(""https://docs.google.com/spreadsheets/d/1-3Vjw2Cyy-mry5gbC8ypIR3YVGFfEpyFESummAta6sg/edit"", ""Sheet1!B:D""), 2, FALSE), ""Not Found"")"),"blum")</f>
        <v>blum</v>
      </c>
      <c r="E1305" s="2" t="str">
        <f>IFERROR(__xludf.DUMMYFUNCTION("IFERROR(VLOOKUP(A1305, IMPORTRANGE(""https://docs.google.com/spreadsheets/d/1-3Vjw2Cyy-mry5gbC8ypIR3YVGFfEpyFESummAta6sg/edit"", ""Sheet1!B:D""), 3, FALSE), ""Not Found"")"),"b l u m ")</f>
        <v>b l u m </v>
      </c>
    </row>
    <row r="1306">
      <c r="A1306" s="1" t="s">
        <v>1309</v>
      </c>
      <c r="B1306" s="1" t="s">
        <v>5</v>
      </c>
      <c r="C1306" s="2">
        <f>IFERROR(__xludf.DUMMYFUNCTION("IFERROR(VLOOKUP(A1306, IMPORTRANGE(""https://docs.google.com/spreadsheets/d/1AVX9GT0dgogEBStecCXMMQ29tWz3gBrtNB8yIromXbY/edit?gid=741673867"", ""out1g!A:B""), 2, FALSE), 0)"),2400.0)</f>
        <v>2400</v>
      </c>
      <c r="D1306" s="2" t="str">
        <f>IFERROR(__xludf.DUMMYFUNCTION("IFERROR(VLOOKUP(A1306, IMPORTRANGE(""https://docs.google.com/spreadsheets/d/1-3Vjw2Cyy-mry5gbC8ypIR3YVGFfEpyFESummAta6sg/edit"", ""Sheet1!B:D""), 2, FALSE), ""Not Found"")"),"mɪʃən")</f>
        <v>mɪʃən</v>
      </c>
      <c r="E1306" s="2" t="str">
        <f>IFERROR(__xludf.DUMMYFUNCTION("IFERROR(VLOOKUP(A1306, IMPORTRANGE(""https://docs.google.com/spreadsheets/d/1-3Vjw2Cyy-mry5gbC8ypIR3YVGFfEpyFESummAta6sg/edit"", ""Sheet1!B:D""), 3, FALSE), ""Not Found"")"),"m ɪ ʃ ə n ")</f>
        <v>m ɪ ʃ ə n </v>
      </c>
    </row>
    <row r="1307">
      <c r="A1307" s="1" t="s">
        <v>1310</v>
      </c>
      <c r="B1307" s="1" t="s">
        <v>5</v>
      </c>
      <c r="C1307" s="2">
        <f>IFERROR(__xludf.DUMMYFUNCTION("IFERROR(VLOOKUP(A1307, IMPORTRANGE(""https://docs.google.com/spreadsheets/d/1AVX9GT0dgogEBStecCXMMQ29tWz3gBrtNB8yIromXbY/edit?gid=741673867"", ""out1g!A:B""), 2, FALSE), 0)"),306.0)</f>
        <v>306</v>
      </c>
      <c r="D1307" s="2" t="str">
        <f>IFERROR(__xludf.DUMMYFUNCTION("IFERROR(VLOOKUP(A1307, IMPORTRANGE(""https://docs.google.com/spreadsheets/d/1-3Vjw2Cyy-mry5gbC8ypIR3YVGFfEpyFESummAta6sg/edit"", ""Sheet1!B:D""), 2, FALSE), ""Not Found"")"),"dɑli")</f>
        <v>dɑli</v>
      </c>
      <c r="E1307" s="2" t="str">
        <f>IFERROR(__xludf.DUMMYFUNCTION("IFERROR(VLOOKUP(A1307, IMPORTRANGE(""https://docs.google.com/spreadsheets/d/1-3Vjw2Cyy-mry5gbC8ypIR3YVGFfEpyFESummAta6sg/edit"", ""Sheet1!B:D""), 3, FALSE), ""Not Found"")"),"d ɑ l i ")</f>
        <v>d ɑ l i </v>
      </c>
    </row>
    <row r="1308">
      <c r="A1308" s="1" t="s">
        <v>1311</v>
      </c>
      <c r="B1308" s="1" t="s">
        <v>5</v>
      </c>
      <c r="C1308" s="2">
        <f>IFERROR(__xludf.DUMMYFUNCTION("IFERROR(VLOOKUP(A1308, IMPORTRANGE(""https://docs.google.com/spreadsheets/d/1AVX9GT0dgogEBStecCXMMQ29tWz3gBrtNB8yIromXbY/edit?gid=741673867"", ""out1g!A:B""), 2, FALSE), 0)"),381.0)</f>
        <v>381</v>
      </c>
      <c r="D1308" s="2" t="str">
        <f>IFERROR(__xludf.DUMMYFUNCTION("IFERROR(VLOOKUP(A1308, IMPORTRANGE(""https://docs.google.com/spreadsheets/d/1-3Vjw2Cyy-mry5gbC8ypIR3YVGFfEpyFESummAta6sg/edit"", ""Sheet1!B:D""), 2, FALSE), ""Not Found"")"),"sɪŋz")</f>
        <v>sɪŋz</v>
      </c>
      <c r="E1308" s="2" t="str">
        <f>IFERROR(__xludf.DUMMYFUNCTION("IFERROR(VLOOKUP(A1308, IMPORTRANGE(""https://docs.google.com/spreadsheets/d/1-3Vjw2Cyy-mry5gbC8ypIR3YVGFfEpyFESummAta6sg/edit"", ""Sheet1!B:D""), 3, FALSE), ""Not Found"")"),"s ɪ ŋ z ")</f>
        <v>s ɪ ŋ z </v>
      </c>
    </row>
    <row r="1309">
      <c r="A1309" s="1" t="s">
        <v>1312</v>
      </c>
      <c r="B1309" s="1" t="s">
        <v>5</v>
      </c>
      <c r="C1309" s="2">
        <f>IFERROR(__xludf.DUMMYFUNCTION("IFERROR(VLOOKUP(A1309, IMPORTRANGE(""https://docs.google.com/spreadsheets/d/1AVX9GT0dgogEBStecCXMMQ29tWz3gBrtNB8yIromXbY/edit?gid=741673867"", ""out1g!A:B""), 2, FALSE), 0)"),44.0)</f>
        <v>44</v>
      </c>
      <c r="D1309" s="2" t="str">
        <f>IFERROR(__xludf.DUMMYFUNCTION("IFERROR(VLOOKUP(A1309, IMPORTRANGE(""https://docs.google.com/spreadsheets/d/1-3Vjw2Cyy-mry5gbC8ypIR3YVGFfEpyFESummAta6sg/edit"", ""Sheet1!B:D""), 2, FALSE), ""Not Found"")"),"ʃemd")</f>
        <v>ʃemd</v>
      </c>
      <c r="E1309" s="2" t="str">
        <f>IFERROR(__xludf.DUMMYFUNCTION("IFERROR(VLOOKUP(A1309, IMPORTRANGE(""https://docs.google.com/spreadsheets/d/1-3Vjw2Cyy-mry5gbC8ypIR3YVGFfEpyFESummAta6sg/edit"", ""Sheet1!B:D""), 3, FALSE), ""Not Found"")"),"ʃ e m d ")</f>
        <v>ʃ e m d </v>
      </c>
    </row>
    <row r="1310">
      <c r="A1310" s="1" t="s">
        <v>1313</v>
      </c>
      <c r="B1310" s="1" t="s">
        <v>5</v>
      </c>
      <c r="C1310" s="2">
        <f>IFERROR(__xludf.DUMMYFUNCTION("IFERROR(VLOOKUP(A1310, IMPORTRANGE(""https://docs.google.com/spreadsheets/d/1AVX9GT0dgogEBStecCXMMQ29tWz3gBrtNB8yIromXbY/edit?gid=741673867"", ""out1g!A:B""), 2, FALSE), 0)"),47.0)</f>
        <v>47</v>
      </c>
      <c r="D1310" s="2" t="str">
        <f>IFERROR(__xludf.DUMMYFUNCTION("IFERROR(VLOOKUP(A1310, IMPORTRANGE(""https://docs.google.com/spreadsheets/d/1-3Vjw2Cyy-mry5gbC8ypIR3YVGFfEpyFESummAta6sg/edit"", ""Sheet1!B:D""), 2, FALSE), ""Not Found"")"),"hez")</f>
        <v>hez</v>
      </c>
      <c r="E1310" s="2" t="str">
        <f>IFERROR(__xludf.DUMMYFUNCTION("IFERROR(VLOOKUP(A1310, IMPORTRANGE(""https://docs.google.com/spreadsheets/d/1-3Vjw2Cyy-mry5gbC8ypIR3YVGFfEpyFESummAta6sg/edit"", ""Sheet1!B:D""), 3, FALSE), ""Not Found"")"),"h e z ")</f>
        <v>h e z </v>
      </c>
    </row>
    <row r="1311">
      <c r="A1311" s="1" t="s">
        <v>1314</v>
      </c>
      <c r="B1311" s="1" t="s">
        <v>5</v>
      </c>
      <c r="C1311" s="2">
        <f>IFERROR(__xludf.DUMMYFUNCTION("IFERROR(VLOOKUP(A1311, IMPORTRANGE(""https://docs.google.com/spreadsheets/d/1AVX9GT0dgogEBStecCXMMQ29tWz3gBrtNB8yIromXbY/edit?gid=741673867"", ""out1g!A:B""), 2, FALSE), 0)"),52.0)</f>
        <v>52</v>
      </c>
      <c r="D1311" s="2" t="str">
        <f>IFERROR(__xludf.DUMMYFUNCTION("IFERROR(VLOOKUP(A1311, IMPORTRANGE(""https://docs.google.com/spreadsheets/d/1-3Vjw2Cyy-mry5gbC8ypIR3YVGFfEpyFESummAta6sg/edit"", ""Sheet1!B:D""), 2, FALSE), ""Not Found"")"),"klæsp")</f>
        <v>klæsp</v>
      </c>
      <c r="E1311" s="2" t="str">
        <f>IFERROR(__xludf.DUMMYFUNCTION("IFERROR(VLOOKUP(A1311, IMPORTRANGE(""https://docs.google.com/spreadsheets/d/1-3Vjw2Cyy-mry5gbC8ypIR3YVGFfEpyFESummAta6sg/edit"", ""Sheet1!B:D""), 3, FALSE), ""Not Found"")"),"k l æ s p ")</f>
        <v>k l æ s p </v>
      </c>
    </row>
    <row r="1312">
      <c r="A1312" s="1" t="s">
        <v>1315</v>
      </c>
      <c r="B1312" s="1" t="s">
        <v>5</v>
      </c>
      <c r="C1312" s="2">
        <f>IFERROR(__xludf.DUMMYFUNCTION("IFERROR(VLOOKUP(A1312, IMPORTRANGE(""https://docs.google.com/spreadsheets/d/1AVX9GT0dgogEBStecCXMMQ29tWz3gBrtNB8yIromXbY/edit?gid=741673867"", ""out1g!A:B""), 2, FALSE), 0)"),124.0)</f>
        <v>124</v>
      </c>
      <c r="D1312" s="2" t="str">
        <f>IFERROR(__xludf.DUMMYFUNCTION("IFERROR(VLOOKUP(A1312, IMPORTRANGE(""https://docs.google.com/spreadsheets/d/1-3Vjw2Cyy-mry5gbC8ypIR3YVGFfEpyFESummAta6sg/edit"", ""Sheet1!B:D""), 2, FALSE), ""Not Found"")"),"taɪər")</f>
        <v>taɪər</v>
      </c>
      <c r="E1312" s="2" t="str">
        <f>IFERROR(__xludf.DUMMYFUNCTION("IFERROR(VLOOKUP(A1312, IMPORTRANGE(""https://docs.google.com/spreadsheets/d/1-3Vjw2Cyy-mry5gbC8ypIR3YVGFfEpyFESummAta6sg/edit"", ""Sheet1!B:D""), 3, FALSE), ""Not Found"")"),"t a ɪ ə r ")</f>
        <v>t a ɪ ə r </v>
      </c>
    </row>
    <row r="1313">
      <c r="A1313" s="1" t="s">
        <v>1316</v>
      </c>
      <c r="B1313" s="1" t="s">
        <v>5</v>
      </c>
      <c r="C1313" s="2">
        <f>IFERROR(__xludf.DUMMYFUNCTION("IFERROR(VLOOKUP(A1313, IMPORTRANGE(""https://docs.google.com/spreadsheets/d/1AVX9GT0dgogEBStecCXMMQ29tWz3gBrtNB8yIromXbY/edit?gid=741673867"", ""out1g!A:B""), 2, FALSE), 0)"),60.0)</f>
        <v>60</v>
      </c>
      <c r="D1313" s="2" t="str">
        <f>IFERROR(__xludf.DUMMYFUNCTION("IFERROR(VLOOKUP(A1313, IMPORTRANGE(""https://docs.google.com/spreadsheets/d/1-3Vjw2Cyy-mry5gbC8ypIR3YVGFfEpyFESummAta6sg/edit"", ""Sheet1!B:D""), 2, FALSE), ""Not Found"")"),"ləʃ")</f>
        <v>ləʃ</v>
      </c>
      <c r="E1313" s="2" t="str">
        <f>IFERROR(__xludf.DUMMYFUNCTION("IFERROR(VLOOKUP(A1313, IMPORTRANGE(""https://docs.google.com/spreadsheets/d/1-3Vjw2Cyy-mry5gbC8ypIR3YVGFfEpyFESummAta6sg/edit"", ""Sheet1!B:D""), 3, FALSE), ""Not Found"")"),"l ə ʃ ")</f>
        <v>l ə ʃ </v>
      </c>
    </row>
    <row r="1314">
      <c r="A1314" s="1" t="s">
        <v>1317</v>
      </c>
      <c r="B1314" s="1" t="s">
        <v>5</v>
      </c>
      <c r="C1314" s="2">
        <f>IFERROR(__xludf.DUMMYFUNCTION("IFERROR(VLOOKUP(A1314, IMPORTRANGE(""https://docs.google.com/spreadsheets/d/1AVX9GT0dgogEBStecCXMMQ29tWz3gBrtNB8yIromXbY/edit?gid=741673867"", ""out1g!A:B""), 2, FALSE), 0)"),65.0)</f>
        <v>65</v>
      </c>
      <c r="D1314" s="2" t="str">
        <f>IFERROR(__xludf.DUMMYFUNCTION("IFERROR(VLOOKUP(A1314, IMPORTRANGE(""https://docs.google.com/spreadsheets/d/1-3Vjw2Cyy-mry5gbC8ypIR3YVGFfEpyFESummAta6sg/edit"", ""Sheet1!B:D""), 2, FALSE), ""Not Found"")"),"gɑn")</f>
        <v>gɑn</v>
      </c>
      <c r="E1314" s="2" t="str">
        <f>IFERROR(__xludf.DUMMYFUNCTION("IFERROR(VLOOKUP(A1314, IMPORTRANGE(""https://docs.google.com/spreadsheets/d/1-3Vjw2Cyy-mry5gbC8ypIR3YVGFfEpyFESummAta6sg/edit"", ""Sheet1!B:D""), 3, FALSE), ""Not Found"")"),"g ɑ n ")</f>
        <v>g ɑ n </v>
      </c>
    </row>
    <row r="1315">
      <c r="A1315" s="1" t="s">
        <v>1318</v>
      </c>
      <c r="B1315" s="1" t="s">
        <v>5</v>
      </c>
      <c r="C1315" s="2">
        <f>IFERROR(__xludf.DUMMYFUNCTION("IFERROR(VLOOKUP(A1315, IMPORTRANGE(""https://docs.google.com/spreadsheets/d/1AVX9GT0dgogEBStecCXMMQ29tWz3gBrtNB8yIromXbY/edit?gid=741673867"", ""out1g!A:B""), 2, FALSE), 0)"),1408.0)</f>
        <v>1408</v>
      </c>
      <c r="D1315" s="2" t="str">
        <f>IFERROR(__xludf.DUMMYFUNCTION("IFERROR(VLOOKUP(A1315, IMPORTRANGE(""https://docs.google.com/spreadsheets/d/1-3Vjw2Cyy-mry5gbC8ypIR3YVGFfEpyFESummAta6sg/edit"", ""Sheet1!B:D""), 2, FALSE), ""Not Found"")"),"plænt")</f>
        <v>plænt</v>
      </c>
      <c r="E1315" s="2" t="str">
        <f>IFERROR(__xludf.DUMMYFUNCTION("IFERROR(VLOOKUP(A1315, IMPORTRANGE(""https://docs.google.com/spreadsheets/d/1-3Vjw2Cyy-mry5gbC8ypIR3YVGFfEpyFESummAta6sg/edit"", ""Sheet1!B:D""), 3, FALSE), ""Not Found"")"),"p l æ n t ")</f>
        <v>p l æ n t </v>
      </c>
    </row>
    <row r="1316">
      <c r="A1316" s="1" t="s">
        <v>1319</v>
      </c>
      <c r="B1316" s="1" t="s">
        <v>5</v>
      </c>
      <c r="C1316" s="2">
        <f>IFERROR(__xludf.DUMMYFUNCTION("IFERROR(VLOOKUP(A1316, IMPORTRANGE(""https://docs.google.com/spreadsheets/d/1AVX9GT0dgogEBStecCXMMQ29tWz3gBrtNB8yIromXbY/edit?gid=741673867"", ""out1g!A:B""), 2, FALSE), 0)"),1411.0)</f>
        <v>1411</v>
      </c>
      <c r="D1316" s="2" t="str">
        <f>IFERROR(__xludf.DUMMYFUNCTION("IFERROR(VLOOKUP(A1316, IMPORTRANGE(""https://docs.google.com/spreadsheets/d/1-3Vjw2Cyy-mry5gbC8ypIR3YVGFfEpyFESummAta6sg/edit"", ""Sheet1!B:D""), 2, FALSE), ""Not Found"")"),"praɪd")</f>
        <v>praɪd</v>
      </c>
      <c r="E1316" s="2" t="str">
        <f>IFERROR(__xludf.DUMMYFUNCTION("IFERROR(VLOOKUP(A1316, IMPORTRANGE(""https://docs.google.com/spreadsheets/d/1-3Vjw2Cyy-mry5gbC8ypIR3YVGFfEpyFESummAta6sg/edit"", ""Sheet1!B:D""), 3, FALSE), ""Not Found"")"),"p r a ɪ d ")</f>
        <v>p r a ɪ d </v>
      </c>
    </row>
    <row r="1317">
      <c r="A1317" s="1" t="s">
        <v>1320</v>
      </c>
      <c r="B1317" s="1" t="s">
        <v>5</v>
      </c>
      <c r="C1317" s="2">
        <f>IFERROR(__xludf.DUMMYFUNCTION("IFERROR(VLOOKUP(A1317, IMPORTRANGE(""https://docs.google.com/spreadsheets/d/1AVX9GT0dgogEBStecCXMMQ29tWz3gBrtNB8yIromXbY/edit?gid=741673867"", ""out1g!A:B""), 2, FALSE), 0)"),70.0)</f>
        <v>70</v>
      </c>
      <c r="D1317" s="2" t="str">
        <f>IFERROR(__xludf.DUMMYFUNCTION("IFERROR(VLOOKUP(A1317, IMPORTRANGE(""https://docs.google.com/spreadsheets/d/1-3Vjw2Cyy-mry5gbC8ypIR3YVGFfEpyFESummAta6sg/edit"", ""Sheet1!B:D""), 2, FALSE), ""Not Found"")"),"tʊtsi")</f>
        <v>tʊtsi</v>
      </c>
      <c r="E1317" s="2" t="str">
        <f>IFERROR(__xludf.DUMMYFUNCTION("IFERROR(VLOOKUP(A1317, IMPORTRANGE(""https://docs.google.com/spreadsheets/d/1-3Vjw2Cyy-mry5gbC8ypIR3YVGFfEpyFESummAta6sg/edit"", ""Sheet1!B:D""), 3, FALSE), ""Not Found"")"),"t ʊ t s i ")</f>
        <v>t ʊ t s i </v>
      </c>
    </row>
    <row r="1318">
      <c r="A1318" s="1" t="s">
        <v>1321</v>
      </c>
      <c r="B1318" s="1" t="s">
        <v>5</v>
      </c>
      <c r="C1318" s="2">
        <f>IFERROR(__xludf.DUMMYFUNCTION("IFERROR(VLOOKUP(A1318, IMPORTRANGE(""https://docs.google.com/spreadsheets/d/1AVX9GT0dgogEBStecCXMMQ29tWz3gBrtNB8yIromXbY/edit?gid=741673867"", ""out1g!A:B""), 2, FALSE), 0)"),51.0)</f>
        <v>51</v>
      </c>
      <c r="D1318" s="2" t="str">
        <f>IFERROR(__xludf.DUMMYFUNCTION("IFERROR(VLOOKUP(A1318, IMPORTRANGE(""https://docs.google.com/spreadsheets/d/1-3Vjw2Cyy-mry5gbC8ypIR3YVGFfEpyFESummAta6sg/edit"", ""Sheet1!B:D""), 2, FALSE), ""Not Found"")"),"stɛmz")</f>
        <v>stɛmz</v>
      </c>
      <c r="E1318" s="2" t="str">
        <f>IFERROR(__xludf.DUMMYFUNCTION("IFERROR(VLOOKUP(A1318, IMPORTRANGE(""https://docs.google.com/spreadsheets/d/1-3Vjw2Cyy-mry5gbC8ypIR3YVGFfEpyFESummAta6sg/edit"", ""Sheet1!B:D""), 3, FALSE), ""Not Found"")"),"s t ɛ m z ")</f>
        <v>s t ɛ m z </v>
      </c>
    </row>
    <row r="1319">
      <c r="A1319" s="1" t="s">
        <v>1322</v>
      </c>
      <c r="B1319" s="1" t="s">
        <v>5</v>
      </c>
      <c r="C1319" s="2">
        <f>IFERROR(__xludf.DUMMYFUNCTION("IFERROR(VLOOKUP(A1319, IMPORTRANGE(""https://docs.google.com/spreadsheets/d/1AVX9GT0dgogEBStecCXMMQ29tWz3gBrtNB8yIromXbY/edit?gid=741673867"", ""out1g!A:B""), 2, FALSE), 0)"),106.0)</f>
        <v>106</v>
      </c>
      <c r="D1319" s="2" t="str">
        <f>IFERROR(__xludf.DUMMYFUNCTION("IFERROR(VLOOKUP(A1319, IMPORTRANGE(""https://docs.google.com/spreadsheets/d/1-3Vjw2Cyy-mry5gbC8ypIR3YVGFfEpyFESummAta6sg/edit"", ""Sheet1!B:D""), 2, FALSE), ""Not Found"")"),"trɛnd")</f>
        <v>trɛnd</v>
      </c>
      <c r="E1319" s="2" t="str">
        <f>IFERROR(__xludf.DUMMYFUNCTION("IFERROR(VLOOKUP(A1319, IMPORTRANGE(""https://docs.google.com/spreadsheets/d/1-3Vjw2Cyy-mry5gbC8ypIR3YVGFfEpyFESummAta6sg/edit"", ""Sheet1!B:D""), 3, FALSE), ""Not Found"")"),"t r ɛ n d ")</f>
        <v>t r ɛ n d </v>
      </c>
    </row>
    <row r="1320">
      <c r="A1320" s="1" t="s">
        <v>1323</v>
      </c>
      <c r="B1320" s="1" t="s">
        <v>5</v>
      </c>
      <c r="C1320" s="2">
        <f>IFERROR(__xludf.DUMMYFUNCTION("IFERROR(VLOOKUP(A1320, IMPORTRANGE(""https://docs.google.com/spreadsheets/d/1AVX9GT0dgogEBStecCXMMQ29tWz3gBrtNB8yIromXbY/edit?gid=741673867"", ""out1g!A:B""), 2, FALSE), 0)"),542.0)</f>
        <v>542</v>
      </c>
      <c r="D1320" s="2" t="str">
        <f>IFERROR(__xludf.DUMMYFUNCTION("IFERROR(VLOOKUP(A1320, IMPORTRANGE(""https://docs.google.com/spreadsheets/d/1-3Vjw2Cyy-mry5gbC8ypIR3YVGFfEpyFESummAta6sg/edit"", ""Sheet1!B:D""), 2, FALSE), ""Not Found"")"),"bɛrəl")</f>
        <v>bɛrəl</v>
      </c>
      <c r="E1320" s="2" t="str">
        <f>IFERROR(__xludf.DUMMYFUNCTION("IFERROR(VLOOKUP(A1320, IMPORTRANGE(""https://docs.google.com/spreadsheets/d/1-3Vjw2Cyy-mry5gbC8ypIR3YVGFfEpyFESummAta6sg/edit"", ""Sheet1!B:D""), 3, FALSE), ""Not Found"")"),"b ɛ r ə l ")</f>
        <v>b ɛ r ə l </v>
      </c>
    </row>
    <row r="1321">
      <c r="A1321" s="1" t="s">
        <v>1324</v>
      </c>
      <c r="B1321" s="1" t="s">
        <v>5</v>
      </c>
      <c r="C1321" s="2">
        <f>IFERROR(__xludf.DUMMYFUNCTION("IFERROR(VLOOKUP(A1321, IMPORTRANGE(""https://docs.google.com/spreadsheets/d/1AVX9GT0dgogEBStecCXMMQ29tWz3gBrtNB8yIromXbY/edit?gid=741673867"", ""out1g!A:B""), 2, FALSE), 0)"),10118.0)</f>
        <v>10118</v>
      </c>
      <c r="D1321" s="2" t="str">
        <f>IFERROR(__xludf.DUMMYFUNCTION("IFERROR(VLOOKUP(A1321, IMPORTRANGE(""https://docs.google.com/spreadsheets/d/1-3Vjw2Cyy-mry5gbC8ypIR3YVGFfEpyFESummAta6sg/edit"", ""Sheet1!B:D""), 2, FALSE), ""Not Found"")"),"pɪk")</f>
        <v>pɪk</v>
      </c>
      <c r="E1321" s="2" t="str">
        <f>IFERROR(__xludf.DUMMYFUNCTION("IFERROR(VLOOKUP(A1321, IMPORTRANGE(""https://docs.google.com/spreadsheets/d/1-3Vjw2Cyy-mry5gbC8ypIR3YVGFfEpyFESummAta6sg/edit"", ""Sheet1!B:D""), 3, FALSE), ""Not Found"")"),"p ɪ k ")</f>
        <v>p ɪ k </v>
      </c>
    </row>
    <row r="1322">
      <c r="A1322" s="1" t="s">
        <v>1325</v>
      </c>
      <c r="B1322" s="1" t="s">
        <v>5</v>
      </c>
      <c r="C1322" s="2">
        <f>IFERROR(__xludf.DUMMYFUNCTION("IFERROR(VLOOKUP(A1322, IMPORTRANGE(""https://docs.google.com/spreadsheets/d/1AVX9GT0dgogEBStecCXMMQ29tWz3gBrtNB8yIromXbY/edit?gid=741673867"", ""out1g!A:B""), 2, FALSE), 0)"),263255.0)</f>
        <v>263255</v>
      </c>
      <c r="D1322" s="2" t="str">
        <f>IFERROR(__xludf.DUMMYFUNCTION("IFERROR(VLOOKUP(A1322, IMPORTRANGE(""https://docs.google.com/spreadsheets/d/1-3Vjw2Cyy-mry5gbC8ypIR3YVGFfEpyFESummAta6sg/edit"", ""Sheet1!B:D""), 2, FALSE), ""Not Found"")"),"ɔl")</f>
        <v>ɔl</v>
      </c>
      <c r="E1322" s="2" t="str">
        <f>IFERROR(__xludf.DUMMYFUNCTION("IFERROR(VLOOKUP(A1322, IMPORTRANGE(""https://docs.google.com/spreadsheets/d/1-3Vjw2Cyy-mry5gbC8ypIR3YVGFfEpyFESummAta6sg/edit"", ""Sheet1!B:D""), 3, FALSE), ""Not Found"")"),"ɔ l ")</f>
        <v>ɔ l </v>
      </c>
    </row>
    <row r="1323">
      <c r="A1323" s="1" t="s">
        <v>1326</v>
      </c>
      <c r="B1323" s="1" t="s">
        <v>5</v>
      </c>
      <c r="C1323" s="2">
        <f>IFERROR(__xludf.DUMMYFUNCTION("IFERROR(VLOOKUP(A1323, IMPORTRANGE(""https://docs.google.com/spreadsheets/d/1AVX9GT0dgogEBStecCXMMQ29tWz3gBrtNB8yIromXbY/edit?gid=741673867"", ""out1g!A:B""), 2, FALSE), 0)"),89.0)</f>
        <v>89</v>
      </c>
      <c r="D1323" s="2" t="str">
        <f>IFERROR(__xludf.DUMMYFUNCTION("IFERROR(VLOOKUP(A1323, IMPORTRANGE(""https://docs.google.com/spreadsheets/d/1-3Vjw2Cyy-mry5gbC8ypIR3YVGFfEpyFESummAta6sg/edit"", ""Sheet1!B:D""), 2, FALSE), ""Not Found"")"),"bæʤər")</f>
        <v>bæʤər</v>
      </c>
      <c r="E1323" s="2" t="str">
        <f>IFERROR(__xludf.DUMMYFUNCTION("IFERROR(VLOOKUP(A1323, IMPORTRANGE(""https://docs.google.com/spreadsheets/d/1-3Vjw2Cyy-mry5gbC8ypIR3YVGFfEpyFESummAta6sg/edit"", ""Sheet1!B:D""), 3, FALSE), ""Not Found"")"),"b æ ʤ ə r ")</f>
        <v>b æ ʤ ə r </v>
      </c>
    </row>
    <row r="1324">
      <c r="A1324" s="1" t="s">
        <v>1327</v>
      </c>
      <c r="B1324" s="1" t="s">
        <v>5</v>
      </c>
      <c r="C1324" s="2">
        <f>IFERROR(__xludf.DUMMYFUNCTION("IFERROR(VLOOKUP(A1324, IMPORTRANGE(""https://docs.google.com/spreadsheets/d/1AVX9GT0dgogEBStecCXMMQ29tWz3gBrtNB8yIromXbY/edit?gid=741673867"", ""out1g!A:B""), 2, FALSE), 0)"),70.0)</f>
        <v>70</v>
      </c>
      <c r="D1324" s="2" t="str">
        <f>IFERROR(__xludf.DUMMYFUNCTION("IFERROR(VLOOKUP(A1324, IMPORTRANGE(""https://docs.google.com/spreadsheets/d/1-3Vjw2Cyy-mry5gbC8ypIR3YVGFfEpyFESummAta6sg/edit"", ""Sheet1!B:D""), 2, FALSE), ""Not Found"")"),"draʊt")</f>
        <v>draʊt</v>
      </c>
      <c r="E1324" s="2" t="str">
        <f>IFERROR(__xludf.DUMMYFUNCTION("IFERROR(VLOOKUP(A1324, IMPORTRANGE(""https://docs.google.com/spreadsheets/d/1-3Vjw2Cyy-mry5gbC8ypIR3YVGFfEpyFESummAta6sg/edit"", ""Sheet1!B:D""), 3, FALSE), ""Not Found"")"),"d r a ʊ t ")</f>
        <v>d r a ʊ t </v>
      </c>
    </row>
    <row r="1325">
      <c r="A1325" s="1" t="s">
        <v>1328</v>
      </c>
      <c r="B1325" s="1" t="s">
        <v>5</v>
      </c>
      <c r="C1325" s="2">
        <f>IFERROR(__xludf.DUMMYFUNCTION("IFERROR(VLOOKUP(A1325, IMPORTRANGE(""https://docs.google.com/spreadsheets/d/1AVX9GT0dgogEBStecCXMMQ29tWz3gBrtNB8yIromXbY/edit?gid=741673867"", ""out1g!A:B""), 2, FALSE), 0)"),82.0)</f>
        <v>82</v>
      </c>
      <c r="D1325" s="2" t="str">
        <f>IFERROR(__xludf.DUMMYFUNCTION("IFERROR(VLOOKUP(A1325, IMPORTRANGE(""https://docs.google.com/spreadsheets/d/1-3Vjw2Cyy-mry5gbC8ypIR3YVGFfEpyFESummAta6sg/edit"", ""Sheet1!B:D""), 2, FALSE), ""Not Found"")"),"mɛts")</f>
        <v>mɛts</v>
      </c>
      <c r="E1325" s="2" t="str">
        <f>IFERROR(__xludf.DUMMYFUNCTION("IFERROR(VLOOKUP(A1325, IMPORTRANGE(""https://docs.google.com/spreadsheets/d/1-3Vjw2Cyy-mry5gbC8ypIR3YVGFfEpyFESummAta6sg/edit"", ""Sheet1!B:D""), 3, FALSE), ""Not Found"")"),"m ɛ t s ")</f>
        <v>m ɛ t s </v>
      </c>
    </row>
    <row r="1326">
      <c r="A1326" s="1" t="s">
        <v>1329</v>
      </c>
      <c r="B1326" s="1" t="s">
        <v>5</v>
      </c>
      <c r="C1326" s="2">
        <f>IFERROR(__xludf.DUMMYFUNCTION("IFERROR(VLOOKUP(A1326, IMPORTRANGE(""https://docs.google.com/spreadsheets/d/1AVX9GT0dgogEBStecCXMMQ29tWz3gBrtNB8yIromXbY/edit?gid=741673867"", ""out1g!A:B""), 2, FALSE), 0)"),933.0)</f>
        <v>933</v>
      </c>
      <c r="D1326" s="2" t="str">
        <f>IFERROR(__xludf.DUMMYFUNCTION("IFERROR(VLOOKUP(A1326, IMPORTRANGE(""https://docs.google.com/spreadsheets/d/1-3Vjw2Cyy-mry5gbC8ypIR3YVGFfEpyFESummAta6sg/edit"", ""Sheet1!B:D""), 2, FALSE), ""Not Found"")"),"ʧesɪŋ")</f>
        <v>ʧesɪŋ</v>
      </c>
      <c r="E1326" s="2" t="str">
        <f>IFERROR(__xludf.DUMMYFUNCTION("IFERROR(VLOOKUP(A1326, IMPORTRANGE(""https://docs.google.com/spreadsheets/d/1-3Vjw2Cyy-mry5gbC8ypIR3YVGFfEpyFESummAta6sg/edit"", ""Sheet1!B:D""), 3, FALSE), ""Not Found"")"),"ʧ e s ɪ ŋ ")</f>
        <v>ʧ e s ɪ ŋ </v>
      </c>
    </row>
    <row r="1327">
      <c r="A1327" s="1" t="s">
        <v>1330</v>
      </c>
      <c r="B1327" s="1" t="s">
        <v>5</v>
      </c>
      <c r="C1327" s="2">
        <f>IFERROR(__xludf.DUMMYFUNCTION("IFERROR(VLOOKUP(A1327, IMPORTRANGE(""https://docs.google.com/spreadsheets/d/1AVX9GT0dgogEBStecCXMMQ29tWz3gBrtNB8yIromXbY/edit?gid=741673867"", ""out1g!A:B""), 2, FALSE), 0)"),1015.0)</f>
        <v>1015</v>
      </c>
      <c r="D1327" s="2" t="str">
        <f>IFERROR(__xludf.DUMMYFUNCTION("IFERROR(VLOOKUP(A1327, IMPORTRANGE(""https://docs.google.com/spreadsheets/d/1-3Vjw2Cyy-mry5gbC8ypIR3YVGFfEpyFESummAta6sg/edit"", ""Sheet1!B:D""), 2, FALSE), ""Not Found"")"),"kɪlz")</f>
        <v>kɪlz</v>
      </c>
      <c r="E1327" s="2" t="str">
        <f>IFERROR(__xludf.DUMMYFUNCTION("IFERROR(VLOOKUP(A1327, IMPORTRANGE(""https://docs.google.com/spreadsheets/d/1-3Vjw2Cyy-mry5gbC8ypIR3YVGFfEpyFESummAta6sg/edit"", ""Sheet1!B:D""), 3, FALSE), ""Not Found"")"),"k ɪ l z ")</f>
        <v>k ɪ l z </v>
      </c>
    </row>
    <row r="1328">
      <c r="A1328" s="1" t="s">
        <v>1331</v>
      </c>
      <c r="B1328" s="1" t="s">
        <v>5</v>
      </c>
      <c r="C1328" s="2">
        <f>IFERROR(__xludf.DUMMYFUNCTION("IFERROR(VLOOKUP(A1328, IMPORTRANGE(""https://docs.google.com/spreadsheets/d/1AVX9GT0dgogEBStecCXMMQ29tWz3gBrtNB8yIromXbY/edit?gid=741673867"", ""out1g!A:B""), 2, FALSE), 0)"),600.0)</f>
        <v>600</v>
      </c>
      <c r="D1328" s="2" t="str">
        <f>IFERROR(__xludf.DUMMYFUNCTION("IFERROR(VLOOKUP(A1328, IMPORTRANGE(""https://docs.google.com/spreadsheets/d/1-3Vjw2Cyy-mry5gbC8ypIR3YVGFfEpyFESummAta6sg/edit"", ""Sheet1!B:D""), 2, FALSE), ""Not Found"")"),"ræpt")</f>
        <v>ræpt</v>
      </c>
      <c r="E1328" s="2" t="str">
        <f>IFERROR(__xludf.DUMMYFUNCTION("IFERROR(VLOOKUP(A1328, IMPORTRANGE(""https://docs.google.com/spreadsheets/d/1-3Vjw2Cyy-mry5gbC8ypIR3YVGFfEpyFESummAta6sg/edit"", ""Sheet1!B:D""), 3, FALSE), ""Not Found"")"),"r æ p t ")</f>
        <v>r æ p t </v>
      </c>
    </row>
    <row r="1329">
      <c r="A1329" s="1" t="s">
        <v>1332</v>
      </c>
      <c r="B1329" s="1" t="s">
        <v>5</v>
      </c>
      <c r="C1329" s="2">
        <f>IFERROR(__xludf.DUMMYFUNCTION("IFERROR(VLOOKUP(A1329, IMPORTRANGE(""https://docs.google.com/spreadsheets/d/1AVX9GT0dgogEBStecCXMMQ29tWz3gBrtNB8yIromXbY/edit?gid=741673867"", ""out1g!A:B""), 2, FALSE), 0)"),56531.0)</f>
        <v>56531</v>
      </c>
      <c r="D1329" s="2" t="str">
        <f>IFERROR(__xludf.DUMMYFUNCTION("IFERROR(VLOOKUP(A1329, IMPORTRANGE(""https://docs.google.com/spreadsheets/d/1-3Vjw2Cyy-mry5gbC8ypIR3YVGFfEpyFESummAta6sg/edit"", ""Sheet1!B:D""), 2, FALSE), ""Not Found"")"),"sɛd")</f>
        <v>sɛd</v>
      </c>
      <c r="E1329" s="2" t="str">
        <f>IFERROR(__xludf.DUMMYFUNCTION("IFERROR(VLOOKUP(A1329, IMPORTRANGE(""https://docs.google.com/spreadsheets/d/1-3Vjw2Cyy-mry5gbC8ypIR3YVGFfEpyFESummAta6sg/edit"", ""Sheet1!B:D""), 3, FALSE), ""Not Found"")"),"s ɛ d ")</f>
        <v>s ɛ d </v>
      </c>
    </row>
    <row r="1330">
      <c r="A1330" s="1" t="s">
        <v>1333</v>
      </c>
      <c r="B1330" s="1" t="s">
        <v>5</v>
      </c>
      <c r="C1330" s="2">
        <f>IFERROR(__xludf.DUMMYFUNCTION("IFERROR(VLOOKUP(A1330, IMPORTRANGE(""https://docs.google.com/spreadsheets/d/1AVX9GT0dgogEBStecCXMMQ29tWz3gBrtNB8yIromXbY/edit?gid=741673867"", ""out1g!A:B""), 2, FALSE), 0)"),28.0)</f>
        <v>28</v>
      </c>
      <c r="D1330" s="2" t="str">
        <f>IFERROR(__xludf.DUMMYFUNCTION("IFERROR(VLOOKUP(A1330, IMPORTRANGE(""https://docs.google.com/spreadsheets/d/1-3Vjw2Cyy-mry5gbC8ypIR3YVGFfEpyFESummAta6sg/edit"", ""Sheet1!B:D""), 2, FALSE), ""Not Found"")"),"wevi")</f>
        <v>wevi</v>
      </c>
      <c r="E1330" s="2" t="str">
        <f>IFERROR(__xludf.DUMMYFUNCTION("IFERROR(VLOOKUP(A1330, IMPORTRANGE(""https://docs.google.com/spreadsheets/d/1-3Vjw2Cyy-mry5gbC8ypIR3YVGFfEpyFESummAta6sg/edit"", ""Sheet1!B:D""), 3, FALSE), ""Not Found"")"),"w e v i ")</f>
        <v>w e v i </v>
      </c>
    </row>
    <row r="1331">
      <c r="A1331" s="1" t="s">
        <v>1334</v>
      </c>
      <c r="B1331" s="1" t="s">
        <v>5</v>
      </c>
      <c r="C1331" s="2">
        <f>IFERROR(__xludf.DUMMYFUNCTION("IFERROR(VLOOKUP(A1331, IMPORTRANGE(""https://docs.google.com/spreadsheets/d/1AVX9GT0dgogEBStecCXMMQ29tWz3gBrtNB8yIromXbY/edit?gid=741673867"", ""out1g!A:B""), 2, FALSE), 0)"),64.0)</f>
        <v>64</v>
      </c>
      <c r="D1331" s="2" t="str">
        <f>IFERROR(__xludf.DUMMYFUNCTION("IFERROR(VLOOKUP(A1331, IMPORTRANGE(""https://docs.google.com/spreadsheets/d/1-3Vjw2Cyy-mry5gbC8ypIR3YVGFfEpyFESummAta6sg/edit"", ""Sheet1!B:D""), 2, FALSE), ""Not Found"")"),"haɪvz")</f>
        <v>haɪvz</v>
      </c>
      <c r="E1331" s="2" t="str">
        <f>IFERROR(__xludf.DUMMYFUNCTION("IFERROR(VLOOKUP(A1331, IMPORTRANGE(""https://docs.google.com/spreadsheets/d/1-3Vjw2Cyy-mry5gbC8ypIR3YVGFfEpyFESummAta6sg/edit"", ""Sheet1!B:D""), 3, FALSE), ""Not Found"")"),"h a ɪ v z ")</f>
        <v>h a ɪ v z </v>
      </c>
    </row>
    <row r="1332">
      <c r="A1332" s="1" t="s">
        <v>1335</v>
      </c>
      <c r="B1332" s="1" t="s">
        <v>5</v>
      </c>
      <c r="C1332" s="2">
        <f>IFERROR(__xludf.DUMMYFUNCTION("IFERROR(VLOOKUP(A1332, IMPORTRANGE(""https://docs.google.com/spreadsheets/d/1AVX9GT0dgogEBStecCXMMQ29tWz3gBrtNB8yIromXbY/edit?gid=741673867"", ""out1g!A:B""), 2, FALSE), 0)"),117.0)</f>
        <v>117</v>
      </c>
      <c r="D1332" s="2" t="str">
        <f>IFERROR(__xludf.DUMMYFUNCTION("IFERROR(VLOOKUP(A1332, IMPORTRANGE(""https://docs.google.com/spreadsheets/d/1-3Vjw2Cyy-mry5gbC8ypIR3YVGFfEpyFESummAta6sg/edit"", ""Sheet1!B:D""), 2, FALSE), ""Not Found"")"),"hæloʊd")</f>
        <v>hæloʊd</v>
      </c>
      <c r="E1332" s="2" t="str">
        <f>IFERROR(__xludf.DUMMYFUNCTION("IFERROR(VLOOKUP(A1332, IMPORTRANGE(""https://docs.google.com/spreadsheets/d/1-3Vjw2Cyy-mry5gbC8ypIR3YVGFfEpyFESummAta6sg/edit"", ""Sheet1!B:D""), 3, FALSE), ""Not Found"")"),"h æ l o ʊ d ")</f>
        <v>h æ l o ʊ d </v>
      </c>
    </row>
    <row r="1333">
      <c r="A1333" s="1" t="s">
        <v>1336</v>
      </c>
      <c r="B1333" s="1" t="s">
        <v>5</v>
      </c>
      <c r="C1333" s="2">
        <f>IFERROR(__xludf.DUMMYFUNCTION("IFERROR(VLOOKUP(A1333, IMPORTRANGE(""https://docs.google.com/spreadsheets/d/1AVX9GT0dgogEBStecCXMMQ29tWz3gBrtNB8yIromXbY/edit?gid=741673867"", ""out1g!A:B""), 2, FALSE), 0)"),722.0)</f>
        <v>722</v>
      </c>
      <c r="D1333" s="2" t="str">
        <f>IFERROR(__xludf.DUMMYFUNCTION("IFERROR(VLOOKUP(A1333, IMPORTRANGE(""https://docs.google.com/spreadsheets/d/1-3Vjw2Cyy-mry5gbC8ypIR3YVGFfEpyFESummAta6sg/edit"", ""Sheet1!B:D""), 2, FALSE), ""Not Found"")"),"wɔli")</f>
        <v>wɔli</v>
      </c>
      <c r="E1333" s="2" t="str">
        <f>IFERROR(__xludf.DUMMYFUNCTION("IFERROR(VLOOKUP(A1333, IMPORTRANGE(""https://docs.google.com/spreadsheets/d/1-3Vjw2Cyy-mry5gbC8ypIR3YVGFfEpyFESummAta6sg/edit"", ""Sheet1!B:D""), 3, FALSE), ""Not Found"")"),"w ɔ l i ")</f>
        <v>w ɔ l i </v>
      </c>
    </row>
    <row r="1334">
      <c r="A1334" s="1" t="s">
        <v>1337</v>
      </c>
      <c r="B1334" s="1" t="s">
        <v>5</v>
      </c>
      <c r="C1334" s="2">
        <f>IFERROR(__xludf.DUMMYFUNCTION("IFERROR(VLOOKUP(A1334, IMPORTRANGE(""https://docs.google.com/spreadsheets/d/1AVX9GT0dgogEBStecCXMMQ29tWz3gBrtNB8yIromXbY/edit?gid=741673867"", ""out1g!A:B""), 2, FALSE), 0)"),1857.0)</f>
        <v>1857</v>
      </c>
      <c r="D1334" s="2" t="str">
        <f>IFERROR(__xludf.DUMMYFUNCTION("IFERROR(VLOOKUP(A1334, IMPORTRANGE(""https://docs.google.com/spreadsheets/d/1-3Vjw2Cyy-mry5gbC8ypIR3YVGFfEpyFESummAta6sg/edit"", ""Sheet1!B:D""), 2, FALSE), ""Not Found"")"),"pɛg")</f>
        <v>pɛg</v>
      </c>
      <c r="E1334" s="2" t="str">
        <f>IFERROR(__xludf.DUMMYFUNCTION("IFERROR(VLOOKUP(A1334, IMPORTRANGE(""https://docs.google.com/spreadsheets/d/1-3Vjw2Cyy-mry5gbC8ypIR3YVGFfEpyFESummAta6sg/edit"", ""Sheet1!B:D""), 3, FALSE), ""Not Found"")"),"p ɛ g ")</f>
        <v>p ɛ g </v>
      </c>
    </row>
    <row r="1335">
      <c r="A1335" s="1" t="s">
        <v>1338</v>
      </c>
      <c r="B1335" s="1" t="s">
        <v>5</v>
      </c>
      <c r="C1335" s="2">
        <f>IFERROR(__xludf.DUMMYFUNCTION("IFERROR(VLOOKUP(A1335, IMPORTRANGE(""https://docs.google.com/spreadsheets/d/1AVX9GT0dgogEBStecCXMMQ29tWz3gBrtNB8yIromXbY/edit?gid=741673867"", ""out1g!A:B""), 2, FALSE), 0)"),247.0)</f>
        <v>247</v>
      </c>
      <c r="D1335" s="2" t="str">
        <f>IFERROR(__xludf.DUMMYFUNCTION("IFERROR(VLOOKUP(A1335, IMPORTRANGE(""https://docs.google.com/spreadsheets/d/1-3Vjw2Cyy-mry5gbC8ypIR3YVGFfEpyFESummAta6sg/edit"", ""Sheet1!B:D""), 2, FALSE), ""Not Found"")"),"ʤɑki")</f>
        <v>ʤɑki</v>
      </c>
      <c r="E1335" s="2" t="str">
        <f>IFERROR(__xludf.DUMMYFUNCTION("IFERROR(VLOOKUP(A1335, IMPORTRANGE(""https://docs.google.com/spreadsheets/d/1-3Vjw2Cyy-mry5gbC8ypIR3YVGFfEpyFESummAta6sg/edit"", ""Sheet1!B:D""), 3, FALSE), ""Not Found"")"),"ʤ ɑ k i ")</f>
        <v>ʤ ɑ k i </v>
      </c>
    </row>
    <row r="1336">
      <c r="A1336" s="1" t="s">
        <v>1339</v>
      </c>
      <c r="B1336" s="1" t="s">
        <v>5</v>
      </c>
      <c r="C1336" s="2">
        <f>IFERROR(__xludf.DUMMYFUNCTION("IFERROR(VLOOKUP(A1336, IMPORTRANGE(""https://docs.google.com/spreadsheets/d/1AVX9GT0dgogEBStecCXMMQ29tWz3gBrtNB8yIromXbY/edit?gid=741673867"", ""out1g!A:B""), 2, FALSE), 0)"),2031.0)</f>
        <v>2031</v>
      </c>
      <c r="D1336" s="2" t="str">
        <f>IFERROR(__xludf.DUMMYFUNCTION("IFERROR(VLOOKUP(A1336, IMPORTRANGE(""https://docs.google.com/spreadsheets/d/1-3Vjw2Cyy-mry5gbC8ypIR3YVGFfEpyFESummAta6sg/edit"", ""Sheet1!B:D""), 2, FALSE), ""Not Found"")"),"laʊd")</f>
        <v>laʊd</v>
      </c>
      <c r="E1336" s="2" t="str">
        <f>IFERROR(__xludf.DUMMYFUNCTION("IFERROR(VLOOKUP(A1336, IMPORTRANGE(""https://docs.google.com/spreadsheets/d/1-3Vjw2Cyy-mry5gbC8ypIR3YVGFfEpyFESummAta6sg/edit"", ""Sheet1!B:D""), 3, FALSE), ""Not Found"")"),"l a ʊ d ")</f>
        <v>l a ʊ d </v>
      </c>
    </row>
    <row r="1337">
      <c r="A1337" s="1" t="s">
        <v>1340</v>
      </c>
      <c r="B1337" s="1" t="s">
        <v>5</v>
      </c>
      <c r="C1337" s="2">
        <f>IFERROR(__xludf.DUMMYFUNCTION("IFERROR(VLOOKUP(A1337, IMPORTRANGE(""https://docs.google.com/spreadsheets/d/1AVX9GT0dgogEBStecCXMMQ29tWz3gBrtNB8yIromXbY/edit?gid=741673867"", ""out1g!A:B""), 2, FALSE), 0)"),67.0)</f>
        <v>67</v>
      </c>
      <c r="D1337" s="2" t="str">
        <f>IFERROR(__xludf.DUMMYFUNCTION("IFERROR(VLOOKUP(A1337, IMPORTRANGE(""https://docs.google.com/spreadsheets/d/1-3Vjw2Cyy-mry5gbC8ypIR3YVGFfEpyFESummAta6sg/edit"", ""Sheet1!B:D""), 2, FALSE), ""Not Found"")"),"raɪdər")</f>
        <v>raɪdər</v>
      </c>
      <c r="E1337" s="2" t="str">
        <f>IFERROR(__xludf.DUMMYFUNCTION("IFERROR(VLOOKUP(A1337, IMPORTRANGE(""https://docs.google.com/spreadsheets/d/1-3Vjw2Cyy-mry5gbC8ypIR3YVGFfEpyFESummAta6sg/edit"", ""Sheet1!B:D""), 3, FALSE), ""Not Found"")"),"r a ɪ d ə r ")</f>
        <v>r a ɪ d ə r </v>
      </c>
    </row>
    <row r="1338">
      <c r="A1338" s="1" t="s">
        <v>1341</v>
      </c>
      <c r="B1338" s="1" t="s">
        <v>5</v>
      </c>
      <c r="C1338" s="2">
        <f>IFERROR(__xludf.DUMMYFUNCTION("IFERROR(VLOOKUP(A1338, IMPORTRANGE(""https://docs.google.com/spreadsheets/d/1AVX9GT0dgogEBStecCXMMQ29tWz3gBrtNB8yIromXbY/edit?gid=741673867"", ""out1g!A:B""), 2, FALSE), 0)"),347.0)</f>
        <v>347</v>
      </c>
      <c r="D1338" s="2" t="str">
        <f>IFERROR(__xludf.DUMMYFUNCTION("IFERROR(VLOOKUP(A1338, IMPORTRANGE(""https://docs.google.com/spreadsheets/d/1-3Vjw2Cyy-mry5gbC8ypIR3YVGFfEpyFESummAta6sg/edit"", ""Sheet1!B:D""), 2, FALSE), ""Not Found"")"),"hɑn")</f>
        <v>hɑn</v>
      </c>
      <c r="E1338" s="2" t="str">
        <f>IFERROR(__xludf.DUMMYFUNCTION("IFERROR(VLOOKUP(A1338, IMPORTRANGE(""https://docs.google.com/spreadsheets/d/1-3Vjw2Cyy-mry5gbC8ypIR3YVGFfEpyFESummAta6sg/edit"", ""Sheet1!B:D""), 3, FALSE), ""Not Found"")"),"h ɑ n ")</f>
        <v>h ɑ n </v>
      </c>
    </row>
    <row r="1339">
      <c r="A1339" s="1" t="s">
        <v>1342</v>
      </c>
      <c r="B1339" s="1" t="s">
        <v>5</v>
      </c>
      <c r="C1339" s="2">
        <f>IFERROR(__xludf.DUMMYFUNCTION("IFERROR(VLOOKUP(A1339, IMPORTRANGE(""https://docs.google.com/spreadsheets/d/1AVX9GT0dgogEBStecCXMMQ29tWz3gBrtNB8yIromXbY/edit?gid=741673867"", ""out1g!A:B""), 2, FALSE), 0)"),52.0)</f>
        <v>52</v>
      </c>
      <c r="D1339" s="2" t="str">
        <f>IFERROR(__xludf.DUMMYFUNCTION("IFERROR(VLOOKUP(A1339, IMPORTRANGE(""https://docs.google.com/spreadsheets/d/1-3Vjw2Cyy-mry5gbC8ypIR3YVGFfEpyFESummAta6sg/edit"", ""Sheet1!B:D""), 2, FALSE), ""Not Found"")"),"bɔrn")</f>
        <v>bɔrn</v>
      </c>
      <c r="E1339" s="2" t="str">
        <f>IFERROR(__xludf.DUMMYFUNCTION("IFERROR(VLOOKUP(A1339, IMPORTRANGE(""https://docs.google.com/spreadsheets/d/1-3Vjw2Cyy-mry5gbC8ypIR3YVGFfEpyFESummAta6sg/edit"", ""Sheet1!B:D""), 3, FALSE), ""Not Found"")"),"b ɔ r n ")</f>
        <v>b ɔ r n </v>
      </c>
    </row>
    <row r="1340">
      <c r="A1340" s="1" t="s">
        <v>1343</v>
      </c>
      <c r="B1340" s="1" t="s">
        <v>5</v>
      </c>
      <c r="C1340" s="2">
        <f>IFERROR(__xludf.DUMMYFUNCTION("IFERROR(VLOOKUP(A1340, IMPORTRANGE(""https://docs.google.com/spreadsheets/d/1AVX9GT0dgogEBStecCXMMQ29tWz3gBrtNB8yIromXbY/edit?gid=741673867"", ""out1g!A:B""), 2, FALSE), 0)"),693.0)</f>
        <v>693</v>
      </c>
      <c r="D1340" s="2" t="str">
        <f>IFERROR(__xludf.DUMMYFUNCTION("IFERROR(VLOOKUP(A1340, IMPORTRANGE(""https://docs.google.com/spreadsheets/d/1-3Vjw2Cyy-mry5gbC8ypIR3YVGFfEpyFESummAta6sg/edit"", ""Sheet1!B:D""), 2, FALSE), ""Not Found"")"),"ʧɛri")</f>
        <v>ʧɛri</v>
      </c>
      <c r="E1340" s="2" t="str">
        <f>IFERROR(__xludf.DUMMYFUNCTION("IFERROR(VLOOKUP(A1340, IMPORTRANGE(""https://docs.google.com/spreadsheets/d/1-3Vjw2Cyy-mry5gbC8ypIR3YVGFfEpyFESummAta6sg/edit"", ""Sheet1!B:D""), 3, FALSE), ""Not Found"")"),"ʧ ɛ r i ")</f>
        <v>ʧ ɛ r i </v>
      </c>
    </row>
    <row r="1341">
      <c r="A1341" s="1" t="s">
        <v>1344</v>
      </c>
      <c r="B1341" s="1" t="s">
        <v>5</v>
      </c>
      <c r="C1341" s="2">
        <f>IFERROR(__xludf.DUMMYFUNCTION("IFERROR(VLOOKUP(A1341, IMPORTRANGE(""https://docs.google.com/spreadsheets/d/1AVX9GT0dgogEBStecCXMMQ29tWz3gBrtNB8yIromXbY/edit?gid=741673867"", ""out1g!A:B""), 2, FALSE), 0)"),685.0)</f>
        <v>685</v>
      </c>
      <c r="D1341" s="2" t="str">
        <f>IFERROR(__xludf.DUMMYFUNCTION("IFERROR(VLOOKUP(A1341, IMPORTRANGE(""https://docs.google.com/spreadsheets/d/1-3Vjw2Cyy-mry5gbC8ypIR3YVGFfEpyFESummAta6sg/edit"", ""Sheet1!B:D""), 2, FALSE), ""Not Found"")"),"ʃip")</f>
        <v>ʃip</v>
      </c>
      <c r="E1341" s="2" t="str">
        <f>IFERROR(__xludf.DUMMYFUNCTION("IFERROR(VLOOKUP(A1341, IMPORTRANGE(""https://docs.google.com/spreadsheets/d/1-3Vjw2Cyy-mry5gbC8ypIR3YVGFfEpyFESummAta6sg/edit"", ""Sheet1!B:D""), 3, FALSE), ""Not Found"")"),"ʃ i p ")</f>
        <v>ʃ i p </v>
      </c>
    </row>
    <row r="1342">
      <c r="A1342" s="1" t="s">
        <v>1345</v>
      </c>
      <c r="B1342" s="1" t="s">
        <v>5</v>
      </c>
      <c r="C1342" s="2">
        <f>IFERROR(__xludf.DUMMYFUNCTION("IFERROR(VLOOKUP(A1342, IMPORTRANGE(""https://docs.google.com/spreadsheets/d/1AVX9GT0dgogEBStecCXMMQ29tWz3gBrtNB8yIromXbY/edit?gid=741673867"", ""out1g!A:B""), 2, FALSE), 0)"),179.0)</f>
        <v>179</v>
      </c>
      <c r="D1342" s="2" t="str">
        <f>IFERROR(__xludf.DUMMYFUNCTION("IFERROR(VLOOKUP(A1342, IMPORTRANGE(""https://docs.google.com/spreadsheets/d/1-3Vjw2Cyy-mry5gbC8ypIR3YVGFfEpyFESummAta6sg/edit"", ""Sheet1!B:D""), 2, FALSE), ""Not Found"")"),"mɑrʃ")</f>
        <v>mɑrʃ</v>
      </c>
      <c r="E1342" s="2" t="str">
        <f>IFERROR(__xludf.DUMMYFUNCTION("IFERROR(VLOOKUP(A1342, IMPORTRANGE(""https://docs.google.com/spreadsheets/d/1-3Vjw2Cyy-mry5gbC8ypIR3YVGFfEpyFESummAta6sg/edit"", ""Sheet1!B:D""), 3, FALSE), ""Not Found"")"),"m ɑ r ʃ ")</f>
        <v>m ɑ r ʃ </v>
      </c>
    </row>
    <row r="1343">
      <c r="A1343" s="1" t="s">
        <v>1346</v>
      </c>
      <c r="B1343" s="1" t="s">
        <v>5</v>
      </c>
      <c r="C1343" s="2">
        <f>IFERROR(__xludf.DUMMYFUNCTION("IFERROR(VLOOKUP(A1343, IMPORTRANGE(""https://docs.google.com/spreadsheets/d/1AVX9GT0dgogEBStecCXMMQ29tWz3gBrtNB8yIromXbY/edit?gid=741673867"", ""out1g!A:B""), 2, FALSE), 0)"),345.0)</f>
        <v>345</v>
      </c>
      <c r="D1343" s="2" t="str">
        <f>IFERROR(__xludf.DUMMYFUNCTION("IFERROR(VLOOKUP(A1343, IMPORTRANGE(""https://docs.google.com/spreadsheets/d/1-3Vjw2Cyy-mry5gbC8ypIR3YVGFfEpyFESummAta6sg/edit"", ""Sheet1!B:D""), 2, FALSE), ""Not Found"")"),"bɑrt")</f>
        <v>bɑrt</v>
      </c>
      <c r="E1343" s="2" t="str">
        <f>IFERROR(__xludf.DUMMYFUNCTION("IFERROR(VLOOKUP(A1343, IMPORTRANGE(""https://docs.google.com/spreadsheets/d/1-3Vjw2Cyy-mry5gbC8ypIR3YVGFfEpyFESummAta6sg/edit"", ""Sheet1!B:D""), 3, FALSE), ""Not Found"")"),"b ɑ r t ")</f>
        <v>b ɑ r t </v>
      </c>
    </row>
    <row r="1344">
      <c r="A1344" s="1" t="s">
        <v>1347</v>
      </c>
      <c r="B1344" s="1" t="s">
        <v>5</v>
      </c>
      <c r="C1344" s="2">
        <f>IFERROR(__xludf.DUMMYFUNCTION("IFERROR(VLOOKUP(A1344, IMPORTRANGE(""https://docs.google.com/spreadsheets/d/1AVX9GT0dgogEBStecCXMMQ29tWz3gBrtNB8yIromXbY/edit?gid=741673867"", ""out1g!A:B""), 2, FALSE), 0)"),710.0)</f>
        <v>710</v>
      </c>
      <c r="D1344" s="2" t="str">
        <f>IFERROR(__xludf.DUMMYFUNCTION("IFERROR(VLOOKUP(A1344, IMPORTRANGE(""https://docs.google.com/spreadsheets/d/1-3Vjw2Cyy-mry5gbC8ypIR3YVGFfEpyFESummAta6sg/edit"", ""Sheet1!B:D""), 2, FALSE), ""Not Found"")"),"klemz")</f>
        <v>klemz</v>
      </c>
      <c r="E1344" s="2" t="str">
        <f>IFERROR(__xludf.DUMMYFUNCTION("IFERROR(VLOOKUP(A1344, IMPORTRANGE(""https://docs.google.com/spreadsheets/d/1-3Vjw2Cyy-mry5gbC8ypIR3YVGFfEpyFESummAta6sg/edit"", ""Sheet1!B:D""), 3, FALSE), ""Not Found"")"),"k l e m z ")</f>
        <v>k l e m z </v>
      </c>
    </row>
    <row r="1345">
      <c r="A1345" s="1" t="s">
        <v>1348</v>
      </c>
      <c r="B1345" s="1" t="s">
        <v>5</v>
      </c>
      <c r="C1345" s="2">
        <f>IFERROR(__xludf.DUMMYFUNCTION("IFERROR(VLOOKUP(A1345, IMPORTRANGE(""https://docs.google.com/spreadsheets/d/1AVX9GT0dgogEBStecCXMMQ29tWz3gBrtNB8yIromXbY/edit?gid=741673867"", ""out1g!A:B""), 2, FALSE), 0)"),67.0)</f>
        <v>67</v>
      </c>
      <c r="D1345" s="2" t="str">
        <f>IFERROR(__xludf.DUMMYFUNCTION("IFERROR(VLOOKUP(A1345, IMPORTRANGE(""https://docs.google.com/spreadsheets/d/1-3Vjw2Cyy-mry5gbC8ypIR3YVGFfEpyFESummAta6sg/edit"", ""Sheet1!B:D""), 2, FALSE), ""Not Found"")"),"gəsi")</f>
        <v>gəsi</v>
      </c>
      <c r="E1345" s="2" t="str">
        <f>IFERROR(__xludf.DUMMYFUNCTION("IFERROR(VLOOKUP(A1345, IMPORTRANGE(""https://docs.google.com/spreadsheets/d/1-3Vjw2Cyy-mry5gbC8ypIR3YVGFfEpyFESummAta6sg/edit"", ""Sheet1!B:D""), 3, FALSE), ""Not Found"")"),"g ə s i ")</f>
        <v>g ə s i </v>
      </c>
    </row>
    <row r="1346">
      <c r="A1346" s="1" t="s">
        <v>1349</v>
      </c>
      <c r="B1346" s="1" t="s">
        <v>5</v>
      </c>
      <c r="C1346" s="2">
        <f>IFERROR(__xludf.DUMMYFUNCTION("IFERROR(VLOOKUP(A1346, IMPORTRANGE(""https://docs.google.com/spreadsheets/d/1AVX9GT0dgogEBStecCXMMQ29tWz3gBrtNB8yIromXbY/edit?gid=741673867"", ""out1g!A:B""), 2, FALSE), 0)"),69.0)</f>
        <v>69</v>
      </c>
      <c r="D1346" s="2" t="str">
        <f>IFERROR(__xludf.DUMMYFUNCTION("IFERROR(VLOOKUP(A1346, IMPORTRANGE(""https://docs.google.com/spreadsheets/d/1-3Vjw2Cyy-mry5gbC8ypIR3YVGFfEpyFESummAta6sg/edit"", ""Sheet1!B:D""), 2, FALSE), ""Not Found"")"),"spuks")</f>
        <v>spuks</v>
      </c>
      <c r="E1346" s="2" t="str">
        <f>IFERROR(__xludf.DUMMYFUNCTION("IFERROR(VLOOKUP(A1346, IMPORTRANGE(""https://docs.google.com/spreadsheets/d/1-3Vjw2Cyy-mry5gbC8ypIR3YVGFfEpyFESummAta6sg/edit"", ""Sheet1!B:D""), 3, FALSE), ""Not Found"")"),"s p u k s ")</f>
        <v>s p u k s </v>
      </c>
    </row>
    <row r="1347">
      <c r="A1347" s="1" t="s">
        <v>1350</v>
      </c>
      <c r="B1347" s="1" t="s">
        <v>5</v>
      </c>
      <c r="C1347" s="2">
        <f>IFERROR(__xludf.DUMMYFUNCTION("IFERROR(VLOOKUP(A1347, IMPORTRANGE(""https://docs.google.com/spreadsheets/d/1AVX9GT0dgogEBStecCXMMQ29tWz3gBrtNB8yIromXbY/edit?gid=741673867"", ""out1g!A:B""), 2, FALSE), 0)"),108.0)</f>
        <v>108</v>
      </c>
      <c r="D1347" s="2" t="str">
        <f>IFERROR(__xludf.DUMMYFUNCTION("IFERROR(VLOOKUP(A1347, IMPORTRANGE(""https://docs.google.com/spreadsheets/d/1-3Vjw2Cyy-mry5gbC8ypIR3YVGFfEpyFESummAta6sg/edit"", ""Sheet1!B:D""), 2, FALSE), ""Not Found"")"),"poʊlk")</f>
        <v>poʊlk</v>
      </c>
      <c r="E1347" s="2" t="str">
        <f>IFERROR(__xludf.DUMMYFUNCTION("IFERROR(VLOOKUP(A1347, IMPORTRANGE(""https://docs.google.com/spreadsheets/d/1-3Vjw2Cyy-mry5gbC8ypIR3YVGFfEpyFESummAta6sg/edit"", ""Sheet1!B:D""), 3, FALSE), ""Not Found"")"),"p o ʊ l k ")</f>
        <v>p o ʊ l k </v>
      </c>
    </row>
    <row r="1348">
      <c r="A1348" s="1" t="s">
        <v>1351</v>
      </c>
      <c r="B1348" s="1" t="s">
        <v>5</v>
      </c>
      <c r="C1348" s="2">
        <f>IFERROR(__xludf.DUMMYFUNCTION("IFERROR(VLOOKUP(A1348, IMPORTRANGE(""https://docs.google.com/spreadsheets/d/1AVX9GT0dgogEBStecCXMMQ29tWz3gBrtNB8yIromXbY/edit?gid=741673867"", ""out1g!A:B""), 2, FALSE), 0)"),65.0)</f>
        <v>65</v>
      </c>
      <c r="D1348" s="2" t="str">
        <f>IFERROR(__xludf.DUMMYFUNCTION("IFERROR(VLOOKUP(A1348, IMPORTRANGE(""https://docs.google.com/spreadsheets/d/1-3Vjw2Cyy-mry5gbC8ypIR3YVGFfEpyFESummAta6sg/edit"", ""Sheet1!B:D""), 2, FALSE), ""Not Found"")"),"flæʃt")</f>
        <v>flæʃt</v>
      </c>
      <c r="E1348" s="2" t="str">
        <f>IFERROR(__xludf.DUMMYFUNCTION("IFERROR(VLOOKUP(A1348, IMPORTRANGE(""https://docs.google.com/spreadsheets/d/1-3Vjw2Cyy-mry5gbC8ypIR3YVGFfEpyFESummAta6sg/edit"", ""Sheet1!B:D""), 3, FALSE), ""Not Found"")"),"f l æ ʃ t ")</f>
        <v>f l æ ʃ t </v>
      </c>
    </row>
    <row r="1349">
      <c r="A1349" s="1" t="s">
        <v>1352</v>
      </c>
      <c r="B1349" s="1" t="s">
        <v>5</v>
      </c>
      <c r="C1349" s="2">
        <f>IFERROR(__xludf.DUMMYFUNCTION("IFERROR(VLOOKUP(A1349, IMPORTRANGE(""https://docs.google.com/spreadsheets/d/1AVX9GT0dgogEBStecCXMMQ29tWz3gBrtNB8yIromXbY/edit?gid=741673867"", ""out1g!A:B""), 2, FALSE), 0)"),84.0)</f>
        <v>84</v>
      </c>
      <c r="D1349" s="2" t="str">
        <f>IFERROR(__xludf.DUMMYFUNCTION("IFERROR(VLOOKUP(A1349, IMPORTRANGE(""https://docs.google.com/spreadsheets/d/1-3Vjw2Cyy-mry5gbC8ypIR3YVGFfEpyFESummAta6sg/edit"", ""Sheet1!B:D""), 2, FALSE), ""Not Found"")"),"hilər")</f>
        <v>hilər</v>
      </c>
      <c r="E1349" s="2" t="str">
        <f>IFERROR(__xludf.DUMMYFUNCTION("IFERROR(VLOOKUP(A1349, IMPORTRANGE(""https://docs.google.com/spreadsheets/d/1-3Vjw2Cyy-mry5gbC8ypIR3YVGFfEpyFESummAta6sg/edit"", ""Sheet1!B:D""), 3, FALSE), ""Not Found"")"),"h i l ə r ")</f>
        <v>h i l ə r </v>
      </c>
    </row>
    <row r="1350">
      <c r="A1350" s="1" t="s">
        <v>1353</v>
      </c>
      <c r="B1350" s="1" t="s">
        <v>5</v>
      </c>
      <c r="C1350" s="2">
        <f>IFERROR(__xludf.DUMMYFUNCTION("IFERROR(VLOOKUP(A1350, IMPORTRANGE(""https://docs.google.com/spreadsheets/d/1AVX9GT0dgogEBStecCXMMQ29tWz3gBrtNB8yIromXbY/edit?gid=741673867"", ""out1g!A:B""), 2, FALSE), 0)"),391.0)</f>
        <v>391</v>
      </c>
      <c r="D1350" s="2" t="str">
        <f>IFERROR(__xludf.DUMMYFUNCTION("IFERROR(VLOOKUP(A1350, IMPORTRANGE(""https://docs.google.com/spreadsheets/d/1-3Vjw2Cyy-mry5gbC8ypIR3YVGFfEpyFESummAta6sg/edit"", ""Sheet1!B:D""), 2, FALSE), ""Not Found"")"),"əhɛm")</f>
        <v>əhɛm</v>
      </c>
      <c r="E1350" s="2" t="str">
        <f>IFERROR(__xludf.DUMMYFUNCTION("IFERROR(VLOOKUP(A1350, IMPORTRANGE(""https://docs.google.com/spreadsheets/d/1-3Vjw2Cyy-mry5gbC8ypIR3YVGFfEpyFESummAta6sg/edit"", ""Sheet1!B:D""), 3, FALSE), ""Not Found"")"),"ə h ɛ m ")</f>
        <v>ə h ɛ m </v>
      </c>
    </row>
    <row r="1351">
      <c r="A1351" s="1" t="s">
        <v>1354</v>
      </c>
      <c r="B1351" s="1" t="s">
        <v>5</v>
      </c>
      <c r="C1351" s="2">
        <f>IFERROR(__xludf.DUMMYFUNCTION("IFERROR(VLOOKUP(A1351, IMPORTRANGE(""https://docs.google.com/spreadsheets/d/1AVX9GT0dgogEBStecCXMMQ29tWz3gBrtNB8yIromXbY/edit?gid=741673867"", ""out1g!A:B""), 2, FALSE), 0)"),68.0)</f>
        <v>68</v>
      </c>
      <c r="D1351" s="2" t="str">
        <f>IFERROR(__xludf.DUMMYFUNCTION("IFERROR(VLOOKUP(A1351, IMPORTRANGE(""https://docs.google.com/spreadsheets/d/1-3Vjw2Cyy-mry5gbC8ypIR3YVGFfEpyFESummAta6sg/edit"", ""Sheet1!B:D""), 2, FALSE), ""Not Found"")"),"dɛrɪk")</f>
        <v>dɛrɪk</v>
      </c>
      <c r="E1351" s="2" t="str">
        <f>IFERROR(__xludf.DUMMYFUNCTION("IFERROR(VLOOKUP(A1351, IMPORTRANGE(""https://docs.google.com/spreadsheets/d/1-3Vjw2Cyy-mry5gbC8ypIR3YVGFfEpyFESummAta6sg/edit"", ""Sheet1!B:D""), 3, FALSE), ""Not Found"")"),"d ɛ r ɪ k ")</f>
        <v>d ɛ r ɪ k </v>
      </c>
    </row>
    <row r="1352">
      <c r="A1352" s="1" t="s">
        <v>1355</v>
      </c>
      <c r="B1352" s="1" t="s">
        <v>5</v>
      </c>
      <c r="C1352" s="2">
        <f>IFERROR(__xludf.DUMMYFUNCTION("IFERROR(VLOOKUP(A1352, IMPORTRANGE(""https://docs.google.com/spreadsheets/d/1AVX9GT0dgogEBStecCXMMQ29tWz3gBrtNB8yIromXbY/edit?gid=741673867"", ""out1g!A:B""), 2, FALSE), 0)"),12.0)</f>
        <v>12</v>
      </c>
      <c r="D1352" s="2" t="str">
        <f>IFERROR(__xludf.DUMMYFUNCTION("IFERROR(VLOOKUP(A1352, IMPORTRANGE(""https://docs.google.com/spreadsheets/d/1-3Vjw2Cyy-mry5gbC8ypIR3YVGFfEpyFESummAta6sg/edit"", ""Sheet1!B:D""), 2, FALSE), ""Not Found"")"),"nid")</f>
        <v>nid</v>
      </c>
      <c r="E1352" s="2" t="str">
        <f>IFERROR(__xludf.DUMMYFUNCTION("IFERROR(VLOOKUP(A1352, IMPORTRANGE(""https://docs.google.com/spreadsheets/d/1-3Vjw2Cyy-mry5gbC8ypIR3YVGFfEpyFESummAta6sg/edit"", ""Sheet1!B:D""), 3, FALSE), ""Not Found"")"),"n i d ")</f>
        <v>n i d </v>
      </c>
    </row>
    <row r="1353">
      <c r="A1353" s="1" t="s">
        <v>1356</v>
      </c>
      <c r="B1353" s="1" t="s">
        <v>5</v>
      </c>
      <c r="C1353" s="2">
        <f>IFERROR(__xludf.DUMMYFUNCTION("IFERROR(VLOOKUP(A1353, IMPORTRANGE(""https://docs.google.com/spreadsheets/d/1AVX9GT0dgogEBStecCXMMQ29tWz3gBrtNB8yIromXbY/edit?gid=741673867"", ""out1g!A:B""), 2, FALSE), 0)"),231.0)</f>
        <v>231</v>
      </c>
      <c r="D1353" s="2" t="str">
        <f>IFERROR(__xludf.DUMMYFUNCTION("IFERROR(VLOOKUP(A1353, IMPORTRANGE(""https://docs.google.com/spreadsheets/d/1-3Vjw2Cyy-mry5gbC8ypIR3YVGFfEpyFESummAta6sg/edit"", ""Sheet1!B:D""), 2, FALSE), ""Not Found"")"),"veg")</f>
        <v>veg</v>
      </c>
      <c r="E1353" s="2" t="str">
        <f>IFERROR(__xludf.DUMMYFUNCTION("IFERROR(VLOOKUP(A1353, IMPORTRANGE(""https://docs.google.com/spreadsheets/d/1-3Vjw2Cyy-mry5gbC8ypIR3YVGFfEpyFESummAta6sg/edit"", ""Sheet1!B:D""), 3, FALSE), ""Not Found"")"),"v e g ")</f>
        <v>v e g </v>
      </c>
    </row>
    <row r="1354">
      <c r="A1354" s="1" t="s">
        <v>1357</v>
      </c>
      <c r="B1354" s="1" t="s">
        <v>5</v>
      </c>
      <c r="C1354" s="2">
        <f>IFERROR(__xludf.DUMMYFUNCTION("IFERROR(VLOOKUP(A1354, IMPORTRANGE(""https://docs.google.com/spreadsheets/d/1AVX9GT0dgogEBStecCXMMQ29tWz3gBrtNB8yIromXbY/edit?gid=741673867"", ""out1g!A:B""), 2, FALSE), 0)"),17795.0)</f>
        <v>17795</v>
      </c>
      <c r="D1354" s="2" t="str">
        <f>IFERROR(__xludf.DUMMYFUNCTION("IFERROR(VLOOKUP(A1354, IMPORTRANGE(""https://docs.google.com/spreadsheets/d/1-3Vjw2Cyy-mry5gbC8ypIR3YVGFfEpyFESummAta6sg/edit"", ""Sheet1!B:D""), 2, FALSE), ""Not Found"")"),"waɪf")</f>
        <v>waɪf</v>
      </c>
      <c r="E1354" s="2" t="str">
        <f>IFERROR(__xludf.DUMMYFUNCTION("IFERROR(VLOOKUP(A1354, IMPORTRANGE(""https://docs.google.com/spreadsheets/d/1-3Vjw2Cyy-mry5gbC8ypIR3YVGFfEpyFESummAta6sg/edit"", ""Sheet1!B:D""), 3, FALSE), ""Not Found"")"),"w a ɪ f ")</f>
        <v>w a ɪ f </v>
      </c>
    </row>
    <row r="1355">
      <c r="A1355" s="1" t="s">
        <v>1358</v>
      </c>
      <c r="B1355" s="1" t="s">
        <v>5</v>
      </c>
      <c r="C1355" s="2">
        <f>IFERROR(__xludf.DUMMYFUNCTION("IFERROR(VLOOKUP(A1355, IMPORTRANGE(""https://docs.google.com/spreadsheets/d/1AVX9GT0dgogEBStecCXMMQ29tWz3gBrtNB8yIromXbY/edit?gid=741673867"", ""out1g!A:B""), 2, FALSE), 0)"),215.0)</f>
        <v>215</v>
      </c>
      <c r="D1355" s="2" t="str">
        <f>IFERROR(__xludf.DUMMYFUNCTION("IFERROR(VLOOKUP(A1355, IMPORTRANGE(""https://docs.google.com/spreadsheets/d/1-3Vjw2Cyy-mry5gbC8ypIR3YVGFfEpyFESummAta6sg/edit"", ""Sheet1!B:D""), 2, FALSE), ""Not Found"")"),"hækt")</f>
        <v>hækt</v>
      </c>
      <c r="E1355" s="2" t="str">
        <f>IFERROR(__xludf.DUMMYFUNCTION("IFERROR(VLOOKUP(A1355, IMPORTRANGE(""https://docs.google.com/spreadsheets/d/1-3Vjw2Cyy-mry5gbC8ypIR3YVGFfEpyFESummAta6sg/edit"", ""Sheet1!B:D""), 3, FALSE), ""Not Found"")"),"h æ k t ")</f>
        <v>h æ k t </v>
      </c>
    </row>
    <row r="1356">
      <c r="A1356" s="1" t="s">
        <v>1359</v>
      </c>
      <c r="B1356" s="1" t="s">
        <v>5</v>
      </c>
      <c r="C1356" s="2">
        <f>IFERROR(__xludf.DUMMYFUNCTION("IFERROR(VLOOKUP(A1356, IMPORTRANGE(""https://docs.google.com/spreadsheets/d/1AVX9GT0dgogEBStecCXMMQ29tWz3gBrtNB8yIromXbY/edit?gid=741673867"", ""out1g!A:B""), 2, FALSE), 0)"),182.0)</f>
        <v>182</v>
      </c>
      <c r="D1356" s="2" t="str">
        <f>IFERROR(__xludf.DUMMYFUNCTION("IFERROR(VLOOKUP(A1356, IMPORTRANGE(""https://docs.google.com/spreadsheets/d/1-3Vjw2Cyy-mry5gbC8ypIR3YVGFfEpyFESummAta6sg/edit"", ""Sheet1!B:D""), 2, FALSE), ""Not Found"")"),"sɪnʧ")</f>
        <v>sɪnʧ</v>
      </c>
      <c r="E1356" s="2" t="str">
        <f>IFERROR(__xludf.DUMMYFUNCTION("IFERROR(VLOOKUP(A1356, IMPORTRANGE(""https://docs.google.com/spreadsheets/d/1-3Vjw2Cyy-mry5gbC8ypIR3YVGFfEpyFESummAta6sg/edit"", ""Sheet1!B:D""), 3, FALSE), ""Not Found"")"),"s ɪ n ʧ ")</f>
        <v>s ɪ n ʧ </v>
      </c>
    </row>
    <row r="1357">
      <c r="A1357" s="1" t="s">
        <v>1360</v>
      </c>
      <c r="B1357" s="1" t="s">
        <v>5</v>
      </c>
      <c r="C1357" s="2">
        <f>IFERROR(__xludf.DUMMYFUNCTION("IFERROR(VLOOKUP(A1357, IMPORTRANGE(""https://docs.google.com/spreadsheets/d/1AVX9GT0dgogEBStecCXMMQ29tWz3gBrtNB8yIromXbY/edit?gid=741673867"", ""out1g!A:B""), 2, FALSE), 0)"),48.0)</f>
        <v>48</v>
      </c>
      <c r="D1357" s="2" t="str">
        <f>IFERROR(__xludf.DUMMYFUNCTION("IFERROR(VLOOKUP(A1357, IMPORTRANGE(""https://docs.google.com/spreadsheets/d/1-3Vjw2Cyy-mry5gbC8ypIR3YVGFfEpyFESummAta6sg/edit"", ""Sheet1!B:D""), 2, FALSE), ""Not Found"")"),"ʃin")</f>
        <v>ʃin</v>
      </c>
      <c r="E1357" s="2" t="str">
        <f>IFERROR(__xludf.DUMMYFUNCTION("IFERROR(VLOOKUP(A1357, IMPORTRANGE(""https://docs.google.com/spreadsheets/d/1-3Vjw2Cyy-mry5gbC8ypIR3YVGFfEpyFESummAta6sg/edit"", ""Sheet1!B:D""), 3, FALSE), ""Not Found"")"),"ʃ i n ")</f>
        <v>ʃ i n </v>
      </c>
    </row>
    <row r="1358">
      <c r="A1358" s="1" t="s">
        <v>1361</v>
      </c>
      <c r="B1358" s="1" t="s">
        <v>5</v>
      </c>
      <c r="C1358" s="2">
        <f>IFERROR(__xludf.DUMMYFUNCTION("IFERROR(VLOOKUP(A1358, IMPORTRANGE(""https://docs.google.com/spreadsheets/d/1AVX9GT0dgogEBStecCXMMQ29tWz3gBrtNB8yIromXbY/edit?gid=741673867"", ""out1g!A:B""), 2, FALSE), 0)"),130.0)</f>
        <v>130</v>
      </c>
      <c r="D1358" s="2" t="str">
        <f>IFERROR(__xludf.DUMMYFUNCTION("IFERROR(VLOOKUP(A1358, IMPORTRANGE(""https://docs.google.com/spreadsheets/d/1-3Vjw2Cyy-mry5gbC8ypIR3YVGFfEpyFESummAta6sg/edit"", ""Sheet1!B:D""), 2, FALSE), ""Not Found"")"),"əps")</f>
        <v>əps</v>
      </c>
      <c r="E1358" s="2" t="str">
        <f>IFERROR(__xludf.DUMMYFUNCTION("IFERROR(VLOOKUP(A1358, IMPORTRANGE(""https://docs.google.com/spreadsheets/d/1-3Vjw2Cyy-mry5gbC8ypIR3YVGFfEpyFESummAta6sg/edit"", ""Sheet1!B:D""), 3, FALSE), ""Not Found"")"),"ə p s ")</f>
        <v>ə p s </v>
      </c>
    </row>
    <row r="1359">
      <c r="A1359" s="1" t="s">
        <v>1362</v>
      </c>
      <c r="B1359" s="1" t="s">
        <v>5</v>
      </c>
      <c r="C1359" s="2">
        <f>IFERROR(__xludf.DUMMYFUNCTION("IFERROR(VLOOKUP(A1359, IMPORTRANGE(""https://docs.google.com/spreadsheets/d/1AVX9GT0dgogEBStecCXMMQ29tWz3gBrtNB8yIromXbY/edit?gid=741673867"", ""out1g!A:B""), 2, FALSE), 0)"),24707.0)</f>
        <v>24707</v>
      </c>
      <c r="D1359" s="2" t="str">
        <f>IFERROR(__xludf.DUMMYFUNCTION("IFERROR(VLOOKUP(A1359, IMPORTRANGE(""https://docs.google.com/spreadsheets/d/1-3Vjw2Cyy-mry5gbC8ypIR3YVGFfEpyFESummAta6sg/edit"", ""Sheet1!B:D""), 2, FALSE), ""Not Found"")"),"lɛft")</f>
        <v>lɛft</v>
      </c>
      <c r="E1359" s="2" t="str">
        <f>IFERROR(__xludf.DUMMYFUNCTION("IFERROR(VLOOKUP(A1359, IMPORTRANGE(""https://docs.google.com/spreadsheets/d/1-3Vjw2Cyy-mry5gbC8ypIR3YVGFfEpyFESummAta6sg/edit"", ""Sheet1!B:D""), 3, FALSE), ""Not Found"")"),"l ɛ f t ")</f>
        <v>l ɛ f t </v>
      </c>
    </row>
    <row r="1360">
      <c r="A1360" s="1" t="s">
        <v>1363</v>
      </c>
      <c r="B1360" s="1" t="s">
        <v>5</v>
      </c>
      <c r="C1360" s="2">
        <f>IFERROR(__xludf.DUMMYFUNCTION("IFERROR(VLOOKUP(A1360, IMPORTRANGE(""https://docs.google.com/spreadsheets/d/1AVX9GT0dgogEBStecCXMMQ29tWz3gBrtNB8yIromXbY/edit?gid=741673867"", ""out1g!A:B""), 2, FALSE), 0)"),1099.0)</f>
        <v>1099</v>
      </c>
      <c r="D1360" s="2" t="str">
        <f>IFERROR(__xludf.DUMMYFUNCTION("IFERROR(VLOOKUP(A1360, IMPORTRANGE(""https://docs.google.com/spreadsheets/d/1-3Vjw2Cyy-mry5gbC8ypIR3YVGFfEpyFESummAta6sg/edit"", ""Sheet1!B:D""), 2, FALSE), ""Not Found"")"),"sɛtɪŋ")</f>
        <v>sɛtɪŋ</v>
      </c>
      <c r="E1360" s="2" t="str">
        <f>IFERROR(__xludf.DUMMYFUNCTION("IFERROR(VLOOKUP(A1360, IMPORTRANGE(""https://docs.google.com/spreadsheets/d/1-3Vjw2Cyy-mry5gbC8ypIR3YVGFfEpyFESummAta6sg/edit"", ""Sheet1!B:D""), 3, FALSE), ""Not Found"")"),"s ɛ t ɪ ŋ ")</f>
        <v>s ɛ t ɪ ŋ </v>
      </c>
    </row>
    <row r="1361">
      <c r="A1361" s="1" t="s">
        <v>1364</v>
      </c>
      <c r="B1361" s="1" t="s">
        <v>5</v>
      </c>
      <c r="C1361" s="2">
        <f>IFERROR(__xludf.DUMMYFUNCTION("IFERROR(VLOOKUP(A1361, IMPORTRANGE(""https://docs.google.com/spreadsheets/d/1AVX9GT0dgogEBStecCXMMQ29tWz3gBrtNB8yIromXbY/edit?gid=741673867"", ""out1g!A:B""), 2, FALSE), 0)"),574.0)</f>
        <v>574</v>
      </c>
      <c r="D1361" s="2" t="str">
        <f>IFERROR(__xludf.DUMMYFUNCTION("IFERROR(VLOOKUP(A1361, IMPORTRANGE(""https://docs.google.com/spreadsheets/d/1-3Vjw2Cyy-mry5gbC8ypIR3YVGFfEpyFESummAta6sg/edit"", ""Sheet1!B:D""), 2, FALSE), ""Not Found"")"),"rezɪŋ")</f>
        <v>rezɪŋ</v>
      </c>
      <c r="E1361" s="2" t="str">
        <f>IFERROR(__xludf.DUMMYFUNCTION("IFERROR(VLOOKUP(A1361, IMPORTRANGE(""https://docs.google.com/spreadsheets/d/1-3Vjw2Cyy-mry5gbC8ypIR3YVGFfEpyFESummAta6sg/edit"", ""Sheet1!B:D""), 3, FALSE), ""Not Found"")"),"r e z ɪ ŋ ")</f>
        <v>r e z ɪ ŋ </v>
      </c>
    </row>
    <row r="1362">
      <c r="A1362" s="1" t="s">
        <v>1365</v>
      </c>
      <c r="B1362" s="1" t="s">
        <v>5</v>
      </c>
      <c r="C1362" s="2">
        <f>IFERROR(__xludf.DUMMYFUNCTION("IFERROR(VLOOKUP(A1362, IMPORTRANGE(""https://docs.google.com/spreadsheets/d/1AVX9GT0dgogEBStecCXMMQ29tWz3gBrtNB8yIromXbY/edit?gid=741673867"", ""out1g!A:B""), 2, FALSE), 0)"),187.0)</f>
        <v>187</v>
      </c>
      <c r="D1362" s="2" t="str">
        <f>IFERROR(__xludf.DUMMYFUNCTION("IFERROR(VLOOKUP(A1362, IMPORTRANGE(""https://docs.google.com/spreadsheets/d/1-3Vjw2Cyy-mry5gbC8ypIR3YVGFfEpyFESummAta6sg/edit"", ""Sheet1!B:D""), 2, FALSE), ""Not Found"")"),"gælənz")</f>
        <v>gælənz</v>
      </c>
      <c r="E1362" s="2" t="str">
        <f>IFERROR(__xludf.DUMMYFUNCTION("IFERROR(VLOOKUP(A1362, IMPORTRANGE(""https://docs.google.com/spreadsheets/d/1-3Vjw2Cyy-mry5gbC8ypIR3YVGFfEpyFESummAta6sg/edit"", ""Sheet1!B:D""), 3, FALSE), ""Not Found"")"),"g æ l ə n z ")</f>
        <v>g æ l ə n z </v>
      </c>
    </row>
    <row r="1363">
      <c r="A1363" s="1" t="s">
        <v>1366</v>
      </c>
      <c r="B1363" s="1" t="s">
        <v>5</v>
      </c>
      <c r="C1363" s="2">
        <f>IFERROR(__xludf.DUMMYFUNCTION("IFERROR(VLOOKUP(A1363, IMPORTRANGE(""https://docs.google.com/spreadsheets/d/1AVX9GT0dgogEBStecCXMMQ29tWz3gBrtNB8yIromXbY/edit?gid=741673867"", ""out1g!A:B""), 2, FALSE), 0)"),198.0)</f>
        <v>198</v>
      </c>
      <c r="D1363" s="2" t="str">
        <f>IFERROR(__xludf.DUMMYFUNCTION("IFERROR(VLOOKUP(A1363, IMPORTRANGE(""https://docs.google.com/spreadsheets/d/1-3Vjw2Cyy-mry5gbC8ypIR3YVGFfEpyFESummAta6sg/edit"", ""Sheet1!B:D""), 2, FALSE), ""Not Found"")"),"rɪʧər")</f>
        <v>rɪʧər</v>
      </c>
      <c r="E1363" s="2" t="str">
        <f>IFERROR(__xludf.DUMMYFUNCTION("IFERROR(VLOOKUP(A1363, IMPORTRANGE(""https://docs.google.com/spreadsheets/d/1-3Vjw2Cyy-mry5gbC8ypIR3YVGFfEpyFESummAta6sg/edit"", ""Sheet1!B:D""), 3, FALSE), ""Not Found"")"),"r ɪ ʧ ə r ")</f>
        <v>r ɪ ʧ ə r </v>
      </c>
    </row>
    <row r="1364">
      <c r="A1364" s="1" t="s">
        <v>1367</v>
      </c>
      <c r="B1364" s="1" t="s">
        <v>5</v>
      </c>
      <c r="C1364" s="2">
        <f>IFERROR(__xludf.DUMMYFUNCTION("IFERROR(VLOOKUP(A1364, IMPORTRANGE(""https://docs.google.com/spreadsheets/d/1AVX9GT0dgogEBStecCXMMQ29tWz3gBrtNB8yIromXbY/edit?gid=741673867"", ""out1g!A:B""), 2, FALSE), 0)"),194.0)</f>
        <v>194</v>
      </c>
      <c r="D1364" s="2" t="str">
        <f>IFERROR(__xludf.DUMMYFUNCTION("IFERROR(VLOOKUP(A1364, IMPORTRANGE(""https://docs.google.com/spreadsheets/d/1-3Vjw2Cyy-mry5gbC8ypIR3YVGFfEpyFESummAta6sg/edit"", ""Sheet1!B:D""), 2, FALSE), ""Not Found"")"),"eaɪ")</f>
        <v>eaɪ</v>
      </c>
      <c r="E1364" s="2" t="str">
        <f>IFERROR(__xludf.DUMMYFUNCTION("IFERROR(VLOOKUP(A1364, IMPORTRANGE(""https://docs.google.com/spreadsheets/d/1-3Vjw2Cyy-mry5gbC8ypIR3YVGFfEpyFESummAta6sg/edit"", ""Sheet1!B:D""), 3, FALSE), ""Not Found"")"),"e a ɪ ")</f>
        <v>e a ɪ </v>
      </c>
    </row>
    <row r="1365">
      <c r="A1365" s="1" t="s">
        <v>1368</v>
      </c>
      <c r="B1365" s="1" t="s">
        <v>5</v>
      </c>
      <c r="C1365" s="2">
        <f>IFERROR(__xludf.DUMMYFUNCTION("IFERROR(VLOOKUP(A1365, IMPORTRANGE(""https://docs.google.com/spreadsheets/d/1AVX9GT0dgogEBStecCXMMQ29tWz3gBrtNB8yIromXbY/edit?gid=741673867"", ""out1g!A:B""), 2, FALSE), 0)"),66.0)</f>
        <v>66</v>
      </c>
      <c r="D1365" s="2" t="str">
        <f>IFERROR(__xludf.DUMMYFUNCTION("IFERROR(VLOOKUP(A1365, IMPORTRANGE(""https://docs.google.com/spreadsheets/d/1-3Vjw2Cyy-mry5gbC8ypIR3YVGFfEpyFESummAta6sg/edit"", ""Sheet1!B:D""), 2, FALSE), ""Not Found"")"),"trioʊ")</f>
        <v>trioʊ</v>
      </c>
      <c r="E1365" s="2" t="str">
        <f>IFERROR(__xludf.DUMMYFUNCTION("IFERROR(VLOOKUP(A1365, IMPORTRANGE(""https://docs.google.com/spreadsheets/d/1-3Vjw2Cyy-mry5gbC8ypIR3YVGFfEpyFESummAta6sg/edit"", ""Sheet1!B:D""), 3, FALSE), ""Not Found"")"),"t r i o ʊ ")</f>
        <v>t r i o ʊ </v>
      </c>
    </row>
    <row r="1366">
      <c r="A1366" s="1" t="s">
        <v>1369</v>
      </c>
      <c r="B1366" s="1" t="s">
        <v>5</v>
      </c>
      <c r="C1366" s="2">
        <f>IFERROR(__xludf.DUMMYFUNCTION("IFERROR(VLOOKUP(A1366, IMPORTRANGE(""https://docs.google.com/spreadsheets/d/1AVX9GT0dgogEBStecCXMMQ29tWz3gBrtNB8yIromXbY/edit?gid=741673867"", ""out1g!A:B""), 2, FALSE), 0)"),51.0)</f>
        <v>51</v>
      </c>
      <c r="D1366" s="2" t="str">
        <f>IFERROR(__xludf.DUMMYFUNCTION("IFERROR(VLOOKUP(A1366, IMPORTRANGE(""https://docs.google.com/spreadsheets/d/1-3Vjw2Cyy-mry5gbC8ypIR3YVGFfEpyFESummAta6sg/edit"", ""Sheet1!B:D""), 2, FALSE), ""Not Found"")"),"brɪl")</f>
        <v>brɪl</v>
      </c>
      <c r="E1366" s="2" t="str">
        <f>IFERROR(__xludf.DUMMYFUNCTION("IFERROR(VLOOKUP(A1366, IMPORTRANGE(""https://docs.google.com/spreadsheets/d/1-3Vjw2Cyy-mry5gbC8ypIR3YVGFfEpyFESummAta6sg/edit"", ""Sheet1!B:D""), 3, FALSE), ""Not Found"")"),"b r ɪ l ")</f>
        <v>b r ɪ l </v>
      </c>
    </row>
    <row r="1367">
      <c r="A1367" s="1" t="s">
        <v>1370</v>
      </c>
      <c r="B1367" s="1" t="s">
        <v>5</v>
      </c>
      <c r="C1367" s="2">
        <f>IFERROR(__xludf.DUMMYFUNCTION("IFERROR(VLOOKUP(A1367, IMPORTRANGE(""https://docs.google.com/spreadsheets/d/1AVX9GT0dgogEBStecCXMMQ29tWz3gBrtNB8yIromXbY/edit?gid=741673867"", ""out1g!A:B""), 2, FALSE), 0)"),3605.0)</f>
        <v>3605</v>
      </c>
      <c r="D1367" s="2" t="str">
        <f>IFERROR(__xludf.DUMMYFUNCTION("IFERROR(VLOOKUP(A1367, IMPORTRANGE(""https://docs.google.com/spreadsheets/d/1-3Vjw2Cyy-mry5gbC8ypIR3YVGFfEpyFESummAta6sg/edit"", ""Sheet1!B:D""), 2, FALSE), ""Not Found"")"),"wɔl")</f>
        <v>wɔl</v>
      </c>
      <c r="E1367" s="2" t="str">
        <f>IFERROR(__xludf.DUMMYFUNCTION("IFERROR(VLOOKUP(A1367, IMPORTRANGE(""https://docs.google.com/spreadsheets/d/1-3Vjw2Cyy-mry5gbC8ypIR3YVGFfEpyFESummAta6sg/edit"", ""Sheet1!B:D""), 3, FALSE), ""Not Found"")"),"w ɔ l ")</f>
        <v>w ɔ l </v>
      </c>
    </row>
    <row r="1368">
      <c r="A1368" s="1" t="s">
        <v>1371</v>
      </c>
      <c r="B1368" s="1" t="s">
        <v>5</v>
      </c>
      <c r="C1368" s="2">
        <f>IFERROR(__xludf.DUMMYFUNCTION("IFERROR(VLOOKUP(A1368, IMPORTRANGE(""https://docs.google.com/spreadsheets/d/1AVX9GT0dgogEBStecCXMMQ29tWz3gBrtNB8yIromXbY/edit?gid=741673867"", ""out1g!A:B""), 2, FALSE), 0)"),50.0)</f>
        <v>50</v>
      </c>
      <c r="D1368" s="2" t="str">
        <f>IFERROR(__xludf.DUMMYFUNCTION("IFERROR(VLOOKUP(A1368, IMPORTRANGE(""https://docs.google.com/spreadsheets/d/1-3Vjw2Cyy-mry5gbC8ypIR3YVGFfEpyFESummAta6sg/edit"", ""Sheet1!B:D""), 2, FALSE), ""Not Found"")"),"zɪroʊz")</f>
        <v>zɪroʊz</v>
      </c>
      <c r="E1368" s="2" t="str">
        <f>IFERROR(__xludf.DUMMYFUNCTION("IFERROR(VLOOKUP(A1368, IMPORTRANGE(""https://docs.google.com/spreadsheets/d/1-3Vjw2Cyy-mry5gbC8ypIR3YVGFfEpyFESummAta6sg/edit"", ""Sheet1!B:D""), 3, FALSE), ""Not Found"")"),"z ɪ r o ʊ z ")</f>
        <v>z ɪ r o ʊ z </v>
      </c>
    </row>
    <row r="1369">
      <c r="A1369" s="1" t="s">
        <v>1372</v>
      </c>
      <c r="B1369" s="1" t="s">
        <v>5</v>
      </c>
      <c r="C1369" s="2">
        <f>IFERROR(__xludf.DUMMYFUNCTION("IFERROR(VLOOKUP(A1369, IMPORTRANGE(""https://docs.google.com/spreadsheets/d/1AVX9GT0dgogEBStecCXMMQ29tWz3gBrtNB8yIromXbY/edit?gid=741673867"", ""out1g!A:B""), 2, FALSE), 0)"),195.0)</f>
        <v>195</v>
      </c>
      <c r="D1369" s="2" t="str">
        <f>IFERROR(__xludf.DUMMYFUNCTION("IFERROR(VLOOKUP(A1369, IMPORTRANGE(""https://docs.google.com/spreadsheets/d/1-3Vjw2Cyy-mry5gbC8ypIR3YVGFfEpyFESummAta6sg/edit"", ""Sheet1!B:D""), 2, FALSE), ""Not Found"")"),"nebər")</f>
        <v>nebər</v>
      </c>
      <c r="E1369" s="2" t="str">
        <f>IFERROR(__xludf.DUMMYFUNCTION("IFERROR(VLOOKUP(A1369, IMPORTRANGE(""https://docs.google.com/spreadsheets/d/1-3Vjw2Cyy-mry5gbC8ypIR3YVGFfEpyFESummAta6sg/edit"", ""Sheet1!B:D""), 3, FALSE), ""Not Found"")"),"n e b ə r ")</f>
        <v>n e b ə r </v>
      </c>
    </row>
    <row r="1370">
      <c r="A1370" s="1" t="s">
        <v>1373</v>
      </c>
      <c r="B1370" s="1" t="s">
        <v>5</v>
      </c>
      <c r="C1370" s="2">
        <f>IFERROR(__xludf.DUMMYFUNCTION("IFERROR(VLOOKUP(A1370, IMPORTRANGE(""https://docs.google.com/spreadsheets/d/1AVX9GT0dgogEBStecCXMMQ29tWz3gBrtNB8yIromXbY/edit?gid=741673867"", ""out1g!A:B""), 2, FALSE), 0)"),163.0)</f>
        <v>163</v>
      </c>
      <c r="D1370" s="2" t="str">
        <f>IFERROR(__xludf.DUMMYFUNCTION("IFERROR(VLOOKUP(A1370, IMPORTRANGE(""https://docs.google.com/spreadsheets/d/1-3Vjw2Cyy-mry5gbC8ypIR3YVGFfEpyFESummAta6sg/edit"", ""Sheet1!B:D""), 2, FALSE), ""Not Found"")"),"vænɪʃ")</f>
        <v>vænɪʃ</v>
      </c>
      <c r="E1370" s="2" t="str">
        <f>IFERROR(__xludf.DUMMYFUNCTION("IFERROR(VLOOKUP(A1370, IMPORTRANGE(""https://docs.google.com/spreadsheets/d/1-3Vjw2Cyy-mry5gbC8ypIR3YVGFfEpyFESummAta6sg/edit"", ""Sheet1!B:D""), 3, FALSE), ""Not Found"")"),"v æ n ɪ ʃ ")</f>
        <v>v æ n ɪ ʃ </v>
      </c>
    </row>
    <row r="1371">
      <c r="A1371" s="1" t="s">
        <v>1374</v>
      </c>
      <c r="B1371" s="1" t="s">
        <v>5</v>
      </c>
      <c r="C1371" s="2">
        <f>IFERROR(__xludf.DUMMYFUNCTION("IFERROR(VLOOKUP(A1371, IMPORTRANGE(""https://docs.google.com/spreadsheets/d/1AVX9GT0dgogEBStecCXMMQ29tWz3gBrtNB8yIromXbY/edit?gid=741673867"", ""out1g!A:B""), 2, FALSE), 0)"),1830.0)</f>
        <v>1830</v>
      </c>
      <c r="D1371" s="2" t="str">
        <f>IFERROR(__xludf.DUMMYFUNCTION("IFERROR(VLOOKUP(A1371, IMPORTRANGE(""https://docs.google.com/spreadsheets/d/1-3Vjw2Cyy-mry5gbC8ypIR3YVGFfEpyFESummAta6sg/edit"", ""Sheet1!B:D""), 2, FALSE), ""Not Found"")"),"fɪl")</f>
        <v>fɪl</v>
      </c>
      <c r="E1371" s="2" t="str">
        <f>IFERROR(__xludf.DUMMYFUNCTION("IFERROR(VLOOKUP(A1371, IMPORTRANGE(""https://docs.google.com/spreadsheets/d/1-3Vjw2Cyy-mry5gbC8ypIR3YVGFfEpyFESummAta6sg/edit"", ""Sheet1!B:D""), 3, FALSE), ""Not Found"")"),"f ɪ l ")</f>
        <v>f ɪ l </v>
      </c>
    </row>
    <row r="1372">
      <c r="A1372" s="1" t="s">
        <v>1375</v>
      </c>
      <c r="B1372" s="1" t="s">
        <v>5</v>
      </c>
      <c r="C1372" s="2">
        <f>IFERROR(__xludf.DUMMYFUNCTION("IFERROR(VLOOKUP(A1372, IMPORTRANGE(""https://docs.google.com/spreadsheets/d/1AVX9GT0dgogEBStecCXMMQ29tWz3gBrtNB8yIromXbY/edit?gid=741673867"", ""out1g!A:B""), 2, FALSE), 0)"),74.0)</f>
        <v>74</v>
      </c>
      <c r="D1372" s="2" t="str">
        <f>IFERROR(__xludf.DUMMYFUNCTION("IFERROR(VLOOKUP(A1372, IMPORTRANGE(""https://docs.google.com/spreadsheets/d/1-3Vjw2Cyy-mry5gbC8ypIR3YVGFfEpyFESummAta6sg/edit"", ""Sheet1!B:D""), 2, FALSE), ""Not Found"")"),"bɑm")</f>
        <v>bɑm</v>
      </c>
      <c r="E1372" s="2" t="str">
        <f>IFERROR(__xludf.DUMMYFUNCTION("IFERROR(VLOOKUP(A1372, IMPORTRANGE(""https://docs.google.com/spreadsheets/d/1-3Vjw2Cyy-mry5gbC8ypIR3YVGFfEpyFESummAta6sg/edit"", ""Sheet1!B:D""), 3, FALSE), ""Not Found"")"),"b ɑ m ")</f>
        <v>b ɑ m </v>
      </c>
    </row>
    <row r="1373">
      <c r="A1373" s="1" t="s">
        <v>1376</v>
      </c>
      <c r="B1373" s="1" t="s">
        <v>5</v>
      </c>
      <c r="C1373" s="2">
        <f>IFERROR(__xludf.DUMMYFUNCTION("IFERROR(VLOOKUP(A1373, IMPORTRANGE(""https://docs.google.com/spreadsheets/d/1AVX9GT0dgogEBStecCXMMQ29tWz3gBrtNB8yIromXbY/edit?gid=741673867"", ""out1g!A:B""), 2, FALSE), 0)"),194.0)</f>
        <v>194</v>
      </c>
      <c r="D1373" s="2" t="str">
        <f>IFERROR(__xludf.DUMMYFUNCTION("IFERROR(VLOOKUP(A1373, IMPORTRANGE(""https://docs.google.com/spreadsheets/d/1-3Vjw2Cyy-mry5gbC8ypIR3YVGFfEpyFESummAta6sg/edit"", ""Sheet1!B:D""), 2, FALSE), ""Not Found"")"),"reni")</f>
        <v>reni</v>
      </c>
      <c r="E1373" s="2" t="str">
        <f>IFERROR(__xludf.DUMMYFUNCTION("IFERROR(VLOOKUP(A1373, IMPORTRANGE(""https://docs.google.com/spreadsheets/d/1-3Vjw2Cyy-mry5gbC8ypIR3YVGFfEpyFESummAta6sg/edit"", ""Sheet1!B:D""), 3, FALSE), ""Not Found"")"),"r e n i ")</f>
        <v>r e n i </v>
      </c>
    </row>
    <row r="1374">
      <c r="A1374" s="1" t="s">
        <v>1377</v>
      </c>
      <c r="B1374" s="1" t="s">
        <v>5</v>
      </c>
      <c r="C1374" s="2">
        <f>IFERROR(__xludf.DUMMYFUNCTION("IFERROR(VLOOKUP(A1374, IMPORTRANGE(""https://docs.google.com/spreadsheets/d/1AVX9GT0dgogEBStecCXMMQ29tWz3gBrtNB8yIromXbY/edit?gid=741673867"", ""out1g!A:B""), 2, FALSE), 0)"),70.0)</f>
        <v>70</v>
      </c>
      <c r="D1374" s="2" t="str">
        <f>IFERROR(__xludf.DUMMYFUNCTION("IFERROR(VLOOKUP(A1374, IMPORTRANGE(""https://docs.google.com/spreadsheets/d/1-3Vjw2Cyy-mry5gbC8ypIR3YVGFfEpyFESummAta6sg/edit"", ""Sheet1!B:D""), 2, FALSE), ""Not Found"")"),"strend")</f>
        <v>strend</v>
      </c>
      <c r="E1374" s="2" t="str">
        <f>IFERROR(__xludf.DUMMYFUNCTION("IFERROR(VLOOKUP(A1374, IMPORTRANGE(""https://docs.google.com/spreadsheets/d/1-3Vjw2Cyy-mry5gbC8ypIR3YVGFfEpyFESummAta6sg/edit"", ""Sheet1!B:D""), 3, FALSE), ""Not Found"")"),"s t r e n d ")</f>
        <v>s t r e n d </v>
      </c>
    </row>
    <row r="1375">
      <c r="A1375" s="1" t="s">
        <v>1378</v>
      </c>
      <c r="B1375" s="1" t="s">
        <v>5</v>
      </c>
      <c r="C1375" s="2">
        <f>IFERROR(__xludf.DUMMYFUNCTION("IFERROR(VLOOKUP(A1375, IMPORTRANGE(""https://docs.google.com/spreadsheets/d/1AVX9GT0dgogEBStecCXMMQ29tWz3gBrtNB8yIromXbY/edit?gid=741673867"", ""out1g!A:B""), 2, FALSE), 0)"),269.0)</f>
        <v>269</v>
      </c>
      <c r="D1375" s="2" t="str">
        <f>IFERROR(__xludf.DUMMYFUNCTION("IFERROR(VLOOKUP(A1375, IMPORTRANGE(""https://docs.google.com/spreadsheets/d/1-3Vjw2Cyy-mry5gbC8ypIR3YVGFfEpyFESummAta6sg/edit"", ""Sheet1!B:D""), 2, FALSE), ""Not Found"")"),"stɔkɪŋ")</f>
        <v>stɔkɪŋ</v>
      </c>
      <c r="E1375" s="2" t="str">
        <f>IFERROR(__xludf.DUMMYFUNCTION("IFERROR(VLOOKUP(A1375, IMPORTRANGE(""https://docs.google.com/spreadsheets/d/1-3Vjw2Cyy-mry5gbC8ypIR3YVGFfEpyFESummAta6sg/edit"", ""Sheet1!B:D""), 3, FALSE), ""Not Found"")"),"s t ɔ k ɪ ŋ ")</f>
        <v>s t ɔ k ɪ ŋ </v>
      </c>
    </row>
    <row r="1376">
      <c r="A1376" s="1" t="s">
        <v>1379</v>
      </c>
      <c r="B1376" s="1" t="s">
        <v>5</v>
      </c>
      <c r="C1376" s="2">
        <f>IFERROR(__xludf.DUMMYFUNCTION("IFERROR(VLOOKUP(A1376, IMPORTRANGE(""https://docs.google.com/spreadsheets/d/1AVX9GT0dgogEBStecCXMMQ29tWz3gBrtNB8yIromXbY/edit?gid=741673867"", ""out1g!A:B""), 2, FALSE), 0)"),1238.0)</f>
        <v>1238</v>
      </c>
      <c r="D1376" s="2" t="str">
        <f>IFERROR(__xludf.DUMMYFUNCTION("IFERROR(VLOOKUP(A1376, IMPORTRANGE(""https://docs.google.com/spreadsheets/d/1-3Vjw2Cyy-mry5gbC8ypIR3YVGFfEpyFESummAta6sg/edit"", ""Sheet1!B:D""), 2, FALSE), ""Not Found"")"),"læfs")</f>
        <v>læfs</v>
      </c>
      <c r="E1376" s="2" t="str">
        <f>IFERROR(__xludf.DUMMYFUNCTION("IFERROR(VLOOKUP(A1376, IMPORTRANGE(""https://docs.google.com/spreadsheets/d/1-3Vjw2Cyy-mry5gbC8ypIR3YVGFfEpyFESummAta6sg/edit"", ""Sheet1!B:D""), 3, FALSE), ""Not Found"")"),"l æ f s ")</f>
        <v>l æ f s </v>
      </c>
    </row>
    <row r="1377">
      <c r="A1377" s="1" t="s">
        <v>1380</v>
      </c>
      <c r="B1377" s="1" t="s">
        <v>5</v>
      </c>
      <c r="C1377" s="2">
        <f>IFERROR(__xludf.DUMMYFUNCTION("IFERROR(VLOOKUP(A1377, IMPORTRANGE(""https://docs.google.com/spreadsheets/d/1AVX9GT0dgogEBStecCXMMQ29tWz3gBrtNB8yIromXbY/edit?gid=741673867"", ""out1g!A:B""), 2, FALSE), 0)"),206.0)</f>
        <v>206</v>
      </c>
      <c r="D1377" s="2" t="str">
        <f>IFERROR(__xludf.DUMMYFUNCTION("IFERROR(VLOOKUP(A1377, IMPORTRANGE(""https://docs.google.com/spreadsheets/d/1-3Vjw2Cyy-mry5gbC8ypIR3YVGFfEpyFESummAta6sg/edit"", ""Sheet1!B:D""), 2, FALSE), ""Not Found"")"),"ʤɛn")</f>
        <v>ʤɛn</v>
      </c>
      <c r="E1377" s="2" t="str">
        <f>IFERROR(__xludf.DUMMYFUNCTION("IFERROR(VLOOKUP(A1377, IMPORTRANGE(""https://docs.google.com/spreadsheets/d/1-3Vjw2Cyy-mry5gbC8ypIR3YVGFfEpyFESummAta6sg/edit"", ""Sheet1!B:D""), 3, FALSE), ""Not Found"")"),"ʤ ɛ n ")</f>
        <v>ʤ ɛ n </v>
      </c>
    </row>
    <row r="1378">
      <c r="A1378" s="1" t="s">
        <v>1381</v>
      </c>
      <c r="B1378" s="1" t="s">
        <v>5</v>
      </c>
      <c r="C1378" s="2">
        <f>IFERROR(__xludf.DUMMYFUNCTION("IFERROR(VLOOKUP(A1378, IMPORTRANGE(""https://docs.google.com/spreadsheets/d/1AVX9GT0dgogEBStecCXMMQ29tWz3gBrtNB8yIromXbY/edit?gid=741673867"", ""out1g!A:B""), 2, FALSE), 0)"),478.0)</f>
        <v>478</v>
      </c>
      <c r="D1378" s="2" t="str">
        <f>IFERROR(__xludf.DUMMYFUNCTION("IFERROR(VLOOKUP(A1378, IMPORTRANGE(""https://docs.google.com/spreadsheets/d/1-3Vjw2Cyy-mry5gbC8ypIR3YVGFfEpyFESummAta6sg/edit"", ""Sheet1!B:D""), 2, FALSE), ""Not Found"")"),"sɛlər")</f>
        <v>sɛlər</v>
      </c>
      <c r="E1378" s="2" t="str">
        <f>IFERROR(__xludf.DUMMYFUNCTION("IFERROR(VLOOKUP(A1378, IMPORTRANGE(""https://docs.google.com/spreadsheets/d/1-3Vjw2Cyy-mry5gbC8ypIR3YVGFfEpyFESummAta6sg/edit"", ""Sheet1!B:D""), 3, FALSE), ""Not Found"")"),"s ɛ l ə r ")</f>
        <v>s ɛ l ə r </v>
      </c>
    </row>
    <row r="1379">
      <c r="A1379" s="1" t="s">
        <v>1382</v>
      </c>
      <c r="B1379" s="1" t="s">
        <v>5</v>
      </c>
      <c r="C1379" s="2">
        <f>IFERROR(__xludf.DUMMYFUNCTION("IFERROR(VLOOKUP(A1379, IMPORTRANGE(""https://docs.google.com/spreadsheets/d/1AVX9GT0dgogEBStecCXMMQ29tWz3gBrtNB8yIromXbY/edit?gid=741673867"", ""out1g!A:B""), 2, FALSE), 0)"),59.0)</f>
        <v>59</v>
      </c>
      <c r="D1379" s="2" t="str">
        <f>IFERROR(__xludf.DUMMYFUNCTION("IFERROR(VLOOKUP(A1379, IMPORTRANGE(""https://docs.google.com/spreadsheets/d/1-3Vjw2Cyy-mry5gbC8ypIR3YVGFfEpyFESummAta6sg/edit"", ""Sheet1!B:D""), 2, FALSE), ""Not Found"")"),"ʤɑks")</f>
        <v>ʤɑks</v>
      </c>
      <c r="E1379" s="2" t="str">
        <f>IFERROR(__xludf.DUMMYFUNCTION("IFERROR(VLOOKUP(A1379, IMPORTRANGE(""https://docs.google.com/spreadsheets/d/1-3Vjw2Cyy-mry5gbC8ypIR3YVGFfEpyFESummAta6sg/edit"", ""Sheet1!B:D""), 3, FALSE), ""Not Found"")"),"ʤ ɑ k s ")</f>
        <v>ʤ ɑ k s </v>
      </c>
    </row>
    <row r="1380">
      <c r="A1380" s="1" t="s">
        <v>1383</v>
      </c>
      <c r="B1380" s="1" t="s">
        <v>5</v>
      </c>
      <c r="C1380" s="2">
        <f>IFERROR(__xludf.DUMMYFUNCTION("IFERROR(VLOOKUP(A1380, IMPORTRANGE(""https://docs.google.com/spreadsheets/d/1AVX9GT0dgogEBStecCXMMQ29tWz3gBrtNB8yIromXbY/edit?gid=741673867"", ""out1g!A:B""), 2, FALSE), 0)"),100.0)</f>
        <v>100</v>
      </c>
      <c r="D1380" s="2" t="str">
        <f>IFERROR(__xludf.DUMMYFUNCTION("IFERROR(VLOOKUP(A1380, IMPORTRANGE(""https://docs.google.com/spreadsheets/d/1-3Vjw2Cyy-mry5gbC8ypIR3YVGFfEpyFESummAta6sg/edit"", ""Sheet1!B:D""), 2, FALSE), ""Not Found"")"),"lɑʤd")</f>
        <v>lɑʤd</v>
      </c>
      <c r="E1380" s="2" t="str">
        <f>IFERROR(__xludf.DUMMYFUNCTION("IFERROR(VLOOKUP(A1380, IMPORTRANGE(""https://docs.google.com/spreadsheets/d/1-3Vjw2Cyy-mry5gbC8ypIR3YVGFfEpyFESummAta6sg/edit"", ""Sheet1!B:D""), 3, FALSE), ""Not Found"")"),"l ɑ ʤ d ")</f>
        <v>l ɑ ʤ d </v>
      </c>
    </row>
    <row r="1381">
      <c r="A1381" s="1" t="s">
        <v>1384</v>
      </c>
      <c r="B1381" s="1" t="s">
        <v>5</v>
      </c>
      <c r="C1381" s="2">
        <f>IFERROR(__xludf.DUMMYFUNCTION("IFERROR(VLOOKUP(A1381, IMPORTRANGE(""https://docs.google.com/spreadsheets/d/1AVX9GT0dgogEBStecCXMMQ29tWz3gBrtNB8yIromXbY/edit?gid=741673867"", ""out1g!A:B""), 2, FALSE), 0)"),57.0)</f>
        <v>57</v>
      </c>
      <c r="D1381" s="2" t="str">
        <f>IFERROR(__xludf.DUMMYFUNCTION("IFERROR(VLOOKUP(A1381, IMPORTRANGE(""https://docs.google.com/spreadsheets/d/1-3Vjw2Cyy-mry5gbC8ypIR3YVGFfEpyFESummAta6sg/edit"", ""Sheet1!B:D""), 2, FALSE), ""Not Found"")"),"rɪf")</f>
        <v>rɪf</v>
      </c>
      <c r="E1381" s="2" t="str">
        <f>IFERROR(__xludf.DUMMYFUNCTION("IFERROR(VLOOKUP(A1381, IMPORTRANGE(""https://docs.google.com/spreadsheets/d/1-3Vjw2Cyy-mry5gbC8ypIR3YVGFfEpyFESummAta6sg/edit"", ""Sheet1!B:D""), 3, FALSE), ""Not Found"")"),"r ɪ f ")</f>
        <v>r ɪ f </v>
      </c>
    </row>
    <row r="1382">
      <c r="A1382" s="1" t="s">
        <v>1385</v>
      </c>
      <c r="B1382" s="1" t="s">
        <v>5</v>
      </c>
      <c r="C1382" s="2">
        <f>IFERROR(__xludf.DUMMYFUNCTION("IFERROR(VLOOKUP(A1382, IMPORTRANGE(""https://docs.google.com/spreadsheets/d/1AVX9GT0dgogEBStecCXMMQ29tWz3gBrtNB8yIromXbY/edit?gid=741673867"", ""out1g!A:B""), 2, FALSE), 0)"),3844.0)</f>
        <v>3844</v>
      </c>
      <c r="D1382" s="2" t="str">
        <f>IFERROR(__xludf.DUMMYFUNCTION("IFERROR(VLOOKUP(A1382, IMPORTRANGE(""https://docs.google.com/spreadsheets/d/1-3Vjw2Cyy-mry5gbC8ypIR3YVGFfEpyFESummAta6sg/edit"", ""Sheet1!B:D""), 2, FALSE), ""Not Found"")"),"stɑpt")</f>
        <v>stɑpt</v>
      </c>
      <c r="E1382" s="2" t="str">
        <f>IFERROR(__xludf.DUMMYFUNCTION("IFERROR(VLOOKUP(A1382, IMPORTRANGE(""https://docs.google.com/spreadsheets/d/1-3Vjw2Cyy-mry5gbC8ypIR3YVGFfEpyFESummAta6sg/edit"", ""Sheet1!B:D""), 3, FALSE), ""Not Found"")"),"s t ɑ p t ")</f>
        <v>s t ɑ p t </v>
      </c>
    </row>
    <row r="1383">
      <c r="A1383" s="1" t="s">
        <v>1386</v>
      </c>
      <c r="B1383" s="1" t="s">
        <v>5</v>
      </c>
      <c r="C1383" s="2">
        <f>IFERROR(__xludf.DUMMYFUNCTION("IFERROR(VLOOKUP(A1383, IMPORTRANGE(""https://docs.google.com/spreadsheets/d/1AVX9GT0dgogEBStecCXMMQ29tWz3gBrtNB8yIromXbY/edit?gid=741673867"", ""out1g!A:B""), 2, FALSE), 0)"),120.0)</f>
        <v>120</v>
      </c>
      <c r="D1383" s="2" t="str">
        <f>IFERROR(__xludf.DUMMYFUNCTION("IFERROR(VLOOKUP(A1383, IMPORTRANGE(""https://docs.google.com/spreadsheets/d/1-3Vjw2Cyy-mry5gbC8ypIR3YVGFfEpyFESummAta6sg/edit"", ""Sheet1!B:D""), 2, FALSE), ""Not Found"")"),"duʃ")</f>
        <v>duʃ</v>
      </c>
      <c r="E1383" s="2" t="str">
        <f>IFERROR(__xludf.DUMMYFUNCTION("IFERROR(VLOOKUP(A1383, IMPORTRANGE(""https://docs.google.com/spreadsheets/d/1-3Vjw2Cyy-mry5gbC8ypIR3YVGFfEpyFESummAta6sg/edit"", ""Sheet1!B:D""), 3, FALSE), ""Not Found"")"),"d u ʃ ")</f>
        <v>d u ʃ </v>
      </c>
    </row>
    <row r="1384">
      <c r="A1384" s="1" t="s">
        <v>1387</v>
      </c>
      <c r="B1384" s="1" t="s">
        <v>5</v>
      </c>
      <c r="C1384" s="2">
        <f>IFERROR(__xludf.DUMMYFUNCTION("IFERROR(VLOOKUP(A1384, IMPORTRANGE(""https://docs.google.com/spreadsheets/d/1AVX9GT0dgogEBStecCXMMQ29tWz3gBrtNB8yIromXbY/edit?gid=741673867"", ""out1g!A:B""), 2, FALSE), 0)"),1007.0)</f>
        <v>1007</v>
      </c>
      <c r="D1384" s="2" t="str">
        <f>IFERROR(__xludf.DUMMYFUNCTION("IFERROR(VLOOKUP(A1384, IMPORTRANGE(""https://docs.google.com/spreadsheets/d/1-3Vjw2Cyy-mry5gbC8ypIR3YVGFfEpyFESummAta6sg/edit"", ""Sheet1!B:D""), 2, FALSE), ""Not Found"")"),"klaɪm")</f>
        <v>klaɪm</v>
      </c>
      <c r="E1384" s="2" t="str">
        <f>IFERROR(__xludf.DUMMYFUNCTION("IFERROR(VLOOKUP(A1384, IMPORTRANGE(""https://docs.google.com/spreadsheets/d/1-3Vjw2Cyy-mry5gbC8ypIR3YVGFfEpyFESummAta6sg/edit"", ""Sheet1!B:D""), 3, FALSE), ""Not Found"")"),"k l a ɪ m ")</f>
        <v>k l a ɪ m </v>
      </c>
    </row>
    <row r="1385">
      <c r="A1385" s="1" t="s">
        <v>1388</v>
      </c>
      <c r="B1385" s="1" t="s">
        <v>5</v>
      </c>
      <c r="C1385" s="2">
        <f>IFERROR(__xludf.DUMMYFUNCTION("IFERROR(VLOOKUP(A1385, IMPORTRANGE(""https://docs.google.com/spreadsheets/d/1AVX9GT0dgogEBStecCXMMQ29tWz3gBrtNB8yIromXbY/edit?gid=741673867"", ""out1g!A:B""), 2, FALSE), 0)"),3878.0)</f>
        <v>3878</v>
      </c>
      <c r="D1385" s="2" t="str">
        <f>IFERROR(__xludf.DUMMYFUNCTION("IFERROR(VLOOKUP(A1385, IMPORTRANGE(""https://docs.google.com/spreadsheets/d/1-3Vjw2Cyy-mry5gbC8ypIR3YVGFfEpyFESummAta6sg/edit"", ""Sheet1!B:D""), 2, FALSE), ""Not Found"")"),"foʊks")</f>
        <v>foʊks</v>
      </c>
      <c r="E1385" s="2" t="str">
        <f>IFERROR(__xludf.DUMMYFUNCTION("IFERROR(VLOOKUP(A1385, IMPORTRANGE(""https://docs.google.com/spreadsheets/d/1-3Vjw2Cyy-mry5gbC8ypIR3YVGFfEpyFESummAta6sg/edit"", ""Sheet1!B:D""), 3, FALSE), ""Not Found"")"),"f o ʊ k s ")</f>
        <v>f o ʊ k s </v>
      </c>
    </row>
    <row r="1386">
      <c r="A1386" s="1" t="s">
        <v>1389</v>
      </c>
      <c r="B1386" s="1" t="s">
        <v>5</v>
      </c>
      <c r="C1386" s="2">
        <f>IFERROR(__xludf.DUMMYFUNCTION("IFERROR(VLOOKUP(A1386, IMPORTRANGE(""https://docs.google.com/spreadsheets/d/1AVX9GT0dgogEBStecCXMMQ29tWz3gBrtNB8yIromXbY/edit?gid=741673867"", ""out1g!A:B""), 2, FALSE), 0)"),88.0)</f>
        <v>88</v>
      </c>
      <c r="D1386" s="2" t="str">
        <f>IFERROR(__xludf.DUMMYFUNCTION("IFERROR(VLOOKUP(A1386, IMPORTRANGE(""https://docs.google.com/spreadsheets/d/1-3Vjw2Cyy-mry5gbC8ypIR3YVGFfEpyFESummAta6sg/edit"", ""Sheet1!B:D""), 2, FALSE), ""Not Found"")"),"pɑsʧər")</f>
        <v>pɑsʧər</v>
      </c>
      <c r="E1386" s="2" t="str">
        <f>IFERROR(__xludf.DUMMYFUNCTION("IFERROR(VLOOKUP(A1386, IMPORTRANGE(""https://docs.google.com/spreadsheets/d/1-3Vjw2Cyy-mry5gbC8ypIR3YVGFfEpyFESummAta6sg/edit"", ""Sheet1!B:D""), 3, FALSE), ""Not Found"")"),"p ɑ s ʧ ə r ")</f>
        <v>p ɑ s ʧ ə r </v>
      </c>
    </row>
    <row r="1387">
      <c r="A1387" s="1" t="s">
        <v>1390</v>
      </c>
      <c r="B1387" s="1" t="s">
        <v>5</v>
      </c>
      <c r="C1387" s="2">
        <f>IFERROR(__xludf.DUMMYFUNCTION("IFERROR(VLOOKUP(A1387, IMPORTRANGE(""https://docs.google.com/spreadsheets/d/1AVX9GT0dgogEBStecCXMMQ29tWz3gBrtNB8yIromXbY/edit?gid=741673867"", ""out1g!A:B""), 2, FALSE), 0)"),204.0)</f>
        <v>204</v>
      </c>
      <c r="D1387" s="2" t="str">
        <f>IFERROR(__xludf.DUMMYFUNCTION("IFERROR(VLOOKUP(A1387, IMPORTRANGE(""https://docs.google.com/spreadsheets/d/1-3Vjw2Cyy-mry5gbC8ypIR3YVGFfEpyFESummAta6sg/edit"", ""Sheet1!B:D""), 2, FALSE), ""Not Found"")"),"ʃɛli")</f>
        <v>ʃɛli</v>
      </c>
      <c r="E1387" s="2" t="str">
        <f>IFERROR(__xludf.DUMMYFUNCTION("IFERROR(VLOOKUP(A1387, IMPORTRANGE(""https://docs.google.com/spreadsheets/d/1-3Vjw2Cyy-mry5gbC8ypIR3YVGFfEpyFESummAta6sg/edit"", ""Sheet1!B:D""), 3, FALSE), ""Not Found"")"),"ʃ ɛ l i ")</f>
        <v>ʃ ɛ l i </v>
      </c>
    </row>
    <row r="1388">
      <c r="A1388" s="1" t="s">
        <v>1391</v>
      </c>
      <c r="B1388" s="1" t="s">
        <v>5</v>
      </c>
      <c r="C1388" s="2">
        <f>IFERROR(__xludf.DUMMYFUNCTION("IFERROR(VLOOKUP(A1388, IMPORTRANGE(""https://docs.google.com/spreadsheets/d/1AVX9GT0dgogEBStecCXMMQ29tWz3gBrtNB8yIromXbY/edit?gid=741673867"", ""out1g!A:B""), 2, FALSE), 0)"),1308.0)</f>
        <v>1308</v>
      </c>
      <c r="D1388" s="2" t="str">
        <f>IFERROR(__xludf.DUMMYFUNCTION("IFERROR(VLOOKUP(A1388, IMPORTRANGE(""https://docs.google.com/spreadsheets/d/1-3Vjw2Cyy-mry5gbC8ypIR3YVGFfEpyFESummAta6sg/edit"", ""Sheet1!B:D""), 2, FALSE), ""Not Found"")"),"plet")</f>
        <v>plet</v>
      </c>
      <c r="E1388" s="2" t="str">
        <f>IFERROR(__xludf.DUMMYFUNCTION("IFERROR(VLOOKUP(A1388, IMPORTRANGE(""https://docs.google.com/spreadsheets/d/1-3Vjw2Cyy-mry5gbC8ypIR3YVGFfEpyFESummAta6sg/edit"", ""Sheet1!B:D""), 3, FALSE), ""Not Found"")"),"p l e t ")</f>
        <v>p l e t </v>
      </c>
    </row>
    <row r="1389">
      <c r="A1389" s="1" t="s">
        <v>1392</v>
      </c>
      <c r="B1389" s="1" t="s">
        <v>5</v>
      </c>
      <c r="C1389" s="2">
        <f>IFERROR(__xludf.DUMMYFUNCTION("IFERROR(VLOOKUP(A1389, IMPORTRANGE(""https://docs.google.com/spreadsheets/d/1AVX9GT0dgogEBStecCXMMQ29tWz3gBrtNB8yIromXbY/edit?gid=741673867"", ""out1g!A:B""), 2, FALSE), 0)"),54.0)</f>
        <v>54</v>
      </c>
      <c r="D1389" s="2" t="str">
        <f>IFERROR(__xludf.DUMMYFUNCTION("IFERROR(VLOOKUP(A1389, IMPORTRANGE(""https://docs.google.com/spreadsheets/d/1-3Vjw2Cyy-mry5gbC8ypIR3YVGFfEpyFESummAta6sg/edit"", ""Sheet1!B:D""), 2, FALSE), ""Not Found"")"),"smi")</f>
        <v>smi</v>
      </c>
      <c r="E1389" s="2" t="str">
        <f>IFERROR(__xludf.DUMMYFUNCTION("IFERROR(VLOOKUP(A1389, IMPORTRANGE(""https://docs.google.com/spreadsheets/d/1-3Vjw2Cyy-mry5gbC8ypIR3YVGFfEpyFESummAta6sg/edit"", ""Sheet1!B:D""), 3, FALSE), ""Not Found"")"),"s m i ")</f>
        <v>s m i </v>
      </c>
    </row>
    <row r="1390">
      <c r="A1390" s="1" t="s">
        <v>1393</v>
      </c>
      <c r="B1390" s="1" t="s">
        <v>5</v>
      </c>
      <c r="C1390" s="2">
        <f>IFERROR(__xludf.DUMMYFUNCTION("IFERROR(VLOOKUP(A1390, IMPORTRANGE(""https://docs.google.com/spreadsheets/d/1AVX9GT0dgogEBStecCXMMQ29tWz3gBrtNB8yIromXbY/edit?gid=741673867"", ""out1g!A:B""), 2, FALSE), 0)"),111.0)</f>
        <v>111</v>
      </c>
      <c r="D1390" s="2" t="str">
        <f>IFERROR(__xludf.DUMMYFUNCTION("IFERROR(VLOOKUP(A1390, IMPORTRANGE(""https://docs.google.com/spreadsheets/d/1-3Vjw2Cyy-mry5gbC8ypIR3YVGFfEpyFESummAta6sg/edit"", ""Sheet1!B:D""), 2, FALSE), ""Not Found"")"),"poʊlz")</f>
        <v>poʊlz</v>
      </c>
      <c r="E1390" s="2" t="str">
        <f>IFERROR(__xludf.DUMMYFUNCTION("IFERROR(VLOOKUP(A1390, IMPORTRANGE(""https://docs.google.com/spreadsheets/d/1-3Vjw2Cyy-mry5gbC8ypIR3YVGFfEpyFESummAta6sg/edit"", ""Sheet1!B:D""), 3, FALSE), ""Not Found"")"),"p o ʊ l z ")</f>
        <v>p o ʊ l z </v>
      </c>
    </row>
    <row r="1391">
      <c r="A1391" s="1" t="s">
        <v>1394</v>
      </c>
      <c r="B1391" s="1" t="s">
        <v>5</v>
      </c>
      <c r="C1391" s="2">
        <f>IFERROR(__xludf.DUMMYFUNCTION("IFERROR(VLOOKUP(A1391, IMPORTRANGE(""https://docs.google.com/spreadsheets/d/1AVX9GT0dgogEBStecCXMMQ29tWz3gBrtNB8yIromXbY/edit?gid=741673867"", ""out1g!A:B""), 2, FALSE), 0)"),1996.0)</f>
        <v>1996</v>
      </c>
      <c r="D1391" s="2" t="str">
        <f>IFERROR(__xludf.DUMMYFUNCTION("IFERROR(VLOOKUP(A1391, IMPORTRANGE(""https://docs.google.com/spreadsheets/d/1-3Vjw2Cyy-mry5gbC8ypIR3YVGFfEpyFESummAta6sg/edit"", ""Sheet1!B:D""), 2, FALSE), ""Not Found"")"),"pɪg")</f>
        <v>pɪg</v>
      </c>
      <c r="E1391" s="2" t="str">
        <f>IFERROR(__xludf.DUMMYFUNCTION("IFERROR(VLOOKUP(A1391, IMPORTRANGE(""https://docs.google.com/spreadsheets/d/1-3Vjw2Cyy-mry5gbC8ypIR3YVGFfEpyFESummAta6sg/edit"", ""Sheet1!B:D""), 3, FALSE), ""Not Found"")"),"p ɪ g ")</f>
        <v>p ɪ g </v>
      </c>
    </row>
    <row r="1392">
      <c r="A1392" s="1" t="s">
        <v>1395</v>
      </c>
      <c r="B1392" s="1" t="s">
        <v>5</v>
      </c>
      <c r="C1392" s="2">
        <f>IFERROR(__xludf.DUMMYFUNCTION("IFERROR(VLOOKUP(A1392, IMPORTRANGE(""https://docs.google.com/spreadsheets/d/1AVX9GT0dgogEBStecCXMMQ29tWz3gBrtNB8yIromXbY/edit?gid=741673867"", ""out1g!A:B""), 2, FALSE), 0)"),3272.0)</f>
        <v>3272</v>
      </c>
      <c r="D1392" s="2" t="str">
        <f>IFERROR(__xludf.DUMMYFUNCTION("IFERROR(VLOOKUP(A1392, IMPORTRANGE(""https://docs.google.com/spreadsheets/d/1-3Vjw2Cyy-mry5gbC8ypIR3YVGFfEpyFESummAta6sg/edit"", ""Sheet1!B:D""), 2, FALSE), ""Not Found"")"),"sek")</f>
        <v>sek</v>
      </c>
      <c r="E1392" s="2" t="str">
        <f>IFERROR(__xludf.DUMMYFUNCTION("IFERROR(VLOOKUP(A1392, IMPORTRANGE(""https://docs.google.com/spreadsheets/d/1-3Vjw2Cyy-mry5gbC8ypIR3YVGFfEpyFESummAta6sg/edit"", ""Sheet1!B:D""), 3, FALSE), ""Not Found"")"),"s e k ")</f>
        <v>s e k </v>
      </c>
    </row>
    <row r="1393">
      <c r="A1393" s="1" t="s">
        <v>1396</v>
      </c>
      <c r="B1393" s="1" t="s">
        <v>5</v>
      </c>
      <c r="C1393" s="2">
        <f>IFERROR(__xludf.DUMMYFUNCTION("IFERROR(VLOOKUP(A1393, IMPORTRANGE(""https://docs.google.com/spreadsheets/d/1AVX9GT0dgogEBStecCXMMQ29tWz3gBrtNB8yIromXbY/edit?gid=741673867"", ""out1g!A:B""), 2, FALSE), 0)"),272.0)</f>
        <v>272</v>
      </c>
      <c r="D1393" s="2" t="str">
        <f>IFERROR(__xludf.DUMMYFUNCTION("IFERROR(VLOOKUP(A1393, IMPORTRANGE(""https://docs.google.com/spreadsheets/d/1-3Vjw2Cyy-mry5gbC8ypIR3YVGFfEpyFESummAta6sg/edit"", ""Sheet1!B:D""), 2, FALSE), ""Not Found"")"),"hoʊlt")</f>
        <v>hoʊlt</v>
      </c>
      <c r="E1393" s="2" t="str">
        <f>IFERROR(__xludf.DUMMYFUNCTION("IFERROR(VLOOKUP(A1393, IMPORTRANGE(""https://docs.google.com/spreadsheets/d/1-3Vjw2Cyy-mry5gbC8ypIR3YVGFfEpyFESummAta6sg/edit"", ""Sheet1!B:D""), 3, FALSE), ""Not Found"")"),"h o ʊ l t ")</f>
        <v>h o ʊ l t </v>
      </c>
    </row>
    <row r="1394">
      <c r="A1394" s="1" t="s">
        <v>1397</v>
      </c>
      <c r="B1394" s="1" t="s">
        <v>5</v>
      </c>
      <c r="C1394" s="2">
        <f>IFERROR(__xludf.DUMMYFUNCTION("IFERROR(VLOOKUP(A1394, IMPORTRANGE(""https://docs.google.com/spreadsheets/d/1AVX9GT0dgogEBStecCXMMQ29tWz3gBrtNB8yIromXbY/edit?gid=741673867"", ""out1g!A:B""), 2, FALSE), 0)"),207.0)</f>
        <v>207</v>
      </c>
      <c r="D1394" s="2" t="str">
        <f>IFERROR(__xludf.DUMMYFUNCTION("IFERROR(VLOOKUP(A1394, IMPORTRANGE(""https://docs.google.com/spreadsheets/d/1-3Vjw2Cyy-mry5gbC8ypIR3YVGFfEpyFESummAta6sg/edit"", ""Sheet1!B:D""), 2, FALSE), ""Not Found"")"),"rɛv")</f>
        <v>rɛv</v>
      </c>
      <c r="E1394" s="2" t="str">
        <f>IFERROR(__xludf.DUMMYFUNCTION("IFERROR(VLOOKUP(A1394, IMPORTRANGE(""https://docs.google.com/spreadsheets/d/1-3Vjw2Cyy-mry5gbC8ypIR3YVGFfEpyFESummAta6sg/edit"", ""Sheet1!B:D""), 3, FALSE), ""Not Found"")"),"r ɛ v ")</f>
        <v>r ɛ v </v>
      </c>
    </row>
    <row r="1395">
      <c r="A1395" s="1" t="s">
        <v>1398</v>
      </c>
      <c r="B1395" s="1" t="s">
        <v>5</v>
      </c>
      <c r="C1395" s="2">
        <f>IFERROR(__xludf.DUMMYFUNCTION("IFERROR(VLOOKUP(A1395, IMPORTRANGE(""https://docs.google.com/spreadsheets/d/1AVX9GT0dgogEBStecCXMMQ29tWz3gBrtNB8yIromXbY/edit?gid=741673867"", ""out1g!A:B""), 2, FALSE), 0)"),6312.0)</f>
        <v>6312</v>
      </c>
      <c r="D1395" s="2" t="str">
        <f>IFERROR(__xludf.DUMMYFUNCTION("IFERROR(VLOOKUP(A1395, IMPORTRANGE(""https://docs.google.com/spreadsheets/d/1-3Vjw2Cyy-mry5gbC8ypIR3YVGFfEpyFESummAta6sg/edit"", ""Sheet1!B:D""), 2, FALSE), ""Not Found"")"),"pæst")</f>
        <v>pæst</v>
      </c>
      <c r="E1395" s="2" t="str">
        <f>IFERROR(__xludf.DUMMYFUNCTION("IFERROR(VLOOKUP(A1395, IMPORTRANGE(""https://docs.google.com/spreadsheets/d/1-3Vjw2Cyy-mry5gbC8ypIR3YVGFfEpyFESummAta6sg/edit"", ""Sheet1!B:D""), 3, FALSE), ""Not Found"")"),"p æ s t ")</f>
        <v>p æ s t </v>
      </c>
    </row>
    <row r="1396">
      <c r="A1396" s="1" t="s">
        <v>1399</v>
      </c>
      <c r="B1396" s="1" t="s">
        <v>5</v>
      </c>
      <c r="C1396" s="2">
        <f>IFERROR(__xludf.DUMMYFUNCTION("IFERROR(VLOOKUP(A1396, IMPORTRANGE(""https://docs.google.com/spreadsheets/d/1AVX9GT0dgogEBStecCXMMQ29tWz3gBrtNB8yIromXbY/edit?gid=741673867"", ""out1g!A:B""), 2, FALSE), 0)"),66040.0)</f>
        <v>66040</v>
      </c>
      <c r="D1396" s="2" t="str">
        <f>IFERROR(__xludf.DUMMYFUNCTION("IFERROR(VLOOKUP(A1396, IMPORTRANGE(""https://docs.google.com/spreadsheets/d/1-3Vjw2Cyy-mry5gbC8ypIR3YVGFfEpyFESummAta6sg/edit"", ""Sheet1!B:D""), 2, FALSE), ""Not Found"")"),"nid")</f>
        <v>nid</v>
      </c>
      <c r="E1396" s="2" t="str">
        <f>IFERROR(__xludf.DUMMYFUNCTION("IFERROR(VLOOKUP(A1396, IMPORTRANGE(""https://docs.google.com/spreadsheets/d/1-3Vjw2Cyy-mry5gbC8ypIR3YVGFfEpyFESummAta6sg/edit"", ""Sheet1!B:D""), 3, FALSE), ""Not Found"")"),"n i d ")</f>
        <v>n i d </v>
      </c>
    </row>
    <row r="1397">
      <c r="A1397" s="1" t="s">
        <v>1400</v>
      </c>
      <c r="B1397" s="1" t="s">
        <v>5</v>
      </c>
      <c r="C1397" s="2">
        <f>IFERROR(__xludf.DUMMYFUNCTION("IFERROR(VLOOKUP(A1397, IMPORTRANGE(""https://docs.google.com/spreadsheets/d/1AVX9GT0dgogEBStecCXMMQ29tWz3gBrtNB8yIromXbY/edit?gid=741673867"", ""out1g!A:B""), 2, FALSE), 0)"),197.0)</f>
        <v>197</v>
      </c>
      <c r="D1397" s="2" t="str">
        <f>IFERROR(__xludf.DUMMYFUNCTION("IFERROR(VLOOKUP(A1397, IMPORTRANGE(""https://docs.google.com/spreadsheets/d/1-3Vjw2Cyy-mry5gbC8ypIR3YVGFfEpyFESummAta6sg/edit"", ""Sheet1!B:D""), 2, FALSE), ""Not Found"")"),"bɑmd")</f>
        <v>bɑmd</v>
      </c>
      <c r="E1397" s="2" t="str">
        <f>IFERROR(__xludf.DUMMYFUNCTION("IFERROR(VLOOKUP(A1397, IMPORTRANGE(""https://docs.google.com/spreadsheets/d/1-3Vjw2Cyy-mry5gbC8ypIR3YVGFfEpyFESummAta6sg/edit"", ""Sheet1!B:D""), 3, FALSE), ""Not Found"")"),"b ɑ m d ")</f>
        <v>b ɑ m d </v>
      </c>
    </row>
    <row r="1398">
      <c r="A1398" s="1" t="s">
        <v>1401</v>
      </c>
      <c r="B1398" s="1" t="s">
        <v>5</v>
      </c>
      <c r="C1398" s="2">
        <f>IFERROR(__xludf.DUMMYFUNCTION("IFERROR(VLOOKUP(A1398, IMPORTRANGE(""https://docs.google.com/spreadsheets/d/1AVX9GT0dgogEBStecCXMMQ29tWz3gBrtNB8yIromXbY/edit?gid=741673867"", ""out1g!A:B""), 2, FALSE), 0)"),2000.0)</f>
        <v>2000</v>
      </c>
      <c r="D1398" s="2" t="str">
        <f>IFERROR(__xludf.DUMMYFUNCTION("IFERROR(VLOOKUP(A1398, IMPORTRANGE(""https://docs.google.com/spreadsheets/d/1-3Vjw2Cyy-mry5gbC8ypIR3YVGFfEpyFESummAta6sg/edit"", ""Sheet1!B:D""), 2, FALSE), ""Not Found"")"),"wɛt")</f>
        <v>wɛt</v>
      </c>
      <c r="E1398" s="2" t="str">
        <f>IFERROR(__xludf.DUMMYFUNCTION("IFERROR(VLOOKUP(A1398, IMPORTRANGE(""https://docs.google.com/spreadsheets/d/1-3Vjw2Cyy-mry5gbC8ypIR3YVGFfEpyFESummAta6sg/edit"", ""Sheet1!B:D""), 3, FALSE), ""Not Found"")"),"w ɛ t ")</f>
        <v>w ɛ t </v>
      </c>
    </row>
    <row r="1399">
      <c r="A1399" s="1" t="s">
        <v>1402</v>
      </c>
      <c r="B1399" s="1" t="s">
        <v>5</v>
      </c>
      <c r="C1399" s="2">
        <f>IFERROR(__xludf.DUMMYFUNCTION("IFERROR(VLOOKUP(A1399, IMPORTRANGE(""https://docs.google.com/spreadsheets/d/1AVX9GT0dgogEBStecCXMMQ29tWz3gBrtNB8yIromXbY/edit?gid=741673867"", ""out1g!A:B""), 2, FALSE), 0)"),14.0)</f>
        <v>14</v>
      </c>
      <c r="D1399" s="2" t="str">
        <f>IFERROR(__xludf.DUMMYFUNCTION("IFERROR(VLOOKUP(A1399, IMPORTRANGE(""https://docs.google.com/spreadsheets/d/1-3Vjw2Cyy-mry5gbC8ypIR3YVGFfEpyFESummAta6sg/edit"", ""Sheet1!B:D""), 2, FALSE), ""Not Found"")"),"kəsp")</f>
        <v>kəsp</v>
      </c>
      <c r="E1399" s="2" t="str">
        <f>IFERROR(__xludf.DUMMYFUNCTION("IFERROR(VLOOKUP(A1399, IMPORTRANGE(""https://docs.google.com/spreadsheets/d/1-3Vjw2Cyy-mry5gbC8ypIR3YVGFfEpyFESummAta6sg/edit"", ""Sheet1!B:D""), 3, FALSE), ""Not Found"")"),"k ə s p ")</f>
        <v>k ə s p </v>
      </c>
    </row>
    <row r="1400">
      <c r="A1400" s="1" t="s">
        <v>1403</v>
      </c>
      <c r="B1400" s="1" t="s">
        <v>5</v>
      </c>
      <c r="C1400" s="2">
        <f>IFERROR(__xludf.DUMMYFUNCTION("IFERROR(VLOOKUP(A1400, IMPORTRANGE(""https://docs.google.com/spreadsheets/d/1AVX9GT0dgogEBStecCXMMQ29tWz3gBrtNB8yIromXbY/edit?gid=741673867"", ""out1g!A:B""), 2, FALSE), 0)"),1591.0)</f>
        <v>1591</v>
      </c>
      <c r="D1400" s="2" t="str">
        <f>IFERROR(__xludf.DUMMYFUNCTION("IFERROR(VLOOKUP(A1400, IMPORTRANGE(""https://docs.google.com/spreadsheets/d/1-3Vjw2Cyy-mry5gbC8ypIR3YVGFfEpyFESummAta6sg/edit"", ""Sheet1!B:D""), 2, FALSE), ""Not Found"")"),"mædəm")</f>
        <v>mædəm</v>
      </c>
      <c r="E1400" s="2" t="str">
        <f>IFERROR(__xludf.DUMMYFUNCTION("IFERROR(VLOOKUP(A1400, IMPORTRANGE(""https://docs.google.com/spreadsheets/d/1-3Vjw2Cyy-mry5gbC8ypIR3YVGFfEpyFESummAta6sg/edit"", ""Sheet1!B:D""), 3, FALSE), ""Not Found"")"),"m æ d ə m ")</f>
        <v>m æ d ə m </v>
      </c>
    </row>
    <row r="1401">
      <c r="A1401" s="1" t="s">
        <v>1404</v>
      </c>
      <c r="B1401" s="1" t="s">
        <v>5</v>
      </c>
      <c r="C1401" s="2">
        <f>IFERROR(__xludf.DUMMYFUNCTION("IFERROR(VLOOKUP(A1401, IMPORTRANGE(""https://docs.google.com/spreadsheets/d/1AVX9GT0dgogEBStecCXMMQ29tWz3gBrtNB8yIromXbY/edit?gid=741673867"", ""out1g!A:B""), 2, FALSE), 0)"),55.0)</f>
        <v>55</v>
      </c>
      <c r="D1401" s="2" t="str">
        <f>IFERROR(__xludf.DUMMYFUNCTION("IFERROR(VLOOKUP(A1401, IMPORTRANGE(""https://docs.google.com/spreadsheets/d/1-3Vjw2Cyy-mry5gbC8ypIR3YVGFfEpyFESummAta6sg/edit"", ""Sheet1!B:D""), 2, FALSE), ""Not Found"")"),"əpild")</f>
        <v>əpild</v>
      </c>
      <c r="E1401" s="2" t="str">
        <f>IFERROR(__xludf.DUMMYFUNCTION("IFERROR(VLOOKUP(A1401, IMPORTRANGE(""https://docs.google.com/spreadsheets/d/1-3Vjw2Cyy-mry5gbC8ypIR3YVGFfEpyFESummAta6sg/edit"", ""Sheet1!B:D""), 3, FALSE), ""Not Found"")"),"ə p i l d ")</f>
        <v>ə p i l d </v>
      </c>
    </row>
    <row r="1402">
      <c r="A1402" s="1" t="s">
        <v>1405</v>
      </c>
      <c r="B1402" s="1" t="s">
        <v>5</v>
      </c>
      <c r="C1402" s="2">
        <f>IFERROR(__xludf.DUMMYFUNCTION("IFERROR(VLOOKUP(A1402, IMPORTRANGE(""https://docs.google.com/spreadsheets/d/1AVX9GT0dgogEBStecCXMMQ29tWz3gBrtNB8yIromXbY/edit?gid=741673867"", ""out1g!A:B""), 2, FALSE), 0)"),1082.0)</f>
        <v>1082</v>
      </c>
      <c r="D1402" s="2" t="str">
        <f>IFERROR(__xludf.DUMMYFUNCTION("IFERROR(VLOOKUP(A1402, IMPORTRANGE(""https://docs.google.com/spreadsheets/d/1-3Vjw2Cyy-mry5gbC8ypIR3YVGFfEpyFESummAta6sg/edit"", ""Sheet1!B:D""), 2, FALSE), ""Not Found"")"),"ʧen")</f>
        <v>ʧen</v>
      </c>
      <c r="E1402" s="2" t="str">
        <f>IFERROR(__xludf.DUMMYFUNCTION("IFERROR(VLOOKUP(A1402, IMPORTRANGE(""https://docs.google.com/spreadsheets/d/1-3Vjw2Cyy-mry5gbC8ypIR3YVGFfEpyFESummAta6sg/edit"", ""Sheet1!B:D""), 3, FALSE), ""Not Found"")"),"ʧ e n ")</f>
        <v>ʧ e n </v>
      </c>
    </row>
    <row r="1403">
      <c r="A1403" s="1" t="s">
        <v>1406</v>
      </c>
      <c r="B1403" s="1" t="s">
        <v>5</v>
      </c>
      <c r="C1403" s="2">
        <f>IFERROR(__xludf.DUMMYFUNCTION("IFERROR(VLOOKUP(A1403, IMPORTRANGE(""https://docs.google.com/spreadsheets/d/1AVX9GT0dgogEBStecCXMMQ29tWz3gBrtNB8yIromXbY/edit?gid=741673867"", ""out1g!A:B""), 2, FALSE), 0)"),249.0)</f>
        <v>249</v>
      </c>
      <c r="D1403" s="2" t="str">
        <f>IFERROR(__xludf.DUMMYFUNCTION("IFERROR(VLOOKUP(A1403, IMPORTRANGE(""https://docs.google.com/spreadsheets/d/1-3Vjw2Cyy-mry5gbC8ypIR3YVGFfEpyFESummAta6sg/edit"", ""Sheet1!B:D""), 2, FALSE), ""Not Found"")"),"hip")</f>
        <v>hip</v>
      </c>
      <c r="E1403" s="2" t="str">
        <f>IFERROR(__xludf.DUMMYFUNCTION("IFERROR(VLOOKUP(A1403, IMPORTRANGE(""https://docs.google.com/spreadsheets/d/1-3Vjw2Cyy-mry5gbC8ypIR3YVGFfEpyFESummAta6sg/edit"", ""Sheet1!B:D""), 3, FALSE), ""Not Found"")"),"h i p ")</f>
        <v>h i p </v>
      </c>
    </row>
    <row r="1404">
      <c r="A1404" s="1" t="s">
        <v>1407</v>
      </c>
      <c r="B1404" s="1" t="s">
        <v>5</v>
      </c>
      <c r="C1404" s="2">
        <f>IFERROR(__xludf.DUMMYFUNCTION("IFERROR(VLOOKUP(A1404, IMPORTRANGE(""https://docs.google.com/spreadsheets/d/1AVX9GT0dgogEBStecCXMMQ29tWz3gBrtNB8yIromXbY/edit?gid=741673867"", ""out1g!A:B""), 2, FALSE), 0)"),8040.0)</f>
        <v>8040</v>
      </c>
      <c r="D1404" s="2" t="str">
        <f>IFERROR(__xludf.DUMMYFUNCTION("IFERROR(VLOOKUP(A1404, IMPORTRANGE(""https://docs.google.com/spreadsheets/d/1-3Vjw2Cyy-mry5gbC8ypIR3YVGFfEpyFESummAta6sg/edit"", ""Sheet1!B:D""), 2, FALSE), ""Not Found"")"),"ʧaɪld")</f>
        <v>ʧaɪld</v>
      </c>
      <c r="E1404" s="2" t="str">
        <f>IFERROR(__xludf.DUMMYFUNCTION("IFERROR(VLOOKUP(A1404, IMPORTRANGE(""https://docs.google.com/spreadsheets/d/1-3Vjw2Cyy-mry5gbC8ypIR3YVGFfEpyFESummAta6sg/edit"", ""Sheet1!B:D""), 3, FALSE), ""Not Found"")"),"ʧ a ɪ l d ")</f>
        <v>ʧ a ɪ l d </v>
      </c>
    </row>
    <row r="1405">
      <c r="A1405" s="1" t="s">
        <v>1408</v>
      </c>
      <c r="B1405" s="1" t="s">
        <v>5</v>
      </c>
      <c r="C1405" s="2">
        <f>IFERROR(__xludf.DUMMYFUNCTION("IFERROR(VLOOKUP(A1405, IMPORTRANGE(""https://docs.google.com/spreadsheets/d/1AVX9GT0dgogEBStecCXMMQ29tWz3gBrtNB8yIromXbY/edit?gid=741673867"", ""out1g!A:B""), 2, FALSE), 0)"),61.0)</f>
        <v>61</v>
      </c>
      <c r="D1405" s="2" t="str">
        <f>IFERROR(__xludf.DUMMYFUNCTION("IFERROR(VLOOKUP(A1405, IMPORTRANGE(""https://docs.google.com/spreadsheets/d/1-3Vjw2Cyy-mry5gbC8ypIR3YVGFfEpyFESummAta6sg/edit"", ""Sheet1!B:D""), 2, FALSE), ""Not Found"")"),"dəkt")</f>
        <v>dəkt</v>
      </c>
      <c r="E1405" s="2" t="str">
        <f>IFERROR(__xludf.DUMMYFUNCTION("IFERROR(VLOOKUP(A1405, IMPORTRANGE(""https://docs.google.com/spreadsheets/d/1-3Vjw2Cyy-mry5gbC8ypIR3YVGFfEpyFESummAta6sg/edit"", ""Sheet1!B:D""), 3, FALSE), ""Not Found"")"),"d ə k t ")</f>
        <v>d ə k t </v>
      </c>
    </row>
    <row r="1406">
      <c r="A1406" s="1" t="s">
        <v>1409</v>
      </c>
      <c r="B1406" s="1" t="s">
        <v>5</v>
      </c>
      <c r="C1406" s="2">
        <f>IFERROR(__xludf.DUMMYFUNCTION("IFERROR(VLOOKUP(A1406, IMPORTRANGE(""https://docs.google.com/spreadsheets/d/1AVX9GT0dgogEBStecCXMMQ29tWz3gBrtNB8yIromXbY/edit?gid=741673867"", ""out1g!A:B""), 2, FALSE), 0)"),9054.0)</f>
        <v>9054</v>
      </c>
      <c r="D1406" s="2" t="str">
        <f>IFERROR(__xludf.DUMMYFUNCTION("IFERROR(VLOOKUP(A1406, IMPORTRANGE(""https://docs.google.com/spreadsheets/d/1-3Vjw2Cyy-mry5gbC8ypIR3YVGFfEpyFESummAta6sg/edit"", ""Sheet1!B:D""), 2, FALSE), ""Not Found"")"),"fri")</f>
        <v>fri</v>
      </c>
      <c r="E1406" s="2" t="str">
        <f>IFERROR(__xludf.DUMMYFUNCTION("IFERROR(VLOOKUP(A1406, IMPORTRANGE(""https://docs.google.com/spreadsheets/d/1-3Vjw2Cyy-mry5gbC8ypIR3YVGFfEpyFESummAta6sg/edit"", ""Sheet1!B:D""), 3, FALSE), ""Not Found"")"),"f r i ")</f>
        <v>f r i </v>
      </c>
    </row>
    <row r="1407">
      <c r="A1407" s="1" t="s">
        <v>1410</v>
      </c>
      <c r="B1407" s="1" t="s">
        <v>5</v>
      </c>
      <c r="C1407" s="2">
        <f>IFERROR(__xludf.DUMMYFUNCTION("IFERROR(VLOOKUP(A1407, IMPORTRANGE(""https://docs.google.com/spreadsheets/d/1AVX9GT0dgogEBStecCXMMQ29tWz3gBrtNB8yIromXbY/edit?gid=741673867"", ""out1g!A:B""), 2, FALSE), 0)"),89.0)</f>
        <v>89</v>
      </c>
      <c r="D1407" s="2" t="str">
        <f>IFERROR(__xludf.DUMMYFUNCTION("IFERROR(VLOOKUP(A1407, IMPORTRANGE(""https://docs.google.com/spreadsheets/d/1-3Vjw2Cyy-mry5gbC8ypIR3YVGFfEpyFESummAta6sg/edit"", ""Sheet1!B:D""), 2, FALSE), ""Not Found"")"),"pæntri")</f>
        <v>pæntri</v>
      </c>
      <c r="E1407" s="2" t="str">
        <f>IFERROR(__xludf.DUMMYFUNCTION("IFERROR(VLOOKUP(A1407, IMPORTRANGE(""https://docs.google.com/spreadsheets/d/1-3Vjw2Cyy-mry5gbC8ypIR3YVGFfEpyFESummAta6sg/edit"", ""Sheet1!B:D""), 3, FALSE), ""Not Found"")"),"p æ n t r i ")</f>
        <v>p æ n t r i </v>
      </c>
    </row>
    <row r="1408">
      <c r="A1408" s="1" t="s">
        <v>1411</v>
      </c>
      <c r="B1408" s="1" t="s">
        <v>5</v>
      </c>
      <c r="C1408" s="2">
        <f>IFERROR(__xludf.DUMMYFUNCTION("IFERROR(VLOOKUP(A1408, IMPORTRANGE(""https://docs.google.com/spreadsheets/d/1AVX9GT0dgogEBStecCXMMQ29tWz3gBrtNB8yIromXbY/edit?gid=741673867"", ""out1g!A:B""), 2, FALSE), 0)"),69.0)</f>
        <v>69</v>
      </c>
      <c r="D1408" s="2" t="str">
        <f>IFERROR(__xludf.DUMMYFUNCTION("IFERROR(VLOOKUP(A1408, IMPORTRANGE(""https://docs.google.com/spreadsheets/d/1-3Vjw2Cyy-mry5gbC8ypIR3YVGFfEpyFESummAta6sg/edit"", ""Sheet1!B:D""), 2, FALSE), ""Not Found"")"),"lezərz")</f>
        <v>lezərz</v>
      </c>
      <c r="E1408" s="2" t="str">
        <f>IFERROR(__xludf.DUMMYFUNCTION("IFERROR(VLOOKUP(A1408, IMPORTRANGE(""https://docs.google.com/spreadsheets/d/1-3Vjw2Cyy-mry5gbC8ypIR3YVGFfEpyFESummAta6sg/edit"", ""Sheet1!B:D""), 3, FALSE), ""Not Found"")"),"l e z ə r z ")</f>
        <v>l e z ə r z </v>
      </c>
    </row>
    <row r="1409">
      <c r="A1409" s="1" t="s">
        <v>1412</v>
      </c>
      <c r="B1409" s="1" t="s">
        <v>5</v>
      </c>
      <c r="C1409" s="2">
        <f>IFERROR(__xludf.DUMMYFUNCTION("IFERROR(VLOOKUP(A1409, IMPORTRANGE(""https://docs.google.com/spreadsheets/d/1AVX9GT0dgogEBStecCXMMQ29tWz3gBrtNB8yIromXbY/edit?gid=741673867"", ""out1g!A:B""), 2, FALSE), 0)"),67.0)</f>
        <v>67</v>
      </c>
      <c r="D1409" s="2" t="str">
        <f>IFERROR(__xludf.DUMMYFUNCTION("IFERROR(VLOOKUP(A1409, IMPORTRANGE(""https://docs.google.com/spreadsheets/d/1-3Vjw2Cyy-mry5gbC8ypIR3YVGFfEpyFESummAta6sg/edit"", ""Sheet1!B:D""), 2, FALSE), ""Not Found"")"),"slu")</f>
        <v>slu</v>
      </c>
      <c r="E1409" s="2" t="str">
        <f>IFERROR(__xludf.DUMMYFUNCTION("IFERROR(VLOOKUP(A1409, IMPORTRANGE(""https://docs.google.com/spreadsheets/d/1-3Vjw2Cyy-mry5gbC8ypIR3YVGFfEpyFESummAta6sg/edit"", ""Sheet1!B:D""), 3, FALSE), ""Not Found"")"),"s l u ")</f>
        <v>s l u </v>
      </c>
    </row>
    <row r="1410">
      <c r="A1410" s="1" t="s">
        <v>1413</v>
      </c>
      <c r="B1410" s="1" t="s">
        <v>5</v>
      </c>
      <c r="C1410" s="2">
        <f>IFERROR(__xludf.DUMMYFUNCTION("IFERROR(VLOOKUP(A1410, IMPORTRANGE(""https://docs.google.com/spreadsheets/d/1AVX9GT0dgogEBStecCXMMQ29tWz3gBrtNB8yIromXbY/edit?gid=741673867"", ""out1g!A:B""), 2, FALSE), 0)"),321085.0)</f>
        <v>321085</v>
      </c>
      <c r="D1410" s="2" t="str">
        <f>IFERROR(__xludf.DUMMYFUNCTION("IFERROR(VLOOKUP(A1410, IMPORTRANGE(""https://docs.google.com/spreadsheets/d/1-3Vjw2Cyy-mry5gbC8ypIR3YVGFfEpyFESummAta6sg/edit"", ""Sheet1!B:D""), 2, FALSE), ""Not Found"")"),"dɑn")</f>
        <v>dɑn</v>
      </c>
      <c r="E1410" s="2" t="str">
        <f>IFERROR(__xludf.DUMMYFUNCTION("IFERROR(VLOOKUP(A1410, IMPORTRANGE(""https://docs.google.com/spreadsheets/d/1-3Vjw2Cyy-mry5gbC8ypIR3YVGFfEpyFESummAta6sg/edit"", ""Sheet1!B:D""), 3, FALSE), ""Not Found"")"),"d ɑ n ")</f>
        <v>d ɑ n </v>
      </c>
    </row>
    <row r="1411">
      <c r="A1411" s="1" t="s">
        <v>1414</v>
      </c>
      <c r="B1411" s="1" t="s">
        <v>5</v>
      </c>
      <c r="C1411" s="2">
        <f>IFERROR(__xludf.DUMMYFUNCTION("IFERROR(VLOOKUP(A1411, IMPORTRANGE(""https://docs.google.com/spreadsheets/d/1AVX9GT0dgogEBStecCXMMQ29tWz3gBrtNB8yIromXbY/edit?gid=741673867"", ""out1g!A:B""), 2, FALSE), 0)"),593.0)</f>
        <v>593</v>
      </c>
      <c r="D1411" s="2" t="str">
        <f>IFERROR(__xludf.DUMMYFUNCTION("IFERROR(VLOOKUP(A1411, IMPORTRANGE(""https://docs.google.com/spreadsheets/d/1-3Vjw2Cyy-mry5gbC8ypIR3YVGFfEpyFESummAta6sg/edit"", ""Sheet1!B:D""), 2, FALSE), ""Not Found"")"),"rept")</f>
        <v>rept</v>
      </c>
      <c r="E1411" s="2" t="str">
        <f>IFERROR(__xludf.DUMMYFUNCTION("IFERROR(VLOOKUP(A1411, IMPORTRANGE(""https://docs.google.com/spreadsheets/d/1-3Vjw2Cyy-mry5gbC8ypIR3YVGFfEpyFESummAta6sg/edit"", ""Sheet1!B:D""), 3, FALSE), ""Not Found"")"),"r e p t ")</f>
        <v>r e p t </v>
      </c>
    </row>
    <row r="1412">
      <c r="A1412" s="1" t="s">
        <v>1415</v>
      </c>
      <c r="B1412" s="1" t="s">
        <v>5</v>
      </c>
      <c r="C1412" s="2">
        <f>IFERROR(__xludf.DUMMYFUNCTION("IFERROR(VLOOKUP(A1412, IMPORTRANGE(""https://docs.google.com/spreadsheets/d/1AVX9GT0dgogEBStecCXMMQ29tWz3gBrtNB8yIromXbY/edit?gid=741673867"", ""out1g!A:B""), 2, FALSE), 0)"),61.0)</f>
        <v>61</v>
      </c>
      <c r="D1412" s="2" t="str">
        <f>IFERROR(__xludf.DUMMYFUNCTION("IFERROR(VLOOKUP(A1412, IMPORTRANGE(""https://docs.google.com/spreadsheets/d/1-3Vjw2Cyy-mry5gbC8ypIR3YVGFfEpyFESummAta6sg/edit"", ""Sheet1!B:D""), 2, FALSE), ""Not Found"")"),"swɛlz")</f>
        <v>swɛlz</v>
      </c>
      <c r="E1412" s="2" t="str">
        <f>IFERROR(__xludf.DUMMYFUNCTION("IFERROR(VLOOKUP(A1412, IMPORTRANGE(""https://docs.google.com/spreadsheets/d/1-3Vjw2Cyy-mry5gbC8ypIR3YVGFfEpyFESummAta6sg/edit"", ""Sheet1!B:D""), 3, FALSE), ""Not Found"")"),"s w ɛ l z ")</f>
        <v>s w ɛ l z </v>
      </c>
    </row>
    <row r="1413">
      <c r="A1413" s="1" t="s">
        <v>1416</v>
      </c>
      <c r="B1413" s="1" t="s">
        <v>5</v>
      </c>
      <c r="C1413" s="2">
        <f>IFERROR(__xludf.DUMMYFUNCTION("IFERROR(VLOOKUP(A1413, IMPORTRANGE(""https://docs.google.com/spreadsheets/d/1AVX9GT0dgogEBStecCXMMQ29tWz3gBrtNB8yIromXbY/edit?gid=741673867"", ""out1g!A:B""), 2, FALSE), 0)"),797.0)</f>
        <v>797</v>
      </c>
      <c r="D1413" s="2" t="str">
        <f>IFERROR(__xludf.DUMMYFUNCTION("IFERROR(VLOOKUP(A1413, IMPORTRANGE(""https://docs.google.com/spreadsheets/d/1-3Vjw2Cyy-mry5gbC8ypIR3YVGFfEpyFESummAta6sg/edit"", ""Sheet1!B:D""), 2, FALSE), ""Not Found"")"),"nət")</f>
        <v>nət</v>
      </c>
      <c r="E1413" s="2" t="str">
        <f>IFERROR(__xludf.DUMMYFUNCTION("IFERROR(VLOOKUP(A1413, IMPORTRANGE(""https://docs.google.com/spreadsheets/d/1-3Vjw2Cyy-mry5gbC8ypIR3YVGFfEpyFESummAta6sg/edit"", ""Sheet1!B:D""), 3, FALSE), ""Not Found"")"),"n ə t ")</f>
        <v>n ə t </v>
      </c>
    </row>
    <row r="1414">
      <c r="A1414" s="1" t="s">
        <v>1417</v>
      </c>
      <c r="B1414" s="1" t="s">
        <v>5</v>
      </c>
      <c r="C1414" s="2">
        <f>IFERROR(__xludf.DUMMYFUNCTION("IFERROR(VLOOKUP(A1414, IMPORTRANGE(""https://docs.google.com/spreadsheets/d/1AVX9GT0dgogEBStecCXMMQ29tWz3gBrtNB8yIromXbY/edit?gid=741673867"", ""out1g!A:B""), 2, FALSE), 0)"),70.0)</f>
        <v>70</v>
      </c>
      <c r="D1414" s="2" t="str">
        <f>IFERROR(__xludf.DUMMYFUNCTION("IFERROR(VLOOKUP(A1414, IMPORTRANGE(""https://docs.google.com/spreadsheets/d/1-3Vjw2Cyy-mry5gbC8ypIR3YVGFfEpyFESummAta6sg/edit"", ""Sheet1!B:D""), 2, FALSE), ""Not Found"")"),"pɪrsɪŋ")</f>
        <v>pɪrsɪŋ</v>
      </c>
      <c r="E1414" s="2" t="str">
        <f>IFERROR(__xludf.DUMMYFUNCTION("IFERROR(VLOOKUP(A1414, IMPORTRANGE(""https://docs.google.com/spreadsheets/d/1-3Vjw2Cyy-mry5gbC8ypIR3YVGFfEpyFESummAta6sg/edit"", ""Sheet1!B:D""), 3, FALSE), ""Not Found"")"),"p ɪ r s ɪ ŋ ")</f>
        <v>p ɪ r s ɪ ŋ </v>
      </c>
    </row>
    <row r="1415">
      <c r="A1415" s="1" t="s">
        <v>1418</v>
      </c>
      <c r="B1415" s="1" t="s">
        <v>5</v>
      </c>
      <c r="C1415" s="2">
        <f>IFERROR(__xludf.DUMMYFUNCTION("IFERROR(VLOOKUP(A1415, IMPORTRANGE(""https://docs.google.com/spreadsheets/d/1AVX9GT0dgogEBStecCXMMQ29tWz3gBrtNB8yIromXbY/edit?gid=741673867"", ""out1g!A:B""), 2, FALSE), 0)"),2143.0)</f>
        <v>2143</v>
      </c>
      <c r="D1415" s="2" t="str">
        <f>IFERROR(__xludf.DUMMYFUNCTION("IFERROR(VLOOKUP(A1415, IMPORTRANGE(""https://docs.google.com/spreadsheets/d/1-3Vjw2Cyy-mry5gbC8ypIR3YVGFfEpyFESummAta6sg/edit"", ""Sheet1!B:D""), 2, FALSE), ""Not Found"")"),"sɛtəl")</f>
        <v>sɛtəl</v>
      </c>
      <c r="E1415" s="2" t="str">
        <f>IFERROR(__xludf.DUMMYFUNCTION("IFERROR(VLOOKUP(A1415, IMPORTRANGE(""https://docs.google.com/spreadsheets/d/1-3Vjw2Cyy-mry5gbC8ypIR3YVGFfEpyFESummAta6sg/edit"", ""Sheet1!B:D""), 3, FALSE), ""Not Found"")"),"s ɛ t ə l ")</f>
        <v>s ɛ t ə l </v>
      </c>
    </row>
    <row r="1416">
      <c r="A1416" s="1" t="s">
        <v>1419</v>
      </c>
      <c r="B1416" s="1" t="s">
        <v>5</v>
      </c>
      <c r="C1416" s="2">
        <f>IFERROR(__xludf.DUMMYFUNCTION("IFERROR(VLOOKUP(A1416, IMPORTRANGE(""https://docs.google.com/spreadsheets/d/1AVX9GT0dgogEBStecCXMMQ29tWz3gBrtNB8yIromXbY/edit?gid=741673867"", ""out1g!A:B""), 2, FALSE), 0)"),2736.0)</f>
        <v>2736</v>
      </c>
      <c r="D1416" s="2" t="str">
        <f>IFERROR(__xludf.DUMMYFUNCTION("IFERROR(VLOOKUP(A1416, IMPORTRANGE(""https://docs.google.com/spreadsheets/d/1-3Vjw2Cyy-mry5gbC8ypIR3YVGFfEpyFESummAta6sg/edit"", ""Sheet1!B:D""), 2, FALSE), ""Not Found"")"),"bɔm")</f>
        <v>bɔm</v>
      </c>
      <c r="E1416" s="2" t="str">
        <f>IFERROR(__xludf.DUMMYFUNCTION("IFERROR(VLOOKUP(A1416, IMPORTRANGE(""https://docs.google.com/spreadsheets/d/1-3Vjw2Cyy-mry5gbC8ypIR3YVGFfEpyFESummAta6sg/edit"", ""Sheet1!B:D""), 3, FALSE), ""Not Found"")"),"b ɔ m ")</f>
        <v>b ɔ m </v>
      </c>
    </row>
    <row r="1417">
      <c r="A1417" s="1" t="s">
        <v>1420</v>
      </c>
      <c r="B1417" s="1" t="s">
        <v>5</v>
      </c>
      <c r="C1417" s="2">
        <f>IFERROR(__xludf.DUMMYFUNCTION("IFERROR(VLOOKUP(A1417, IMPORTRANGE(""https://docs.google.com/spreadsheets/d/1AVX9GT0dgogEBStecCXMMQ29tWz3gBrtNB8yIromXbY/edit?gid=741673867"", ""out1g!A:B""), 2, FALSE), 0)"),120.0)</f>
        <v>120</v>
      </c>
      <c r="D1417" s="2" t="str">
        <f>IFERROR(__xludf.DUMMYFUNCTION("IFERROR(VLOOKUP(A1417, IMPORTRANGE(""https://docs.google.com/spreadsheets/d/1-3Vjw2Cyy-mry5gbC8ypIR3YVGFfEpyFESummAta6sg/edit"", ""Sheet1!B:D""), 2, FALSE), ""Not Found"")"),"hɑʧ")</f>
        <v>hɑʧ</v>
      </c>
      <c r="E1417" s="2" t="str">
        <f>IFERROR(__xludf.DUMMYFUNCTION("IFERROR(VLOOKUP(A1417, IMPORTRANGE(""https://docs.google.com/spreadsheets/d/1-3Vjw2Cyy-mry5gbC8ypIR3YVGFfEpyFESummAta6sg/edit"", ""Sheet1!B:D""), 3, FALSE), ""Not Found"")"),"h ɑ ʧ ")</f>
        <v>h ɑ ʧ </v>
      </c>
    </row>
    <row r="1418">
      <c r="A1418" s="1" t="s">
        <v>1421</v>
      </c>
      <c r="B1418" s="1" t="s">
        <v>5</v>
      </c>
      <c r="C1418" s="2">
        <f>IFERROR(__xludf.DUMMYFUNCTION("IFERROR(VLOOKUP(A1418, IMPORTRANGE(""https://docs.google.com/spreadsheets/d/1AVX9GT0dgogEBStecCXMMQ29tWz3gBrtNB8yIromXbY/edit?gid=741673867"", ""out1g!A:B""), 2, FALSE), 0)"),335.0)</f>
        <v>335</v>
      </c>
      <c r="D1418" s="2" t="str">
        <f>IFERROR(__xludf.DUMMYFUNCTION("IFERROR(VLOOKUP(A1418, IMPORTRANGE(""https://docs.google.com/spreadsheets/d/1-3Vjw2Cyy-mry5gbC8ypIR3YVGFfEpyFESummAta6sg/edit"", ""Sheet1!B:D""), 2, FALSE), ""Not Found"")"),"maɪs")</f>
        <v>maɪs</v>
      </c>
      <c r="E1418" s="2" t="str">
        <f>IFERROR(__xludf.DUMMYFUNCTION("IFERROR(VLOOKUP(A1418, IMPORTRANGE(""https://docs.google.com/spreadsheets/d/1-3Vjw2Cyy-mry5gbC8ypIR3YVGFfEpyFESummAta6sg/edit"", ""Sheet1!B:D""), 3, FALSE), ""Not Found"")"),"m a ɪ s ")</f>
        <v>m a ɪ s </v>
      </c>
    </row>
    <row r="1419">
      <c r="A1419" s="1" t="s">
        <v>1422</v>
      </c>
      <c r="B1419" s="1" t="s">
        <v>5</v>
      </c>
      <c r="C1419" s="2">
        <f>IFERROR(__xludf.DUMMYFUNCTION("IFERROR(VLOOKUP(A1419, IMPORTRANGE(""https://docs.google.com/spreadsheets/d/1AVX9GT0dgogEBStecCXMMQ29tWz3gBrtNB8yIromXbY/edit?gid=741673867"", ""out1g!A:B""), 2, FALSE), 0)"),144.0)</f>
        <v>144</v>
      </c>
      <c r="D1419" s="2" t="str">
        <f>IFERROR(__xludf.DUMMYFUNCTION("IFERROR(VLOOKUP(A1419, IMPORTRANGE(""https://docs.google.com/spreadsheets/d/1-3Vjw2Cyy-mry5gbC8ypIR3YVGFfEpyFESummAta6sg/edit"", ""Sheet1!B:D""), 2, FALSE), ""Not Found"")"),"boʊi")</f>
        <v>boʊi</v>
      </c>
      <c r="E1419" s="2" t="str">
        <f>IFERROR(__xludf.DUMMYFUNCTION("IFERROR(VLOOKUP(A1419, IMPORTRANGE(""https://docs.google.com/spreadsheets/d/1-3Vjw2Cyy-mry5gbC8ypIR3YVGFfEpyFESummAta6sg/edit"", ""Sheet1!B:D""), 3, FALSE), ""Not Found"")"),"b o ʊ i ")</f>
        <v>b o ʊ i </v>
      </c>
    </row>
    <row r="1420">
      <c r="A1420" s="1" t="s">
        <v>1423</v>
      </c>
      <c r="B1420" s="1" t="s">
        <v>5</v>
      </c>
      <c r="C1420" s="2">
        <f>IFERROR(__xludf.DUMMYFUNCTION("IFERROR(VLOOKUP(A1420, IMPORTRANGE(""https://docs.google.com/spreadsheets/d/1AVX9GT0dgogEBStecCXMMQ29tWz3gBrtNB8yIromXbY/edit?gid=741673867"", ""out1g!A:B""), 2, FALSE), 0)"),152.0)</f>
        <v>152</v>
      </c>
      <c r="D1420" s="2" t="str">
        <f>IFERROR(__xludf.DUMMYFUNCTION("IFERROR(VLOOKUP(A1420, IMPORTRANGE(""https://docs.google.com/spreadsheets/d/1-3Vjw2Cyy-mry5gbC8ypIR3YVGFfEpyFESummAta6sg/edit"", ""Sheet1!B:D""), 2, FALSE), ""Not Found"")"),"rek")</f>
        <v>rek</v>
      </c>
      <c r="E1420" s="2" t="str">
        <f>IFERROR(__xludf.DUMMYFUNCTION("IFERROR(VLOOKUP(A1420, IMPORTRANGE(""https://docs.google.com/spreadsheets/d/1-3Vjw2Cyy-mry5gbC8ypIR3YVGFfEpyFESummAta6sg/edit"", ""Sheet1!B:D""), 3, FALSE), ""Not Found"")"),"r e k ")</f>
        <v>r e k </v>
      </c>
    </row>
    <row r="1421">
      <c r="A1421" s="1" t="s">
        <v>1424</v>
      </c>
      <c r="B1421" s="1" t="s">
        <v>5</v>
      </c>
      <c r="C1421" s="2">
        <f>IFERROR(__xludf.DUMMYFUNCTION("IFERROR(VLOOKUP(A1421, IMPORTRANGE(""https://docs.google.com/spreadsheets/d/1AVX9GT0dgogEBStecCXMMQ29tWz3gBrtNB8yIromXbY/edit?gid=741673867"", ""out1g!A:B""), 2, FALSE), 0)"),9598.0)</f>
        <v>9598</v>
      </c>
      <c r="D1421" s="2" t="str">
        <f>IFERROR(__xludf.DUMMYFUNCTION("IFERROR(VLOOKUP(A1421, IMPORTRANGE(""https://docs.google.com/spreadsheets/d/1-3Vjw2Cyy-mry5gbC8ypIR3YVGFfEpyFESummAta6sg/edit"", ""Sheet1!B:D""), 2, FALSE), ""Not Found"")"),"oʊ")</f>
        <v>oʊ</v>
      </c>
      <c r="E1421" s="2" t="str">
        <f>IFERROR(__xludf.DUMMYFUNCTION("IFERROR(VLOOKUP(A1421, IMPORTRANGE(""https://docs.google.com/spreadsheets/d/1-3Vjw2Cyy-mry5gbC8ypIR3YVGFfEpyFESummAta6sg/edit"", ""Sheet1!B:D""), 3, FALSE), ""Not Found"")"),"o ʊ ")</f>
        <v>o ʊ </v>
      </c>
    </row>
    <row r="1422">
      <c r="A1422" s="1" t="s">
        <v>1425</v>
      </c>
      <c r="B1422" s="1" t="s">
        <v>5</v>
      </c>
      <c r="C1422" s="2">
        <f>IFERROR(__xludf.DUMMYFUNCTION("IFERROR(VLOOKUP(A1422, IMPORTRANGE(""https://docs.google.com/spreadsheets/d/1AVX9GT0dgogEBStecCXMMQ29tWz3gBrtNB8yIromXbY/edit?gid=741673867"", ""out1g!A:B""), 2, FALSE), 0)"),459.0)</f>
        <v>459</v>
      </c>
      <c r="D1422" s="2" t="str">
        <f>IFERROR(__xludf.DUMMYFUNCTION("IFERROR(VLOOKUP(A1422, IMPORTRANGE(""https://docs.google.com/spreadsheets/d/1-3Vjw2Cyy-mry5gbC8ypIR3YVGFfEpyFESummAta6sg/edit"", ""Sheet1!B:D""), 2, FALSE), ""Not Found"")"),"tɛrər")</f>
        <v>tɛrər</v>
      </c>
      <c r="E1422" s="2" t="str">
        <f>IFERROR(__xludf.DUMMYFUNCTION("IFERROR(VLOOKUP(A1422, IMPORTRANGE(""https://docs.google.com/spreadsheets/d/1-3Vjw2Cyy-mry5gbC8ypIR3YVGFfEpyFESummAta6sg/edit"", ""Sheet1!B:D""), 3, FALSE), ""Not Found"")"),"t ɛ r ə r ")</f>
        <v>t ɛ r ə r </v>
      </c>
    </row>
    <row r="1423">
      <c r="A1423" s="1" t="s">
        <v>1426</v>
      </c>
      <c r="B1423" s="1" t="s">
        <v>5</v>
      </c>
      <c r="C1423" s="2">
        <f>IFERROR(__xludf.DUMMYFUNCTION("IFERROR(VLOOKUP(A1423, IMPORTRANGE(""https://docs.google.com/spreadsheets/d/1AVX9GT0dgogEBStecCXMMQ29tWz3gBrtNB8yIromXbY/edit?gid=741673867"", ""out1g!A:B""), 2, FALSE), 0)"),10.0)</f>
        <v>10</v>
      </c>
      <c r="D1423" s="2" t="str">
        <f>IFERROR(__xludf.DUMMYFUNCTION("IFERROR(VLOOKUP(A1423, IMPORTRANGE(""https://docs.google.com/spreadsheets/d/1-3Vjw2Cyy-mry5gbC8ypIR3YVGFfEpyFESummAta6sg/edit"", ""Sheet1!B:D""), 2, FALSE), ""Not Found"")"),"æmər")</f>
        <v>æmər</v>
      </c>
      <c r="E1423" s="2" t="str">
        <f>IFERROR(__xludf.DUMMYFUNCTION("IFERROR(VLOOKUP(A1423, IMPORTRANGE(""https://docs.google.com/spreadsheets/d/1-3Vjw2Cyy-mry5gbC8ypIR3YVGFfEpyFESummAta6sg/edit"", ""Sheet1!B:D""), 3, FALSE), ""Not Found"")"),"æ m ə r ")</f>
        <v>æ m ə r </v>
      </c>
    </row>
    <row r="1424">
      <c r="A1424" s="1" t="s">
        <v>1427</v>
      </c>
      <c r="B1424" s="1" t="s">
        <v>5</v>
      </c>
      <c r="C1424" s="2">
        <f>IFERROR(__xludf.DUMMYFUNCTION("IFERROR(VLOOKUP(A1424, IMPORTRANGE(""https://docs.google.com/spreadsheets/d/1AVX9GT0dgogEBStecCXMMQ29tWz3gBrtNB8yIromXbY/edit?gid=741673867"", ""out1g!A:B""), 2, FALSE), 0)"),139.0)</f>
        <v>139</v>
      </c>
      <c r="D1424" s="2" t="str">
        <f>IFERROR(__xludf.DUMMYFUNCTION("IFERROR(VLOOKUP(A1424, IMPORTRANGE(""https://docs.google.com/spreadsheets/d/1-3Vjw2Cyy-mry5gbC8ypIR3YVGFfEpyFESummAta6sg/edit"", ""Sheet1!B:D""), 2, FALSE), ""Not Found"")"),"grəb")</f>
        <v>grəb</v>
      </c>
      <c r="E1424" s="2" t="str">
        <f>IFERROR(__xludf.DUMMYFUNCTION("IFERROR(VLOOKUP(A1424, IMPORTRANGE(""https://docs.google.com/spreadsheets/d/1-3Vjw2Cyy-mry5gbC8ypIR3YVGFfEpyFESummAta6sg/edit"", ""Sheet1!B:D""), 3, FALSE), ""Not Found"")"),"g r ə b ")</f>
        <v>g r ə b </v>
      </c>
    </row>
    <row r="1425">
      <c r="A1425" s="1" t="s">
        <v>1428</v>
      </c>
      <c r="B1425" s="1" t="s">
        <v>5</v>
      </c>
      <c r="C1425" s="2">
        <f>IFERROR(__xludf.DUMMYFUNCTION("IFERROR(VLOOKUP(A1425, IMPORTRANGE(""https://docs.google.com/spreadsheets/d/1AVX9GT0dgogEBStecCXMMQ29tWz3gBrtNB8yIromXbY/edit?gid=741673867"", ""out1g!A:B""), 2, FALSE), 0)"),108.0)</f>
        <v>108</v>
      </c>
      <c r="D1425" s="2" t="str">
        <f>IFERROR(__xludf.DUMMYFUNCTION("IFERROR(VLOOKUP(A1425, IMPORTRANGE(""https://docs.google.com/spreadsheets/d/1-3Vjw2Cyy-mry5gbC8ypIR3YVGFfEpyFESummAta6sg/edit"", ""Sheet1!B:D""), 2, FALSE), ""Not Found"")"),"kæʃt")</f>
        <v>kæʃt</v>
      </c>
      <c r="E1425" s="2" t="str">
        <f>IFERROR(__xludf.DUMMYFUNCTION("IFERROR(VLOOKUP(A1425, IMPORTRANGE(""https://docs.google.com/spreadsheets/d/1-3Vjw2Cyy-mry5gbC8ypIR3YVGFfEpyFESummAta6sg/edit"", ""Sheet1!B:D""), 3, FALSE), ""Not Found"")"),"k æ ʃ t ")</f>
        <v>k æ ʃ t </v>
      </c>
    </row>
    <row r="1426">
      <c r="A1426" s="1" t="s">
        <v>1429</v>
      </c>
      <c r="B1426" s="1" t="s">
        <v>5</v>
      </c>
      <c r="C1426" s="2">
        <f>IFERROR(__xludf.DUMMYFUNCTION("IFERROR(VLOOKUP(A1426, IMPORTRANGE(""https://docs.google.com/spreadsheets/d/1AVX9GT0dgogEBStecCXMMQ29tWz3gBrtNB8yIromXbY/edit?gid=741673867"", ""out1g!A:B""), 2, FALSE), 0)"),2877.0)</f>
        <v>2877</v>
      </c>
      <c r="D1426" s="2" t="str">
        <f>IFERROR(__xludf.DUMMYFUNCTION("IFERROR(VLOOKUP(A1426, IMPORTRANGE(""https://docs.google.com/spreadsheets/d/1-3Vjw2Cyy-mry5gbC8ypIR3YVGFfEpyFESummAta6sg/edit"", ""Sheet1!B:D""), 2, FALSE), ""Not Found"")"),"laɪts")</f>
        <v>laɪts</v>
      </c>
      <c r="E1426" s="2" t="str">
        <f>IFERROR(__xludf.DUMMYFUNCTION("IFERROR(VLOOKUP(A1426, IMPORTRANGE(""https://docs.google.com/spreadsheets/d/1-3Vjw2Cyy-mry5gbC8ypIR3YVGFfEpyFESummAta6sg/edit"", ""Sheet1!B:D""), 3, FALSE), ""Not Found"")"),"l a ɪ t s ")</f>
        <v>l a ɪ t s </v>
      </c>
    </row>
    <row r="1427">
      <c r="A1427" s="1" t="s">
        <v>1430</v>
      </c>
      <c r="B1427" s="1" t="s">
        <v>5</v>
      </c>
      <c r="C1427" s="2">
        <f>IFERROR(__xludf.DUMMYFUNCTION("IFERROR(VLOOKUP(A1427, IMPORTRANGE(""https://docs.google.com/spreadsheets/d/1AVX9GT0dgogEBStecCXMMQ29tWz3gBrtNB8yIromXbY/edit?gid=741673867"", ""out1g!A:B""), 2, FALSE), 0)"),73.0)</f>
        <v>73</v>
      </c>
      <c r="D1427" s="2" t="str">
        <f>IFERROR(__xludf.DUMMYFUNCTION("IFERROR(VLOOKUP(A1427, IMPORTRANGE(""https://docs.google.com/spreadsheets/d/1-3Vjw2Cyy-mry5gbC8ypIR3YVGFfEpyFESummAta6sg/edit"", ""Sheet1!B:D""), 2, FALSE), ""Not Found"")"),"saɪd")</f>
        <v>saɪd</v>
      </c>
      <c r="E1427" s="2" t="str">
        <f>IFERROR(__xludf.DUMMYFUNCTION("IFERROR(VLOOKUP(A1427, IMPORTRANGE(""https://docs.google.com/spreadsheets/d/1-3Vjw2Cyy-mry5gbC8ypIR3YVGFfEpyFESummAta6sg/edit"", ""Sheet1!B:D""), 3, FALSE), ""Not Found"")"),"s a ɪ d ")</f>
        <v>s a ɪ d </v>
      </c>
    </row>
    <row r="1428">
      <c r="A1428" s="1" t="s">
        <v>1431</v>
      </c>
      <c r="B1428" s="1" t="s">
        <v>5</v>
      </c>
      <c r="C1428" s="2">
        <f>IFERROR(__xludf.DUMMYFUNCTION("IFERROR(VLOOKUP(A1428, IMPORTRANGE(""https://docs.google.com/spreadsheets/d/1AVX9GT0dgogEBStecCXMMQ29tWz3gBrtNB8yIromXbY/edit?gid=741673867"", ""out1g!A:B""), 2, FALSE), 0)"),194.0)</f>
        <v>194</v>
      </c>
      <c r="D1428" s="2" t="str">
        <f>IFERROR(__xludf.DUMMYFUNCTION("IFERROR(VLOOKUP(A1428, IMPORTRANGE(""https://docs.google.com/spreadsheets/d/1-3Vjw2Cyy-mry5gbC8ypIR3YVGFfEpyFESummAta6sg/edit"", ""Sheet1!B:D""), 2, FALSE), ""Not Found"")"),"metɪŋ")</f>
        <v>metɪŋ</v>
      </c>
      <c r="E1428" s="2" t="str">
        <f>IFERROR(__xludf.DUMMYFUNCTION("IFERROR(VLOOKUP(A1428, IMPORTRANGE(""https://docs.google.com/spreadsheets/d/1-3Vjw2Cyy-mry5gbC8ypIR3YVGFfEpyFESummAta6sg/edit"", ""Sheet1!B:D""), 3, FALSE), ""Not Found"")"),"m e t ɪ ŋ ")</f>
        <v>m e t ɪ ŋ </v>
      </c>
    </row>
    <row r="1429">
      <c r="A1429" s="1" t="s">
        <v>1432</v>
      </c>
      <c r="B1429" s="1" t="s">
        <v>5</v>
      </c>
      <c r="C1429" s="2">
        <f>IFERROR(__xludf.DUMMYFUNCTION("IFERROR(VLOOKUP(A1429, IMPORTRANGE(""https://docs.google.com/spreadsheets/d/1AVX9GT0dgogEBStecCXMMQ29tWz3gBrtNB8yIromXbY/edit?gid=741673867"", ""out1g!A:B""), 2, FALSE), 0)"),85.0)</f>
        <v>85</v>
      </c>
      <c r="D1429" s="2" t="str">
        <f>IFERROR(__xludf.DUMMYFUNCTION("IFERROR(VLOOKUP(A1429, IMPORTRANGE(""https://docs.google.com/spreadsheets/d/1-3Vjw2Cyy-mry5gbC8ypIR3YVGFfEpyFESummAta6sg/edit"", ""Sheet1!B:D""), 2, FALSE), ""Not Found"")"),"læmz")</f>
        <v>læmz</v>
      </c>
      <c r="E1429" s="2" t="str">
        <f>IFERROR(__xludf.DUMMYFUNCTION("IFERROR(VLOOKUP(A1429, IMPORTRANGE(""https://docs.google.com/spreadsheets/d/1-3Vjw2Cyy-mry5gbC8ypIR3YVGFfEpyFESummAta6sg/edit"", ""Sheet1!B:D""), 3, FALSE), ""Not Found"")"),"l æ m z ")</f>
        <v>l æ m z </v>
      </c>
    </row>
    <row r="1430">
      <c r="A1430" s="1" t="s">
        <v>1433</v>
      </c>
      <c r="B1430" s="1" t="s">
        <v>5</v>
      </c>
      <c r="C1430" s="2">
        <f>IFERROR(__xludf.DUMMYFUNCTION("IFERROR(VLOOKUP(A1430, IMPORTRANGE(""https://docs.google.com/spreadsheets/d/1AVX9GT0dgogEBStecCXMMQ29tWz3gBrtNB8yIromXbY/edit?gid=741673867"", ""out1g!A:B""), 2, FALSE), 0)"),504.0)</f>
        <v>504</v>
      </c>
      <c r="D1430" s="2" t="str">
        <f>IFERROR(__xludf.DUMMYFUNCTION("IFERROR(VLOOKUP(A1430, IMPORTRANGE(""https://docs.google.com/spreadsheets/d/1-3Vjw2Cyy-mry5gbC8ypIR3YVGFfEpyFESummAta6sg/edit"", ""Sheet1!B:D""), 2, FALSE), ""Not Found"")"),"oʊθ")</f>
        <v>oʊθ</v>
      </c>
      <c r="E1430" s="2" t="str">
        <f>IFERROR(__xludf.DUMMYFUNCTION("IFERROR(VLOOKUP(A1430, IMPORTRANGE(""https://docs.google.com/spreadsheets/d/1-3Vjw2Cyy-mry5gbC8ypIR3YVGFfEpyFESummAta6sg/edit"", ""Sheet1!B:D""), 3, FALSE), ""Not Found"")"),"o ʊ θ ")</f>
        <v>o ʊ θ </v>
      </c>
    </row>
    <row r="1431">
      <c r="A1431" s="1" t="s">
        <v>1434</v>
      </c>
      <c r="B1431" s="1" t="s">
        <v>5</v>
      </c>
      <c r="C1431" s="2">
        <f>IFERROR(__xludf.DUMMYFUNCTION("IFERROR(VLOOKUP(A1431, IMPORTRANGE(""https://docs.google.com/spreadsheets/d/1AVX9GT0dgogEBStecCXMMQ29tWz3gBrtNB8yIromXbY/edit?gid=741673867"", ""out1g!A:B""), 2, FALSE), 0)"),52.0)</f>
        <v>52</v>
      </c>
      <c r="D1431" s="2" t="str">
        <f>IFERROR(__xludf.DUMMYFUNCTION("IFERROR(VLOOKUP(A1431, IMPORTRANGE(""https://docs.google.com/spreadsheets/d/1-3Vjw2Cyy-mry5gbC8ypIR3YVGFfEpyFESummAta6sg/edit"", ""Sheet1!B:D""), 2, FALSE), ""Not Found"")"),"zɛd")</f>
        <v>zɛd</v>
      </c>
      <c r="E1431" s="2" t="str">
        <f>IFERROR(__xludf.DUMMYFUNCTION("IFERROR(VLOOKUP(A1431, IMPORTRANGE(""https://docs.google.com/spreadsheets/d/1-3Vjw2Cyy-mry5gbC8ypIR3YVGFfEpyFESummAta6sg/edit"", ""Sheet1!B:D""), 3, FALSE), ""Not Found"")"),"z ɛ d ")</f>
        <v>z ɛ d </v>
      </c>
    </row>
    <row r="1432">
      <c r="A1432" s="1" t="s">
        <v>1435</v>
      </c>
      <c r="B1432" s="1" t="s">
        <v>5</v>
      </c>
      <c r="C1432" s="2">
        <f>IFERROR(__xludf.DUMMYFUNCTION("IFERROR(VLOOKUP(A1432, IMPORTRANGE(""https://docs.google.com/spreadsheets/d/1AVX9GT0dgogEBStecCXMMQ29tWz3gBrtNB8yIromXbY/edit?gid=741673867"", ""out1g!A:B""), 2, FALSE), 0)"),95.0)</f>
        <v>95</v>
      </c>
      <c r="D1432" s="2" t="str">
        <f>IFERROR(__xludf.DUMMYFUNCTION("IFERROR(VLOOKUP(A1432, IMPORTRANGE(""https://docs.google.com/spreadsheets/d/1-3Vjw2Cyy-mry5gbC8ypIR3YVGFfEpyFESummAta6sg/edit"", ""Sheet1!B:D""), 2, FALSE), ""Not Found"")"),"bɪz")</f>
        <v>bɪz</v>
      </c>
      <c r="E1432" s="2" t="str">
        <f>IFERROR(__xludf.DUMMYFUNCTION("IFERROR(VLOOKUP(A1432, IMPORTRANGE(""https://docs.google.com/spreadsheets/d/1-3Vjw2Cyy-mry5gbC8ypIR3YVGFfEpyFESummAta6sg/edit"", ""Sheet1!B:D""), 3, FALSE), ""Not Found"")"),"b ɪ z ")</f>
        <v>b ɪ z </v>
      </c>
    </row>
    <row r="1433">
      <c r="A1433" s="1" t="s">
        <v>1436</v>
      </c>
      <c r="B1433" s="1" t="s">
        <v>5</v>
      </c>
      <c r="C1433" s="2">
        <f>IFERROR(__xludf.DUMMYFUNCTION("IFERROR(VLOOKUP(A1433, IMPORTRANGE(""https://docs.google.com/spreadsheets/d/1AVX9GT0dgogEBStecCXMMQ29tWz3gBrtNB8yIromXbY/edit?gid=741673867"", ""out1g!A:B""), 2, FALSE), 0)"),454.0)</f>
        <v>454</v>
      </c>
      <c r="D1433" s="2" t="str">
        <f>IFERROR(__xludf.DUMMYFUNCTION("IFERROR(VLOOKUP(A1433, IMPORTRANGE(""https://docs.google.com/spreadsheets/d/1-3Vjw2Cyy-mry5gbC8ypIR3YVGFfEpyFESummAta6sg/edit"", ""Sheet1!B:D""), 2, FALSE), ""Not Found"")"),"krik")</f>
        <v>krik</v>
      </c>
      <c r="E1433" s="2" t="str">
        <f>IFERROR(__xludf.DUMMYFUNCTION("IFERROR(VLOOKUP(A1433, IMPORTRANGE(""https://docs.google.com/spreadsheets/d/1-3Vjw2Cyy-mry5gbC8ypIR3YVGFfEpyFESummAta6sg/edit"", ""Sheet1!B:D""), 3, FALSE), ""Not Found"")"),"k r i k ")</f>
        <v>k r i k </v>
      </c>
    </row>
    <row r="1434">
      <c r="A1434" s="1" t="s">
        <v>1437</v>
      </c>
      <c r="B1434" s="1" t="s">
        <v>5</v>
      </c>
      <c r="C1434" s="2">
        <f>IFERROR(__xludf.DUMMYFUNCTION("IFERROR(VLOOKUP(A1434, IMPORTRANGE(""https://docs.google.com/spreadsheets/d/1AVX9GT0dgogEBStecCXMMQ29tWz3gBrtNB8yIromXbY/edit?gid=741673867"", ""out1g!A:B""), 2, FALSE), 0)"),967.0)</f>
        <v>967</v>
      </c>
      <c r="D1434" s="2" t="str">
        <f>IFERROR(__xludf.DUMMYFUNCTION("IFERROR(VLOOKUP(A1434, IMPORTRANGE(""https://docs.google.com/spreadsheets/d/1-3Vjw2Cyy-mry5gbC8ypIR3YVGFfEpyFESummAta6sg/edit"", ""Sheet1!B:D""), 2, FALSE), ""Not Found"")"),"moʊʃən")</f>
        <v>moʊʃən</v>
      </c>
      <c r="E1434" s="2" t="str">
        <f>IFERROR(__xludf.DUMMYFUNCTION("IFERROR(VLOOKUP(A1434, IMPORTRANGE(""https://docs.google.com/spreadsheets/d/1-3Vjw2Cyy-mry5gbC8ypIR3YVGFfEpyFESummAta6sg/edit"", ""Sheet1!B:D""), 3, FALSE), ""Not Found"")"),"m o ʊ ʃ ə n ")</f>
        <v>m o ʊ ʃ ə n </v>
      </c>
    </row>
    <row r="1435">
      <c r="A1435" s="1" t="s">
        <v>1438</v>
      </c>
      <c r="B1435" s="1" t="s">
        <v>5</v>
      </c>
      <c r="C1435" s="2">
        <f>IFERROR(__xludf.DUMMYFUNCTION("IFERROR(VLOOKUP(A1435, IMPORTRANGE(""https://docs.google.com/spreadsheets/d/1AVX9GT0dgogEBStecCXMMQ29tWz3gBrtNB8yIromXbY/edit?gid=741673867"", ""out1g!A:B""), 2, FALSE), 0)"),48.0)</f>
        <v>48</v>
      </c>
      <c r="D1435" s="2" t="str">
        <f>IFERROR(__xludf.DUMMYFUNCTION("IFERROR(VLOOKUP(A1435, IMPORTRANGE(""https://docs.google.com/spreadsheets/d/1-3Vjw2Cyy-mry5gbC8ypIR3YVGFfEpyFESummAta6sg/edit"", ""Sheet1!B:D""), 2, FALSE), ""Not Found"")"),"gɪmp")</f>
        <v>gɪmp</v>
      </c>
      <c r="E1435" s="2" t="str">
        <f>IFERROR(__xludf.DUMMYFUNCTION("IFERROR(VLOOKUP(A1435, IMPORTRANGE(""https://docs.google.com/spreadsheets/d/1-3Vjw2Cyy-mry5gbC8ypIR3YVGFfEpyFESummAta6sg/edit"", ""Sheet1!B:D""), 3, FALSE), ""Not Found"")"),"g ɪ m p ")</f>
        <v>g ɪ m p </v>
      </c>
    </row>
    <row r="1436">
      <c r="A1436" s="1" t="s">
        <v>1439</v>
      </c>
      <c r="B1436" s="1" t="s">
        <v>5</v>
      </c>
      <c r="C1436" s="2">
        <f>IFERROR(__xludf.DUMMYFUNCTION("IFERROR(VLOOKUP(A1436, IMPORTRANGE(""https://docs.google.com/spreadsheets/d/1AVX9GT0dgogEBStecCXMMQ29tWz3gBrtNB8yIromXbY/edit?gid=741673867"", ""out1g!A:B""), 2, FALSE), 0)"),90.0)</f>
        <v>90</v>
      </c>
      <c r="D1436" s="2" t="str">
        <f>IFERROR(__xludf.DUMMYFUNCTION("IFERROR(VLOOKUP(A1436, IMPORTRANGE(""https://docs.google.com/spreadsheets/d/1-3Vjw2Cyy-mry5gbC8ypIR3YVGFfEpyFESummAta6sg/edit"", ""Sheet1!B:D""), 2, FALSE), ""Not Found"")"),"vəlʧər")</f>
        <v>vəlʧər</v>
      </c>
      <c r="E1436" s="2" t="str">
        <f>IFERROR(__xludf.DUMMYFUNCTION("IFERROR(VLOOKUP(A1436, IMPORTRANGE(""https://docs.google.com/spreadsheets/d/1-3Vjw2Cyy-mry5gbC8ypIR3YVGFfEpyFESummAta6sg/edit"", ""Sheet1!B:D""), 3, FALSE), ""Not Found"")"),"v ə l ʧ ə r ")</f>
        <v>v ə l ʧ ə r </v>
      </c>
    </row>
    <row r="1437">
      <c r="A1437" s="1" t="s">
        <v>1440</v>
      </c>
      <c r="B1437" s="1" t="s">
        <v>5</v>
      </c>
      <c r="C1437" s="2">
        <f>IFERROR(__xludf.DUMMYFUNCTION("IFERROR(VLOOKUP(A1437, IMPORTRANGE(""https://docs.google.com/spreadsheets/d/1AVX9GT0dgogEBStecCXMMQ29tWz3gBrtNB8yIromXbY/edit?gid=741673867"", ""out1g!A:B""), 2, FALSE), 0)"),97.0)</f>
        <v>97</v>
      </c>
      <c r="D1437" s="2" t="str">
        <f>IFERROR(__xludf.DUMMYFUNCTION("IFERROR(VLOOKUP(A1437, IMPORTRANGE(""https://docs.google.com/spreadsheets/d/1-3Vjw2Cyy-mry5gbC8ypIR3YVGFfEpyFESummAta6sg/edit"", ""Sheet1!B:D""), 2, FALSE), ""Not Found"")"),"bɛgərz")</f>
        <v>bɛgərz</v>
      </c>
      <c r="E1437" s="2" t="str">
        <f>IFERROR(__xludf.DUMMYFUNCTION("IFERROR(VLOOKUP(A1437, IMPORTRANGE(""https://docs.google.com/spreadsheets/d/1-3Vjw2Cyy-mry5gbC8ypIR3YVGFfEpyFESummAta6sg/edit"", ""Sheet1!B:D""), 3, FALSE), ""Not Found"")"),"b ɛ g ə r z ")</f>
        <v>b ɛ g ə r z </v>
      </c>
    </row>
    <row r="1438">
      <c r="A1438" s="1" t="s">
        <v>1441</v>
      </c>
      <c r="B1438" s="1" t="s">
        <v>5</v>
      </c>
      <c r="C1438" s="2">
        <f>IFERROR(__xludf.DUMMYFUNCTION("IFERROR(VLOOKUP(A1438, IMPORTRANGE(""https://docs.google.com/spreadsheets/d/1AVX9GT0dgogEBStecCXMMQ29tWz3gBrtNB8yIromXbY/edit?gid=741673867"", ""out1g!A:B""), 2, FALSE), 0)"),47.0)</f>
        <v>47</v>
      </c>
      <c r="D1438" s="2" t="str">
        <f>IFERROR(__xludf.DUMMYFUNCTION("IFERROR(VLOOKUP(A1438, IMPORTRANGE(""https://docs.google.com/spreadsheets/d/1-3Vjw2Cyy-mry5gbC8ypIR3YVGFfEpyFESummAta6sg/edit"", ""Sheet1!B:D""), 2, FALSE), ""Not Found"")"),"braɪdz")</f>
        <v>braɪdz</v>
      </c>
      <c r="E1438" s="2" t="str">
        <f>IFERROR(__xludf.DUMMYFUNCTION("IFERROR(VLOOKUP(A1438, IMPORTRANGE(""https://docs.google.com/spreadsheets/d/1-3Vjw2Cyy-mry5gbC8ypIR3YVGFfEpyFESummAta6sg/edit"", ""Sheet1!B:D""), 3, FALSE), ""Not Found"")"),"b r a ɪ d z ")</f>
        <v>b r a ɪ d z </v>
      </c>
    </row>
    <row r="1439">
      <c r="A1439" s="1" t="s">
        <v>1442</v>
      </c>
      <c r="B1439" s="1" t="s">
        <v>5</v>
      </c>
      <c r="C1439" s="2">
        <f>IFERROR(__xludf.DUMMYFUNCTION("IFERROR(VLOOKUP(A1439, IMPORTRANGE(""https://docs.google.com/spreadsheets/d/1AVX9GT0dgogEBStecCXMMQ29tWz3gBrtNB8yIromXbY/edit?gid=741673867"", ""out1g!A:B""), 2, FALSE), 0)"),603.0)</f>
        <v>603</v>
      </c>
      <c r="D1439" s="2" t="str">
        <f>IFERROR(__xludf.DUMMYFUNCTION("IFERROR(VLOOKUP(A1439, IMPORTRANGE(""https://docs.google.com/spreadsheets/d/1-3Vjw2Cyy-mry5gbC8ypIR3YVGFfEpyFESummAta6sg/edit"", ""Sheet1!B:D""), 2, FALSE), ""Not Found"")"),"pɪl")</f>
        <v>pɪl</v>
      </c>
      <c r="E1439" s="2" t="str">
        <f>IFERROR(__xludf.DUMMYFUNCTION("IFERROR(VLOOKUP(A1439, IMPORTRANGE(""https://docs.google.com/spreadsheets/d/1-3Vjw2Cyy-mry5gbC8ypIR3YVGFfEpyFESummAta6sg/edit"", ""Sheet1!B:D""), 3, FALSE), ""Not Found"")"),"p ɪ l ")</f>
        <v>p ɪ l </v>
      </c>
    </row>
    <row r="1440">
      <c r="A1440" s="1" t="s">
        <v>1443</v>
      </c>
      <c r="B1440" s="1" t="s">
        <v>5</v>
      </c>
      <c r="C1440" s="2">
        <f>IFERROR(__xludf.DUMMYFUNCTION("IFERROR(VLOOKUP(A1440, IMPORTRANGE(""https://docs.google.com/spreadsheets/d/1AVX9GT0dgogEBStecCXMMQ29tWz3gBrtNB8yIromXbY/edit?gid=741673867"", ""out1g!A:B""), 2, FALSE), 0)"),75.0)</f>
        <v>75</v>
      </c>
      <c r="D1440" s="2" t="str">
        <f>IFERROR(__xludf.DUMMYFUNCTION("IFERROR(VLOOKUP(A1440, IMPORTRANGE(""https://docs.google.com/spreadsheets/d/1-3Vjw2Cyy-mry5gbC8ypIR3YVGFfEpyFESummAta6sg/edit"", ""Sheet1!B:D""), 2, FALSE), ""Not Found"")"),"dik")</f>
        <v>dik</v>
      </c>
      <c r="E1440" s="2" t="str">
        <f>IFERROR(__xludf.DUMMYFUNCTION("IFERROR(VLOOKUP(A1440, IMPORTRANGE(""https://docs.google.com/spreadsheets/d/1-3Vjw2Cyy-mry5gbC8ypIR3YVGFfEpyFESummAta6sg/edit"", ""Sheet1!B:D""), 3, FALSE), ""Not Found"")"),"d i k ")</f>
        <v>d i k </v>
      </c>
    </row>
    <row r="1441">
      <c r="A1441" s="1" t="s">
        <v>1444</v>
      </c>
      <c r="B1441" s="1" t="s">
        <v>5</v>
      </c>
      <c r="C1441" s="2">
        <f>IFERROR(__xludf.DUMMYFUNCTION("IFERROR(VLOOKUP(A1441, IMPORTRANGE(""https://docs.google.com/spreadsheets/d/1AVX9GT0dgogEBStecCXMMQ29tWz3gBrtNB8yIromXbY/edit?gid=741673867"", ""out1g!A:B""), 2, FALSE), 0)"),52.0)</f>
        <v>52</v>
      </c>
      <c r="D1441" s="2" t="str">
        <f>IFERROR(__xludf.DUMMYFUNCTION("IFERROR(VLOOKUP(A1441, IMPORTRANGE(""https://docs.google.com/spreadsheets/d/1-3Vjw2Cyy-mry5gbC8ypIR3YVGFfEpyFESummAta6sg/edit"", ""Sheet1!B:D""), 2, FALSE), ""Not Found"")"),"waɪlz")</f>
        <v>waɪlz</v>
      </c>
      <c r="E1441" s="2" t="str">
        <f>IFERROR(__xludf.DUMMYFUNCTION("IFERROR(VLOOKUP(A1441, IMPORTRANGE(""https://docs.google.com/spreadsheets/d/1-3Vjw2Cyy-mry5gbC8ypIR3YVGFfEpyFESummAta6sg/edit"", ""Sheet1!B:D""), 3, FALSE), ""Not Found"")"),"w a ɪ l z ")</f>
        <v>w a ɪ l z </v>
      </c>
    </row>
    <row r="1442">
      <c r="A1442" s="1" t="s">
        <v>1445</v>
      </c>
      <c r="B1442" s="1" t="s">
        <v>5</v>
      </c>
      <c r="C1442" s="2">
        <f>IFERROR(__xludf.DUMMYFUNCTION("IFERROR(VLOOKUP(A1442, IMPORTRANGE(""https://docs.google.com/spreadsheets/d/1AVX9GT0dgogEBStecCXMMQ29tWz3gBrtNB8yIromXbY/edit?gid=741673867"", ""out1g!A:B""), 2, FALSE), 0)"),531.0)</f>
        <v>531</v>
      </c>
      <c r="D1442" s="2" t="str">
        <f>IFERROR(__xludf.DUMMYFUNCTION("IFERROR(VLOOKUP(A1442, IMPORTRANGE(""https://docs.google.com/spreadsheets/d/1-3Vjw2Cyy-mry5gbC8ypIR3YVGFfEpyFESummAta6sg/edit"", ""Sheet1!B:D""), 2, FALSE), ""Not Found"")"),"næni")</f>
        <v>næni</v>
      </c>
      <c r="E1442" s="2" t="str">
        <f>IFERROR(__xludf.DUMMYFUNCTION("IFERROR(VLOOKUP(A1442, IMPORTRANGE(""https://docs.google.com/spreadsheets/d/1-3Vjw2Cyy-mry5gbC8ypIR3YVGFfEpyFESummAta6sg/edit"", ""Sheet1!B:D""), 3, FALSE), ""Not Found"")"),"n æ n i ")</f>
        <v>n æ n i </v>
      </c>
    </row>
    <row r="1443">
      <c r="A1443" s="1" t="s">
        <v>1446</v>
      </c>
      <c r="B1443" s="1" t="s">
        <v>5</v>
      </c>
      <c r="C1443" s="2">
        <f>IFERROR(__xludf.DUMMYFUNCTION("IFERROR(VLOOKUP(A1443, IMPORTRANGE(""https://docs.google.com/spreadsheets/d/1AVX9GT0dgogEBStecCXMMQ29tWz3gBrtNB8yIromXbY/edit?gid=741673867"", ""out1g!A:B""), 2, FALSE), 0)"),82.0)</f>
        <v>82</v>
      </c>
      <c r="D1443" s="2" t="str">
        <f>IFERROR(__xludf.DUMMYFUNCTION("IFERROR(VLOOKUP(A1443, IMPORTRANGE(""https://docs.google.com/spreadsheets/d/1-3Vjw2Cyy-mry5gbC8ypIR3YVGFfEpyFESummAta6sg/edit"", ""Sheet1!B:D""), 2, FALSE), ""Not Found"")"),"tɔri")</f>
        <v>tɔri</v>
      </c>
      <c r="E1443" s="2" t="str">
        <f>IFERROR(__xludf.DUMMYFUNCTION("IFERROR(VLOOKUP(A1443, IMPORTRANGE(""https://docs.google.com/spreadsheets/d/1-3Vjw2Cyy-mry5gbC8ypIR3YVGFfEpyFESummAta6sg/edit"", ""Sheet1!B:D""), 3, FALSE), ""Not Found"")"),"t ɔ r i ")</f>
        <v>t ɔ r i </v>
      </c>
    </row>
    <row r="1444">
      <c r="A1444" s="1" t="s">
        <v>1447</v>
      </c>
      <c r="B1444" s="1" t="s">
        <v>5</v>
      </c>
      <c r="C1444" s="2">
        <f>IFERROR(__xludf.DUMMYFUNCTION("IFERROR(VLOOKUP(A1444, IMPORTRANGE(""https://docs.google.com/spreadsheets/d/1AVX9GT0dgogEBStecCXMMQ29tWz3gBrtNB8yIromXbY/edit?gid=741673867"", ""out1g!A:B""), 2, FALSE), 0)"),11432.0)</f>
        <v>11432</v>
      </c>
      <c r="D1444" s="2" t="str">
        <f>IFERROR(__xludf.DUMMYFUNCTION("IFERROR(VLOOKUP(A1444, IMPORTRANGE(""https://docs.google.com/spreadsheets/d/1-3Vjw2Cyy-mry5gbC8ypIR3YVGFfEpyFESummAta6sg/edit"", ""Sheet1!B:D""), 2, FALSE), ""Not Found"")"),"bɔɪz")</f>
        <v>bɔɪz</v>
      </c>
      <c r="E1444" s="2" t="str">
        <f>IFERROR(__xludf.DUMMYFUNCTION("IFERROR(VLOOKUP(A1444, IMPORTRANGE(""https://docs.google.com/spreadsheets/d/1-3Vjw2Cyy-mry5gbC8ypIR3YVGFfEpyFESummAta6sg/edit"", ""Sheet1!B:D""), 3, FALSE), ""Not Found"")"),"b ɔ ɪ z ")</f>
        <v>b ɔ ɪ z </v>
      </c>
    </row>
    <row r="1445">
      <c r="A1445" s="1" t="s">
        <v>1448</v>
      </c>
      <c r="B1445" s="1" t="s">
        <v>5</v>
      </c>
      <c r="C1445" s="2">
        <f>IFERROR(__xludf.DUMMYFUNCTION("IFERROR(VLOOKUP(A1445, IMPORTRANGE(""https://docs.google.com/spreadsheets/d/1AVX9GT0dgogEBStecCXMMQ29tWz3gBrtNB8yIromXbY/edit?gid=741673867"", ""out1g!A:B""), 2, FALSE), 0)"),908.0)</f>
        <v>908</v>
      </c>
      <c r="D1445" s="2" t="str">
        <f>IFERROR(__xludf.DUMMYFUNCTION("IFERROR(VLOOKUP(A1445, IMPORTRANGE(""https://docs.google.com/spreadsheets/d/1-3Vjw2Cyy-mry5gbC8ypIR3YVGFfEpyFESummAta6sg/edit"", ""Sheet1!B:D""), 2, FALSE), ""Not Found"")"),"ræp")</f>
        <v>ræp</v>
      </c>
      <c r="E1445" s="2" t="str">
        <f>IFERROR(__xludf.DUMMYFUNCTION("IFERROR(VLOOKUP(A1445, IMPORTRANGE(""https://docs.google.com/spreadsheets/d/1-3Vjw2Cyy-mry5gbC8ypIR3YVGFfEpyFESummAta6sg/edit"", ""Sheet1!B:D""), 3, FALSE), ""Not Found"")"),"r æ p ")</f>
        <v>r æ p </v>
      </c>
    </row>
    <row r="1446">
      <c r="A1446" s="1" t="s">
        <v>1449</v>
      </c>
      <c r="B1446" s="1" t="s">
        <v>5</v>
      </c>
      <c r="C1446" s="2">
        <f>IFERROR(__xludf.DUMMYFUNCTION("IFERROR(VLOOKUP(A1446, IMPORTRANGE(""https://docs.google.com/spreadsheets/d/1AVX9GT0dgogEBStecCXMMQ29tWz3gBrtNB8yIromXbY/edit?gid=741673867"", ""out1g!A:B""), 2, FALSE), 0)"),1067.0)</f>
        <v>1067</v>
      </c>
      <c r="D1446" s="2" t="str">
        <f>IFERROR(__xludf.DUMMYFUNCTION("IFERROR(VLOOKUP(A1446, IMPORTRANGE(""https://docs.google.com/spreadsheets/d/1-3Vjw2Cyy-mry5gbC8ypIR3YVGFfEpyFESummAta6sg/edit"", ""Sheet1!B:D""), 2, FALSE), ""Not Found"")"),"ʤiz")</f>
        <v>ʤiz</v>
      </c>
      <c r="E1446" s="2" t="str">
        <f>IFERROR(__xludf.DUMMYFUNCTION("IFERROR(VLOOKUP(A1446, IMPORTRANGE(""https://docs.google.com/spreadsheets/d/1-3Vjw2Cyy-mry5gbC8ypIR3YVGFfEpyFESummAta6sg/edit"", ""Sheet1!B:D""), 3, FALSE), ""Not Found"")"),"ʤ i z ")</f>
        <v>ʤ i z </v>
      </c>
    </row>
    <row r="1447">
      <c r="A1447" s="1" t="s">
        <v>1450</v>
      </c>
      <c r="B1447" s="1" t="s">
        <v>5</v>
      </c>
      <c r="C1447" s="2">
        <f>IFERROR(__xludf.DUMMYFUNCTION("IFERROR(VLOOKUP(A1447, IMPORTRANGE(""https://docs.google.com/spreadsheets/d/1AVX9GT0dgogEBStecCXMMQ29tWz3gBrtNB8yIromXbY/edit?gid=741673867"", ""out1g!A:B""), 2, FALSE), 0)"),2306.0)</f>
        <v>2306</v>
      </c>
      <c r="D1447" s="2" t="str">
        <f>IFERROR(__xludf.DUMMYFUNCTION("IFERROR(VLOOKUP(A1447, IMPORTRANGE(""https://docs.google.com/spreadsheets/d/1-3Vjw2Cyy-mry5gbC8ypIR3YVGFfEpyFESummAta6sg/edit"", ""Sheet1!B:D""), 2, FALSE), ""Not Found"")"),"drəg")</f>
        <v>drəg</v>
      </c>
      <c r="E1447" s="2" t="str">
        <f>IFERROR(__xludf.DUMMYFUNCTION("IFERROR(VLOOKUP(A1447, IMPORTRANGE(""https://docs.google.com/spreadsheets/d/1-3Vjw2Cyy-mry5gbC8ypIR3YVGFfEpyFESummAta6sg/edit"", ""Sheet1!B:D""), 3, FALSE), ""Not Found"")"),"d r ə g ")</f>
        <v>d r ə g </v>
      </c>
    </row>
    <row r="1448">
      <c r="A1448" s="1" t="s">
        <v>1451</v>
      </c>
      <c r="B1448" s="1" t="s">
        <v>5</v>
      </c>
      <c r="C1448" s="2">
        <f>IFERROR(__xludf.DUMMYFUNCTION("IFERROR(VLOOKUP(A1448, IMPORTRANGE(""https://docs.google.com/spreadsheets/d/1AVX9GT0dgogEBStecCXMMQ29tWz3gBrtNB8yIromXbY/edit?gid=741673867"", ""out1g!A:B""), 2, FALSE), 0)"),4616.0)</f>
        <v>4616</v>
      </c>
      <c r="D1448" s="2" t="str">
        <f>IFERROR(__xludf.DUMMYFUNCTION("IFERROR(VLOOKUP(A1448, IMPORTRANGE(""https://docs.google.com/spreadsheets/d/1-3Vjw2Cyy-mry5gbC8ypIR3YVGFfEpyFESummAta6sg/edit"", ""Sheet1!B:D""), 2, FALSE), ""Not Found"")"),"təf")</f>
        <v>təf</v>
      </c>
      <c r="E1448" s="2" t="str">
        <f>IFERROR(__xludf.DUMMYFUNCTION("IFERROR(VLOOKUP(A1448, IMPORTRANGE(""https://docs.google.com/spreadsheets/d/1-3Vjw2Cyy-mry5gbC8ypIR3YVGFfEpyFESummAta6sg/edit"", ""Sheet1!B:D""), 3, FALSE), ""Not Found"")"),"t ə f ")</f>
        <v>t ə f </v>
      </c>
    </row>
    <row r="1449">
      <c r="A1449" s="1" t="s">
        <v>1452</v>
      </c>
      <c r="B1449" s="1" t="s">
        <v>5</v>
      </c>
      <c r="C1449" s="2">
        <f>IFERROR(__xludf.DUMMYFUNCTION("IFERROR(VLOOKUP(A1449, IMPORTRANGE(""https://docs.google.com/spreadsheets/d/1AVX9GT0dgogEBStecCXMMQ29tWz3gBrtNB8yIromXbY/edit?gid=741673867"", ""out1g!A:B""), 2, FALSE), 0)"),19.0)</f>
        <v>19</v>
      </c>
      <c r="D1449" s="2" t="str">
        <f>IFERROR(__xludf.DUMMYFUNCTION("IFERROR(VLOOKUP(A1449, IMPORTRANGE(""https://docs.google.com/spreadsheets/d/1-3Vjw2Cyy-mry5gbC8ypIR3YVGFfEpyFESummAta6sg/edit"", ""Sheet1!B:D""), 2, FALSE), ""Not Found"")"),"dɪfərz")</f>
        <v>dɪfərz</v>
      </c>
      <c r="E1449" s="2" t="str">
        <f>IFERROR(__xludf.DUMMYFUNCTION("IFERROR(VLOOKUP(A1449, IMPORTRANGE(""https://docs.google.com/spreadsheets/d/1-3Vjw2Cyy-mry5gbC8ypIR3YVGFfEpyFESummAta6sg/edit"", ""Sheet1!B:D""), 3, FALSE), ""Not Found"")"),"d ɪ f ə r z ")</f>
        <v>d ɪ f ə r z </v>
      </c>
    </row>
    <row r="1450">
      <c r="A1450" s="1" t="s">
        <v>1453</v>
      </c>
      <c r="B1450" s="1" t="s">
        <v>5</v>
      </c>
      <c r="C1450" s="2">
        <f>IFERROR(__xludf.DUMMYFUNCTION("IFERROR(VLOOKUP(A1450, IMPORTRANGE(""https://docs.google.com/spreadsheets/d/1AVX9GT0dgogEBStecCXMMQ29tWz3gBrtNB8yIromXbY/edit?gid=741673867"", ""out1g!A:B""), 2, FALSE), 0)"),840.0)</f>
        <v>840</v>
      </c>
      <c r="D1450" s="2" t="str">
        <f>IFERROR(__xludf.DUMMYFUNCTION("IFERROR(VLOOKUP(A1450, IMPORTRANGE(""https://docs.google.com/spreadsheets/d/1-3Vjw2Cyy-mry5gbC8ypIR3YVGFfEpyFESummAta6sg/edit"", ""Sheet1!B:D""), 2, FALSE), ""Not Found"")"),"wed")</f>
        <v>wed</v>
      </c>
      <c r="E1450" s="2" t="str">
        <f>IFERROR(__xludf.DUMMYFUNCTION("IFERROR(VLOOKUP(A1450, IMPORTRANGE(""https://docs.google.com/spreadsheets/d/1-3Vjw2Cyy-mry5gbC8ypIR3YVGFfEpyFESummAta6sg/edit"", ""Sheet1!B:D""), 3, FALSE), ""Not Found"")"),"w e d ")</f>
        <v>w e d </v>
      </c>
    </row>
    <row r="1451">
      <c r="A1451" s="1" t="s">
        <v>1454</v>
      </c>
      <c r="B1451" s="1" t="s">
        <v>5</v>
      </c>
      <c r="C1451" s="2">
        <f>IFERROR(__xludf.DUMMYFUNCTION("IFERROR(VLOOKUP(A1451, IMPORTRANGE(""https://docs.google.com/spreadsheets/d/1AVX9GT0dgogEBStecCXMMQ29tWz3gBrtNB8yIromXbY/edit?gid=741673867"", ""out1g!A:B""), 2, FALSE), 0)"),137.0)</f>
        <v>137</v>
      </c>
      <c r="D1451" s="2" t="str">
        <f>IFERROR(__xludf.DUMMYFUNCTION("IFERROR(VLOOKUP(A1451, IMPORTRANGE(""https://docs.google.com/spreadsheets/d/1-3Vjw2Cyy-mry5gbC8ypIR3YVGFfEpyFESummAta6sg/edit"", ""Sheet1!B:D""), 2, FALSE), ""Not Found"")"),"kɑsə")</f>
        <v>kɑsə</v>
      </c>
      <c r="E1451" s="2" t="str">
        <f>IFERROR(__xludf.DUMMYFUNCTION("IFERROR(VLOOKUP(A1451, IMPORTRANGE(""https://docs.google.com/spreadsheets/d/1-3Vjw2Cyy-mry5gbC8ypIR3YVGFfEpyFESummAta6sg/edit"", ""Sheet1!B:D""), 3, FALSE), ""Not Found"")"),"k ɑ s ə ")</f>
        <v>k ɑ s ə </v>
      </c>
    </row>
    <row r="1452">
      <c r="A1452" s="1" t="s">
        <v>1455</v>
      </c>
      <c r="B1452" s="1" t="s">
        <v>5</v>
      </c>
      <c r="C1452" s="2">
        <f>IFERROR(__xludf.DUMMYFUNCTION("IFERROR(VLOOKUP(A1452, IMPORTRANGE(""https://docs.google.com/spreadsheets/d/1AVX9GT0dgogEBStecCXMMQ29tWz3gBrtNB8yIromXbY/edit?gid=741673867"", ""out1g!A:B""), 2, FALSE), 0)"),694.0)</f>
        <v>694</v>
      </c>
      <c r="D1452" s="2" t="str">
        <f>IFERROR(__xludf.DUMMYFUNCTION("IFERROR(VLOOKUP(A1452, IMPORTRANGE(""https://docs.google.com/spreadsheets/d/1-3Vjw2Cyy-mry5gbC8ypIR3YVGFfEpyFESummAta6sg/edit"", ""Sheet1!B:D""), 2, FALSE), ""Not Found"")"),"stɪks")</f>
        <v>stɪks</v>
      </c>
      <c r="E1452" s="2" t="str">
        <f>IFERROR(__xludf.DUMMYFUNCTION("IFERROR(VLOOKUP(A1452, IMPORTRANGE(""https://docs.google.com/spreadsheets/d/1-3Vjw2Cyy-mry5gbC8ypIR3YVGFfEpyFESummAta6sg/edit"", ""Sheet1!B:D""), 3, FALSE), ""Not Found"")"),"s t ɪ k s ")</f>
        <v>s t ɪ k s </v>
      </c>
    </row>
    <row r="1453">
      <c r="A1453" s="1" t="s">
        <v>1456</v>
      </c>
      <c r="B1453" s="1" t="s">
        <v>5</v>
      </c>
      <c r="C1453" s="2">
        <f>IFERROR(__xludf.DUMMYFUNCTION("IFERROR(VLOOKUP(A1453, IMPORTRANGE(""https://docs.google.com/spreadsheets/d/1AVX9GT0dgogEBStecCXMMQ29tWz3gBrtNB8yIromXbY/edit?gid=741673867"", ""out1g!A:B""), 2, FALSE), 0)"),26.0)</f>
        <v>26</v>
      </c>
      <c r="D1453" s="2" t="str">
        <f>IFERROR(__xludf.DUMMYFUNCTION("IFERROR(VLOOKUP(A1453, IMPORTRANGE(""https://docs.google.com/spreadsheets/d/1-3Vjw2Cyy-mry5gbC8ypIR3YVGFfEpyFESummAta6sg/edit"", ""Sheet1!B:D""), 2, FALSE), ""Not Found"")"),"izd")</f>
        <v>izd</v>
      </c>
      <c r="E1453" s="2" t="str">
        <f>IFERROR(__xludf.DUMMYFUNCTION("IFERROR(VLOOKUP(A1453, IMPORTRANGE(""https://docs.google.com/spreadsheets/d/1-3Vjw2Cyy-mry5gbC8ypIR3YVGFfEpyFESummAta6sg/edit"", ""Sheet1!B:D""), 3, FALSE), ""Not Found"")"),"i z d ")</f>
        <v>i z d </v>
      </c>
    </row>
    <row r="1454">
      <c r="A1454" s="1" t="s">
        <v>1457</v>
      </c>
      <c r="B1454" s="1" t="s">
        <v>5</v>
      </c>
      <c r="C1454" s="2">
        <f>IFERROR(__xludf.DUMMYFUNCTION("IFERROR(VLOOKUP(A1454, IMPORTRANGE(""https://docs.google.com/spreadsheets/d/1AVX9GT0dgogEBStecCXMMQ29tWz3gBrtNB8yIromXbY/edit?gid=741673867"", ""out1g!A:B""), 2, FALSE), 0)"),11127.0)</f>
        <v>11127</v>
      </c>
      <c r="D1454" s="2" t="str">
        <f>IFERROR(__xludf.DUMMYFUNCTION("IFERROR(VLOOKUP(A1454, IMPORTRANGE(""https://docs.google.com/spreadsheets/d/1-3Vjw2Cyy-mry5gbC8ypIR3YVGFfEpyFESummAta6sg/edit"", ""Sheet1!B:D""), 2, FALSE), ""Not Found"")"),"fəni")</f>
        <v>fəni</v>
      </c>
      <c r="E1454" s="2" t="str">
        <f>IFERROR(__xludf.DUMMYFUNCTION("IFERROR(VLOOKUP(A1454, IMPORTRANGE(""https://docs.google.com/spreadsheets/d/1-3Vjw2Cyy-mry5gbC8ypIR3YVGFfEpyFESummAta6sg/edit"", ""Sheet1!B:D""), 3, FALSE), ""Not Found"")"),"f ə n i ")</f>
        <v>f ə n i </v>
      </c>
    </row>
    <row r="1455">
      <c r="A1455" s="1" t="s">
        <v>1458</v>
      </c>
      <c r="B1455" s="1" t="s">
        <v>5</v>
      </c>
      <c r="C1455" s="2">
        <f>IFERROR(__xludf.DUMMYFUNCTION("IFERROR(VLOOKUP(A1455, IMPORTRANGE(""https://docs.google.com/spreadsheets/d/1AVX9GT0dgogEBStecCXMMQ29tWz3gBrtNB8yIromXbY/edit?gid=741673867"", ""out1g!A:B""), 2, FALSE), 0)"),177.0)</f>
        <v>177</v>
      </c>
      <c r="D1455" s="2" t="str">
        <f>IFERROR(__xludf.DUMMYFUNCTION("IFERROR(VLOOKUP(A1455, IMPORTRANGE(""https://docs.google.com/spreadsheets/d/1-3Vjw2Cyy-mry5gbC8ypIR3YVGFfEpyFESummAta6sg/edit"", ""Sheet1!B:D""), 2, FALSE), ""Not Found"")"),"sisi")</f>
        <v>sisi</v>
      </c>
      <c r="E1455" s="2" t="str">
        <f>IFERROR(__xludf.DUMMYFUNCTION("IFERROR(VLOOKUP(A1455, IMPORTRANGE(""https://docs.google.com/spreadsheets/d/1-3Vjw2Cyy-mry5gbC8ypIR3YVGFfEpyFESummAta6sg/edit"", ""Sheet1!B:D""), 3, FALSE), ""Not Found"")"),"s i s i ")</f>
        <v>s i s i </v>
      </c>
    </row>
    <row r="1456">
      <c r="A1456" s="1" t="s">
        <v>1459</v>
      </c>
      <c r="B1456" s="1" t="s">
        <v>5</v>
      </c>
      <c r="C1456" s="2">
        <f>IFERROR(__xludf.DUMMYFUNCTION("IFERROR(VLOOKUP(A1456, IMPORTRANGE(""https://docs.google.com/spreadsheets/d/1AVX9GT0dgogEBStecCXMMQ29tWz3gBrtNB8yIromXbY/edit?gid=741673867"", ""out1g!A:B""), 2, FALSE), 0)"),1063.0)</f>
        <v>1063</v>
      </c>
      <c r="D1456" s="2" t="str">
        <f>IFERROR(__xludf.DUMMYFUNCTION("IFERROR(VLOOKUP(A1456, IMPORTRANGE(""https://docs.google.com/spreadsheets/d/1-3Vjw2Cyy-mry5gbC8ypIR3YVGFfEpyFESummAta6sg/edit"", ""Sheet1!B:D""), 2, FALSE), ""Not Found"")"),"sɛnʧəri")</f>
        <v>sɛnʧəri</v>
      </c>
      <c r="E1456" s="2" t="str">
        <f>IFERROR(__xludf.DUMMYFUNCTION("IFERROR(VLOOKUP(A1456, IMPORTRANGE(""https://docs.google.com/spreadsheets/d/1-3Vjw2Cyy-mry5gbC8ypIR3YVGFfEpyFESummAta6sg/edit"", ""Sheet1!B:D""), 3, FALSE), ""Not Found"")"),"s ɛ n ʧ ə r i ")</f>
        <v>s ɛ n ʧ ə r i </v>
      </c>
    </row>
    <row r="1457">
      <c r="A1457" s="1" t="s">
        <v>1460</v>
      </c>
      <c r="B1457" s="1" t="s">
        <v>5</v>
      </c>
      <c r="C1457" s="2">
        <f>IFERROR(__xludf.DUMMYFUNCTION("IFERROR(VLOOKUP(A1457, IMPORTRANGE(""https://docs.google.com/spreadsheets/d/1AVX9GT0dgogEBStecCXMMQ29tWz3gBrtNB8yIromXbY/edit?gid=741673867"", ""out1g!A:B""), 2, FALSE), 0)"),110.0)</f>
        <v>110</v>
      </c>
      <c r="D1457" s="2" t="str">
        <f>IFERROR(__xludf.DUMMYFUNCTION("IFERROR(VLOOKUP(A1457, IMPORTRANGE(""https://docs.google.com/spreadsheets/d/1-3Vjw2Cyy-mry5gbC8ypIR3YVGFfEpyFESummAta6sg/edit"", ""Sheet1!B:D""), 2, FALSE), ""Not Found"")"),"ti")</f>
        <v>ti</v>
      </c>
      <c r="E1457" s="2" t="str">
        <f>IFERROR(__xludf.DUMMYFUNCTION("IFERROR(VLOOKUP(A1457, IMPORTRANGE(""https://docs.google.com/spreadsheets/d/1-3Vjw2Cyy-mry5gbC8ypIR3YVGFfEpyFESummAta6sg/edit"", ""Sheet1!B:D""), 3, FALSE), ""Not Found"")"),"t i ")</f>
        <v>t i </v>
      </c>
    </row>
    <row r="1458">
      <c r="A1458" s="1" t="s">
        <v>1461</v>
      </c>
      <c r="B1458" s="1" t="s">
        <v>5</v>
      </c>
      <c r="C1458" s="2">
        <f>IFERROR(__xludf.DUMMYFUNCTION("IFERROR(VLOOKUP(A1458, IMPORTRANGE(""https://docs.google.com/spreadsheets/d/1AVX9GT0dgogEBStecCXMMQ29tWz3gBrtNB8yIromXbY/edit?gid=741673867"", ""out1g!A:B""), 2, FALSE), 0)"),1268.0)</f>
        <v>1268</v>
      </c>
      <c r="D1458" s="2" t="str">
        <f>IFERROR(__xludf.DUMMYFUNCTION("IFERROR(VLOOKUP(A1458, IMPORTRANGE(""https://docs.google.com/spreadsheets/d/1-3Vjw2Cyy-mry5gbC8ypIR3YVGFfEpyFESummAta6sg/edit"", ""Sheet1!B:D""), 2, FALSE), ""Not Found"")"),"saɪmən")</f>
        <v>saɪmən</v>
      </c>
      <c r="E1458" s="2" t="str">
        <f>IFERROR(__xludf.DUMMYFUNCTION("IFERROR(VLOOKUP(A1458, IMPORTRANGE(""https://docs.google.com/spreadsheets/d/1-3Vjw2Cyy-mry5gbC8ypIR3YVGFfEpyFESummAta6sg/edit"", ""Sheet1!B:D""), 3, FALSE), ""Not Found"")"),"s a ɪ m ə n ")</f>
        <v>s a ɪ m ə n </v>
      </c>
    </row>
    <row r="1459">
      <c r="A1459" s="1" t="s">
        <v>1462</v>
      </c>
      <c r="B1459" s="1" t="s">
        <v>5</v>
      </c>
      <c r="C1459" s="2">
        <f>IFERROR(__xludf.DUMMYFUNCTION("IFERROR(VLOOKUP(A1459, IMPORTRANGE(""https://docs.google.com/spreadsheets/d/1AVX9GT0dgogEBStecCXMMQ29tWz3gBrtNB8yIromXbY/edit?gid=741673867"", ""out1g!A:B""), 2, FALSE), 0)"),5591.0)</f>
        <v>5591</v>
      </c>
      <c r="D1459" s="2" t="str">
        <f>IFERROR(__xludf.DUMMYFUNCTION("IFERROR(VLOOKUP(A1459, IMPORTRANGE(""https://docs.google.com/spreadsheets/d/1-3Vjw2Cyy-mry5gbC8ypIR3YVGFfEpyFESummAta6sg/edit"", ""Sheet1!B:D""), 2, FALSE), ""Not Found"")"),"siɪŋ")</f>
        <v>siɪŋ</v>
      </c>
      <c r="E1459" s="2" t="str">
        <f>IFERROR(__xludf.DUMMYFUNCTION("IFERROR(VLOOKUP(A1459, IMPORTRANGE(""https://docs.google.com/spreadsheets/d/1-3Vjw2Cyy-mry5gbC8ypIR3YVGFfEpyFESummAta6sg/edit"", ""Sheet1!B:D""), 3, FALSE), ""Not Found"")"),"s i ɪ ŋ ")</f>
        <v>s i ɪ ŋ </v>
      </c>
    </row>
    <row r="1460">
      <c r="A1460" s="1" t="s">
        <v>1463</v>
      </c>
      <c r="B1460" s="1" t="s">
        <v>5</v>
      </c>
      <c r="C1460" s="2">
        <f>IFERROR(__xludf.DUMMYFUNCTION("IFERROR(VLOOKUP(A1460, IMPORTRANGE(""https://docs.google.com/spreadsheets/d/1AVX9GT0dgogEBStecCXMMQ29tWz3gBrtNB8yIromXbY/edit?gid=741673867"", ""out1g!A:B""), 2, FALSE), 0)"),108.0)</f>
        <v>108</v>
      </c>
      <c r="D1460" s="2" t="str">
        <f>IFERROR(__xludf.DUMMYFUNCTION("IFERROR(VLOOKUP(A1460, IMPORTRANGE(""https://docs.google.com/spreadsheets/d/1-3Vjw2Cyy-mry5gbC8ypIR3YVGFfEpyFESummAta6sg/edit"", ""Sheet1!B:D""), 2, FALSE), ""Not Found"")"),"lɔrdi")</f>
        <v>lɔrdi</v>
      </c>
      <c r="E1460" s="2" t="str">
        <f>IFERROR(__xludf.DUMMYFUNCTION("IFERROR(VLOOKUP(A1460, IMPORTRANGE(""https://docs.google.com/spreadsheets/d/1-3Vjw2Cyy-mry5gbC8ypIR3YVGFfEpyFESummAta6sg/edit"", ""Sheet1!B:D""), 3, FALSE), ""Not Found"")"),"l ɔ r d i ")</f>
        <v>l ɔ r d i </v>
      </c>
    </row>
    <row r="1461">
      <c r="A1461" s="1" t="s">
        <v>1464</v>
      </c>
      <c r="B1461" s="1" t="s">
        <v>5</v>
      </c>
      <c r="C1461" s="2">
        <f>IFERROR(__xludf.DUMMYFUNCTION("IFERROR(VLOOKUP(A1461, IMPORTRANGE(""https://docs.google.com/spreadsheets/d/1AVX9GT0dgogEBStecCXMMQ29tWz3gBrtNB8yIromXbY/edit?gid=741673867"", ""out1g!A:B""), 2, FALSE), 0)"),1017.0)</f>
        <v>1017</v>
      </c>
      <c r="D1461" s="2" t="str">
        <f>IFERROR(__xludf.DUMMYFUNCTION("IFERROR(VLOOKUP(A1461, IMPORTRANGE(""https://docs.google.com/spreadsheets/d/1-3Vjw2Cyy-mry5gbC8ypIR3YVGFfEpyFESummAta6sg/edit"", ""Sheet1!B:D""), 2, FALSE), ""Not Found"")"),"fivər")</f>
        <v>fivər</v>
      </c>
      <c r="E1461" s="2" t="str">
        <f>IFERROR(__xludf.DUMMYFUNCTION("IFERROR(VLOOKUP(A1461, IMPORTRANGE(""https://docs.google.com/spreadsheets/d/1-3Vjw2Cyy-mry5gbC8ypIR3YVGFfEpyFESummAta6sg/edit"", ""Sheet1!B:D""), 3, FALSE), ""Not Found"")"),"f i v ə r ")</f>
        <v>f i v ə r </v>
      </c>
    </row>
    <row r="1462">
      <c r="A1462" s="1" t="s">
        <v>1465</v>
      </c>
      <c r="B1462" s="1" t="s">
        <v>5</v>
      </c>
      <c r="C1462" s="2">
        <f>IFERROR(__xludf.DUMMYFUNCTION("IFERROR(VLOOKUP(A1462, IMPORTRANGE(""https://docs.google.com/spreadsheets/d/1AVX9GT0dgogEBStecCXMMQ29tWz3gBrtNB8yIromXbY/edit?gid=741673867"", ""out1g!A:B""), 2, FALSE), 0)"),6570.0)</f>
        <v>6570</v>
      </c>
      <c r="D1462" s="2" t="str">
        <f>IFERROR(__xludf.DUMMYFUNCTION("IFERROR(VLOOKUP(A1462, IMPORTRANGE(""https://docs.google.com/spreadsheets/d/1-3Vjw2Cyy-mry5gbC8ypIR3YVGFfEpyFESummAta6sg/edit"", ""Sheet1!B:D""), 2, FALSE), ""Not Found"")"),"θroʊ")</f>
        <v>θroʊ</v>
      </c>
      <c r="E1462" s="2" t="str">
        <f>IFERROR(__xludf.DUMMYFUNCTION("IFERROR(VLOOKUP(A1462, IMPORTRANGE(""https://docs.google.com/spreadsheets/d/1-3Vjw2Cyy-mry5gbC8ypIR3YVGFfEpyFESummAta6sg/edit"", ""Sheet1!B:D""), 3, FALSE), ""Not Found"")"),"θ r o ʊ ")</f>
        <v>θ r o ʊ </v>
      </c>
    </row>
    <row r="1463">
      <c r="A1463" s="1" t="s">
        <v>1466</v>
      </c>
      <c r="B1463" s="1" t="s">
        <v>5</v>
      </c>
      <c r="C1463" s="2">
        <f>IFERROR(__xludf.DUMMYFUNCTION("IFERROR(VLOOKUP(A1463, IMPORTRANGE(""https://docs.google.com/spreadsheets/d/1AVX9GT0dgogEBStecCXMMQ29tWz3gBrtNB8yIromXbY/edit?gid=741673867"", ""out1g!A:B""), 2, FALSE), 0)"),79.0)</f>
        <v>79</v>
      </c>
      <c r="D1463" s="2" t="str">
        <f>IFERROR(__xludf.DUMMYFUNCTION("IFERROR(VLOOKUP(A1463, IMPORTRANGE(""https://docs.google.com/spreadsheets/d/1-3Vjw2Cyy-mry5gbC8ypIR3YVGFfEpyFESummAta6sg/edit"", ""Sheet1!B:D""), 2, FALSE), ""Not Found"")"),"fəsi")</f>
        <v>fəsi</v>
      </c>
      <c r="E1463" s="2" t="str">
        <f>IFERROR(__xludf.DUMMYFUNCTION("IFERROR(VLOOKUP(A1463, IMPORTRANGE(""https://docs.google.com/spreadsheets/d/1-3Vjw2Cyy-mry5gbC8ypIR3YVGFfEpyFESummAta6sg/edit"", ""Sheet1!B:D""), 3, FALSE), ""Not Found"")"),"f ə s i ")</f>
        <v>f ə s i </v>
      </c>
    </row>
    <row r="1464">
      <c r="A1464" s="1" t="s">
        <v>1467</v>
      </c>
      <c r="B1464" s="1" t="s">
        <v>5</v>
      </c>
      <c r="C1464" s="2">
        <f>IFERROR(__xludf.DUMMYFUNCTION("IFERROR(VLOOKUP(A1464, IMPORTRANGE(""https://docs.google.com/spreadsheets/d/1AVX9GT0dgogEBStecCXMMQ29tWz3gBrtNB8yIromXbY/edit?gid=741673867"", ""out1g!A:B""), 2, FALSE), 0)"),212.0)</f>
        <v>212</v>
      </c>
      <c r="D1464" s="2" t="str">
        <f>IFERROR(__xludf.DUMMYFUNCTION("IFERROR(VLOOKUP(A1464, IMPORTRANGE(""https://docs.google.com/spreadsheets/d/1-3Vjw2Cyy-mry5gbC8ypIR3YVGFfEpyFESummAta6sg/edit"", ""Sheet1!B:D""), 2, FALSE), ""Not Found"")"),"raɪ")</f>
        <v>raɪ</v>
      </c>
      <c r="E1464" s="2" t="str">
        <f>IFERROR(__xludf.DUMMYFUNCTION("IFERROR(VLOOKUP(A1464, IMPORTRANGE(""https://docs.google.com/spreadsheets/d/1-3Vjw2Cyy-mry5gbC8ypIR3YVGFfEpyFESummAta6sg/edit"", ""Sheet1!B:D""), 3, FALSE), ""Not Found"")"),"r a ɪ ")</f>
        <v>r a ɪ </v>
      </c>
    </row>
    <row r="1465">
      <c r="A1465" s="1" t="s">
        <v>1468</v>
      </c>
      <c r="B1465" s="1" t="s">
        <v>5</v>
      </c>
      <c r="C1465" s="2">
        <f>IFERROR(__xludf.DUMMYFUNCTION("IFERROR(VLOOKUP(A1465, IMPORTRANGE(""https://docs.google.com/spreadsheets/d/1AVX9GT0dgogEBStecCXMMQ29tWz3gBrtNB8yIromXbY/edit?gid=741673867"", ""out1g!A:B""), 2, FALSE), 0)"),272.0)</f>
        <v>272</v>
      </c>
      <c r="D1465" s="2" t="str">
        <f>IFERROR(__xludf.DUMMYFUNCTION("IFERROR(VLOOKUP(A1465, IMPORTRANGE(""https://docs.google.com/spreadsheets/d/1-3Vjw2Cyy-mry5gbC8ypIR3YVGFfEpyFESummAta6sg/edit"", ""Sheet1!B:D""), 2, FALSE), ""Not Found"")"),"nil")</f>
        <v>nil</v>
      </c>
      <c r="E1465" s="2" t="str">
        <f>IFERROR(__xludf.DUMMYFUNCTION("IFERROR(VLOOKUP(A1465, IMPORTRANGE(""https://docs.google.com/spreadsheets/d/1-3Vjw2Cyy-mry5gbC8ypIR3YVGFfEpyFESummAta6sg/edit"", ""Sheet1!B:D""), 3, FALSE), ""Not Found"")"),"n i l ")</f>
        <v>n i l </v>
      </c>
    </row>
    <row r="1466">
      <c r="A1466" s="1" t="s">
        <v>1469</v>
      </c>
      <c r="B1466" s="1" t="s">
        <v>5</v>
      </c>
      <c r="C1466" s="2">
        <f>IFERROR(__xludf.DUMMYFUNCTION("IFERROR(VLOOKUP(A1466, IMPORTRANGE(""https://docs.google.com/spreadsheets/d/1AVX9GT0dgogEBStecCXMMQ29tWz3gBrtNB8yIromXbY/edit?gid=741673867"", ""out1g!A:B""), 2, FALSE), 0)"),893.0)</f>
        <v>893</v>
      </c>
      <c r="D1466" s="2" t="str">
        <f>IFERROR(__xludf.DUMMYFUNCTION("IFERROR(VLOOKUP(A1466, IMPORTRANGE(""https://docs.google.com/spreadsheets/d/1-3Vjw2Cyy-mry5gbC8ypIR3YVGFfEpyFESummAta6sg/edit"", ""Sheet1!B:D""), 2, FALSE), ""Not Found"")"),"fulɪʃ")</f>
        <v>fulɪʃ</v>
      </c>
      <c r="E1466" s="2" t="str">
        <f>IFERROR(__xludf.DUMMYFUNCTION("IFERROR(VLOOKUP(A1466, IMPORTRANGE(""https://docs.google.com/spreadsheets/d/1-3Vjw2Cyy-mry5gbC8ypIR3YVGFfEpyFESummAta6sg/edit"", ""Sheet1!B:D""), 3, FALSE), ""Not Found"")"),"f u l ɪ ʃ ")</f>
        <v>f u l ɪ ʃ </v>
      </c>
    </row>
    <row r="1467">
      <c r="A1467" s="1" t="s">
        <v>1470</v>
      </c>
      <c r="B1467" s="1" t="s">
        <v>5</v>
      </c>
      <c r="C1467" s="2">
        <f>IFERROR(__xludf.DUMMYFUNCTION("IFERROR(VLOOKUP(A1467, IMPORTRANGE(""https://docs.google.com/spreadsheets/d/1AVX9GT0dgogEBStecCXMMQ29tWz3gBrtNB8yIromXbY/edit?gid=741673867"", ""out1g!A:B""), 2, FALSE), 0)"),3441.0)</f>
        <v>3441</v>
      </c>
      <c r="D1467" s="2" t="str">
        <f>IFERROR(__xludf.DUMMYFUNCTION("IFERROR(VLOOKUP(A1467, IMPORTRANGE(""https://docs.google.com/spreadsheets/d/1-3Vjw2Cyy-mry5gbC8ypIR3YVGFfEpyFESummAta6sg/edit"", ""Sheet1!B:D""), 2, FALSE), ""Not Found"")"),"pɑp")</f>
        <v>pɑp</v>
      </c>
      <c r="E1467" s="2" t="str">
        <f>IFERROR(__xludf.DUMMYFUNCTION("IFERROR(VLOOKUP(A1467, IMPORTRANGE(""https://docs.google.com/spreadsheets/d/1-3Vjw2Cyy-mry5gbC8ypIR3YVGFfEpyFESummAta6sg/edit"", ""Sheet1!B:D""), 3, FALSE), ""Not Found"")"),"p ɑ p ")</f>
        <v>p ɑ p </v>
      </c>
    </row>
    <row r="1468">
      <c r="A1468" s="1" t="s">
        <v>1471</v>
      </c>
      <c r="B1468" s="1" t="s">
        <v>5</v>
      </c>
      <c r="C1468" s="2">
        <f>IFERROR(__xludf.DUMMYFUNCTION("IFERROR(VLOOKUP(A1468, IMPORTRANGE(""https://docs.google.com/spreadsheets/d/1AVX9GT0dgogEBStecCXMMQ29tWz3gBrtNB8yIromXbY/edit?gid=741673867"", ""out1g!A:B""), 2, FALSE), 0)"),284.0)</f>
        <v>284</v>
      </c>
      <c r="D1468" s="2" t="str">
        <f>IFERROR(__xludf.DUMMYFUNCTION("IFERROR(VLOOKUP(A1468, IMPORTRANGE(""https://docs.google.com/spreadsheets/d/1-3Vjw2Cyy-mry5gbC8ypIR3YVGFfEpyFESummAta6sg/edit"", ""Sheet1!B:D""), 2, FALSE), ""Not Found"")"),"ləst")</f>
        <v>ləst</v>
      </c>
      <c r="E1468" s="2" t="str">
        <f>IFERROR(__xludf.DUMMYFUNCTION("IFERROR(VLOOKUP(A1468, IMPORTRANGE(""https://docs.google.com/spreadsheets/d/1-3Vjw2Cyy-mry5gbC8ypIR3YVGFfEpyFESummAta6sg/edit"", ""Sheet1!B:D""), 3, FALSE), ""Not Found"")"),"l ə s t ")</f>
        <v>l ə s t </v>
      </c>
    </row>
    <row r="1469">
      <c r="A1469" s="1" t="s">
        <v>1472</v>
      </c>
      <c r="B1469" s="1" t="s">
        <v>5</v>
      </c>
      <c r="C1469" s="2">
        <f>IFERROR(__xludf.DUMMYFUNCTION("IFERROR(VLOOKUP(A1469, IMPORTRANGE(""https://docs.google.com/spreadsheets/d/1AVX9GT0dgogEBStecCXMMQ29tWz3gBrtNB8yIromXbY/edit?gid=741673867"", ""out1g!A:B""), 2, FALSE), 0)"),79.0)</f>
        <v>79</v>
      </c>
      <c r="D1469" s="2" t="str">
        <f>IFERROR(__xludf.DUMMYFUNCTION("IFERROR(VLOOKUP(A1469, IMPORTRANGE(""https://docs.google.com/spreadsheets/d/1-3Vjw2Cyy-mry5gbC8ypIR3YVGFfEpyFESummAta6sg/edit"", ""Sheet1!B:D""), 2, FALSE), ""Not Found"")"),"juzər")</f>
        <v>juzər</v>
      </c>
      <c r="E1469" s="2" t="str">
        <f>IFERROR(__xludf.DUMMYFUNCTION("IFERROR(VLOOKUP(A1469, IMPORTRANGE(""https://docs.google.com/spreadsheets/d/1-3Vjw2Cyy-mry5gbC8ypIR3YVGFfEpyFESummAta6sg/edit"", ""Sheet1!B:D""), 3, FALSE), ""Not Found"")"),"j u z ə r ")</f>
        <v>j u z ə r </v>
      </c>
    </row>
    <row r="1470">
      <c r="A1470" s="1" t="s">
        <v>1473</v>
      </c>
      <c r="B1470" s="1" t="s">
        <v>5</v>
      </c>
      <c r="C1470" s="2">
        <f>IFERROR(__xludf.DUMMYFUNCTION("IFERROR(VLOOKUP(A1470, IMPORTRANGE(""https://docs.google.com/spreadsheets/d/1AVX9GT0dgogEBStecCXMMQ29tWz3gBrtNB8yIromXbY/edit?gid=741673867"", ""out1g!A:B""), 2, FALSE), 0)"),246.0)</f>
        <v>246</v>
      </c>
      <c r="D1470" s="2" t="str">
        <f>IFERROR(__xludf.DUMMYFUNCTION("IFERROR(VLOOKUP(A1470, IMPORTRANGE(""https://docs.google.com/spreadsheets/d/1-3Vjw2Cyy-mry5gbC8ypIR3YVGFfEpyFESummAta6sg/edit"", ""Sheet1!B:D""), 2, FALSE), ""Not Found"")"),"siz")</f>
        <v>siz</v>
      </c>
      <c r="E1470" s="2" t="str">
        <f>IFERROR(__xludf.DUMMYFUNCTION("IFERROR(VLOOKUP(A1470, IMPORTRANGE(""https://docs.google.com/spreadsheets/d/1-3Vjw2Cyy-mry5gbC8ypIR3YVGFfEpyFESummAta6sg/edit"", ""Sheet1!B:D""), 3, FALSE), ""Not Found"")"),"s i z ")</f>
        <v>s i z </v>
      </c>
    </row>
    <row r="1471">
      <c r="A1471" s="1" t="s">
        <v>1474</v>
      </c>
      <c r="B1471" s="1" t="s">
        <v>5</v>
      </c>
      <c r="C1471" s="2">
        <f>IFERROR(__xludf.DUMMYFUNCTION("IFERROR(VLOOKUP(A1471, IMPORTRANGE(""https://docs.google.com/spreadsheets/d/1AVX9GT0dgogEBStecCXMMQ29tWz3gBrtNB8yIromXbY/edit?gid=741673867"", ""out1g!A:B""), 2, FALSE), 0)"),134.0)</f>
        <v>134</v>
      </c>
      <c r="D1471" s="2" t="str">
        <f>IFERROR(__xludf.DUMMYFUNCTION("IFERROR(VLOOKUP(A1471, IMPORTRANGE(""https://docs.google.com/spreadsheets/d/1-3Vjw2Cyy-mry5gbC8ypIR3YVGFfEpyFESummAta6sg/edit"", ""Sheet1!B:D""), 2, FALSE), ""Not Found"")"),"melz")</f>
        <v>melz</v>
      </c>
      <c r="E1471" s="2" t="str">
        <f>IFERROR(__xludf.DUMMYFUNCTION("IFERROR(VLOOKUP(A1471, IMPORTRANGE(""https://docs.google.com/spreadsheets/d/1-3Vjw2Cyy-mry5gbC8ypIR3YVGFfEpyFESummAta6sg/edit"", ""Sheet1!B:D""), 3, FALSE), ""Not Found"")"),"m e l z ")</f>
        <v>m e l z </v>
      </c>
    </row>
    <row r="1472">
      <c r="A1472" s="1" t="s">
        <v>1475</v>
      </c>
      <c r="B1472" s="1" t="s">
        <v>5</v>
      </c>
      <c r="C1472" s="2">
        <f>IFERROR(__xludf.DUMMYFUNCTION("IFERROR(VLOOKUP(A1472, IMPORTRANGE(""https://docs.google.com/spreadsheets/d/1AVX9GT0dgogEBStecCXMMQ29tWz3gBrtNB8yIromXbY/edit?gid=741673867"", ""out1g!A:B""), 2, FALSE), 0)"),108306.0)</f>
        <v>108306</v>
      </c>
      <c r="D1472" s="2" t="str">
        <f>IFERROR(__xludf.DUMMYFUNCTION("IFERROR(VLOOKUP(A1472, IMPORTRANGE(""https://docs.google.com/spreadsheets/d/1-3Vjw2Cyy-mry5gbC8ypIR3YVGFfEpyFESummAta6sg/edit"", ""Sheet1!B:D""), 2, FALSE), ""Not Found"")"),"wɪl")</f>
        <v>wɪl</v>
      </c>
      <c r="E1472" s="2" t="str">
        <f>IFERROR(__xludf.DUMMYFUNCTION("IFERROR(VLOOKUP(A1472, IMPORTRANGE(""https://docs.google.com/spreadsheets/d/1-3Vjw2Cyy-mry5gbC8ypIR3YVGFfEpyFESummAta6sg/edit"", ""Sheet1!B:D""), 3, FALSE), ""Not Found"")"),"w ɪ l ")</f>
        <v>w ɪ l </v>
      </c>
    </row>
    <row r="1473">
      <c r="A1473" s="1" t="s">
        <v>1476</v>
      </c>
      <c r="B1473" s="1" t="s">
        <v>5</v>
      </c>
      <c r="C1473" s="2">
        <f>IFERROR(__xludf.DUMMYFUNCTION("IFERROR(VLOOKUP(A1473, IMPORTRANGE(""https://docs.google.com/spreadsheets/d/1AVX9GT0dgogEBStecCXMMQ29tWz3gBrtNB8yIromXbY/edit?gid=741673867"", ""out1g!A:B""), 2, FALSE), 0)"),759.0)</f>
        <v>759</v>
      </c>
      <c r="D1473" s="2" t="str">
        <f>IFERROR(__xludf.DUMMYFUNCTION("IFERROR(VLOOKUP(A1473, IMPORTRANGE(""https://docs.google.com/spreadsheets/d/1-3Vjw2Cyy-mry5gbC8ypIR3YVGFfEpyFESummAta6sg/edit"", ""Sheet1!B:D""), 2, FALSE), ""Not Found"")"),"ʧɛks")</f>
        <v>ʧɛks</v>
      </c>
      <c r="E1473" s="2" t="str">
        <f>IFERROR(__xludf.DUMMYFUNCTION("IFERROR(VLOOKUP(A1473, IMPORTRANGE(""https://docs.google.com/spreadsheets/d/1-3Vjw2Cyy-mry5gbC8ypIR3YVGFfEpyFESummAta6sg/edit"", ""Sheet1!B:D""), 3, FALSE), ""Not Found"")"),"ʧ ɛ k s ")</f>
        <v>ʧ ɛ k s </v>
      </c>
    </row>
    <row r="1474">
      <c r="A1474" s="1" t="s">
        <v>1477</v>
      </c>
      <c r="B1474" s="1" t="s">
        <v>5</v>
      </c>
      <c r="C1474" s="2">
        <f>IFERROR(__xludf.DUMMYFUNCTION("IFERROR(VLOOKUP(A1474, IMPORTRANGE(""https://docs.google.com/spreadsheets/d/1AVX9GT0dgogEBStecCXMMQ29tWz3gBrtNB8yIromXbY/edit?gid=741673867"", ""out1g!A:B""), 2, FALSE), 0)"),9184.0)</f>
        <v>9184</v>
      </c>
      <c r="D1474" s="2" t="str">
        <f>IFERROR(__xludf.DUMMYFUNCTION("IFERROR(VLOOKUP(A1474, IMPORTRANGE(""https://docs.google.com/spreadsheets/d/1-3Vjw2Cyy-mry5gbC8ypIR3YVGFfEpyFESummAta6sg/edit"", ""Sheet1!B:D""), 2, FALSE), ""Not Found"")"),"baɪ")</f>
        <v>baɪ</v>
      </c>
      <c r="E1474" s="2" t="str">
        <f>IFERROR(__xludf.DUMMYFUNCTION("IFERROR(VLOOKUP(A1474, IMPORTRANGE(""https://docs.google.com/spreadsheets/d/1-3Vjw2Cyy-mry5gbC8ypIR3YVGFfEpyFESummAta6sg/edit"", ""Sheet1!B:D""), 3, FALSE), ""Not Found"")"),"b a ɪ ")</f>
        <v>b a ɪ </v>
      </c>
    </row>
    <row r="1475">
      <c r="A1475" s="1" t="s">
        <v>1478</v>
      </c>
      <c r="B1475" s="1" t="s">
        <v>5</v>
      </c>
      <c r="C1475" s="2">
        <f>IFERROR(__xludf.DUMMYFUNCTION("IFERROR(VLOOKUP(A1475, IMPORTRANGE(""https://docs.google.com/spreadsheets/d/1AVX9GT0dgogEBStecCXMMQ29tWz3gBrtNB8yIromXbY/edit?gid=741673867"", ""out1g!A:B""), 2, FALSE), 0)"),2021.0)</f>
        <v>2021</v>
      </c>
      <c r="D1475" s="2" t="str">
        <f>IFERROR(__xludf.DUMMYFUNCTION("IFERROR(VLOOKUP(A1475, IMPORTRANGE(""https://docs.google.com/spreadsheets/d/1-3Vjw2Cyy-mry5gbC8ypIR3YVGFfEpyFESummAta6sg/edit"", ""Sheet1!B:D""), 2, FALSE), ""Not Found"")"),"ʃek")</f>
        <v>ʃek</v>
      </c>
      <c r="E1475" s="2" t="str">
        <f>IFERROR(__xludf.DUMMYFUNCTION("IFERROR(VLOOKUP(A1475, IMPORTRANGE(""https://docs.google.com/spreadsheets/d/1-3Vjw2Cyy-mry5gbC8ypIR3YVGFfEpyFESummAta6sg/edit"", ""Sheet1!B:D""), 3, FALSE), ""Not Found"")"),"ʃ e k ")</f>
        <v>ʃ e k </v>
      </c>
    </row>
    <row r="1476">
      <c r="A1476" s="1" t="s">
        <v>1479</v>
      </c>
      <c r="B1476" s="1" t="s">
        <v>5</v>
      </c>
      <c r="C1476" s="2">
        <f>IFERROR(__xludf.DUMMYFUNCTION("IFERROR(VLOOKUP(A1476, IMPORTRANGE(""https://docs.google.com/spreadsheets/d/1AVX9GT0dgogEBStecCXMMQ29tWz3gBrtNB8yIromXbY/edit?gid=741673867"", ""out1g!A:B""), 2, FALSE), 0)"),1216.0)</f>
        <v>1216</v>
      </c>
      <c r="D1476" s="2" t="str">
        <f>IFERROR(__xludf.DUMMYFUNCTION("IFERROR(VLOOKUP(A1476, IMPORTRANGE(""https://docs.google.com/spreadsheets/d/1-3Vjw2Cyy-mry5gbC8ypIR3YVGFfEpyFESummAta6sg/edit"", ""Sheet1!B:D""), 2, FALSE), ""Not Found"")"),"tɔks")</f>
        <v>tɔks</v>
      </c>
      <c r="E1476" s="2" t="str">
        <f>IFERROR(__xludf.DUMMYFUNCTION("IFERROR(VLOOKUP(A1476, IMPORTRANGE(""https://docs.google.com/spreadsheets/d/1-3Vjw2Cyy-mry5gbC8ypIR3YVGFfEpyFESummAta6sg/edit"", ""Sheet1!B:D""), 3, FALSE), ""Not Found"")"),"t ɔ k s ")</f>
        <v>t ɔ k s </v>
      </c>
    </row>
    <row r="1477">
      <c r="A1477" s="1" t="s">
        <v>1480</v>
      </c>
      <c r="B1477" s="1" t="s">
        <v>5</v>
      </c>
      <c r="C1477" s="2">
        <f>IFERROR(__xludf.DUMMYFUNCTION("IFERROR(VLOOKUP(A1477, IMPORTRANGE(""https://docs.google.com/spreadsheets/d/1AVX9GT0dgogEBStecCXMMQ29tWz3gBrtNB8yIromXbY/edit?gid=741673867"", ""out1g!A:B""), 2, FALSE), 0)"),68.0)</f>
        <v>68</v>
      </c>
      <c r="D1477" s="2" t="str">
        <f>IFERROR(__xludf.DUMMYFUNCTION("IFERROR(VLOOKUP(A1477, IMPORTRANGE(""https://docs.google.com/spreadsheets/d/1-3Vjw2Cyy-mry5gbC8ypIR3YVGFfEpyFESummAta6sg/edit"", ""Sheet1!B:D""), 2, FALSE), ""Not Found"")"),"pɛr")</f>
        <v>pɛr</v>
      </c>
      <c r="E1477" s="2" t="str">
        <f>IFERROR(__xludf.DUMMYFUNCTION("IFERROR(VLOOKUP(A1477, IMPORTRANGE(""https://docs.google.com/spreadsheets/d/1-3Vjw2Cyy-mry5gbC8ypIR3YVGFfEpyFESummAta6sg/edit"", ""Sheet1!B:D""), 3, FALSE), ""Not Found"")"),"p ɛ r ")</f>
        <v>p ɛ r </v>
      </c>
    </row>
    <row r="1478">
      <c r="A1478" s="1" t="s">
        <v>1481</v>
      </c>
      <c r="B1478" s="1" t="s">
        <v>5</v>
      </c>
      <c r="C1478" s="2">
        <f>IFERROR(__xludf.DUMMYFUNCTION("IFERROR(VLOOKUP(A1478, IMPORTRANGE(""https://docs.google.com/spreadsheets/d/1AVX9GT0dgogEBStecCXMMQ29tWz3gBrtNB8yIromXbY/edit?gid=741673867"", ""out1g!A:B""), 2, FALSE), 0)"),94.0)</f>
        <v>94</v>
      </c>
      <c r="D1478" s="2" t="str">
        <f>IFERROR(__xludf.DUMMYFUNCTION("IFERROR(VLOOKUP(A1478, IMPORTRANGE(""https://docs.google.com/spreadsheets/d/1-3Vjw2Cyy-mry5gbC8ypIR3YVGFfEpyFESummAta6sg/edit"", ""Sheet1!B:D""), 2, FALSE), ""Not Found"")"),"pən")</f>
        <v>pən</v>
      </c>
      <c r="E1478" s="2" t="str">
        <f>IFERROR(__xludf.DUMMYFUNCTION("IFERROR(VLOOKUP(A1478, IMPORTRANGE(""https://docs.google.com/spreadsheets/d/1-3Vjw2Cyy-mry5gbC8ypIR3YVGFfEpyFESummAta6sg/edit"", ""Sheet1!B:D""), 3, FALSE), ""Not Found"")"),"p ə n ")</f>
        <v>p ə n </v>
      </c>
    </row>
    <row r="1479">
      <c r="A1479" s="1" t="s">
        <v>1482</v>
      </c>
      <c r="B1479" s="1" t="s">
        <v>5</v>
      </c>
      <c r="C1479" s="2">
        <f>IFERROR(__xludf.DUMMYFUNCTION("IFERROR(VLOOKUP(A1479, IMPORTRANGE(""https://docs.google.com/spreadsheets/d/1AVX9GT0dgogEBStecCXMMQ29tWz3gBrtNB8yIromXbY/edit?gid=741673867"", ""out1g!A:B""), 2, FALSE), 0)"),50.0)</f>
        <v>50</v>
      </c>
      <c r="D1479" s="2" t="str">
        <f>IFERROR(__xludf.DUMMYFUNCTION("IFERROR(VLOOKUP(A1479, IMPORTRANGE(""https://docs.google.com/spreadsheets/d/1-3Vjw2Cyy-mry5gbC8ypIR3YVGFfEpyFESummAta6sg/edit"", ""Sheet1!B:D""), 2, FALSE), ""Not Found"")"),"ʃi")</f>
        <v>ʃi</v>
      </c>
      <c r="E1479" s="2" t="str">
        <f>IFERROR(__xludf.DUMMYFUNCTION("IFERROR(VLOOKUP(A1479, IMPORTRANGE(""https://docs.google.com/spreadsheets/d/1-3Vjw2Cyy-mry5gbC8ypIR3YVGFfEpyFESummAta6sg/edit"", ""Sheet1!B:D""), 3, FALSE), ""Not Found"")"),"ʃ i ")</f>
        <v>ʃ i </v>
      </c>
    </row>
    <row r="1480">
      <c r="A1480" s="1" t="s">
        <v>1483</v>
      </c>
      <c r="B1480" s="1" t="s">
        <v>5</v>
      </c>
      <c r="C1480" s="2">
        <f>IFERROR(__xludf.DUMMYFUNCTION("IFERROR(VLOOKUP(A1480, IMPORTRANGE(""https://docs.google.com/spreadsheets/d/1AVX9GT0dgogEBStecCXMMQ29tWz3gBrtNB8yIromXbY/edit?gid=741673867"", ""out1g!A:B""), 2, FALSE), 0)"),1197.0)</f>
        <v>1197</v>
      </c>
      <c r="D1480" s="2" t="str">
        <f>IFERROR(__xludf.DUMMYFUNCTION("IFERROR(VLOOKUP(A1480, IMPORTRANGE(""https://docs.google.com/spreadsheets/d/1-3Vjw2Cyy-mry5gbC8ypIR3YVGFfEpyFESummAta6sg/edit"", ""Sheet1!B:D""), 2, FALSE), ""Not Found"")"),"kaʊʧ")</f>
        <v>kaʊʧ</v>
      </c>
      <c r="E1480" s="2" t="str">
        <f>IFERROR(__xludf.DUMMYFUNCTION("IFERROR(VLOOKUP(A1480, IMPORTRANGE(""https://docs.google.com/spreadsheets/d/1-3Vjw2Cyy-mry5gbC8ypIR3YVGFfEpyFESummAta6sg/edit"", ""Sheet1!B:D""), 3, FALSE), ""Not Found"")"),"k a ʊ ʧ ")</f>
        <v>k a ʊ ʧ </v>
      </c>
    </row>
    <row r="1481">
      <c r="A1481" s="1" t="s">
        <v>1484</v>
      </c>
      <c r="B1481" s="1" t="s">
        <v>5</v>
      </c>
      <c r="C1481" s="2">
        <f>IFERROR(__xludf.DUMMYFUNCTION("IFERROR(VLOOKUP(A1481, IMPORTRANGE(""https://docs.google.com/spreadsheets/d/1AVX9GT0dgogEBStecCXMMQ29tWz3gBrtNB8yIromXbY/edit?gid=741673867"", ""out1g!A:B""), 2, FALSE), 0)"),186.0)</f>
        <v>186</v>
      </c>
      <c r="D1481" s="2" t="str">
        <f>IFERROR(__xludf.DUMMYFUNCTION("IFERROR(VLOOKUP(A1481, IMPORTRANGE(""https://docs.google.com/spreadsheets/d/1-3Vjw2Cyy-mry5gbC8ypIR3YVGFfEpyFESummAta6sg/edit"", ""Sheet1!B:D""), 2, FALSE), ""Not Found"")"),"skɑlər")</f>
        <v>skɑlər</v>
      </c>
      <c r="E1481" s="2" t="str">
        <f>IFERROR(__xludf.DUMMYFUNCTION("IFERROR(VLOOKUP(A1481, IMPORTRANGE(""https://docs.google.com/spreadsheets/d/1-3Vjw2Cyy-mry5gbC8ypIR3YVGFfEpyFESummAta6sg/edit"", ""Sheet1!B:D""), 3, FALSE), ""Not Found"")"),"s k ɑ l ə r ")</f>
        <v>s k ɑ l ə r </v>
      </c>
    </row>
    <row r="1482">
      <c r="A1482" s="1" t="s">
        <v>1485</v>
      </c>
      <c r="B1482" s="1" t="s">
        <v>5</v>
      </c>
      <c r="C1482" s="2">
        <f>IFERROR(__xludf.DUMMYFUNCTION("IFERROR(VLOOKUP(A1482, IMPORTRANGE(""https://docs.google.com/spreadsheets/d/1AVX9GT0dgogEBStecCXMMQ29tWz3gBrtNB8yIromXbY/edit?gid=741673867"", ""out1g!A:B""), 2, FALSE), 0)"),743.0)</f>
        <v>743</v>
      </c>
      <c r="D1482" s="2" t="str">
        <f>IFERROR(__xludf.DUMMYFUNCTION("IFERROR(VLOOKUP(A1482, IMPORTRANGE(""https://docs.google.com/spreadsheets/d/1-3Vjw2Cyy-mry5gbC8ypIR3YVGFfEpyFESummAta6sg/edit"", ""Sheet1!B:D""), 2, FALSE), ""Not Found"")"),"raɪfəl")</f>
        <v>raɪfəl</v>
      </c>
      <c r="E1482" s="2" t="str">
        <f>IFERROR(__xludf.DUMMYFUNCTION("IFERROR(VLOOKUP(A1482, IMPORTRANGE(""https://docs.google.com/spreadsheets/d/1-3Vjw2Cyy-mry5gbC8ypIR3YVGFfEpyFESummAta6sg/edit"", ""Sheet1!B:D""), 3, FALSE), ""Not Found"")"),"r a ɪ f ə l ")</f>
        <v>r a ɪ f ə l </v>
      </c>
    </row>
    <row r="1483">
      <c r="A1483" s="1" t="s">
        <v>1486</v>
      </c>
      <c r="B1483" s="1" t="s">
        <v>5</v>
      </c>
      <c r="C1483" s="2">
        <f>IFERROR(__xludf.DUMMYFUNCTION("IFERROR(VLOOKUP(A1483, IMPORTRANGE(""https://docs.google.com/spreadsheets/d/1AVX9GT0dgogEBStecCXMMQ29tWz3gBrtNB8yIromXbY/edit?gid=741673867"", ""out1g!A:B""), 2, FALSE), 0)"),46.0)</f>
        <v>46</v>
      </c>
      <c r="D1483" s="2" t="str">
        <f>IFERROR(__xludf.DUMMYFUNCTION("IFERROR(VLOOKUP(A1483, IMPORTRANGE(""https://docs.google.com/spreadsheets/d/1-3Vjw2Cyy-mry5gbC8ypIR3YVGFfEpyFESummAta6sg/edit"", ""Sheet1!B:D""), 2, FALSE), ""Not Found"")"),"tɑts")</f>
        <v>tɑts</v>
      </c>
      <c r="E1483" s="2" t="str">
        <f>IFERROR(__xludf.DUMMYFUNCTION("IFERROR(VLOOKUP(A1483, IMPORTRANGE(""https://docs.google.com/spreadsheets/d/1-3Vjw2Cyy-mry5gbC8ypIR3YVGFfEpyFESummAta6sg/edit"", ""Sheet1!B:D""), 3, FALSE), ""Not Found"")"),"t ɑ t s ")</f>
        <v>t ɑ t s </v>
      </c>
    </row>
    <row r="1484">
      <c r="A1484" s="1" t="s">
        <v>1487</v>
      </c>
      <c r="B1484" s="1" t="s">
        <v>5</v>
      </c>
      <c r="C1484" s="2">
        <f>IFERROR(__xludf.DUMMYFUNCTION("IFERROR(VLOOKUP(A1484, IMPORTRANGE(""https://docs.google.com/spreadsheets/d/1AVX9GT0dgogEBStecCXMMQ29tWz3gBrtNB8yIromXbY/edit?gid=741673867"", ""out1g!A:B""), 2, FALSE), 0)"),90.0)</f>
        <v>90</v>
      </c>
      <c r="D1484" s="2" t="str">
        <f>IFERROR(__xludf.DUMMYFUNCTION("IFERROR(VLOOKUP(A1484, IMPORTRANGE(""https://docs.google.com/spreadsheets/d/1-3Vjw2Cyy-mry5gbC8ypIR3YVGFfEpyFESummAta6sg/edit"", ""Sheet1!B:D""), 2, FALSE), ""Not Found"")"),"ræpər")</f>
        <v>ræpər</v>
      </c>
      <c r="E1484" s="2" t="str">
        <f>IFERROR(__xludf.DUMMYFUNCTION("IFERROR(VLOOKUP(A1484, IMPORTRANGE(""https://docs.google.com/spreadsheets/d/1-3Vjw2Cyy-mry5gbC8ypIR3YVGFfEpyFESummAta6sg/edit"", ""Sheet1!B:D""), 3, FALSE), ""Not Found"")"),"r æ p ə r ")</f>
        <v>r æ p ə r </v>
      </c>
    </row>
    <row r="1485">
      <c r="A1485" s="1" t="s">
        <v>1488</v>
      </c>
      <c r="B1485" s="1" t="s">
        <v>5</v>
      </c>
      <c r="C1485" s="2">
        <f>IFERROR(__xludf.DUMMYFUNCTION("IFERROR(VLOOKUP(A1485, IMPORTRANGE(""https://docs.google.com/spreadsheets/d/1AVX9GT0dgogEBStecCXMMQ29tWz3gBrtNB8yIromXbY/edit?gid=741673867"", ""out1g!A:B""), 2, FALSE), 0)"),171.0)</f>
        <v>171</v>
      </c>
      <c r="D1485" s="2" t="str">
        <f>IFERROR(__xludf.DUMMYFUNCTION("IFERROR(VLOOKUP(A1485, IMPORTRANGE(""https://docs.google.com/spreadsheets/d/1-3Vjw2Cyy-mry5gbC8ypIR3YVGFfEpyFESummAta6sg/edit"", ""Sheet1!B:D""), 2, FALSE), ""Not Found"")"),"saɪrəs")</f>
        <v>saɪrəs</v>
      </c>
      <c r="E1485" s="2" t="str">
        <f>IFERROR(__xludf.DUMMYFUNCTION("IFERROR(VLOOKUP(A1485, IMPORTRANGE(""https://docs.google.com/spreadsheets/d/1-3Vjw2Cyy-mry5gbC8ypIR3YVGFfEpyFESummAta6sg/edit"", ""Sheet1!B:D""), 3, FALSE), ""Not Found"")"),"s a ɪ r ə s ")</f>
        <v>s a ɪ r ə s </v>
      </c>
    </row>
    <row r="1486">
      <c r="A1486" s="1" t="s">
        <v>1489</v>
      </c>
      <c r="B1486" s="1" t="s">
        <v>5</v>
      </c>
      <c r="C1486" s="2">
        <f>IFERROR(__xludf.DUMMYFUNCTION("IFERROR(VLOOKUP(A1486, IMPORTRANGE(""https://docs.google.com/spreadsheets/d/1AVX9GT0dgogEBStecCXMMQ29tWz3gBrtNB8yIromXbY/edit?gid=741673867"", ""out1g!A:B""), 2, FALSE), 0)"),58.0)</f>
        <v>58</v>
      </c>
      <c r="D1486" s="2" t="str">
        <f>IFERROR(__xludf.DUMMYFUNCTION("IFERROR(VLOOKUP(A1486, IMPORTRANGE(""https://docs.google.com/spreadsheets/d/1-3Vjw2Cyy-mry5gbC8ypIR3YVGFfEpyFESummAta6sg/edit"", ""Sheet1!B:D""), 2, FALSE), ""Not Found"")"),"gli")</f>
        <v>gli</v>
      </c>
      <c r="E1486" s="2" t="str">
        <f>IFERROR(__xludf.DUMMYFUNCTION("IFERROR(VLOOKUP(A1486, IMPORTRANGE(""https://docs.google.com/spreadsheets/d/1-3Vjw2Cyy-mry5gbC8ypIR3YVGFfEpyFESummAta6sg/edit"", ""Sheet1!B:D""), 3, FALSE), ""Not Found"")"),"g l i ")</f>
        <v>g l i </v>
      </c>
    </row>
    <row r="1487">
      <c r="A1487" s="1" t="s">
        <v>1490</v>
      </c>
      <c r="B1487" s="1" t="s">
        <v>5</v>
      </c>
      <c r="C1487" s="2">
        <f>IFERROR(__xludf.DUMMYFUNCTION("IFERROR(VLOOKUP(A1487, IMPORTRANGE(""https://docs.google.com/spreadsheets/d/1AVX9GT0dgogEBStecCXMMQ29tWz3gBrtNB8yIromXbY/edit?gid=741673867"", ""out1g!A:B""), 2, FALSE), 0)"),128.0)</f>
        <v>128</v>
      </c>
      <c r="D1487" s="2" t="str">
        <f>IFERROR(__xludf.DUMMYFUNCTION("IFERROR(VLOOKUP(A1487, IMPORTRANGE(""https://docs.google.com/spreadsheets/d/1-3Vjw2Cyy-mry5gbC8ypIR3YVGFfEpyFESummAta6sg/edit"", ""Sheet1!B:D""), 2, FALSE), ""Not Found"")"),"kloʊn")</f>
        <v>kloʊn</v>
      </c>
      <c r="E1487" s="2" t="str">
        <f>IFERROR(__xludf.DUMMYFUNCTION("IFERROR(VLOOKUP(A1487, IMPORTRANGE(""https://docs.google.com/spreadsheets/d/1-3Vjw2Cyy-mry5gbC8ypIR3YVGFfEpyFESummAta6sg/edit"", ""Sheet1!B:D""), 3, FALSE), ""Not Found"")"),"k l o ʊ n ")</f>
        <v>k l o ʊ n </v>
      </c>
    </row>
    <row r="1488">
      <c r="A1488" s="1" t="s">
        <v>1491</v>
      </c>
      <c r="B1488" s="1" t="s">
        <v>5</v>
      </c>
      <c r="C1488" s="2">
        <f>IFERROR(__xludf.DUMMYFUNCTION("IFERROR(VLOOKUP(A1488, IMPORTRANGE(""https://docs.google.com/spreadsheets/d/1AVX9GT0dgogEBStecCXMMQ29tWz3gBrtNB8yIromXbY/edit?gid=741673867"", ""out1g!A:B""), 2, FALSE), 0)"),91.0)</f>
        <v>91</v>
      </c>
      <c r="D1488" s="2" t="str">
        <f>IFERROR(__xludf.DUMMYFUNCTION("IFERROR(VLOOKUP(A1488, IMPORTRANGE(""https://docs.google.com/spreadsheets/d/1-3Vjw2Cyy-mry5gbC8ypIR3YVGFfEpyFESummAta6sg/edit"", ""Sheet1!B:D""), 2, FALSE), ""Not Found"")"),"ədɔrz")</f>
        <v>ədɔrz</v>
      </c>
      <c r="E1488" s="2" t="str">
        <f>IFERROR(__xludf.DUMMYFUNCTION("IFERROR(VLOOKUP(A1488, IMPORTRANGE(""https://docs.google.com/spreadsheets/d/1-3Vjw2Cyy-mry5gbC8ypIR3YVGFfEpyFESummAta6sg/edit"", ""Sheet1!B:D""), 3, FALSE), ""Not Found"")"),"ə d ɔ r z ")</f>
        <v>ə d ɔ r z </v>
      </c>
    </row>
    <row r="1489">
      <c r="A1489" s="1" t="s">
        <v>1492</v>
      </c>
      <c r="B1489" s="1" t="s">
        <v>5</v>
      </c>
      <c r="C1489" s="2">
        <f>IFERROR(__xludf.DUMMYFUNCTION("IFERROR(VLOOKUP(A1489, IMPORTRANGE(""https://docs.google.com/spreadsheets/d/1AVX9GT0dgogEBStecCXMMQ29tWz3gBrtNB8yIromXbY/edit?gid=741673867"", ""out1g!A:B""), 2, FALSE), 0)"),272.0)</f>
        <v>272</v>
      </c>
      <c r="D1489" s="2" t="str">
        <f>IFERROR(__xludf.DUMMYFUNCTION("IFERROR(VLOOKUP(A1489, IMPORTRANGE(""https://docs.google.com/spreadsheets/d/1-3Vjw2Cyy-mry5gbC8ypIR3YVGFfEpyFESummAta6sg/edit"", ""Sheet1!B:D""), 2, FALSE), ""Not Found"")"),"blaʊs")</f>
        <v>blaʊs</v>
      </c>
      <c r="E1489" s="2" t="str">
        <f>IFERROR(__xludf.DUMMYFUNCTION("IFERROR(VLOOKUP(A1489, IMPORTRANGE(""https://docs.google.com/spreadsheets/d/1-3Vjw2Cyy-mry5gbC8ypIR3YVGFfEpyFESummAta6sg/edit"", ""Sheet1!B:D""), 3, FALSE), ""Not Found"")"),"b l a ʊ s ")</f>
        <v>b l a ʊ s </v>
      </c>
    </row>
    <row r="1490">
      <c r="A1490" s="1" t="s">
        <v>1493</v>
      </c>
      <c r="B1490" s="1" t="s">
        <v>5</v>
      </c>
      <c r="C1490" s="2">
        <f>IFERROR(__xludf.DUMMYFUNCTION("IFERROR(VLOOKUP(A1490, IMPORTRANGE(""https://docs.google.com/spreadsheets/d/1AVX9GT0dgogEBStecCXMMQ29tWz3gBrtNB8yIromXbY/edit?gid=741673867"", ""out1g!A:B""), 2, FALSE), 0)"),1192.0)</f>
        <v>1192</v>
      </c>
      <c r="D1490" s="2" t="str">
        <f>IFERROR(__xludf.DUMMYFUNCTION("IFERROR(VLOOKUP(A1490, IMPORTRANGE(""https://docs.google.com/spreadsheets/d/1-3Vjw2Cyy-mry5gbC8ypIR3YVGFfEpyFESummAta6sg/edit"", ""Sheet1!B:D""), 2, FALSE), ""Not Found"")"),"wɪnɪŋ")</f>
        <v>wɪnɪŋ</v>
      </c>
      <c r="E1490" s="2" t="str">
        <f>IFERROR(__xludf.DUMMYFUNCTION("IFERROR(VLOOKUP(A1490, IMPORTRANGE(""https://docs.google.com/spreadsheets/d/1-3Vjw2Cyy-mry5gbC8ypIR3YVGFfEpyFESummAta6sg/edit"", ""Sheet1!B:D""), 3, FALSE), ""Not Found"")"),"w ɪ n ɪ ŋ ")</f>
        <v>w ɪ n ɪ ŋ </v>
      </c>
    </row>
    <row r="1491">
      <c r="A1491" s="1" t="s">
        <v>1494</v>
      </c>
      <c r="B1491" s="1" t="s">
        <v>5</v>
      </c>
      <c r="C1491" s="2">
        <f>IFERROR(__xludf.DUMMYFUNCTION("IFERROR(VLOOKUP(A1491, IMPORTRANGE(""https://docs.google.com/spreadsheets/d/1AVX9GT0dgogEBStecCXMMQ29tWz3gBrtNB8yIromXbY/edit?gid=741673867"", ""out1g!A:B""), 2, FALSE), 0)"),1141.0)</f>
        <v>1141</v>
      </c>
      <c r="D1491" s="2" t="str">
        <f>IFERROR(__xludf.DUMMYFUNCTION("IFERROR(VLOOKUP(A1491, IMPORTRANGE(""https://docs.google.com/spreadsheets/d/1-3Vjw2Cyy-mry5gbC8ypIR3YVGFfEpyFESummAta6sg/edit"", ""Sheet1!B:D""), 2, FALSE), ""Not Found"")"),"pər")</f>
        <v>pər</v>
      </c>
      <c r="E1491" s="2" t="str">
        <f>IFERROR(__xludf.DUMMYFUNCTION("IFERROR(VLOOKUP(A1491, IMPORTRANGE(""https://docs.google.com/spreadsheets/d/1-3Vjw2Cyy-mry5gbC8ypIR3YVGFfEpyFESummAta6sg/edit"", ""Sheet1!B:D""), 3, FALSE), ""Not Found"")"),"p ə r ")</f>
        <v>p ə r </v>
      </c>
    </row>
    <row r="1492">
      <c r="A1492" s="1" t="s">
        <v>1495</v>
      </c>
      <c r="B1492" s="1" t="s">
        <v>5</v>
      </c>
      <c r="C1492" s="2">
        <f>IFERROR(__xludf.DUMMYFUNCTION("IFERROR(VLOOKUP(A1492, IMPORTRANGE(""https://docs.google.com/spreadsheets/d/1AVX9GT0dgogEBStecCXMMQ29tWz3gBrtNB8yIromXbY/edit?gid=741673867"", ""out1g!A:B""), 2, FALSE), 0)"),334.0)</f>
        <v>334</v>
      </c>
      <c r="D1492" s="2" t="str">
        <f>IFERROR(__xludf.DUMMYFUNCTION("IFERROR(VLOOKUP(A1492, IMPORTRANGE(""https://docs.google.com/spreadsheets/d/1-3Vjw2Cyy-mry5gbC8ypIR3YVGFfEpyFESummAta6sg/edit"", ""Sheet1!B:D""), 2, FALSE), ""Not Found"")"),"nidn")</f>
        <v>nidn</v>
      </c>
      <c r="E1492" s="2" t="str">
        <f>IFERROR(__xludf.DUMMYFUNCTION("IFERROR(VLOOKUP(A1492, IMPORTRANGE(""https://docs.google.com/spreadsheets/d/1-3Vjw2Cyy-mry5gbC8ypIR3YVGFfEpyFESummAta6sg/edit"", ""Sheet1!B:D""), 3, FALSE), ""Not Found"")"),"n i d n ")</f>
        <v>n i d n </v>
      </c>
    </row>
    <row r="1493">
      <c r="A1493" s="1" t="s">
        <v>1496</v>
      </c>
      <c r="B1493" s="1" t="s">
        <v>5</v>
      </c>
      <c r="C1493" s="2">
        <f>IFERROR(__xludf.DUMMYFUNCTION("IFERROR(VLOOKUP(A1493, IMPORTRANGE(""https://docs.google.com/spreadsheets/d/1AVX9GT0dgogEBStecCXMMQ29tWz3gBrtNB8yIromXbY/edit?gid=741673867"", ""out1g!A:B""), 2, FALSE), 0)"),85.0)</f>
        <v>85</v>
      </c>
      <c r="D1493" s="2" t="str">
        <f>IFERROR(__xludf.DUMMYFUNCTION("IFERROR(VLOOKUP(A1493, IMPORTRANGE(""https://docs.google.com/spreadsheets/d/1-3Vjw2Cyy-mry5gbC8ypIR3YVGFfEpyFESummAta6sg/edit"", ""Sheet1!B:D""), 2, FALSE), ""Not Found"")"),"blɛndər")</f>
        <v>blɛndər</v>
      </c>
      <c r="E1493" s="2" t="str">
        <f>IFERROR(__xludf.DUMMYFUNCTION("IFERROR(VLOOKUP(A1493, IMPORTRANGE(""https://docs.google.com/spreadsheets/d/1-3Vjw2Cyy-mry5gbC8ypIR3YVGFfEpyFESummAta6sg/edit"", ""Sheet1!B:D""), 3, FALSE), ""Not Found"")"),"b l ɛ n d ə r ")</f>
        <v>b l ɛ n d ə r </v>
      </c>
    </row>
    <row r="1494">
      <c r="A1494" s="1" t="s">
        <v>1497</v>
      </c>
      <c r="B1494" s="1" t="s">
        <v>5</v>
      </c>
      <c r="C1494" s="2">
        <f>IFERROR(__xludf.DUMMYFUNCTION("IFERROR(VLOOKUP(A1494, IMPORTRANGE(""https://docs.google.com/spreadsheets/d/1AVX9GT0dgogEBStecCXMMQ29tWz3gBrtNB8yIromXbY/edit?gid=741673867"", ""out1g!A:B""), 2, FALSE), 0)"),70.0)</f>
        <v>70</v>
      </c>
      <c r="D1494" s="2" t="str">
        <f>IFERROR(__xludf.DUMMYFUNCTION("IFERROR(VLOOKUP(A1494, IMPORTRANGE(""https://docs.google.com/spreadsheets/d/1-3Vjw2Cyy-mry5gbC8ypIR3YVGFfEpyFESummAta6sg/edit"", ""Sheet1!B:D""), 2, FALSE), ""Not Found"")"),"bɑ")</f>
        <v>bɑ</v>
      </c>
      <c r="E1494" s="2" t="str">
        <f>IFERROR(__xludf.DUMMYFUNCTION("IFERROR(VLOOKUP(A1494, IMPORTRANGE(""https://docs.google.com/spreadsheets/d/1-3Vjw2Cyy-mry5gbC8ypIR3YVGFfEpyFESummAta6sg/edit"", ""Sheet1!B:D""), 3, FALSE), ""Not Found"")"),"b ɑ ")</f>
        <v>b ɑ </v>
      </c>
    </row>
    <row r="1495">
      <c r="A1495" s="1" t="s">
        <v>1498</v>
      </c>
      <c r="B1495" s="1" t="s">
        <v>5</v>
      </c>
      <c r="C1495" s="2">
        <f>IFERROR(__xludf.DUMMYFUNCTION("IFERROR(VLOOKUP(A1495, IMPORTRANGE(""https://docs.google.com/spreadsheets/d/1AVX9GT0dgogEBStecCXMMQ29tWz3gBrtNB8yIromXbY/edit?gid=741673867"", ""out1g!A:B""), 2, FALSE), 0)"),4848.0)</f>
        <v>4848</v>
      </c>
      <c r="D1495" s="2" t="str">
        <f>IFERROR(__xludf.DUMMYFUNCTION("IFERROR(VLOOKUP(A1495, IMPORTRANGE(""https://docs.google.com/spreadsheets/d/1-3Vjw2Cyy-mry5gbC8ypIR3YVGFfEpyFESummAta6sg/edit"", ""Sheet1!B:D""), 2, FALSE), ""Not Found"")"),"tren")</f>
        <v>tren</v>
      </c>
      <c r="E1495" s="2" t="str">
        <f>IFERROR(__xludf.DUMMYFUNCTION("IFERROR(VLOOKUP(A1495, IMPORTRANGE(""https://docs.google.com/spreadsheets/d/1-3Vjw2Cyy-mry5gbC8ypIR3YVGFfEpyFESummAta6sg/edit"", ""Sheet1!B:D""), 3, FALSE), ""Not Found"")"),"t r e n ")</f>
        <v>t r e n </v>
      </c>
    </row>
    <row r="1496">
      <c r="A1496" s="1" t="s">
        <v>1499</v>
      </c>
      <c r="B1496" s="1" t="s">
        <v>5</v>
      </c>
      <c r="C1496" s="2">
        <f>IFERROR(__xludf.DUMMYFUNCTION("IFERROR(VLOOKUP(A1496, IMPORTRANGE(""https://docs.google.com/spreadsheets/d/1AVX9GT0dgogEBStecCXMMQ29tWz3gBrtNB8yIromXbY/edit?gid=741673867"", ""out1g!A:B""), 2, FALSE), 0)"),84.0)</f>
        <v>84</v>
      </c>
      <c r="D1496" s="2" t="str">
        <f>IFERROR(__xludf.DUMMYFUNCTION("IFERROR(VLOOKUP(A1496, IMPORTRANGE(""https://docs.google.com/spreadsheets/d/1-3Vjw2Cyy-mry5gbC8ypIR3YVGFfEpyFESummAta6sg/edit"", ""Sheet1!B:D""), 2, FALSE), ""Not Found"")"),"kɑmi")</f>
        <v>kɑmi</v>
      </c>
      <c r="E1496" s="2" t="str">
        <f>IFERROR(__xludf.DUMMYFUNCTION("IFERROR(VLOOKUP(A1496, IMPORTRANGE(""https://docs.google.com/spreadsheets/d/1-3Vjw2Cyy-mry5gbC8ypIR3YVGFfEpyFESummAta6sg/edit"", ""Sheet1!B:D""), 3, FALSE), ""Not Found"")"),"k ɑ m i ")</f>
        <v>k ɑ m i </v>
      </c>
    </row>
    <row r="1497">
      <c r="A1497" s="1" t="s">
        <v>1500</v>
      </c>
      <c r="B1497" s="1" t="s">
        <v>5</v>
      </c>
      <c r="C1497" s="2">
        <f>IFERROR(__xludf.DUMMYFUNCTION("IFERROR(VLOOKUP(A1497, IMPORTRANGE(""https://docs.google.com/spreadsheets/d/1AVX9GT0dgogEBStecCXMMQ29tWz3gBrtNB8yIromXbY/edit?gid=741673867"", ""out1g!A:B""), 2, FALSE), 0)"),150.0)</f>
        <v>150</v>
      </c>
      <c r="D1497" s="2" t="str">
        <f>IFERROR(__xludf.DUMMYFUNCTION("IFERROR(VLOOKUP(A1497, IMPORTRANGE(""https://docs.google.com/spreadsheets/d/1-3Vjw2Cyy-mry5gbC8ypIR3YVGFfEpyFESummAta6sg/edit"", ""Sheet1!B:D""), 2, FALSE), ""Not Found"")"),"sloʊp")</f>
        <v>sloʊp</v>
      </c>
      <c r="E1497" s="2" t="str">
        <f>IFERROR(__xludf.DUMMYFUNCTION("IFERROR(VLOOKUP(A1497, IMPORTRANGE(""https://docs.google.com/spreadsheets/d/1-3Vjw2Cyy-mry5gbC8ypIR3YVGFfEpyFESummAta6sg/edit"", ""Sheet1!B:D""), 3, FALSE), ""Not Found"")"),"s l o ʊ p ")</f>
        <v>s l o ʊ p </v>
      </c>
    </row>
    <row r="1498">
      <c r="A1498" s="1" t="s">
        <v>1501</v>
      </c>
      <c r="B1498" s="1" t="s">
        <v>5</v>
      </c>
      <c r="C1498" s="2">
        <f>IFERROR(__xludf.DUMMYFUNCTION("IFERROR(VLOOKUP(A1498, IMPORTRANGE(""https://docs.google.com/spreadsheets/d/1AVX9GT0dgogEBStecCXMMQ29tWz3gBrtNB8yIromXbY/edit?gid=741673867"", ""out1g!A:B""), 2, FALSE), 0)"),67.0)</f>
        <v>67</v>
      </c>
      <c r="D1498" s="2" t="str">
        <f>IFERROR(__xludf.DUMMYFUNCTION("IFERROR(VLOOKUP(A1498, IMPORTRANGE(""https://docs.google.com/spreadsheets/d/1-3Vjw2Cyy-mry5gbC8ypIR3YVGFfEpyFESummAta6sg/edit"", ""Sheet1!B:D""), 2, FALSE), ""Not Found"")"),"skərʤ")</f>
        <v>skərʤ</v>
      </c>
      <c r="E1498" s="2" t="str">
        <f>IFERROR(__xludf.DUMMYFUNCTION("IFERROR(VLOOKUP(A1498, IMPORTRANGE(""https://docs.google.com/spreadsheets/d/1-3Vjw2Cyy-mry5gbC8ypIR3YVGFfEpyFESummAta6sg/edit"", ""Sheet1!B:D""), 3, FALSE), ""Not Found"")"),"s k ə r ʤ ")</f>
        <v>s k ə r ʤ </v>
      </c>
    </row>
    <row r="1499">
      <c r="A1499" s="1" t="s">
        <v>1502</v>
      </c>
      <c r="B1499" s="1" t="s">
        <v>5</v>
      </c>
      <c r="C1499" s="2">
        <f>IFERROR(__xludf.DUMMYFUNCTION("IFERROR(VLOOKUP(A1499, IMPORTRANGE(""https://docs.google.com/spreadsheets/d/1AVX9GT0dgogEBStecCXMMQ29tWz3gBrtNB8yIromXbY/edit?gid=741673867"", ""out1g!A:B""), 2, FALSE), 0)"),31.0)</f>
        <v>31</v>
      </c>
      <c r="D1499" s="2" t="str">
        <f>IFERROR(__xludf.DUMMYFUNCTION("IFERROR(VLOOKUP(A1499, IMPORTRANGE(""https://docs.google.com/spreadsheets/d/1-3Vjw2Cyy-mry5gbC8ypIR3YVGFfEpyFESummAta6sg/edit"", ""Sheet1!B:D""), 2, FALSE), ""Not Found"")"),"skɑrvz")</f>
        <v>skɑrvz</v>
      </c>
      <c r="E1499" s="2" t="str">
        <f>IFERROR(__xludf.DUMMYFUNCTION("IFERROR(VLOOKUP(A1499, IMPORTRANGE(""https://docs.google.com/spreadsheets/d/1-3Vjw2Cyy-mry5gbC8ypIR3YVGFfEpyFESummAta6sg/edit"", ""Sheet1!B:D""), 3, FALSE), ""Not Found"")"),"s k ɑ r v z ")</f>
        <v>s k ɑ r v z </v>
      </c>
    </row>
    <row r="1500">
      <c r="A1500" s="1" t="s">
        <v>1503</v>
      </c>
      <c r="B1500" s="1" t="s">
        <v>5</v>
      </c>
      <c r="C1500" s="2">
        <f>IFERROR(__xludf.DUMMYFUNCTION("IFERROR(VLOOKUP(A1500, IMPORTRANGE(""https://docs.google.com/spreadsheets/d/1AVX9GT0dgogEBStecCXMMQ29tWz3gBrtNB8yIromXbY/edit?gid=741673867"", ""out1g!A:B""), 2, FALSE), 0)"),197.0)</f>
        <v>197</v>
      </c>
      <c r="D1500" s="2" t="str">
        <f>IFERROR(__xludf.DUMMYFUNCTION("IFERROR(VLOOKUP(A1500, IMPORTRANGE(""https://docs.google.com/spreadsheets/d/1-3Vjw2Cyy-mry5gbC8ypIR3YVGFfEpyFESummAta6sg/edit"", ""Sheet1!B:D""), 2, FALSE), ""Not Found"")"),"kɑrvd")</f>
        <v>kɑrvd</v>
      </c>
      <c r="E1500" s="2" t="str">
        <f>IFERROR(__xludf.DUMMYFUNCTION("IFERROR(VLOOKUP(A1500, IMPORTRANGE(""https://docs.google.com/spreadsheets/d/1-3Vjw2Cyy-mry5gbC8ypIR3YVGFfEpyFESummAta6sg/edit"", ""Sheet1!B:D""), 3, FALSE), ""Not Found"")"),"k ɑ r v d ")</f>
        <v>k ɑ r v d </v>
      </c>
    </row>
    <row r="1501">
      <c r="A1501" s="1" t="s">
        <v>1504</v>
      </c>
      <c r="B1501" s="1" t="s">
        <v>5</v>
      </c>
      <c r="C1501" s="2">
        <f>IFERROR(__xludf.DUMMYFUNCTION("IFERROR(VLOOKUP(A1501, IMPORTRANGE(""https://docs.google.com/spreadsheets/d/1AVX9GT0dgogEBStecCXMMQ29tWz3gBrtNB8yIromXbY/edit?gid=741673867"", ""out1g!A:B""), 2, FALSE), 0)"),4496.0)</f>
        <v>4496</v>
      </c>
      <c r="D1501" s="2" t="str">
        <f>IFERROR(__xludf.DUMMYFUNCTION("IFERROR(VLOOKUP(A1501, IMPORTRANGE(""https://docs.google.com/spreadsheets/d/1-3Vjw2Cyy-mry5gbC8ypIR3YVGFfEpyFESummAta6sg/edit"", ""Sheet1!B:D""), 2, FALSE), ""Not Found"")"),"swɛr")</f>
        <v>swɛr</v>
      </c>
      <c r="E1501" s="2" t="str">
        <f>IFERROR(__xludf.DUMMYFUNCTION("IFERROR(VLOOKUP(A1501, IMPORTRANGE(""https://docs.google.com/spreadsheets/d/1-3Vjw2Cyy-mry5gbC8ypIR3YVGFfEpyFESummAta6sg/edit"", ""Sheet1!B:D""), 3, FALSE), ""Not Found"")"),"s w ɛ r ")</f>
        <v>s w ɛ r </v>
      </c>
    </row>
    <row r="1502">
      <c r="A1502" s="1" t="s">
        <v>1505</v>
      </c>
      <c r="B1502" s="1" t="s">
        <v>5</v>
      </c>
      <c r="C1502" s="2">
        <f>IFERROR(__xludf.DUMMYFUNCTION("IFERROR(VLOOKUP(A1502, IMPORTRANGE(""https://docs.google.com/spreadsheets/d/1AVX9GT0dgogEBStecCXMMQ29tWz3gBrtNB8yIromXbY/edit?gid=741673867"", ""out1g!A:B""), 2, FALSE), 0)"),1779.0)</f>
        <v>1779</v>
      </c>
      <c r="D1502" s="2" t="str">
        <f>IFERROR(__xludf.DUMMYFUNCTION("IFERROR(VLOOKUP(A1502, IMPORTRANGE(""https://docs.google.com/spreadsheets/d/1-3Vjw2Cyy-mry5gbC8ypIR3YVGFfEpyFESummAta6sg/edit"", ""Sheet1!B:D""), 2, FALSE), ""Not Found"")"),"nɔɪz")</f>
        <v>nɔɪz</v>
      </c>
      <c r="E1502" s="2" t="str">
        <f>IFERROR(__xludf.DUMMYFUNCTION("IFERROR(VLOOKUP(A1502, IMPORTRANGE(""https://docs.google.com/spreadsheets/d/1-3Vjw2Cyy-mry5gbC8ypIR3YVGFfEpyFESummAta6sg/edit"", ""Sheet1!B:D""), 3, FALSE), ""Not Found"")"),"n ɔ ɪ z ")</f>
        <v>n ɔ ɪ z </v>
      </c>
    </row>
    <row r="1503">
      <c r="A1503" s="1" t="s">
        <v>1506</v>
      </c>
      <c r="B1503" s="1" t="s">
        <v>5</v>
      </c>
      <c r="C1503" s="2">
        <f>IFERROR(__xludf.DUMMYFUNCTION("IFERROR(VLOOKUP(A1503, IMPORTRANGE(""https://docs.google.com/spreadsheets/d/1AVX9GT0dgogEBStecCXMMQ29tWz3gBrtNB8yIromXbY/edit?gid=741673867"", ""out1g!A:B""), 2, FALSE), 0)"),51.0)</f>
        <v>51</v>
      </c>
      <c r="D1503" s="2" t="str">
        <f>IFERROR(__xludf.DUMMYFUNCTION("IFERROR(VLOOKUP(A1503, IMPORTRANGE(""https://docs.google.com/spreadsheets/d/1-3Vjw2Cyy-mry5gbC8ypIR3YVGFfEpyFESummAta6sg/edit"", ""Sheet1!B:D""), 2, FALSE), ""Not Found"")"),"koʊʧt")</f>
        <v>koʊʧt</v>
      </c>
      <c r="E1503" s="2" t="str">
        <f>IFERROR(__xludf.DUMMYFUNCTION("IFERROR(VLOOKUP(A1503, IMPORTRANGE(""https://docs.google.com/spreadsheets/d/1-3Vjw2Cyy-mry5gbC8ypIR3YVGFfEpyFESummAta6sg/edit"", ""Sheet1!B:D""), 3, FALSE), ""Not Found"")"),"k o ʊ ʧ t ")</f>
        <v>k o ʊ ʧ t </v>
      </c>
    </row>
    <row r="1504">
      <c r="A1504" s="1" t="s">
        <v>1507</v>
      </c>
      <c r="B1504" s="1" t="s">
        <v>5</v>
      </c>
      <c r="C1504" s="2">
        <f>IFERROR(__xludf.DUMMYFUNCTION("IFERROR(VLOOKUP(A1504, IMPORTRANGE(""https://docs.google.com/spreadsheets/d/1AVX9GT0dgogEBStecCXMMQ29tWz3gBrtNB8yIromXbY/edit?gid=741673867"", ""out1g!A:B""), 2, FALSE), 0)"),1404.0)</f>
        <v>1404</v>
      </c>
      <c r="D1504" s="2" t="str">
        <f>IFERROR(__xludf.DUMMYFUNCTION("IFERROR(VLOOKUP(A1504, IMPORTRANGE(""https://docs.google.com/spreadsheets/d/1-3Vjw2Cyy-mry5gbC8ypIR3YVGFfEpyFESummAta6sg/edit"", ""Sheet1!B:D""), 2, FALSE), ""Not Found"")"),"loʊgən")</f>
        <v>loʊgən</v>
      </c>
      <c r="E1504" s="2" t="str">
        <f>IFERROR(__xludf.DUMMYFUNCTION("IFERROR(VLOOKUP(A1504, IMPORTRANGE(""https://docs.google.com/spreadsheets/d/1-3Vjw2Cyy-mry5gbC8ypIR3YVGFfEpyFESummAta6sg/edit"", ""Sheet1!B:D""), 3, FALSE), ""Not Found"")"),"l o ʊ g ə n ")</f>
        <v>l o ʊ g ə n </v>
      </c>
    </row>
    <row r="1505">
      <c r="A1505" s="1" t="s">
        <v>1508</v>
      </c>
      <c r="B1505" s="1" t="s">
        <v>5</v>
      </c>
      <c r="C1505" s="2">
        <f>IFERROR(__xludf.DUMMYFUNCTION("IFERROR(VLOOKUP(A1505, IMPORTRANGE(""https://docs.google.com/spreadsheets/d/1AVX9GT0dgogEBStecCXMMQ29tWz3gBrtNB8yIromXbY/edit?gid=741673867"", ""out1g!A:B""), 2, FALSE), 0)"),480.0)</f>
        <v>480</v>
      </c>
      <c r="D1505" s="2" t="str">
        <f>IFERROR(__xludf.DUMMYFUNCTION("IFERROR(VLOOKUP(A1505, IMPORTRANGE(""https://docs.google.com/spreadsheets/d/1-3Vjw2Cyy-mry5gbC8ypIR3YVGFfEpyFESummAta6sg/edit"", ""Sheet1!B:D""), 2, FALSE), ""Not Found"")"),"ʃɔrts")</f>
        <v>ʃɔrts</v>
      </c>
      <c r="E1505" s="2" t="str">
        <f>IFERROR(__xludf.DUMMYFUNCTION("IFERROR(VLOOKUP(A1505, IMPORTRANGE(""https://docs.google.com/spreadsheets/d/1-3Vjw2Cyy-mry5gbC8ypIR3YVGFfEpyFESummAta6sg/edit"", ""Sheet1!B:D""), 3, FALSE), ""Not Found"")"),"ʃ ɔ r t s ")</f>
        <v>ʃ ɔ r t s </v>
      </c>
    </row>
    <row r="1506">
      <c r="A1506" s="1" t="s">
        <v>1509</v>
      </c>
      <c r="B1506" s="1" t="s">
        <v>5</v>
      </c>
      <c r="C1506" s="2">
        <f>IFERROR(__xludf.DUMMYFUNCTION("IFERROR(VLOOKUP(A1506, IMPORTRANGE(""https://docs.google.com/spreadsheets/d/1AVX9GT0dgogEBStecCXMMQ29tWz3gBrtNB8yIromXbY/edit?gid=741673867"", ""out1g!A:B""), 2, FALSE), 0)"),169.0)</f>
        <v>169</v>
      </c>
      <c r="D1506" s="2" t="str">
        <f>IFERROR(__xludf.DUMMYFUNCTION("IFERROR(VLOOKUP(A1506, IMPORTRANGE(""https://docs.google.com/spreadsheets/d/1-3Vjw2Cyy-mry5gbC8ypIR3YVGFfEpyFESummAta6sg/edit"", ""Sheet1!B:D""), 2, FALSE), ""Not Found"")"),"spɛrd")</f>
        <v>spɛrd</v>
      </c>
      <c r="E1506" s="2" t="str">
        <f>IFERROR(__xludf.DUMMYFUNCTION("IFERROR(VLOOKUP(A1506, IMPORTRANGE(""https://docs.google.com/spreadsheets/d/1-3Vjw2Cyy-mry5gbC8ypIR3YVGFfEpyFESummAta6sg/edit"", ""Sheet1!B:D""), 3, FALSE), ""Not Found"")"),"s p ɛ r d ")</f>
        <v>s p ɛ r d </v>
      </c>
    </row>
    <row r="1507">
      <c r="A1507" s="1" t="s">
        <v>1510</v>
      </c>
      <c r="B1507" s="1" t="s">
        <v>5</v>
      </c>
      <c r="C1507" s="2">
        <f>IFERROR(__xludf.DUMMYFUNCTION("IFERROR(VLOOKUP(A1507, IMPORTRANGE(""https://docs.google.com/spreadsheets/d/1AVX9GT0dgogEBStecCXMMQ29tWz3gBrtNB8yIromXbY/edit?gid=741673867"", ""out1g!A:B""), 2, FALSE), 0)"),10.0)</f>
        <v>10</v>
      </c>
      <c r="D1507" s="2" t="str">
        <f>IFERROR(__xludf.DUMMYFUNCTION("IFERROR(VLOOKUP(A1507, IMPORTRANGE(""https://docs.google.com/spreadsheets/d/1-3Vjw2Cyy-mry5gbC8ypIR3YVGFfEpyFESummAta6sg/edit"", ""Sheet1!B:D""), 2, FALSE), ""Not Found"")"),"dɛnʧər")</f>
        <v>dɛnʧər</v>
      </c>
      <c r="E1507" s="2" t="str">
        <f>IFERROR(__xludf.DUMMYFUNCTION("IFERROR(VLOOKUP(A1507, IMPORTRANGE(""https://docs.google.com/spreadsheets/d/1-3Vjw2Cyy-mry5gbC8ypIR3YVGFfEpyFESummAta6sg/edit"", ""Sheet1!B:D""), 3, FALSE), ""Not Found"")"),"d ɛ n ʧ ə r ")</f>
        <v>d ɛ n ʧ ə r </v>
      </c>
    </row>
    <row r="1508">
      <c r="A1508" s="1" t="s">
        <v>1511</v>
      </c>
      <c r="B1508" s="1" t="s">
        <v>5</v>
      </c>
      <c r="C1508" s="2">
        <f>IFERROR(__xludf.DUMMYFUNCTION("IFERROR(VLOOKUP(A1508, IMPORTRANGE(""https://docs.google.com/spreadsheets/d/1AVX9GT0dgogEBStecCXMMQ29tWz3gBrtNB8yIromXbY/edit?gid=741673867"", ""out1g!A:B""), 2, FALSE), 0)"),67.0)</f>
        <v>67</v>
      </c>
      <c r="D1508" s="2" t="str">
        <f>IFERROR(__xludf.DUMMYFUNCTION("IFERROR(VLOOKUP(A1508, IMPORTRANGE(""https://docs.google.com/spreadsheets/d/1-3Vjw2Cyy-mry5gbC8ypIR3YVGFfEpyFESummAta6sg/edit"", ""Sheet1!B:D""), 2, FALSE), ""Not Found"")"),"dəf")</f>
        <v>dəf</v>
      </c>
      <c r="E1508" s="2" t="str">
        <f>IFERROR(__xludf.DUMMYFUNCTION("IFERROR(VLOOKUP(A1508, IMPORTRANGE(""https://docs.google.com/spreadsheets/d/1-3Vjw2Cyy-mry5gbC8ypIR3YVGFfEpyFESummAta6sg/edit"", ""Sheet1!B:D""), 3, FALSE), ""Not Found"")"),"d ə f ")</f>
        <v>d ə f </v>
      </c>
    </row>
    <row r="1509">
      <c r="A1509" s="1" t="s">
        <v>1512</v>
      </c>
      <c r="B1509" s="1" t="s">
        <v>5</v>
      </c>
      <c r="C1509" s="2">
        <f>IFERROR(__xludf.DUMMYFUNCTION("IFERROR(VLOOKUP(A1509, IMPORTRANGE(""https://docs.google.com/spreadsheets/d/1AVX9GT0dgogEBStecCXMMQ29tWz3gBrtNB8yIromXbY/edit?gid=741673867"", ""out1g!A:B""), 2, FALSE), 0)"),587.0)</f>
        <v>587</v>
      </c>
      <c r="D1509" s="2" t="str">
        <f>IFERROR(__xludf.DUMMYFUNCTION("IFERROR(VLOOKUP(A1509, IMPORTRANGE(""https://docs.google.com/spreadsheets/d/1-3Vjw2Cyy-mry5gbC8ypIR3YVGFfEpyFESummAta6sg/edit"", ""Sheet1!B:D""), 2, FALSE), ""Not Found"")"),"fɔrd")</f>
        <v>fɔrd</v>
      </c>
      <c r="E1509" s="2" t="str">
        <f>IFERROR(__xludf.DUMMYFUNCTION("IFERROR(VLOOKUP(A1509, IMPORTRANGE(""https://docs.google.com/spreadsheets/d/1-3Vjw2Cyy-mry5gbC8ypIR3YVGFfEpyFESummAta6sg/edit"", ""Sheet1!B:D""), 3, FALSE), ""Not Found"")"),"f ɔ r d ")</f>
        <v>f ɔ r d </v>
      </c>
    </row>
    <row r="1510">
      <c r="A1510" s="1" t="s">
        <v>1513</v>
      </c>
      <c r="B1510" s="1" t="s">
        <v>5</v>
      </c>
      <c r="C1510" s="2">
        <f>IFERROR(__xludf.DUMMYFUNCTION("IFERROR(VLOOKUP(A1510, IMPORTRANGE(""https://docs.google.com/spreadsheets/d/1AVX9GT0dgogEBStecCXMMQ29tWz3gBrtNB8yIromXbY/edit?gid=741673867"", ""out1g!A:B""), 2, FALSE), 0)"),226.0)</f>
        <v>226</v>
      </c>
      <c r="D1510" s="2" t="str">
        <f>IFERROR(__xludf.DUMMYFUNCTION("IFERROR(VLOOKUP(A1510, IMPORTRANGE(""https://docs.google.com/spreadsheets/d/1-3Vjw2Cyy-mry5gbC8ypIR3YVGFfEpyFESummAta6sg/edit"", ""Sheet1!B:D""), 2, FALSE), ""Not Found"")"),"lɛs")</f>
        <v>lɛs</v>
      </c>
      <c r="E1510" s="2" t="str">
        <f>IFERROR(__xludf.DUMMYFUNCTION("IFERROR(VLOOKUP(A1510, IMPORTRANGE(""https://docs.google.com/spreadsheets/d/1-3Vjw2Cyy-mry5gbC8ypIR3YVGFfEpyFESummAta6sg/edit"", ""Sheet1!B:D""), 3, FALSE), ""Not Found"")"),"l ɛ s ")</f>
        <v>l ɛ s </v>
      </c>
    </row>
    <row r="1511">
      <c r="A1511" s="1" t="s">
        <v>1514</v>
      </c>
      <c r="B1511" s="1" t="s">
        <v>5</v>
      </c>
      <c r="C1511" s="2">
        <f>IFERROR(__xludf.DUMMYFUNCTION("IFERROR(VLOOKUP(A1511, IMPORTRANGE(""https://docs.google.com/spreadsheets/d/1AVX9GT0dgogEBStecCXMMQ29tWz3gBrtNB8yIromXbY/edit?gid=741673867"", ""out1g!A:B""), 2, FALSE), 0)"),300.0)</f>
        <v>300</v>
      </c>
      <c r="D1511" s="2" t="str">
        <f>IFERROR(__xludf.DUMMYFUNCTION("IFERROR(VLOOKUP(A1511, IMPORTRANGE(""https://docs.google.com/spreadsheets/d/1-3Vjw2Cyy-mry5gbC8ypIR3YVGFfEpyFESummAta6sg/edit"", ""Sheet1!B:D""), 2, FALSE), ""Not Found"")"),"saɪkəl")</f>
        <v>saɪkəl</v>
      </c>
      <c r="E1511" s="2" t="str">
        <f>IFERROR(__xludf.DUMMYFUNCTION("IFERROR(VLOOKUP(A1511, IMPORTRANGE(""https://docs.google.com/spreadsheets/d/1-3Vjw2Cyy-mry5gbC8ypIR3YVGFfEpyFESummAta6sg/edit"", ""Sheet1!B:D""), 3, FALSE), ""Not Found"")"),"s a ɪ k ə l ")</f>
        <v>s a ɪ k ə l </v>
      </c>
    </row>
    <row r="1512">
      <c r="A1512" s="1" t="s">
        <v>1515</v>
      </c>
      <c r="B1512" s="1" t="s">
        <v>5</v>
      </c>
      <c r="C1512" s="2">
        <f>IFERROR(__xludf.DUMMYFUNCTION("IFERROR(VLOOKUP(A1512, IMPORTRANGE(""https://docs.google.com/spreadsheets/d/1AVX9GT0dgogEBStecCXMMQ29tWz3gBrtNB8yIromXbY/edit?gid=741673867"", ""out1g!A:B""), 2, FALSE), 0)"),224.0)</f>
        <v>224</v>
      </c>
      <c r="D1512" s="2" t="str">
        <f>IFERROR(__xludf.DUMMYFUNCTION("IFERROR(VLOOKUP(A1512, IMPORTRANGE(""https://docs.google.com/spreadsheets/d/1-3Vjw2Cyy-mry5gbC8ypIR3YVGFfEpyFESummAta6sg/edit"", ""Sheet1!B:D""), 2, FALSE), ""Not Found"")"),"vɪlə")</f>
        <v>vɪlə</v>
      </c>
      <c r="E1512" s="2" t="str">
        <f>IFERROR(__xludf.DUMMYFUNCTION("IFERROR(VLOOKUP(A1512, IMPORTRANGE(""https://docs.google.com/spreadsheets/d/1-3Vjw2Cyy-mry5gbC8ypIR3YVGFfEpyFESummAta6sg/edit"", ""Sheet1!B:D""), 3, FALSE), ""Not Found"")"),"v ɪ l ə ")</f>
        <v>v ɪ l ə </v>
      </c>
    </row>
    <row r="1513">
      <c r="A1513" s="1" t="s">
        <v>1516</v>
      </c>
      <c r="B1513" s="1" t="s">
        <v>5</v>
      </c>
      <c r="C1513" s="2">
        <f>IFERROR(__xludf.DUMMYFUNCTION("IFERROR(VLOOKUP(A1513, IMPORTRANGE(""https://docs.google.com/spreadsheets/d/1AVX9GT0dgogEBStecCXMMQ29tWz3gBrtNB8yIromXbY/edit?gid=741673867"", ""out1g!A:B""), 2, FALSE), 0)"),795.0)</f>
        <v>795</v>
      </c>
      <c r="D1513" s="2" t="str">
        <f>IFERROR(__xludf.DUMMYFUNCTION("IFERROR(VLOOKUP(A1513, IMPORTRANGE(""https://docs.google.com/spreadsheets/d/1-3Vjw2Cyy-mry5gbC8ypIR3YVGFfEpyFESummAta6sg/edit"", ""Sheet1!B:D""), 2, FALSE), ""Not Found"")"),"saɪz")</f>
        <v>saɪz</v>
      </c>
      <c r="E1513" s="2" t="str">
        <f>IFERROR(__xludf.DUMMYFUNCTION("IFERROR(VLOOKUP(A1513, IMPORTRANGE(""https://docs.google.com/spreadsheets/d/1-3Vjw2Cyy-mry5gbC8ypIR3YVGFfEpyFESummAta6sg/edit"", ""Sheet1!B:D""), 3, FALSE), ""Not Found"")"),"s a ɪ z ")</f>
        <v>s a ɪ z </v>
      </c>
    </row>
    <row r="1514">
      <c r="A1514" s="1" t="s">
        <v>1517</v>
      </c>
      <c r="B1514" s="1" t="s">
        <v>5</v>
      </c>
      <c r="C1514" s="2">
        <f>IFERROR(__xludf.DUMMYFUNCTION("IFERROR(VLOOKUP(A1514, IMPORTRANGE(""https://docs.google.com/spreadsheets/d/1AVX9GT0dgogEBStecCXMMQ29tWz3gBrtNB8yIromXbY/edit?gid=741673867"", ""out1g!A:B""), 2, FALSE), 0)"),61.0)</f>
        <v>61</v>
      </c>
      <c r="D1514" s="2" t="str">
        <f>IFERROR(__xludf.DUMMYFUNCTION("IFERROR(VLOOKUP(A1514, IMPORTRANGE(""https://docs.google.com/spreadsheets/d/1-3Vjw2Cyy-mry5gbC8ypIR3YVGFfEpyFESummAta6sg/edit"", ""Sheet1!B:D""), 2, FALSE), ""Not Found"")"),"ilz")</f>
        <v>ilz</v>
      </c>
      <c r="E1514" s="2" t="str">
        <f>IFERROR(__xludf.DUMMYFUNCTION("IFERROR(VLOOKUP(A1514, IMPORTRANGE(""https://docs.google.com/spreadsheets/d/1-3Vjw2Cyy-mry5gbC8ypIR3YVGFfEpyFESummAta6sg/edit"", ""Sheet1!B:D""), 3, FALSE), ""Not Found"")"),"i l z ")</f>
        <v>i l z </v>
      </c>
    </row>
    <row r="1515">
      <c r="A1515" s="1" t="s">
        <v>1518</v>
      </c>
      <c r="B1515" s="1" t="s">
        <v>5</v>
      </c>
      <c r="C1515" s="2">
        <f>IFERROR(__xludf.DUMMYFUNCTION("IFERROR(VLOOKUP(A1515, IMPORTRANGE(""https://docs.google.com/spreadsheets/d/1AVX9GT0dgogEBStecCXMMQ29tWz3gBrtNB8yIromXbY/edit?gid=741673867"", ""out1g!A:B""), 2, FALSE), 0)"),371.0)</f>
        <v>371</v>
      </c>
      <c r="D1515" s="2" t="str">
        <f>IFERROR(__xludf.DUMMYFUNCTION("IFERROR(VLOOKUP(A1515, IMPORTRANGE(""https://docs.google.com/spreadsheets/d/1-3Vjw2Cyy-mry5gbC8ypIR3YVGFfEpyFESummAta6sg/edit"", ""Sheet1!B:D""), 2, FALSE), ""Not Found"")"),"sæmsən")</f>
        <v>sæmsən</v>
      </c>
      <c r="E1515" s="2" t="str">
        <f>IFERROR(__xludf.DUMMYFUNCTION("IFERROR(VLOOKUP(A1515, IMPORTRANGE(""https://docs.google.com/spreadsheets/d/1-3Vjw2Cyy-mry5gbC8ypIR3YVGFfEpyFESummAta6sg/edit"", ""Sheet1!B:D""), 3, FALSE), ""Not Found"")"),"s æ m s ə n ")</f>
        <v>s æ m s ə n </v>
      </c>
    </row>
    <row r="1516">
      <c r="A1516" s="1" t="s">
        <v>1519</v>
      </c>
      <c r="B1516" s="1" t="s">
        <v>5</v>
      </c>
      <c r="C1516" s="2">
        <f>IFERROR(__xludf.DUMMYFUNCTION("IFERROR(VLOOKUP(A1516, IMPORTRANGE(""https://docs.google.com/spreadsheets/d/1AVX9GT0dgogEBStecCXMMQ29tWz3gBrtNB8yIromXbY/edit?gid=741673867"", ""out1g!A:B""), 2, FALSE), 0)"),546.0)</f>
        <v>546</v>
      </c>
      <c r="D1516" s="2" t="str">
        <f>IFERROR(__xludf.DUMMYFUNCTION("IFERROR(VLOOKUP(A1516, IMPORTRANGE(""https://docs.google.com/spreadsheets/d/1-3Vjw2Cyy-mry5gbC8ypIR3YVGFfEpyFESummAta6sg/edit"", ""Sheet1!B:D""), 2, FALSE), ""Not Found"")"),"gɛsɪŋ")</f>
        <v>gɛsɪŋ</v>
      </c>
      <c r="E1516" s="2" t="str">
        <f>IFERROR(__xludf.DUMMYFUNCTION("IFERROR(VLOOKUP(A1516, IMPORTRANGE(""https://docs.google.com/spreadsheets/d/1-3Vjw2Cyy-mry5gbC8ypIR3YVGFfEpyFESummAta6sg/edit"", ""Sheet1!B:D""), 3, FALSE), ""Not Found"")"),"g ɛ s ɪ ŋ ")</f>
        <v>g ɛ s ɪ ŋ </v>
      </c>
    </row>
    <row r="1517">
      <c r="A1517" s="1" t="s">
        <v>1520</v>
      </c>
      <c r="B1517" s="1" t="s">
        <v>5</v>
      </c>
      <c r="C1517" s="2">
        <f>IFERROR(__xludf.DUMMYFUNCTION("IFERROR(VLOOKUP(A1517, IMPORTRANGE(""https://docs.google.com/spreadsheets/d/1AVX9GT0dgogEBStecCXMMQ29tWz3gBrtNB8yIromXbY/edit?gid=741673867"", ""out1g!A:B""), 2, FALSE), 0)"),3336.0)</f>
        <v>3336</v>
      </c>
      <c r="D1517" s="2" t="str">
        <f>IFERROR(__xludf.DUMMYFUNCTION("IFERROR(VLOOKUP(A1517, IMPORTRANGE(""https://docs.google.com/spreadsheets/d/1-3Vjw2Cyy-mry5gbC8ypIR3YVGFfEpyFESummAta6sg/edit"", ""Sheet1!B:D""), 2, FALSE), ""Not Found"")"),"ɑrm")</f>
        <v>ɑrm</v>
      </c>
      <c r="E1517" s="2" t="str">
        <f>IFERROR(__xludf.DUMMYFUNCTION("IFERROR(VLOOKUP(A1517, IMPORTRANGE(""https://docs.google.com/spreadsheets/d/1-3Vjw2Cyy-mry5gbC8ypIR3YVGFfEpyFESummAta6sg/edit"", ""Sheet1!B:D""), 3, FALSE), ""Not Found"")"),"ɑ r m ")</f>
        <v>ɑ r m </v>
      </c>
    </row>
    <row r="1518">
      <c r="A1518" s="1" t="s">
        <v>1521</v>
      </c>
      <c r="B1518" s="1" t="s">
        <v>5</v>
      </c>
      <c r="C1518" s="2">
        <f>IFERROR(__xludf.DUMMYFUNCTION("IFERROR(VLOOKUP(A1518, IMPORTRANGE(""https://docs.google.com/spreadsheets/d/1AVX9GT0dgogEBStecCXMMQ29tWz3gBrtNB8yIromXbY/edit?gid=741673867"", ""out1g!A:B""), 2, FALSE), 0)"),250.0)</f>
        <v>250</v>
      </c>
      <c r="D1518" s="2" t="str">
        <f>IFERROR(__xludf.DUMMYFUNCTION("IFERROR(VLOOKUP(A1518, IMPORTRANGE(""https://docs.google.com/spreadsheets/d/1-3Vjw2Cyy-mry5gbC8ypIR3YVGFfEpyFESummAta6sg/edit"", ""Sheet1!B:D""), 2, FALSE), ""Not Found"")"),"baɪtɪŋ")</f>
        <v>baɪtɪŋ</v>
      </c>
      <c r="E1518" s="2" t="str">
        <f>IFERROR(__xludf.DUMMYFUNCTION("IFERROR(VLOOKUP(A1518, IMPORTRANGE(""https://docs.google.com/spreadsheets/d/1-3Vjw2Cyy-mry5gbC8ypIR3YVGFfEpyFESummAta6sg/edit"", ""Sheet1!B:D""), 3, FALSE), ""Not Found"")"),"b a ɪ t ɪ ŋ ")</f>
        <v>b a ɪ t ɪ ŋ </v>
      </c>
    </row>
    <row r="1519">
      <c r="A1519" s="1" t="s">
        <v>1522</v>
      </c>
      <c r="B1519" s="1" t="s">
        <v>5</v>
      </c>
      <c r="C1519" s="2">
        <f>IFERROR(__xludf.DUMMYFUNCTION("IFERROR(VLOOKUP(A1519, IMPORTRANGE(""https://docs.google.com/spreadsheets/d/1AVX9GT0dgogEBStecCXMMQ29tWz3gBrtNB8yIromXbY/edit?gid=741673867"", ""out1g!A:B""), 2, FALSE), 0)"),191.0)</f>
        <v>191</v>
      </c>
      <c r="D1519" s="2" t="str">
        <f>IFERROR(__xludf.DUMMYFUNCTION("IFERROR(VLOOKUP(A1519, IMPORTRANGE(""https://docs.google.com/spreadsheets/d/1-3Vjw2Cyy-mry5gbC8ypIR3YVGFfEpyFESummAta6sg/edit"", ""Sheet1!B:D""), 2, FALSE), ""Not Found"")"),"ɑrs")</f>
        <v>ɑrs</v>
      </c>
      <c r="E1519" s="2" t="str">
        <f>IFERROR(__xludf.DUMMYFUNCTION("IFERROR(VLOOKUP(A1519, IMPORTRANGE(""https://docs.google.com/spreadsheets/d/1-3Vjw2Cyy-mry5gbC8ypIR3YVGFfEpyFESummAta6sg/edit"", ""Sheet1!B:D""), 3, FALSE), ""Not Found"")"),"ɑ r s ")</f>
        <v>ɑ r s </v>
      </c>
    </row>
    <row r="1520">
      <c r="A1520" s="1" t="s">
        <v>1523</v>
      </c>
      <c r="B1520" s="1" t="s">
        <v>5</v>
      </c>
      <c r="C1520" s="2">
        <f>IFERROR(__xludf.DUMMYFUNCTION("IFERROR(VLOOKUP(A1520, IMPORTRANGE(""https://docs.google.com/spreadsheets/d/1AVX9GT0dgogEBStecCXMMQ29tWz3gBrtNB8yIromXbY/edit?gid=741673867"", ""out1g!A:B""), 2, FALSE), 0)"),1792.0)</f>
        <v>1792</v>
      </c>
      <c r="D1520" s="2" t="str">
        <f>IFERROR(__xludf.DUMMYFUNCTION("IFERROR(VLOOKUP(A1520, IMPORTRANGE(""https://docs.google.com/spreadsheets/d/1-3Vjw2Cyy-mry5gbC8ypIR3YVGFfEpyFESummAta6sg/edit"", ""Sheet1!B:D""), 2, FALSE), ""Not Found"")"),"trenɪŋ")</f>
        <v>trenɪŋ</v>
      </c>
      <c r="E1520" s="2" t="str">
        <f>IFERROR(__xludf.DUMMYFUNCTION("IFERROR(VLOOKUP(A1520, IMPORTRANGE(""https://docs.google.com/spreadsheets/d/1-3Vjw2Cyy-mry5gbC8ypIR3YVGFfEpyFESummAta6sg/edit"", ""Sheet1!B:D""), 3, FALSE), ""Not Found"")"),"t r e n ɪ ŋ ")</f>
        <v>t r e n ɪ ŋ </v>
      </c>
    </row>
    <row r="1521">
      <c r="A1521" s="1" t="s">
        <v>1524</v>
      </c>
      <c r="B1521" s="1" t="s">
        <v>5</v>
      </c>
      <c r="C1521" s="2">
        <f>IFERROR(__xludf.DUMMYFUNCTION("IFERROR(VLOOKUP(A1521, IMPORTRANGE(""https://docs.google.com/spreadsheets/d/1AVX9GT0dgogEBStecCXMMQ29tWz3gBrtNB8yIromXbY/edit?gid=741673867"", ""out1g!A:B""), 2, FALSE), 0)"),142.0)</f>
        <v>142</v>
      </c>
      <c r="D1521" s="2" t="str">
        <f>IFERROR(__xludf.DUMMYFUNCTION("IFERROR(VLOOKUP(A1521, IMPORTRANGE(""https://docs.google.com/spreadsheets/d/1-3Vjw2Cyy-mry5gbC8ypIR3YVGFfEpyFESummAta6sg/edit"", ""Sheet1!B:D""), 2, FALSE), ""Not Found"")"),"flədɪd")</f>
        <v>flədɪd</v>
      </c>
      <c r="E1521" s="2" t="str">
        <f>IFERROR(__xludf.DUMMYFUNCTION("IFERROR(VLOOKUP(A1521, IMPORTRANGE(""https://docs.google.com/spreadsheets/d/1-3Vjw2Cyy-mry5gbC8ypIR3YVGFfEpyFESummAta6sg/edit"", ""Sheet1!B:D""), 3, FALSE), ""Not Found"")"),"f l ə d ɪ d ")</f>
        <v>f l ə d ɪ d </v>
      </c>
    </row>
    <row r="1522">
      <c r="A1522" s="1" t="s">
        <v>1525</v>
      </c>
      <c r="B1522" s="1" t="s">
        <v>5</v>
      </c>
      <c r="C1522" s="2">
        <f>IFERROR(__xludf.DUMMYFUNCTION("IFERROR(VLOOKUP(A1522, IMPORTRANGE(""https://docs.google.com/spreadsheets/d/1AVX9GT0dgogEBStecCXMMQ29tWz3gBrtNB8yIromXbY/edit?gid=741673867"", ""out1g!A:B""), 2, FALSE), 0)"),3569.0)</f>
        <v>3569</v>
      </c>
      <c r="D1522" s="2" t="str">
        <f>IFERROR(__xludf.DUMMYFUNCTION("IFERROR(VLOOKUP(A1522, IMPORTRANGE(""https://docs.google.com/spreadsheets/d/1-3Vjw2Cyy-mry5gbC8ypIR3YVGFfEpyFESummAta6sg/edit"", ""Sheet1!B:D""), 2, FALSE), ""Not Found"")"),"filz")</f>
        <v>filz</v>
      </c>
      <c r="E1522" s="2" t="str">
        <f>IFERROR(__xludf.DUMMYFUNCTION("IFERROR(VLOOKUP(A1522, IMPORTRANGE(""https://docs.google.com/spreadsheets/d/1-3Vjw2Cyy-mry5gbC8ypIR3YVGFfEpyFESummAta6sg/edit"", ""Sheet1!B:D""), 3, FALSE), ""Not Found"")"),"f i l z ")</f>
        <v>f i l z </v>
      </c>
    </row>
    <row r="1523">
      <c r="A1523" s="1" t="s">
        <v>1526</v>
      </c>
      <c r="B1523" s="1" t="s">
        <v>5</v>
      </c>
      <c r="C1523" s="2">
        <f>IFERROR(__xludf.DUMMYFUNCTION("IFERROR(VLOOKUP(A1523, IMPORTRANGE(""https://docs.google.com/spreadsheets/d/1AVX9GT0dgogEBStecCXMMQ29tWz3gBrtNB8yIromXbY/edit?gid=741673867"", ""out1g!A:B""), 2, FALSE), 0)"),174.0)</f>
        <v>174</v>
      </c>
      <c r="D1523" s="2" t="str">
        <f>IFERROR(__xludf.DUMMYFUNCTION("IFERROR(VLOOKUP(A1523, IMPORTRANGE(""https://docs.google.com/spreadsheets/d/1-3Vjw2Cyy-mry5gbC8ypIR3YVGFfEpyFESummAta6sg/edit"", ""Sheet1!B:D""), 2, FALSE), ""Not Found"")"),"ærəb")</f>
        <v>ærəb</v>
      </c>
      <c r="E1523" s="2" t="str">
        <f>IFERROR(__xludf.DUMMYFUNCTION("IFERROR(VLOOKUP(A1523, IMPORTRANGE(""https://docs.google.com/spreadsheets/d/1-3Vjw2Cyy-mry5gbC8ypIR3YVGFfEpyFESummAta6sg/edit"", ""Sheet1!B:D""), 3, FALSE), ""Not Found"")"),"æ r ə b ")</f>
        <v>æ r ə b </v>
      </c>
    </row>
    <row r="1524">
      <c r="A1524" s="1" t="s">
        <v>1527</v>
      </c>
      <c r="B1524" s="1" t="s">
        <v>5</v>
      </c>
      <c r="C1524" s="2">
        <f>IFERROR(__xludf.DUMMYFUNCTION("IFERROR(VLOOKUP(A1524, IMPORTRANGE(""https://docs.google.com/spreadsheets/d/1AVX9GT0dgogEBStecCXMMQ29tWz3gBrtNB8yIromXbY/edit?gid=741673867"", ""out1g!A:B""), 2, FALSE), 0)"),1219.0)</f>
        <v>1219</v>
      </c>
      <c r="D1524" s="2" t="str">
        <f>IFERROR(__xludf.DUMMYFUNCTION("IFERROR(VLOOKUP(A1524, IMPORTRANGE(""https://docs.google.com/spreadsheets/d/1-3Vjw2Cyy-mry5gbC8ypIR3YVGFfEpyFESummAta6sg/edit"", ""Sheet1!B:D""), 2, FALSE), ""Not Found"")"),"ətækt")</f>
        <v>ətækt</v>
      </c>
      <c r="E1524" s="2" t="str">
        <f>IFERROR(__xludf.DUMMYFUNCTION("IFERROR(VLOOKUP(A1524, IMPORTRANGE(""https://docs.google.com/spreadsheets/d/1-3Vjw2Cyy-mry5gbC8ypIR3YVGFfEpyFESummAta6sg/edit"", ""Sheet1!B:D""), 3, FALSE), ""Not Found"")"),"ə t æ k t ")</f>
        <v>ə t æ k t </v>
      </c>
    </row>
    <row r="1525">
      <c r="A1525" s="1" t="s">
        <v>1528</v>
      </c>
      <c r="B1525" s="1" t="s">
        <v>5</v>
      </c>
      <c r="C1525" s="2">
        <f>IFERROR(__xludf.DUMMYFUNCTION("IFERROR(VLOOKUP(A1525, IMPORTRANGE(""https://docs.google.com/spreadsheets/d/1AVX9GT0dgogEBStecCXMMQ29tWz3gBrtNB8yIromXbY/edit?gid=741673867"", ""out1g!A:B""), 2, FALSE), 0)"),289.0)</f>
        <v>289</v>
      </c>
      <c r="D1525" s="2" t="str">
        <f>IFERROR(__xludf.DUMMYFUNCTION("IFERROR(VLOOKUP(A1525, IMPORTRANGE(""https://docs.google.com/spreadsheets/d/1-3Vjw2Cyy-mry5gbC8ypIR3YVGFfEpyFESummAta6sg/edit"", ""Sheet1!B:D""), 2, FALSE), ""Not Found"")"),"fɪrd")</f>
        <v>fɪrd</v>
      </c>
      <c r="E1525" s="2" t="str">
        <f>IFERROR(__xludf.DUMMYFUNCTION("IFERROR(VLOOKUP(A1525, IMPORTRANGE(""https://docs.google.com/spreadsheets/d/1-3Vjw2Cyy-mry5gbC8ypIR3YVGFfEpyFESummAta6sg/edit"", ""Sheet1!B:D""), 3, FALSE), ""Not Found"")"),"f ɪ r d ")</f>
        <v>f ɪ r d </v>
      </c>
    </row>
    <row r="1526">
      <c r="A1526" s="1" t="s">
        <v>1529</v>
      </c>
      <c r="B1526" s="1" t="s">
        <v>5</v>
      </c>
      <c r="C1526" s="2">
        <f>IFERROR(__xludf.DUMMYFUNCTION("IFERROR(VLOOKUP(A1526, IMPORTRANGE(""https://docs.google.com/spreadsheets/d/1AVX9GT0dgogEBStecCXMMQ29tWz3gBrtNB8yIromXbY/edit?gid=741673867"", ""out1g!A:B""), 2, FALSE), 0)"),100.0)</f>
        <v>100</v>
      </c>
      <c r="D1526" s="2" t="str">
        <f>IFERROR(__xludf.DUMMYFUNCTION("IFERROR(VLOOKUP(A1526, IMPORTRANGE(""https://docs.google.com/spreadsheets/d/1-3Vjw2Cyy-mry5gbC8ypIR3YVGFfEpyFESummAta6sg/edit"", ""Sheet1!B:D""), 2, FALSE), ""Not Found"")"),"noʊtər")</f>
        <v>noʊtər</v>
      </c>
      <c r="E1526" s="2" t="str">
        <f>IFERROR(__xludf.DUMMYFUNCTION("IFERROR(VLOOKUP(A1526, IMPORTRANGE(""https://docs.google.com/spreadsheets/d/1-3Vjw2Cyy-mry5gbC8ypIR3YVGFfEpyFESummAta6sg/edit"", ""Sheet1!B:D""), 3, FALSE), ""Not Found"")"),"n o ʊ t ə r ")</f>
        <v>n o ʊ t ə r </v>
      </c>
    </row>
    <row r="1527">
      <c r="A1527" s="1" t="s">
        <v>1530</v>
      </c>
      <c r="B1527" s="1" t="s">
        <v>5</v>
      </c>
      <c r="C1527" s="2">
        <f>IFERROR(__xludf.DUMMYFUNCTION("IFERROR(VLOOKUP(A1527, IMPORTRANGE(""https://docs.google.com/spreadsheets/d/1AVX9GT0dgogEBStecCXMMQ29tWz3gBrtNB8yIromXbY/edit?gid=741673867"", ""out1g!A:B""), 2, FALSE), 0)"),93.0)</f>
        <v>93</v>
      </c>
      <c r="D1527" s="2" t="str">
        <f>IFERROR(__xludf.DUMMYFUNCTION("IFERROR(VLOOKUP(A1527, IMPORTRANGE(""https://docs.google.com/spreadsheets/d/1-3Vjw2Cyy-mry5gbC8ypIR3YVGFfEpyFESummAta6sg/edit"", ""Sheet1!B:D""), 2, FALSE), ""Not Found"")"),"nem")</f>
        <v>nem</v>
      </c>
      <c r="E1527" s="2" t="str">
        <f>IFERROR(__xludf.DUMMYFUNCTION("IFERROR(VLOOKUP(A1527, IMPORTRANGE(""https://docs.google.com/spreadsheets/d/1-3Vjw2Cyy-mry5gbC8ypIR3YVGFfEpyFESummAta6sg/edit"", ""Sheet1!B:D""), 3, FALSE), ""Not Found"")"),"n e m ")</f>
        <v>n e m </v>
      </c>
    </row>
    <row r="1528">
      <c r="A1528" s="1" t="s">
        <v>1531</v>
      </c>
      <c r="B1528" s="1" t="s">
        <v>5</v>
      </c>
      <c r="C1528" s="2">
        <f>IFERROR(__xludf.DUMMYFUNCTION("IFERROR(VLOOKUP(A1528, IMPORTRANGE(""https://docs.google.com/spreadsheets/d/1AVX9GT0dgogEBStecCXMMQ29tWz3gBrtNB8yIromXbY/edit?gid=741673867"", ""out1g!A:B""), 2, FALSE), 0)"),156684.0)</f>
        <v>156684</v>
      </c>
      <c r="D1528" s="2" t="str">
        <f>IFERROR(__xludf.DUMMYFUNCTION("IFERROR(VLOOKUP(A1528, IMPORTRANGE(""https://docs.google.com/spreadsheets/d/1-3Vjw2Cyy-mry5gbC8ypIR3YVGFfEpyFESummAta6sg/edit"", ""Sheet1!B:D""), 2, FALSE), ""Not Found"")"),"wən")</f>
        <v>wən</v>
      </c>
      <c r="E1528" s="2" t="str">
        <f>IFERROR(__xludf.DUMMYFUNCTION("IFERROR(VLOOKUP(A1528, IMPORTRANGE(""https://docs.google.com/spreadsheets/d/1-3Vjw2Cyy-mry5gbC8ypIR3YVGFfEpyFESummAta6sg/edit"", ""Sheet1!B:D""), 3, FALSE), ""Not Found"")"),"w ə n ")</f>
        <v>w ə n </v>
      </c>
    </row>
    <row r="1529">
      <c r="A1529" s="1" t="s">
        <v>1532</v>
      </c>
      <c r="B1529" s="1" t="s">
        <v>5</v>
      </c>
      <c r="C1529" s="2">
        <f>IFERROR(__xludf.DUMMYFUNCTION("IFERROR(VLOOKUP(A1529, IMPORTRANGE(""https://docs.google.com/spreadsheets/d/1AVX9GT0dgogEBStecCXMMQ29tWz3gBrtNB8yIromXbY/edit?gid=741673867"", ""out1g!A:B""), 2, FALSE), 0)"),2720.0)</f>
        <v>2720</v>
      </c>
      <c r="D1529" s="2" t="str">
        <f>IFERROR(__xludf.DUMMYFUNCTION("IFERROR(VLOOKUP(A1529, IMPORTRANGE(""https://docs.google.com/spreadsheets/d/1-3Vjw2Cyy-mry5gbC8ypIR3YVGFfEpyFESummAta6sg/edit"", ""Sheet1!B:D""), 2, FALSE), ""Not Found"")"),"stil")</f>
        <v>stil</v>
      </c>
      <c r="E1529" s="2" t="str">
        <f>IFERROR(__xludf.DUMMYFUNCTION("IFERROR(VLOOKUP(A1529, IMPORTRANGE(""https://docs.google.com/spreadsheets/d/1-3Vjw2Cyy-mry5gbC8ypIR3YVGFfEpyFESummAta6sg/edit"", ""Sheet1!B:D""), 3, FALSE), ""Not Found"")"),"s t i l ")</f>
        <v>s t i l </v>
      </c>
    </row>
    <row r="1530">
      <c r="A1530" s="1" t="s">
        <v>1533</v>
      </c>
      <c r="B1530" s="1" t="s">
        <v>5</v>
      </c>
      <c r="C1530" s="2">
        <f>IFERROR(__xludf.DUMMYFUNCTION("IFERROR(VLOOKUP(A1530, IMPORTRANGE(""https://docs.google.com/spreadsheets/d/1AVX9GT0dgogEBStecCXMMQ29tWz3gBrtNB8yIromXbY/edit?gid=741673867"", ""out1g!A:B""), 2, FALSE), 0)"),55.0)</f>
        <v>55</v>
      </c>
      <c r="D1530" s="2" t="str">
        <f>IFERROR(__xludf.DUMMYFUNCTION("IFERROR(VLOOKUP(A1530, IMPORTRANGE(""https://docs.google.com/spreadsheets/d/1-3Vjw2Cyy-mry5gbC8ypIR3YVGFfEpyFESummAta6sg/edit"", ""Sheet1!B:D""), 2, FALSE), ""Not Found"")"),"ɔld")</f>
        <v>ɔld</v>
      </c>
      <c r="E1530" s="2" t="str">
        <f>IFERROR(__xludf.DUMMYFUNCTION("IFERROR(VLOOKUP(A1530, IMPORTRANGE(""https://docs.google.com/spreadsheets/d/1-3Vjw2Cyy-mry5gbC8ypIR3YVGFfEpyFESummAta6sg/edit"", ""Sheet1!B:D""), 3, FALSE), ""Not Found"")"),"ɔ l d ")</f>
        <v>ɔ l d </v>
      </c>
    </row>
    <row r="1531">
      <c r="A1531" s="1" t="s">
        <v>1534</v>
      </c>
      <c r="B1531" s="1" t="s">
        <v>5</v>
      </c>
      <c r="C1531" s="2">
        <f>IFERROR(__xludf.DUMMYFUNCTION("IFERROR(VLOOKUP(A1531, IMPORTRANGE(""https://docs.google.com/spreadsheets/d/1AVX9GT0dgogEBStecCXMMQ29tWz3gBrtNB8yIromXbY/edit?gid=741673867"", ""out1g!A:B""), 2, FALSE), 0)"),59.0)</f>
        <v>59</v>
      </c>
      <c r="D1531" s="2" t="str">
        <f>IFERROR(__xludf.DUMMYFUNCTION("IFERROR(VLOOKUP(A1531, IMPORTRANGE(""https://docs.google.com/spreadsheets/d/1-3Vjw2Cyy-mry5gbC8ypIR3YVGFfEpyFESummAta6sg/edit"", ""Sheet1!B:D""), 2, FALSE), ""Not Found"")"),"tɪks")</f>
        <v>tɪks</v>
      </c>
      <c r="E1531" s="2" t="str">
        <f>IFERROR(__xludf.DUMMYFUNCTION("IFERROR(VLOOKUP(A1531, IMPORTRANGE(""https://docs.google.com/spreadsheets/d/1-3Vjw2Cyy-mry5gbC8ypIR3YVGFfEpyFESummAta6sg/edit"", ""Sheet1!B:D""), 3, FALSE), ""Not Found"")"),"t ɪ k s ")</f>
        <v>t ɪ k s </v>
      </c>
    </row>
    <row r="1532">
      <c r="A1532" s="1" t="s">
        <v>1535</v>
      </c>
      <c r="B1532" s="1" t="s">
        <v>5</v>
      </c>
      <c r="C1532" s="2">
        <f>IFERROR(__xludf.DUMMYFUNCTION("IFERROR(VLOOKUP(A1532, IMPORTRANGE(""https://docs.google.com/spreadsheets/d/1AVX9GT0dgogEBStecCXMMQ29tWz3gBrtNB8yIromXbY/edit?gid=741673867"", ""out1g!A:B""), 2, FALSE), 0)"),146.0)</f>
        <v>146</v>
      </c>
      <c r="D1532" s="2" t="str">
        <f>IFERROR(__xludf.DUMMYFUNCTION("IFERROR(VLOOKUP(A1532, IMPORTRANGE(""https://docs.google.com/spreadsheets/d/1-3Vjw2Cyy-mry5gbC8ypIR3YVGFfEpyFESummAta6sg/edit"", ""Sheet1!B:D""), 2, FALSE), ""Not Found"")"),"həgɪŋ")</f>
        <v>həgɪŋ</v>
      </c>
      <c r="E1532" s="2" t="str">
        <f>IFERROR(__xludf.DUMMYFUNCTION("IFERROR(VLOOKUP(A1532, IMPORTRANGE(""https://docs.google.com/spreadsheets/d/1-3Vjw2Cyy-mry5gbC8ypIR3YVGFfEpyFESummAta6sg/edit"", ""Sheet1!B:D""), 3, FALSE), ""Not Found"")"),"h ə g ɪ ŋ ")</f>
        <v>h ə g ɪ ŋ </v>
      </c>
    </row>
    <row r="1533">
      <c r="A1533" s="1" t="s">
        <v>1536</v>
      </c>
      <c r="B1533" s="1" t="s">
        <v>5</v>
      </c>
      <c r="C1533" s="2">
        <f>IFERROR(__xludf.DUMMYFUNCTION("IFERROR(VLOOKUP(A1533, IMPORTRANGE(""https://docs.google.com/spreadsheets/d/1AVX9GT0dgogEBStecCXMMQ29tWz3gBrtNB8yIromXbY/edit?gid=741673867"", ""out1g!A:B""), 2, FALSE), 0)"),628.0)</f>
        <v>628</v>
      </c>
      <c r="D1533" s="2" t="str">
        <f>IFERROR(__xludf.DUMMYFUNCTION("IFERROR(VLOOKUP(A1533, IMPORTRANGE(""https://docs.google.com/spreadsheets/d/1-3Vjw2Cyy-mry5gbC8ypIR3YVGFfEpyFESummAta6sg/edit"", ""Sheet1!B:D""), 2, FALSE), ""Not Found"")"),"hɪtlər")</f>
        <v>hɪtlər</v>
      </c>
      <c r="E1533" s="2" t="str">
        <f>IFERROR(__xludf.DUMMYFUNCTION("IFERROR(VLOOKUP(A1533, IMPORTRANGE(""https://docs.google.com/spreadsheets/d/1-3Vjw2Cyy-mry5gbC8ypIR3YVGFfEpyFESummAta6sg/edit"", ""Sheet1!B:D""), 3, FALSE), ""Not Found"")"),"h ɪ t l ə r ")</f>
        <v>h ɪ t l ə r </v>
      </c>
    </row>
    <row r="1534">
      <c r="A1534" s="1" t="s">
        <v>1537</v>
      </c>
      <c r="B1534" s="1" t="s">
        <v>5</v>
      </c>
      <c r="C1534" s="2">
        <f>IFERROR(__xludf.DUMMYFUNCTION("IFERROR(VLOOKUP(A1534, IMPORTRANGE(""https://docs.google.com/spreadsheets/d/1AVX9GT0dgogEBStecCXMMQ29tWz3gBrtNB8yIromXbY/edit?gid=741673867"", ""out1g!A:B""), 2, FALSE), 0)"),473.0)</f>
        <v>473</v>
      </c>
      <c r="D1534" s="2" t="str">
        <f>IFERROR(__xludf.DUMMYFUNCTION("IFERROR(VLOOKUP(A1534, IMPORTRANGE(""https://docs.google.com/spreadsheets/d/1-3Vjw2Cyy-mry5gbC8ypIR3YVGFfEpyFESummAta6sg/edit"", ""Sheet1!B:D""), 2, FALSE), ""Not Found"")"),"fent")</f>
        <v>fent</v>
      </c>
      <c r="E1534" s="2" t="str">
        <f>IFERROR(__xludf.DUMMYFUNCTION("IFERROR(VLOOKUP(A1534, IMPORTRANGE(""https://docs.google.com/spreadsheets/d/1-3Vjw2Cyy-mry5gbC8ypIR3YVGFfEpyFESummAta6sg/edit"", ""Sheet1!B:D""), 3, FALSE), ""Not Found"")"),"f e n t ")</f>
        <v>f e n t </v>
      </c>
    </row>
    <row r="1535">
      <c r="A1535" s="1" t="s">
        <v>1538</v>
      </c>
      <c r="B1535" s="1" t="s">
        <v>5</v>
      </c>
      <c r="C1535" s="2">
        <f>IFERROR(__xludf.DUMMYFUNCTION("IFERROR(VLOOKUP(A1535, IMPORTRANGE(""https://docs.google.com/spreadsheets/d/1AVX9GT0dgogEBStecCXMMQ29tWz3gBrtNB8yIromXbY/edit?gid=741673867"", ""out1g!A:B""), 2, FALSE), 0)"),89.0)</f>
        <v>89</v>
      </c>
      <c r="D1535" s="2" t="str">
        <f>IFERROR(__xludf.DUMMYFUNCTION("IFERROR(VLOOKUP(A1535, IMPORTRANGE(""https://docs.google.com/spreadsheets/d/1-3Vjw2Cyy-mry5gbC8ypIR3YVGFfEpyFESummAta6sg/edit"", ""Sheet1!B:D""), 2, FALSE), ""Not Found"")"),"bɔsi")</f>
        <v>bɔsi</v>
      </c>
      <c r="E1535" s="2" t="str">
        <f>IFERROR(__xludf.DUMMYFUNCTION("IFERROR(VLOOKUP(A1535, IMPORTRANGE(""https://docs.google.com/spreadsheets/d/1-3Vjw2Cyy-mry5gbC8ypIR3YVGFfEpyFESummAta6sg/edit"", ""Sheet1!B:D""), 3, FALSE), ""Not Found"")"),"b ɔ s i ")</f>
        <v>b ɔ s i </v>
      </c>
    </row>
    <row r="1536">
      <c r="A1536" s="1" t="s">
        <v>1539</v>
      </c>
      <c r="B1536" s="1" t="s">
        <v>5</v>
      </c>
      <c r="C1536" s="2">
        <f>IFERROR(__xludf.DUMMYFUNCTION("IFERROR(VLOOKUP(A1536, IMPORTRANGE(""https://docs.google.com/spreadsheets/d/1AVX9GT0dgogEBStecCXMMQ29tWz3gBrtNB8yIromXbY/edit?gid=741673867"", ""out1g!A:B""), 2, FALSE), 0)"),129.0)</f>
        <v>129</v>
      </c>
      <c r="D1536" s="2" t="str">
        <f>IFERROR(__xludf.DUMMYFUNCTION("IFERROR(VLOOKUP(A1536, IMPORTRANGE(""https://docs.google.com/spreadsheets/d/1-3Vjw2Cyy-mry5gbC8ypIR3YVGFfEpyFESummAta6sg/edit"", ""Sheet1!B:D""), 2, FALSE), ""Not Found"")"),"raɪk")</f>
        <v>raɪk</v>
      </c>
      <c r="E1536" s="2" t="str">
        <f>IFERROR(__xludf.DUMMYFUNCTION("IFERROR(VLOOKUP(A1536, IMPORTRANGE(""https://docs.google.com/spreadsheets/d/1-3Vjw2Cyy-mry5gbC8ypIR3YVGFfEpyFESummAta6sg/edit"", ""Sheet1!B:D""), 3, FALSE), ""Not Found"")"),"r a ɪ k ")</f>
        <v>r a ɪ k </v>
      </c>
    </row>
    <row r="1537">
      <c r="A1537" s="1" t="s">
        <v>1540</v>
      </c>
      <c r="B1537" s="1" t="s">
        <v>5</v>
      </c>
      <c r="C1537" s="2">
        <f>IFERROR(__xludf.DUMMYFUNCTION("IFERROR(VLOOKUP(A1537, IMPORTRANGE(""https://docs.google.com/spreadsheets/d/1AVX9GT0dgogEBStecCXMMQ29tWz3gBrtNB8yIromXbY/edit?gid=741673867"", ""out1g!A:B""), 2, FALSE), 0)"),205.0)</f>
        <v>205</v>
      </c>
      <c r="D1537" s="2" t="str">
        <f>IFERROR(__xludf.DUMMYFUNCTION("IFERROR(VLOOKUP(A1537, IMPORTRANGE(""https://docs.google.com/spreadsheets/d/1-3Vjw2Cyy-mry5gbC8ypIR3YVGFfEpyFESummAta6sg/edit"", ""Sheet1!B:D""), 2, FALSE), ""Not Found"")"),"traʊt")</f>
        <v>traʊt</v>
      </c>
      <c r="E1537" s="2" t="str">
        <f>IFERROR(__xludf.DUMMYFUNCTION("IFERROR(VLOOKUP(A1537, IMPORTRANGE(""https://docs.google.com/spreadsheets/d/1-3Vjw2Cyy-mry5gbC8ypIR3YVGFfEpyFESummAta6sg/edit"", ""Sheet1!B:D""), 3, FALSE), ""Not Found"")"),"t r a ʊ t ")</f>
        <v>t r a ʊ t </v>
      </c>
    </row>
    <row r="1538">
      <c r="A1538" s="1" t="s">
        <v>1541</v>
      </c>
      <c r="B1538" s="1" t="s">
        <v>5</v>
      </c>
      <c r="C1538" s="2">
        <f>IFERROR(__xludf.DUMMYFUNCTION("IFERROR(VLOOKUP(A1538, IMPORTRANGE(""https://docs.google.com/spreadsheets/d/1AVX9GT0dgogEBStecCXMMQ29tWz3gBrtNB8yIromXbY/edit?gid=741673867"", ""out1g!A:B""), 2, FALSE), 0)"),52.0)</f>
        <v>52</v>
      </c>
      <c r="D1538" s="2" t="str">
        <f>IFERROR(__xludf.DUMMYFUNCTION("IFERROR(VLOOKUP(A1538, IMPORTRANGE(""https://docs.google.com/spreadsheets/d/1-3Vjw2Cyy-mry5gbC8ypIR3YVGFfEpyFESummAta6sg/edit"", ""Sheet1!B:D""), 2, FALSE), ""Not Found"")"),"roʊ")</f>
        <v>roʊ</v>
      </c>
      <c r="E1538" s="2" t="str">
        <f>IFERROR(__xludf.DUMMYFUNCTION("IFERROR(VLOOKUP(A1538, IMPORTRANGE(""https://docs.google.com/spreadsheets/d/1-3Vjw2Cyy-mry5gbC8ypIR3YVGFfEpyFESummAta6sg/edit"", ""Sheet1!B:D""), 3, FALSE), ""Not Found"")"),"r o ʊ ")</f>
        <v>r o ʊ </v>
      </c>
    </row>
    <row r="1539">
      <c r="A1539" s="1" t="s">
        <v>1542</v>
      </c>
      <c r="B1539" s="1" t="s">
        <v>5</v>
      </c>
      <c r="C1539" s="2">
        <f>IFERROR(__xludf.DUMMYFUNCTION("IFERROR(VLOOKUP(A1539, IMPORTRANGE(""https://docs.google.com/spreadsheets/d/1AVX9GT0dgogEBStecCXMMQ29tWz3gBrtNB8yIromXbY/edit?gid=741673867"", ""out1g!A:B""), 2, FALSE), 0)"),257.0)</f>
        <v>257</v>
      </c>
      <c r="D1539" s="2" t="str">
        <f>IFERROR(__xludf.DUMMYFUNCTION("IFERROR(VLOOKUP(A1539, IMPORTRANGE(""https://docs.google.com/spreadsheets/d/1-3Vjw2Cyy-mry5gbC8ypIR3YVGFfEpyFESummAta6sg/edit"", ""Sheet1!B:D""), 2, FALSE), ""Not Found"")"),"haʊnd")</f>
        <v>haʊnd</v>
      </c>
      <c r="E1539" s="2" t="str">
        <f>IFERROR(__xludf.DUMMYFUNCTION("IFERROR(VLOOKUP(A1539, IMPORTRANGE(""https://docs.google.com/spreadsheets/d/1-3Vjw2Cyy-mry5gbC8ypIR3YVGFfEpyFESummAta6sg/edit"", ""Sheet1!B:D""), 3, FALSE), ""Not Found"")"),"h a ʊ n d ")</f>
        <v>h a ʊ n d </v>
      </c>
    </row>
    <row r="1540">
      <c r="A1540" s="1" t="s">
        <v>1543</v>
      </c>
      <c r="B1540" s="1" t="s">
        <v>5</v>
      </c>
      <c r="C1540" s="2">
        <f>IFERROR(__xludf.DUMMYFUNCTION("IFERROR(VLOOKUP(A1540, IMPORTRANGE(""https://docs.google.com/spreadsheets/d/1AVX9GT0dgogEBStecCXMMQ29tWz3gBrtNB8yIromXbY/edit?gid=741673867"", ""out1g!A:B""), 2, FALSE), 0)"),120.0)</f>
        <v>120</v>
      </c>
      <c r="D1540" s="2" t="str">
        <f>IFERROR(__xludf.DUMMYFUNCTION("IFERROR(VLOOKUP(A1540, IMPORTRANGE(""https://docs.google.com/spreadsheets/d/1-3Vjw2Cyy-mry5gbC8ypIR3YVGFfEpyFESummAta6sg/edit"", ""Sheet1!B:D""), 2, FALSE), ""Not Found"")"),"læstɪŋ")</f>
        <v>læstɪŋ</v>
      </c>
      <c r="E1540" s="2" t="str">
        <f>IFERROR(__xludf.DUMMYFUNCTION("IFERROR(VLOOKUP(A1540, IMPORTRANGE(""https://docs.google.com/spreadsheets/d/1-3Vjw2Cyy-mry5gbC8ypIR3YVGFfEpyFESummAta6sg/edit"", ""Sheet1!B:D""), 3, FALSE), ""Not Found"")"),"l æ s t ɪ ŋ ")</f>
        <v>l æ s t ɪ ŋ </v>
      </c>
    </row>
    <row r="1541">
      <c r="A1541" s="1" t="s">
        <v>1544</v>
      </c>
      <c r="B1541" s="1" t="s">
        <v>5</v>
      </c>
      <c r="C1541" s="2">
        <f>IFERROR(__xludf.DUMMYFUNCTION("IFERROR(VLOOKUP(A1541, IMPORTRANGE(""https://docs.google.com/spreadsheets/d/1AVX9GT0dgogEBStecCXMMQ29tWz3gBrtNB8yIromXbY/edit?gid=741673867"", ""out1g!A:B""), 2, FALSE), 0)"),956.0)</f>
        <v>956</v>
      </c>
      <c r="D1541" s="2" t="str">
        <f>IFERROR(__xludf.DUMMYFUNCTION("IFERROR(VLOOKUP(A1541, IMPORTRANGE(""https://docs.google.com/spreadsheets/d/1-3Vjw2Cyy-mry5gbC8ypIR3YVGFfEpyFESummAta6sg/edit"", ""Sheet1!B:D""), 2, FALSE), ""Not Found"")"),"mɪki")</f>
        <v>mɪki</v>
      </c>
      <c r="E1541" s="2" t="str">
        <f>IFERROR(__xludf.DUMMYFUNCTION("IFERROR(VLOOKUP(A1541, IMPORTRANGE(""https://docs.google.com/spreadsheets/d/1-3Vjw2Cyy-mry5gbC8ypIR3YVGFfEpyFESummAta6sg/edit"", ""Sheet1!B:D""), 3, FALSE), ""Not Found"")"),"m ɪ k i ")</f>
        <v>m ɪ k i </v>
      </c>
    </row>
    <row r="1542">
      <c r="A1542" s="1" t="s">
        <v>1545</v>
      </c>
      <c r="B1542" s="1" t="s">
        <v>5</v>
      </c>
      <c r="C1542" s="2">
        <f>IFERROR(__xludf.DUMMYFUNCTION("IFERROR(VLOOKUP(A1542, IMPORTRANGE(""https://docs.google.com/spreadsheets/d/1AVX9GT0dgogEBStecCXMMQ29tWz3gBrtNB8yIromXbY/edit?gid=741673867"", ""out1g!A:B""), 2, FALSE), 0)"),164072.0)</f>
        <v>164072</v>
      </c>
      <c r="D1542" s="2" t="str">
        <f>IFERROR(__xludf.DUMMYFUNCTION("IFERROR(VLOOKUP(A1542, IMPORTRANGE(""https://docs.google.com/spreadsheets/d/1-3Vjw2Cyy-mry5gbC8ypIR3YVGFfEpyFESummAta6sg/edit"", ""Sheet1!B:D""), 2, FALSE), ""Not Found"")"),"æt")</f>
        <v>æt</v>
      </c>
      <c r="E1542" s="2" t="str">
        <f>IFERROR(__xludf.DUMMYFUNCTION("IFERROR(VLOOKUP(A1542, IMPORTRANGE(""https://docs.google.com/spreadsheets/d/1-3Vjw2Cyy-mry5gbC8ypIR3YVGFfEpyFESummAta6sg/edit"", ""Sheet1!B:D""), 3, FALSE), ""Not Found"")"),"æ t ")</f>
        <v>æ t </v>
      </c>
    </row>
    <row r="1543">
      <c r="A1543" s="1" t="s">
        <v>1546</v>
      </c>
      <c r="B1543" s="1" t="s">
        <v>5</v>
      </c>
      <c r="C1543" s="2">
        <f>IFERROR(__xludf.DUMMYFUNCTION("IFERROR(VLOOKUP(A1543, IMPORTRANGE(""https://docs.google.com/spreadsheets/d/1AVX9GT0dgogEBStecCXMMQ29tWz3gBrtNB8yIromXbY/edit?gid=741673867"", ""out1g!A:B""), 2, FALSE), 0)"),100.0)</f>
        <v>100</v>
      </c>
      <c r="D1543" s="2" t="str">
        <f>IFERROR(__xludf.DUMMYFUNCTION("IFERROR(VLOOKUP(A1543, IMPORTRANGE(""https://docs.google.com/spreadsheets/d/1-3Vjw2Cyy-mry5gbC8ypIR3YVGFfEpyFESummAta6sg/edit"", ""Sheet1!B:D""), 2, FALSE), ""Not Found"")"),"flɑs")</f>
        <v>flɑs</v>
      </c>
      <c r="E1543" s="2" t="str">
        <f>IFERROR(__xludf.DUMMYFUNCTION("IFERROR(VLOOKUP(A1543, IMPORTRANGE(""https://docs.google.com/spreadsheets/d/1-3Vjw2Cyy-mry5gbC8ypIR3YVGFfEpyFESummAta6sg/edit"", ""Sheet1!B:D""), 3, FALSE), ""Not Found"")"),"f l ɑ s ")</f>
        <v>f l ɑ s </v>
      </c>
    </row>
    <row r="1544">
      <c r="A1544" s="1" t="s">
        <v>1547</v>
      </c>
      <c r="B1544" s="1" t="s">
        <v>5</v>
      </c>
      <c r="C1544" s="2">
        <f>IFERROR(__xludf.DUMMYFUNCTION("IFERROR(VLOOKUP(A1544, IMPORTRANGE(""https://docs.google.com/spreadsheets/d/1AVX9GT0dgogEBStecCXMMQ29tWz3gBrtNB8yIromXbY/edit?gid=741673867"", ""out1g!A:B""), 2, FALSE), 0)"),671.0)</f>
        <v>671</v>
      </c>
      <c r="D1544" s="2" t="str">
        <f>IFERROR(__xludf.DUMMYFUNCTION("IFERROR(VLOOKUP(A1544, IMPORTRANGE(""https://docs.google.com/spreadsheets/d/1-3Vjw2Cyy-mry5gbC8ypIR3YVGFfEpyFESummAta6sg/edit"", ""Sheet1!B:D""), 2, FALSE), ""Not Found"")"),"saɪər")</f>
        <v>saɪər</v>
      </c>
      <c r="E1544" s="2" t="str">
        <f>IFERROR(__xludf.DUMMYFUNCTION("IFERROR(VLOOKUP(A1544, IMPORTRANGE(""https://docs.google.com/spreadsheets/d/1-3Vjw2Cyy-mry5gbC8ypIR3YVGFfEpyFESummAta6sg/edit"", ""Sheet1!B:D""), 3, FALSE), ""Not Found"")"),"s a ɪ ə r ")</f>
        <v>s a ɪ ə r </v>
      </c>
    </row>
    <row r="1545">
      <c r="A1545" s="1" t="s">
        <v>1548</v>
      </c>
      <c r="B1545" s="1" t="s">
        <v>5</v>
      </c>
      <c r="C1545" s="2">
        <f>IFERROR(__xludf.DUMMYFUNCTION("IFERROR(VLOOKUP(A1545, IMPORTRANGE(""https://docs.google.com/spreadsheets/d/1AVX9GT0dgogEBStecCXMMQ29tWz3gBrtNB8yIromXbY/edit?gid=741673867"", ""out1g!A:B""), 2, FALSE), 0)"),72.0)</f>
        <v>72</v>
      </c>
      <c r="D1545" s="2" t="str">
        <f>IFERROR(__xludf.DUMMYFUNCTION("IFERROR(VLOOKUP(A1545, IMPORTRANGE(""https://docs.google.com/spreadsheets/d/1-3Vjw2Cyy-mry5gbC8ypIR3YVGFfEpyFESummAta6sg/edit"", ""Sheet1!B:D""), 2, FALSE), ""Not Found"")"),"doʊnət")</f>
        <v>doʊnət</v>
      </c>
      <c r="E1545" s="2" t="str">
        <f>IFERROR(__xludf.DUMMYFUNCTION("IFERROR(VLOOKUP(A1545, IMPORTRANGE(""https://docs.google.com/spreadsheets/d/1-3Vjw2Cyy-mry5gbC8ypIR3YVGFfEpyFESummAta6sg/edit"", ""Sheet1!B:D""), 3, FALSE), ""Not Found"")"),"d o ʊ n ə t ")</f>
        <v>d o ʊ n ə t </v>
      </c>
    </row>
    <row r="1546">
      <c r="A1546" s="1" t="s">
        <v>1549</v>
      </c>
      <c r="B1546" s="1" t="s">
        <v>5</v>
      </c>
      <c r="C1546" s="2">
        <f>IFERROR(__xludf.DUMMYFUNCTION("IFERROR(VLOOKUP(A1546, IMPORTRANGE(""https://docs.google.com/spreadsheets/d/1AVX9GT0dgogEBStecCXMMQ29tWz3gBrtNB8yIromXbY/edit?gid=741673867"", ""out1g!A:B""), 2, FALSE), 0)"),2449.0)</f>
        <v>2449</v>
      </c>
      <c r="D1546" s="2" t="str">
        <f>IFERROR(__xludf.DUMMYFUNCTION("IFERROR(VLOOKUP(A1546, IMPORTRANGE(""https://docs.google.com/spreadsheets/d/1-3Vjw2Cyy-mry5gbC8ypIR3YVGFfEpyFESummAta6sg/edit"", ""Sheet1!B:D""), 2, FALSE), ""Not Found"")"),"li")</f>
        <v>li</v>
      </c>
      <c r="E1546" s="2" t="str">
        <f>IFERROR(__xludf.DUMMYFUNCTION("IFERROR(VLOOKUP(A1546, IMPORTRANGE(""https://docs.google.com/spreadsheets/d/1-3Vjw2Cyy-mry5gbC8ypIR3YVGFfEpyFESummAta6sg/edit"", ""Sheet1!B:D""), 3, FALSE), ""Not Found"")"),"l i ")</f>
        <v>l i </v>
      </c>
    </row>
    <row r="1547">
      <c r="A1547" s="1" t="s">
        <v>1550</v>
      </c>
      <c r="B1547" s="1" t="s">
        <v>5</v>
      </c>
      <c r="C1547" s="2">
        <f>IFERROR(__xludf.DUMMYFUNCTION("IFERROR(VLOOKUP(A1547, IMPORTRANGE(""https://docs.google.com/spreadsheets/d/1AVX9GT0dgogEBStecCXMMQ29tWz3gBrtNB8yIromXbY/edit?gid=741673867"", ""out1g!A:B""), 2, FALSE), 0)"),457.0)</f>
        <v>457</v>
      </c>
      <c r="D1547" s="2" t="str">
        <f>IFERROR(__xludf.DUMMYFUNCTION("IFERROR(VLOOKUP(A1547, IMPORTRANGE(""https://docs.google.com/spreadsheets/d/1-3Vjw2Cyy-mry5gbC8ypIR3YVGFfEpyFESummAta6sg/edit"", ""Sheet1!B:D""), 2, FALSE), ""Not Found"")"),"laɪtər")</f>
        <v>laɪtər</v>
      </c>
      <c r="E1547" s="2" t="str">
        <f>IFERROR(__xludf.DUMMYFUNCTION("IFERROR(VLOOKUP(A1547, IMPORTRANGE(""https://docs.google.com/spreadsheets/d/1-3Vjw2Cyy-mry5gbC8ypIR3YVGFfEpyFESummAta6sg/edit"", ""Sheet1!B:D""), 3, FALSE), ""Not Found"")"),"l a ɪ t ə r ")</f>
        <v>l a ɪ t ə r </v>
      </c>
    </row>
    <row r="1548">
      <c r="A1548" s="1" t="s">
        <v>1551</v>
      </c>
      <c r="B1548" s="1" t="s">
        <v>5</v>
      </c>
      <c r="C1548" s="2">
        <f>IFERROR(__xludf.DUMMYFUNCTION("IFERROR(VLOOKUP(A1548, IMPORTRANGE(""https://docs.google.com/spreadsheets/d/1AVX9GT0dgogEBStecCXMMQ29tWz3gBrtNB8yIromXbY/edit?gid=741673867"", ""out1g!A:B""), 2, FALSE), 0)"),896.0)</f>
        <v>896</v>
      </c>
      <c r="D1548" s="2" t="str">
        <f>IFERROR(__xludf.DUMMYFUNCTION("IFERROR(VLOOKUP(A1548, IMPORTRANGE(""https://docs.google.com/spreadsheets/d/1-3Vjw2Cyy-mry5gbC8ypIR3YVGFfEpyFESummAta6sg/edit"", ""Sheet1!B:D""), 2, FALSE), ""Not Found"")"),"wɔlt")</f>
        <v>wɔlt</v>
      </c>
      <c r="E1548" s="2" t="str">
        <f>IFERROR(__xludf.DUMMYFUNCTION("IFERROR(VLOOKUP(A1548, IMPORTRANGE(""https://docs.google.com/spreadsheets/d/1-3Vjw2Cyy-mry5gbC8ypIR3YVGFfEpyFESummAta6sg/edit"", ""Sheet1!B:D""), 3, FALSE), ""Not Found"")"),"w ɔ l t ")</f>
        <v>w ɔ l t </v>
      </c>
    </row>
    <row r="1549">
      <c r="A1549" s="1" t="s">
        <v>1552</v>
      </c>
      <c r="B1549" s="1" t="s">
        <v>5</v>
      </c>
      <c r="C1549" s="2">
        <f>IFERROR(__xludf.DUMMYFUNCTION("IFERROR(VLOOKUP(A1549, IMPORTRANGE(""https://docs.google.com/spreadsheets/d/1AVX9GT0dgogEBStecCXMMQ29tWz3gBrtNB8yIromXbY/edit?gid=741673867"", ""out1g!A:B""), 2, FALSE), 0)"),1380.0)</f>
        <v>1380</v>
      </c>
      <c r="D1549" s="2" t="str">
        <f>IFERROR(__xludf.DUMMYFUNCTION("IFERROR(VLOOKUP(A1549, IMPORTRANGE(""https://docs.google.com/spreadsheets/d/1-3Vjw2Cyy-mry5gbC8ypIR3YVGFfEpyFESummAta6sg/edit"", ""Sheet1!B:D""), 2, FALSE), ""Not Found"")"),"wil")</f>
        <v>wil</v>
      </c>
      <c r="E1549" s="2" t="str">
        <f>IFERROR(__xludf.DUMMYFUNCTION("IFERROR(VLOOKUP(A1549, IMPORTRANGE(""https://docs.google.com/spreadsheets/d/1-3Vjw2Cyy-mry5gbC8ypIR3YVGFfEpyFESummAta6sg/edit"", ""Sheet1!B:D""), 3, FALSE), ""Not Found"")"),"w i l ")</f>
        <v>w i l </v>
      </c>
    </row>
    <row r="1550">
      <c r="A1550" s="1" t="s">
        <v>1553</v>
      </c>
      <c r="B1550" s="1" t="s">
        <v>5</v>
      </c>
      <c r="C1550" s="2">
        <f>IFERROR(__xludf.DUMMYFUNCTION("IFERROR(VLOOKUP(A1550, IMPORTRANGE(""https://docs.google.com/spreadsheets/d/1AVX9GT0dgogEBStecCXMMQ29tWz3gBrtNB8yIromXbY/edit?gid=741673867"", ""out1g!A:B""), 2, FALSE), 0)"),1106.0)</f>
        <v>1106</v>
      </c>
      <c r="D1550" s="2" t="str">
        <f>IFERROR(__xludf.DUMMYFUNCTION("IFERROR(VLOOKUP(A1550, IMPORTRANGE(""https://docs.google.com/spreadsheets/d/1-3Vjw2Cyy-mry5gbC8ypIR3YVGFfEpyFESummAta6sg/edit"", ""Sheet1!B:D""), 2, FALSE), ""Not Found"")"),"kɔŋg")</f>
        <v>kɔŋg</v>
      </c>
      <c r="E1550" s="2" t="str">
        <f>IFERROR(__xludf.DUMMYFUNCTION("IFERROR(VLOOKUP(A1550, IMPORTRANGE(""https://docs.google.com/spreadsheets/d/1-3Vjw2Cyy-mry5gbC8ypIR3YVGFfEpyFESummAta6sg/edit"", ""Sheet1!B:D""), 3, FALSE), ""Not Found"")"),"k ɔ ŋ g ")</f>
        <v>k ɔ ŋ g </v>
      </c>
    </row>
    <row r="1551">
      <c r="A1551" s="1" t="s">
        <v>1554</v>
      </c>
      <c r="B1551" s="1" t="s">
        <v>5</v>
      </c>
      <c r="C1551" s="2">
        <f>IFERROR(__xludf.DUMMYFUNCTION("IFERROR(VLOOKUP(A1551, IMPORTRANGE(""https://docs.google.com/spreadsheets/d/1AVX9GT0dgogEBStecCXMMQ29tWz3gBrtNB8yIromXbY/edit?gid=741673867"", ""out1g!A:B""), 2, FALSE), 0)"),48.0)</f>
        <v>48</v>
      </c>
      <c r="D1551" s="2" t="str">
        <f>IFERROR(__xludf.DUMMYFUNCTION("IFERROR(VLOOKUP(A1551, IMPORTRANGE(""https://docs.google.com/spreadsheets/d/1-3Vjw2Cyy-mry5gbC8ypIR3YVGFfEpyFESummAta6sg/edit"", ""Sheet1!B:D""), 2, FALSE), ""Not Found"")"),"drimərz")</f>
        <v>drimərz</v>
      </c>
      <c r="E1551" s="2" t="str">
        <f>IFERROR(__xludf.DUMMYFUNCTION("IFERROR(VLOOKUP(A1551, IMPORTRANGE(""https://docs.google.com/spreadsheets/d/1-3Vjw2Cyy-mry5gbC8ypIR3YVGFfEpyFESummAta6sg/edit"", ""Sheet1!B:D""), 3, FALSE), ""Not Found"")"),"d r i m ə r z ")</f>
        <v>d r i m ə r z </v>
      </c>
    </row>
    <row r="1552">
      <c r="A1552" s="1" t="s">
        <v>1555</v>
      </c>
      <c r="B1552" s="1" t="s">
        <v>5</v>
      </c>
      <c r="C1552" s="2">
        <f>IFERROR(__xludf.DUMMYFUNCTION("IFERROR(VLOOKUP(A1552, IMPORTRANGE(""https://docs.google.com/spreadsheets/d/1AVX9GT0dgogEBStecCXMMQ29tWz3gBrtNB8yIromXbY/edit?gid=741673867"", ""out1g!A:B""), 2, FALSE), 0)"),170.0)</f>
        <v>170</v>
      </c>
      <c r="D1552" s="2" t="str">
        <f>IFERROR(__xludf.DUMMYFUNCTION("IFERROR(VLOOKUP(A1552, IMPORTRANGE(""https://docs.google.com/spreadsheets/d/1-3Vjw2Cyy-mry5gbC8ypIR3YVGFfEpyFESummAta6sg/edit"", ""Sheet1!B:D""), 2, FALSE), ""Not Found"")"),"roʊvər")</f>
        <v>roʊvər</v>
      </c>
      <c r="E1552" s="2" t="str">
        <f>IFERROR(__xludf.DUMMYFUNCTION("IFERROR(VLOOKUP(A1552, IMPORTRANGE(""https://docs.google.com/spreadsheets/d/1-3Vjw2Cyy-mry5gbC8ypIR3YVGFfEpyFESummAta6sg/edit"", ""Sheet1!B:D""), 3, FALSE), ""Not Found"")"),"r o ʊ v ə r ")</f>
        <v>r o ʊ v ə r </v>
      </c>
    </row>
    <row r="1553">
      <c r="A1553" s="1" t="s">
        <v>1556</v>
      </c>
      <c r="B1553" s="1" t="s">
        <v>5</v>
      </c>
      <c r="C1553" s="2">
        <f>IFERROR(__xludf.DUMMYFUNCTION("IFERROR(VLOOKUP(A1553, IMPORTRANGE(""https://docs.google.com/spreadsheets/d/1AVX9GT0dgogEBStecCXMMQ29tWz3gBrtNB8yIromXbY/edit?gid=741673867"", ""out1g!A:B""), 2, FALSE), 0)"),217.0)</f>
        <v>217</v>
      </c>
      <c r="D1553" s="2" t="str">
        <f>IFERROR(__xludf.DUMMYFUNCTION("IFERROR(VLOOKUP(A1553, IMPORTRANGE(""https://docs.google.com/spreadsheets/d/1-3Vjw2Cyy-mry5gbC8ypIR3YVGFfEpyFESummAta6sg/edit"", ""Sheet1!B:D""), 2, FALSE), ""Not Found"")"),"ʧɛŋ")</f>
        <v>ʧɛŋ</v>
      </c>
      <c r="E1553" s="2" t="str">
        <f>IFERROR(__xludf.DUMMYFUNCTION("IFERROR(VLOOKUP(A1553, IMPORTRANGE(""https://docs.google.com/spreadsheets/d/1-3Vjw2Cyy-mry5gbC8ypIR3YVGFfEpyFESummAta6sg/edit"", ""Sheet1!B:D""), 3, FALSE), ""Not Found"")"),"ʧ ɛ ŋ ")</f>
        <v>ʧ ɛ ŋ </v>
      </c>
    </row>
    <row r="1554">
      <c r="A1554" s="1" t="s">
        <v>1557</v>
      </c>
      <c r="B1554" s="1" t="s">
        <v>5</v>
      </c>
      <c r="C1554" s="2">
        <f>IFERROR(__xludf.DUMMYFUNCTION("IFERROR(VLOOKUP(A1554, IMPORTRANGE(""https://docs.google.com/spreadsheets/d/1AVX9GT0dgogEBStecCXMMQ29tWz3gBrtNB8yIromXbY/edit?gid=741673867"", ""out1g!A:B""), 2, FALSE), 0)"),198.0)</f>
        <v>198</v>
      </c>
      <c r="D1554" s="2" t="str">
        <f>IFERROR(__xludf.DUMMYFUNCTION("IFERROR(VLOOKUP(A1554, IMPORTRANGE(""https://docs.google.com/spreadsheets/d/1-3Vjw2Cyy-mry5gbC8ypIR3YVGFfEpyFESummAta6sg/edit"", ""Sheet1!B:D""), 2, FALSE), ""Not Found"")"),"fɪlmɪŋ")</f>
        <v>fɪlmɪŋ</v>
      </c>
      <c r="E1554" s="2" t="str">
        <f>IFERROR(__xludf.DUMMYFUNCTION("IFERROR(VLOOKUP(A1554, IMPORTRANGE(""https://docs.google.com/spreadsheets/d/1-3Vjw2Cyy-mry5gbC8ypIR3YVGFfEpyFESummAta6sg/edit"", ""Sheet1!B:D""), 3, FALSE), ""Not Found"")"),"f ɪ l m ɪ ŋ ")</f>
        <v>f ɪ l m ɪ ŋ </v>
      </c>
    </row>
    <row r="1555">
      <c r="A1555" s="1" t="s">
        <v>1558</v>
      </c>
      <c r="B1555" s="1" t="s">
        <v>5</v>
      </c>
      <c r="C1555" s="2">
        <f>IFERROR(__xludf.DUMMYFUNCTION("IFERROR(VLOOKUP(A1555, IMPORTRANGE(""https://docs.google.com/spreadsheets/d/1AVX9GT0dgogEBStecCXMMQ29tWz3gBrtNB8yIromXbY/edit?gid=741673867"", ""out1g!A:B""), 2, FALSE), 0)"),869.0)</f>
        <v>869</v>
      </c>
      <c r="D1555" s="2" t="str">
        <f>IFERROR(__xludf.DUMMYFUNCTION("IFERROR(VLOOKUP(A1555, IMPORTRANGE(""https://docs.google.com/spreadsheets/d/1-3Vjw2Cyy-mry5gbC8ypIR3YVGFfEpyFESummAta6sg/edit"", ""Sheet1!B:D""), 2, FALSE), ""Not Found"")"),"tərtəl")</f>
        <v>tərtəl</v>
      </c>
      <c r="E1555" s="2" t="str">
        <f>IFERROR(__xludf.DUMMYFUNCTION("IFERROR(VLOOKUP(A1555, IMPORTRANGE(""https://docs.google.com/spreadsheets/d/1-3Vjw2Cyy-mry5gbC8ypIR3YVGFfEpyFESummAta6sg/edit"", ""Sheet1!B:D""), 3, FALSE), ""Not Found"")"),"t ə r t ə l ")</f>
        <v>t ə r t ə l </v>
      </c>
    </row>
    <row r="1556">
      <c r="A1556" s="1" t="s">
        <v>1559</v>
      </c>
      <c r="B1556" s="1" t="s">
        <v>5</v>
      </c>
      <c r="C1556" s="2">
        <f>IFERROR(__xludf.DUMMYFUNCTION("IFERROR(VLOOKUP(A1556, IMPORTRANGE(""https://docs.google.com/spreadsheets/d/1AVX9GT0dgogEBStecCXMMQ29tWz3gBrtNB8yIromXbY/edit?gid=741673867"", ""out1g!A:B""), 2, FALSE), 0)"),1125.0)</f>
        <v>1125</v>
      </c>
      <c r="D1556" s="2" t="str">
        <f>IFERROR(__xludf.DUMMYFUNCTION("IFERROR(VLOOKUP(A1556, IMPORTRANGE(""https://docs.google.com/spreadsheets/d/1-3Vjw2Cyy-mry5gbC8ypIR3YVGFfEpyFESummAta6sg/edit"", ""Sheet1!B:D""), 2, FALSE), ""Not Found"")"),"rud")</f>
        <v>rud</v>
      </c>
      <c r="E1556" s="2" t="str">
        <f>IFERROR(__xludf.DUMMYFUNCTION("IFERROR(VLOOKUP(A1556, IMPORTRANGE(""https://docs.google.com/spreadsheets/d/1-3Vjw2Cyy-mry5gbC8ypIR3YVGFfEpyFESummAta6sg/edit"", ""Sheet1!B:D""), 3, FALSE), ""Not Found"")"),"r u d ")</f>
        <v>r u d </v>
      </c>
    </row>
    <row r="1557">
      <c r="A1557" s="1" t="s">
        <v>1560</v>
      </c>
      <c r="B1557" s="1" t="s">
        <v>5</v>
      </c>
      <c r="C1557" s="2">
        <f>IFERROR(__xludf.DUMMYFUNCTION("IFERROR(VLOOKUP(A1557, IMPORTRANGE(""https://docs.google.com/spreadsheets/d/1AVX9GT0dgogEBStecCXMMQ29tWz3gBrtNB8yIromXbY/edit?gid=741673867"", ""out1g!A:B""), 2, FALSE), 0)"),199.0)</f>
        <v>199</v>
      </c>
      <c r="D1557" s="2" t="str">
        <f>IFERROR(__xludf.DUMMYFUNCTION("IFERROR(VLOOKUP(A1557, IMPORTRANGE(""https://docs.google.com/spreadsheets/d/1-3Vjw2Cyy-mry5gbC8ypIR3YVGFfEpyFESummAta6sg/edit"", ""Sheet1!B:D""), 2, FALSE), ""Not Found"")"),"ɑrk")</f>
        <v>ɑrk</v>
      </c>
      <c r="E1557" s="2" t="str">
        <f>IFERROR(__xludf.DUMMYFUNCTION("IFERROR(VLOOKUP(A1557, IMPORTRANGE(""https://docs.google.com/spreadsheets/d/1-3Vjw2Cyy-mry5gbC8ypIR3YVGFfEpyFESummAta6sg/edit"", ""Sheet1!B:D""), 3, FALSE), ""Not Found"")"),"ɑ r k ")</f>
        <v>ɑ r k </v>
      </c>
    </row>
    <row r="1558">
      <c r="A1558" s="1" t="s">
        <v>1561</v>
      </c>
      <c r="B1558" s="1" t="s">
        <v>5</v>
      </c>
      <c r="C1558" s="2">
        <f>IFERROR(__xludf.DUMMYFUNCTION("IFERROR(VLOOKUP(A1558, IMPORTRANGE(""https://docs.google.com/spreadsheets/d/1AVX9GT0dgogEBStecCXMMQ29tWz3gBrtNB8yIromXbY/edit?gid=741673867"", ""out1g!A:B""), 2, FALSE), 0)"),2667.0)</f>
        <v>2667</v>
      </c>
      <c r="D1558" s="2" t="str">
        <f>IFERROR(__xludf.DUMMYFUNCTION("IFERROR(VLOOKUP(A1558, IMPORTRANGE(""https://docs.google.com/spreadsheets/d/1-3Vjw2Cyy-mry5gbC8ypIR3YVGFfEpyFESummAta6sg/edit"", ""Sheet1!B:D""), 2, FALSE), ""Not Found"")"),"læfɪŋ")</f>
        <v>læfɪŋ</v>
      </c>
      <c r="E1558" s="2" t="str">
        <f>IFERROR(__xludf.DUMMYFUNCTION("IFERROR(VLOOKUP(A1558, IMPORTRANGE(""https://docs.google.com/spreadsheets/d/1-3Vjw2Cyy-mry5gbC8ypIR3YVGFfEpyFESummAta6sg/edit"", ""Sheet1!B:D""), 3, FALSE), ""Not Found"")"),"l æ f ɪ ŋ ")</f>
        <v>l æ f ɪ ŋ </v>
      </c>
    </row>
    <row r="1559">
      <c r="A1559" s="1" t="s">
        <v>1562</v>
      </c>
      <c r="B1559" s="1" t="s">
        <v>5</v>
      </c>
      <c r="C1559" s="2">
        <f>IFERROR(__xludf.DUMMYFUNCTION("IFERROR(VLOOKUP(A1559, IMPORTRANGE(""https://docs.google.com/spreadsheets/d/1AVX9GT0dgogEBStecCXMMQ29tWz3gBrtNB8yIromXbY/edit?gid=741673867"", ""out1g!A:B""), 2, FALSE), 0)"),2871.0)</f>
        <v>2871</v>
      </c>
      <c r="D1559" s="2" t="str">
        <f>IFERROR(__xludf.DUMMYFUNCTION("IFERROR(VLOOKUP(A1559, IMPORTRANGE(""https://docs.google.com/spreadsheets/d/1-3Vjw2Cyy-mry5gbC8ypIR3YVGFfEpyFESummAta6sg/edit"", ""Sheet1!B:D""), 2, FALSE), ""Not Found"")"),"ʃutɪŋ")</f>
        <v>ʃutɪŋ</v>
      </c>
      <c r="E1559" s="2" t="str">
        <f>IFERROR(__xludf.DUMMYFUNCTION("IFERROR(VLOOKUP(A1559, IMPORTRANGE(""https://docs.google.com/spreadsheets/d/1-3Vjw2Cyy-mry5gbC8ypIR3YVGFfEpyFESummAta6sg/edit"", ""Sheet1!B:D""), 3, FALSE), ""Not Found"")"),"ʃ u t ɪ ŋ ")</f>
        <v>ʃ u t ɪ ŋ </v>
      </c>
    </row>
    <row r="1560">
      <c r="A1560" s="1" t="s">
        <v>1563</v>
      </c>
      <c r="B1560" s="1" t="s">
        <v>5</v>
      </c>
      <c r="C1560" s="2">
        <f>IFERROR(__xludf.DUMMYFUNCTION("IFERROR(VLOOKUP(A1560, IMPORTRANGE(""https://docs.google.com/spreadsheets/d/1AVX9GT0dgogEBStecCXMMQ29tWz3gBrtNB8yIromXbY/edit?gid=741673867"", ""out1g!A:B""), 2, FALSE), 0)"),925.0)</f>
        <v>925</v>
      </c>
      <c r="D1560" s="2" t="str">
        <f>IFERROR(__xludf.DUMMYFUNCTION("IFERROR(VLOOKUP(A1560, IMPORTRANGE(""https://docs.google.com/spreadsheets/d/1-3Vjw2Cyy-mry5gbC8ypIR3YVGFfEpyFESummAta6sg/edit"", ""Sheet1!B:D""), 2, FALSE), ""Not Found"")"),"hɛk")</f>
        <v>hɛk</v>
      </c>
      <c r="E1560" s="2" t="str">
        <f>IFERROR(__xludf.DUMMYFUNCTION("IFERROR(VLOOKUP(A1560, IMPORTRANGE(""https://docs.google.com/spreadsheets/d/1-3Vjw2Cyy-mry5gbC8ypIR3YVGFfEpyFESummAta6sg/edit"", ""Sheet1!B:D""), 3, FALSE), ""Not Found"")"),"h ɛ k ")</f>
        <v>h ɛ k </v>
      </c>
    </row>
    <row r="1561">
      <c r="A1561" s="1" t="s">
        <v>1564</v>
      </c>
      <c r="B1561" s="1" t="s">
        <v>5</v>
      </c>
      <c r="C1561" s="2">
        <f>IFERROR(__xludf.DUMMYFUNCTION("IFERROR(VLOOKUP(A1561, IMPORTRANGE(""https://docs.google.com/spreadsheets/d/1AVX9GT0dgogEBStecCXMMQ29tWz3gBrtNB8yIromXbY/edit?gid=741673867"", ""out1g!A:B""), 2, FALSE), 0)"),722.0)</f>
        <v>722</v>
      </c>
      <c r="D1561" s="2" t="str">
        <f>IFERROR(__xludf.DUMMYFUNCTION("IFERROR(VLOOKUP(A1561, IMPORTRANGE(""https://docs.google.com/spreadsheets/d/1-3Vjw2Cyy-mry5gbC8ypIR3YVGFfEpyFESummAta6sg/edit"", ""Sheet1!B:D""), 2, FALSE), ""Not Found"")"),"proʊ")</f>
        <v>proʊ</v>
      </c>
      <c r="E1561" s="2" t="str">
        <f>IFERROR(__xludf.DUMMYFUNCTION("IFERROR(VLOOKUP(A1561, IMPORTRANGE(""https://docs.google.com/spreadsheets/d/1-3Vjw2Cyy-mry5gbC8ypIR3YVGFfEpyFESummAta6sg/edit"", ""Sheet1!B:D""), 3, FALSE), ""Not Found"")"),"p r o ʊ ")</f>
        <v>p r o ʊ </v>
      </c>
    </row>
    <row r="1562">
      <c r="A1562" s="1" t="s">
        <v>1565</v>
      </c>
      <c r="B1562" s="1" t="s">
        <v>5</v>
      </c>
      <c r="C1562" s="2">
        <f>IFERROR(__xludf.DUMMYFUNCTION("IFERROR(VLOOKUP(A1562, IMPORTRANGE(""https://docs.google.com/spreadsheets/d/1AVX9GT0dgogEBStecCXMMQ29tWz3gBrtNB8yIromXbY/edit?gid=741673867"", ""out1g!A:B""), 2, FALSE), 0)"),105.0)</f>
        <v>105</v>
      </c>
      <c r="D1562" s="2" t="str">
        <f>IFERROR(__xludf.DUMMYFUNCTION("IFERROR(VLOOKUP(A1562, IMPORTRANGE(""https://docs.google.com/spreadsheets/d/1-3Vjw2Cyy-mry5gbC8ypIR3YVGFfEpyFESummAta6sg/edit"", ""Sheet1!B:D""), 2, FALSE), ""Not Found"")"),"bɪgi")</f>
        <v>bɪgi</v>
      </c>
      <c r="E1562" s="2" t="str">
        <f>IFERROR(__xludf.DUMMYFUNCTION("IFERROR(VLOOKUP(A1562, IMPORTRANGE(""https://docs.google.com/spreadsheets/d/1-3Vjw2Cyy-mry5gbC8ypIR3YVGFfEpyFESummAta6sg/edit"", ""Sheet1!B:D""), 3, FALSE), ""Not Found"")"),"b ɪ g i ")</f>
        <v>b ɪ g i </v>
      </c>
    </row>
    <row r="1563">
      <c r="A1563" s="1" t="s">
        <v>1566</v>
      </c>
      <c r="B1563" s="1" t="s">
        <v>5</v>
      </c>
      <c r="C1563" s="2">
        <f>IFERROR(__xludf.DUMMYFUNCTION("IFERROR(VLOOKUP(A1563, IMPORTRANGE(""https://docs.google.com/spreadsheets/d/1AVX9GT0dgogEBStecCXMMQ29tWz3gBrtNB8yIromXbY/edit?gid=741673867"", ""out1g!A:B""), 2, FALSE), 0)"),58.0)</f>
        <v>58</v>
      </c>
      <c r="D1563" s="2" t="str">
        <f>IFERROR(__xludf.DUMMYFUNCTION("IFERROR(VLOOKUP(A1563, IMPORTRANGE(""https://docs.google.com/spreadsheets/d/1-3Vjw2Cyy-mry5gbC8ypIR3YVGFfEpyFESummAta6sg/edit"", ""Sheet1!B:D""), 2, FALSE), ""Not Found"")"),"bɛs")</f>
        <v>bɛs</v>
      </c>
      <c r="E1563" s="2" t="str">
        <f>IFERROR(__xludf.DUMMYFUNCTION("IFERROR(VLOOKUP(A1563, IMPORTRANGE(""https://docs.google.com/spreadsheets/d/1-3Vjw2Cyy-mry5gbC8ypIR3YVGFfEpyFESummAta6sg/edit"", ""Sheet1!B:D""), 3, FALSE), ""Not Found"")"),"b ɛ s ")</f>
        <v>b ɛ s </v>
      </c>
    </row>
    <row r="1564">
      <c r="A1564" s="1" t="s">
        <v>1567</v>
      </c>
      <c r="B1564" s="1" t="s">
        <v>5</v>
      </c>
      <c r="C1564" s="2">
        <f>IFERROR(__xludf.DUMMYFUNCTION("IFERROR(VLOOKUP(A1564, IMPORTRANGE(""https://docs.google.com/spreadsheets/d/1AVX9GT0dgogEBStecCXMMQ29tWz3gBrtNB8yIromXbY/edit?gid=741673867"", ""out1g!A:B""), 2, FALSE), 0)"),1355.0)</f>
        <v>1355</v>
      </c>
      <c r="D1564" s="2" t="str">
        <f>IFERROR(__xludf.DUMMYFUNCTION("IFERROR(VLOOKUP(A1564, IMPORTRANGE(""https://docs.google.com/spreadsheets/d/1-3Vjw2Cyy-mry5gbC8ypIR3YVGFfEpyFESummAta6sg/edit"", ""Sheet1!B:D""), 2, FALSE), ""Not Found"")"),"maɪti")</f>
        <v>maɪti</v>
      </c>
      <c r="E1564" s="2" t="str">
        <f>IFERROR(__xludf.DUMMYFUNCTION("IFERROR(VLOOKUP(A1564, IMPORTRANGE(""https://docs.google.com/spreadsheets/d/1-3Vjw2Cyy-mry5gbC8ypIR3YVGFfEpyFESummAta6sg/edit"", ""Sheet1!B:D""), 3, FALSE), ""Not Found"")"),"m a ɪ t i ")</f>
        <v>m a ɪ t i </v>
      </c>
    </row>
    <row r="1565">
      <c r="A1565" s="1" t="s">
        <v>1568</v>
      </c>
      <c r="B1565" s="1" t="s">
        <v>5</v>
      </c>
      <c r="C1565" s="2">
        <f>IFERROR(__xludf.DUMMYFUNCTION("IFERROR(VLOOKUP(A1565, IMPORTRANGE(""https://docs.google.com/spreadsheets/d/1AVX9GT0dgogEBStecCXMMQ29tWz3gBrtNB8yIromXbY/edit?gid=741673867"", ""out1g!A:B""), 2, FALSE), 0)"),86.0)</f>
        <v>86</v>
      </c>
      <c r="D1565" s="2" t="str">
        <f>IFERROR(__xludf.DUMMYFUNCTION("IFERROR(VLOOKUP(A1565, IMPORTRANGE(""https://docs.google.com/spreadsheets/d/1-3Vjw2Cyy-mry5gbC8ypIR3YVGFfEpyFESummAta6sg/edit"", ""Sheet1!B:D""), 2, FALSE), ""Not Found"")"),"ʤaɪv")</f>
        <v>ʤaɪv</v>
      </c>
      <c r="E1565" s="2" t="str">
        <f>IFERROR(__xludf.DUMMYFUNCTION("IFERROR(VLOOKUP(A1565, IMPORTRANGE(""https://docs.google.com/spreadsheets/d/1-3Vjw2Cyy-mry5gbC8ypIR3YVGFfEpyFESummAta6sg/edit"", ""Sheet1!B:D""), 3, FALSE), ""Not Found"")"),"ʤ a ɪ v ")</f>
        <v>ʤ a ɪ v </v>
      </c>
    </row>
    <row r="1566">
      <c r="A1566" s="1" t="s">
        <v>1569</v>
      </c>
      <c r="B1566" s="1" t="s">
        <v>5</v>
      </c>
      <c r="C1566" s="2">
        <f>IFERROR(__xludf.DUMMYFUNCTION("IFERROR(VLOOKUP(A1566, IMPORTRANGE(""https://docs.google.com/spreadsheets/d/1AVX9GT0dgogEBStecCXMMQ29tWz3gBrtNB8yIromXbY/edit?gid=741673867"", ""out1g!A:B""), 2, FALSE), 0)"),1837.0)</f>
        <v>1837</v>
      </c>
      <c r="D1566" s="2" t="str">
        <f>IFERROR(__xludf.DUMMYFUNCTION("IFERROR(VLOOKUP(A1566, IMPORTRANGE(""https://docs.google.com/spreadsheets/d/1-3Vjw2Cyy-mry5gbC8ypIR3YVGFfEpyFESummAta6sg/edit"", ""Sheet1!B:D""), 2, FALSE), ""Not Found"")"),"θroʊt")</f>
        <v>θroʊt</v>
      </c>
      <c r="E1566" s="2" t="str">
        <f>IFERROR(__xludf.DUMMYFUNCTION("IFERROR(VLOOKUP(A1566, IMPORTRANGE(""https://docs.google.com/spreadsheets/d/1-3Vjw2Cyy-mry5gbC8ypIR3YVGFfEpyFESummAta6sg/edit"", ""Sheet1!B:D""), 3, FALSE), ""Not Found"")"),"θ r o ʊ t ")</f>
        <v>θ r o ʊ t </v>
      </c>
    </row>
    <row r="1567">
      <c r="A1567" s="1" t="s">
        <v>1570</v>
      </c>
      <c r="B1567" s="1" t="s">
        <v>5</v>
      </c>
      <c r="C1567" s="2">
        <f>IFERROR(__xludf.DUMMYFUNCTION("IFERROR(VLOOKUP(A1567, IMPORTRANGE(""https://docs.google.com/spreadsheets/d/1AVX9GT0dgogEBStecCXMMQ29tWz3gBrtNB8yIromXbY/edit?gid=741673867"", ""out1g!A:B""), 2, FALSE), 0)"),504.0)</f>
        <v>504</v>
      </c>
      <c r="D1567" s="2" t="str">
        <f>IFERROR(__xludf.DUMMYFUNCTION("IFERROR(VLOOKUP(A1567, IMPORTRANGE(""https://docs.google.com/spreadsheets/d/1-3Vjw2Cyy-mry5gbC8ypIR3YVGFfEpyFESummAta6sg/edit"", ""Sheet1!B:D""), 2, FALSE), ""Not Found"")"),"dɛdli")</f>
        <v>dɛdli</v>
      </c>
      <c r="E1567" s="2" t="str">
        <f>IFERROR(__xludf.DUMMYFUNCTION("IFERROR(VLOOKUP(A1567, IMPORTRANGE(""https://docs.google.com/spreadsheets/d/1-3Vjw2Cyy-mry5gbC8ypIR3YVGFfEpyFESummAta6sg/edit"", ""Sheet1!B:D""), 3, FALSE), ""Not Found"")"),"d ɛ d l i ")</f>
        <v>d ɛ d l i </v>
      </c>
    </row>
    <row r="1568">
      <c r="A1568" s="1" t="s">
        <v>1571</v>
      </c>
      <c r="B1568" s="1" t="s">
        <v>5</v>
      </c>
      <c r="C1568" s="2">
        <f>IFERROR(__xludf.DUMMYFUNCTION("IFERROR(VLOOKUP(A1568, IMPORTRANGE(""https://docs.google.com/spreadsheets/d/1AVX9GT0dgogEBStecCXMMQ29tWz3gBrtNB8yIromXbY/edit?gid=741673867"", ""out1g!A:B""), 2, FALSE), 0)"),664.0)</f>
        <v>664</v>
      </c>
      <c r="D1568" s="2" t="str">
        <f>IFERROR(__xludf.DUMMYFUNCTION("IFERROR(VLOOKUP(A1568, IMPORTRANGE(""https://docs.google.com/spreadsheets/d/1-3Vjw2Cyy-mry5gbC8ypIR3YVGFfEpyFESummAta6sg/edit"", ""Sheet1!B:D""), 2, FALSE), ""Not Found"")"),"foʊnz")</f>
        <v>foʊnz</v>
      </c>
      <c r="E1568" s="2" t="str">
        <f>IFERROR(__xludf.DUMMYFUNCTION("IFERROR(VLOOKUP(A1568, IMPORTRANGE(""https://docs.google.com/spreadsheets/d/1-3Vjw2Cyy-mry5gbC8ypIR3YVGFfEpyFESummAta6sg/edit"", ""Sheet1!B:D""), 3, FALSE), ""Not Found"")"),"f o ʊ n z ")</f>
        <v>f o ʊ n z </v>
      </c>
    </row>
    <row r="1569">
      <c r="A1569" s="1" t="s">
        <v>1572</v>
      </c>
      <c r="B1569" s="1" t="s">
        <v>5</v>
      </c>
      <c r="C1569" s="2">
        <f>IFERROR(__xludf.DUMMYFUNCTION("IFERROR(VLOOKUP(A1569, IMPORTRANGE(""https://docs.google.com/spreadsheets/d/1AVX9GT0dgogEBStecCXMMQ29tWz3gBrtNB8yIromXbY/edit?gid=741673867"", ""out1g!A:B""), 2, FALSE), 0)"),50.0)</f>
        <v>50</v>
      </c>
      <c r="D1569" s="2" t="str">
        <f>IFERROR(__xludf.DUMMYFUNCTION("IFERROR(VLOOKUP(A1569, IMPORTRANGE(""https://docs.google.com/spreadsheets/d/1-3Vjw2Cyy-mry5gbC8ypIR3YVGFfEpyFESummAta6sg/edit"", ""Sheet1!B:D""), 2, FALSE), ""Not Found"")"),"si")</f>
        <v>si</v>
      </c>
      <c r="E1569" s="2" t="str">
        <f>IFERROR(__xludf.DUMMYFUNCTION("IFERROR(VLOOKUP(A1569, IMPORTRANGE(""https://docs.google.com/spreadsheets/d/1-3Vjw2Cyy-mry5gbC8ypIR3YVGFfEpyFESummAta6sg/edit"", ""Sheet1!B:D""), 3, FALSE), ""Not Found"")"),"s i ")</f>
        <v>s i </v>
      </c>
    </row>
    <row r="1570">
      <c r="A1570" s="1" t="s">
        <v>1573</v>
      </c>
      <c r="B1570" s="1" t="s">
        <v>5</v>
      </c>
      <c r="C1570" s="2">
        <f>IFERROR(__xludf.DUMMYFUNCTION("IFERROR(VLOOKUP(A1570, IMPORTRANGE(""https://docs.google.com/spreadsheets/d/1AVX9GT0dgogEBStecCXMMQ29tWz3gBrtNB8yIromXbY/edit?gid=741673867"", ""out1g!A:B""), 2, FALSE), 0)"),16831.0)</f>
        <v>16831</v>
      </c>
      <c r="D1570" s="2" t="str">
        <f>IFERROR(__xludf.DUMMYFUNCTION("IFERROR(VLOOKUP(A1570, IMPORTRANGE(""https://docs.google.com/spreadsheets/d/1-3Vjw2Cyy-mry5gbC8ypIR3YVGFfEpyFESummAta6sg/edit"", ""Sheet1!B:D""), 2, FALSE), ""Not Found"")"),"wɔʧ")</f>
        <v>wɔʧ</v>
      </c>
      <c r="E1570" s="2" t="str">
        <f>IFERROR(__xludf.DUMMYFUNCTION("IFERROR(VLOOKUP(A1570, IMPORTRANGE(""https://docs.google.com/spreadsheets/d/1-3Vjw2Cyy-mry5gbC8ypIR3YVGFfEpyFESummAta6sg/edit"", ""Sheet1!B:D""), 3, FALSE), ""Not Found"")"),"w ɔ ʧ ")</f>
        <v>w ɔ ʧ </v>
      </c>
    </row>
    <row r="1571">
      <c r="A1571" s="1" t="s">
        <v>1574</v>
      </c>
      <c r="B1571" s="1" t="s">
        <v>5</v>
      </c>
      <c r="C1571" s="2">
        <f>IFERROR(__xludf.DUMMYFUNCTION("IFERROR(VLOOKUP(A1571, IMPORTRANGE(""https://docs.google.com/spreadsheets/d/1AVX9GT0dgogEBStecCXMMQ29tWz3gBrtNB8yIromXbY/edit?gid=741673867"", ""out1g!A:B""), 2, FALSE), 0)"),3695.0)</f>
        <v>3695</v>
      </c>
      <c r="D1571" s="2" t="str">
        <f>IFERROR(__xludf.DUMMYFUNCTION("IFERROR(VLOOKUP(A1571, IMPORTRANGE(""https://docs.google.com/spreadsheets/d/1-3Vjw2Cyy-mry5gbC8ypIR3YVGFfEpyFESummAta6sg/edit"", ""Sheet1!B:D""), 2, FALSE), ""Not Found"")"),"ləvz")</f>
        <v>ləvz</v>
      </c>
      <c r="E1571" s="2" t="str">
        <f>IFERROR(__xludf.DUMMYFUNCTION("IFERROR(VLOOKUP(A1571, IMPORTRANGE(""https://docs.google.com/spreadsheets/d/1-3Vjw2Cyy-mry5gbC8ypIR3YVGFfEpyFESummAta6sg/edit"", ""Sheet1!B:D""), 3, FALSE), ""Not Found"")"),"l ə v z ")</f>
        <v>l ə v z </v>
      </c>
    </row>
    <row r="1572">
      <c r="A1572" s="1" t="s">
        <v>1575</v>
      </c>
      <c r="B1572" s="1" t="s">
        <v>5</v>
      </c>
      <c r="C1572" s="2">
        <f>IFERROR(__xludf.DUMMYFUNCTION("IFERROR(VLOOKUP(A1572, IMPORTRANGE(""https://docs.google.com/spreadsheets/d/1AVX9GT0dgogEBStecCXMMQ29tWz3gBrtNB8yIromXbY/edit?gid=741673867"", ""out1g!A:B""), 2, FALSE), 0)"),143.0)</f>
        <v>143</v>
      </c>
      <c r="D1572" s="2" t="str">
        <f>IFERROR(__xludf.DUMMYFUNCTION("IFERROR(VLOOKUP(A1572, IMPORTRANGE(""https://docs.google.com/spreadsheets/d/1-3Vjw2Cyy-mry5gbC8ypIR3YVGFfEpyFESummAta6sg/edit"", ""Sheet1!B:D""), 2, FALSE), ""Not Found"")"),"find")</f>
        <v>find</v>
      </c>
      <c r="E1572" s="2" t="str">
        <f>IFERROR(__xludf.DUMMYFUNCTION("IFERROR(VLOOKUP(A1572, IMPORTRANGE(""https://docs.google.com/spreadsheets/d/1-3Vjw2Cyy-mry5gbC8ypIR3YVGFfEpyFESummAta6sg/edit"", ""Sheet1!B:D""), 3, FALSE), ""Not Found"")"),"f i n d ")</f>
        <v>f i n d </v>
      </c>
    </row>
    <row r="1573">
      <c r="A1573" s="1" t="s">
        <v>1576</v>
      </c>
      <c r="B1573" s="1" t="s">
        <v>5</v>
      </c>
      <c r="C1573" s="2">
        <f>IFERROR(__xludf.DUMMYFUNCTION("IFERROR(VLOOKUP(A1573, IMPORTRANGE(""https://docs.google.com/spreadsheets/d/1AVX9GT0dgogEBStecCXMMQ29tWz3gBrtNB8yIromXbY/edit?gid=741673867"", ""out1g!A:B""), 2, FALSE), 0)"),282.0)</f>
        <v>282</v>
      </c>
      <c r="D1573" s="2" t="str">
        <f>IFERROR(__xludf.DUMMYFUNCTION("IFERROR(VLOOKUP(A1573, IMPORTRANGE(""https://docs.google.com/spreadsheets/d/1-3Vjw2Cyy-mry5gbC8ypIR3YVGFfEpyFESummAta6sg/edit"", ""Sheet1!B:D""), 2, FALSE), ""Not Found"")"),"bərglər")</f>
        <v>bərglər</v>
      </c>
      <c r="E1573" s="2" t="str">
        <f>IFERROR(__xludf.DUMMYFUNCTION("IFERROR(VLOOKUP(A1573, IMPORTRANGE(""https://docs.google.com/spreadsheets/d/1-3Vjw2Cyy-mry5gbC8ypIR3YVGFfEpyFESummAta6sg/edit"", ""Sheet1!B:D""), 3, FALSE), ""Not Found"")"),"b ə r g l ə r ")</f>
        <v>b ə r g l ə r </v>
      </c>
    </row>
    <row r="1574">
      <c r="A1574" s="1" t="s">
        <v>1577</v>
      </c>
      <c r="B1574" s="1" t="s">
        <v>5</v>
      </c>
      <c r="C1574" s="2">
        <f>IFERROR(__xludf.DUMMYFUNCTION("IFERROR(VLOOKUP(A1574, IMPORTRANGE(""https://docs.google.com/spreadsheets/d/1AVX9GT0dgogEBStecCXMMQ29tWz3gBrtNB8yIromXbY/edit?gid=741673867"", ""out1g!A:B""), 2, FALSE), 0)"),57.0)</f>
        <v>57</v>
      </c>
      <c r="D1574" s="2" t="str">
        <f>IFERROR(__xludf.DUMMYFUNCTION("IFERROR(VLOOKUP(A1574, IMPORTRANGE(""https://docs.google.com/spreadsheets/d/1-3Vjw2Cyy-mry5gbC8ypIR3YVGFfEpyFESummAta6sg/edit"", ""Sheet1!B:D""), 2, FALSE), ""Not Found"")"),"mɪki")</f>
        <v>mɪki</v>
      </c>
      <c r="E1574" s="2" t="str">
        <f>IFERROR(__xludf.DUMMYFUNCTION("IFERROR(VLOOKUP(A1574, IMPORTRANGE(""https://docs.google.com/spreadsheets/d/1-3Vjw2Cyy-mry5gbC8ypIR3YVGFfEpyFESummAta6sg/edit"", ""Sheet1!B:D""), 3, FALSE), ""Not Found"")"),"m ɪ k i ")</f>
        <v>m ɪ k i </v>
      </c>
    </row>
    <row r="1575">
      <c r="A1575" s="1" t="s">
        <v>1578</v>
      </c>
      <c r="B1575" s="1" t="s">
        <v>5</v>
      </c>
      <c r="C1575" s="2">
        <f>IFERROR(__xludf.DUMMYFUNCTION("IFERROR(VLOOKUP(A1575, IMPORTRANGE(""https://docs.google.com/spreadsheets/d/1AVX9GT0dgogEBStecCXMMQ29tWz3gBrtNB8yIromXbY/edit?gid=741673867"", ""out1g!A:B""), 2, FALSE), 0)"),373.0)</f>
        <v>373</v>
      </c>
      <c r="D1575" s="2" t="str">
        <f>IFERROR(__xludf.DUMMYFUNCTION("IFERROR(VLOOKUP(A1575, IMPORTRANGE(""https://docs.google.com/spreadsheets/d/1-3Vjw2Cyy-mry5gbC8ypIR3YVGFfEpyFESummAta6sg/edit"", ""Sheet1!B:D""), 2, FALSE), ""Not Found"")"),"mɛlt")</f>
        <v>mɛlt</v>
      </c>
      <c r="E1575" s="2" t="str">
        <f>IFERROR(__xludf.DUMMYFUNCTION("IFERROR(VLOOKUP(A1575, IMPORTRANGE(""https://docs.google.com/spreadsheets/d/1-3Vjw2Cyy-mry5gbC8ypIR3YVGFfEpyFESummAta6sg/edit"", ""Sheet1!B:D""), 3, FALSE), ""Not Found"")"),"m ɛ l t ")</f>
        <v>m ɛ l t </v>
      </c>
    </row>
    <row r="1576">
      <c r="A1576" s="1" t="s">
        <v>1579</v>
      </c>
      <c r="B1576" s="1" t="s">
        <v>5</v>
      </c>
      <c r="C1576" s="2">
        <f>IFERROR(__xludf.DUMMYFUNCTION("IFERROR(VLOOKUP(A1576, IMPORTRANGE(""https://docs.google.com/spreadsheets/d/1AVX9GT0dgogEBStecCXMMQ29tWz3gBrtNB8yIromXbY/edit?gid=741673867"", ""out1g!A:B""), 2, FALSE), 0)"),129.0)</f>
        <v>129</v>
      </c>
      <c r="D1576" s="2" t="str">
        <f>IFERROR(__xludf.DUMMYFUNCTION("IFERROR(VLOOKUP(A1576, IMPORTRANGE(""https://docs.google.com/spreadsheets/d/1-3Vjw2Cyy-mry5gbC8ypIR3YVGFfEpyFESummAta6sg/edit"", ""Sheet1!B:D""), 2, FALSE), ""Not Found"")"),"fɪʧ")</f>
        <v>fɪʧ</v>
      </c>
      <c r="E1576" s="2" t="str">
        <f>IFERROR(__xludf.DUMMYFUNCTION("IFERROR(VLOOKUP(A1576, IMPORTRANGE(""https://docs.google.com/spreadsheets/d/1-3Vjw2Cyy-mry5gbC8ypIR3YVGFfEpyFESummAta6sg/edit"", ""Sheet1!B:D""), 3, FALSE), ""Not Found"")"),"f ɪ ʧ ")</f>
        <v>f ɪ ʧ </v>
      </c>
    </row>
    <row r="1577">
      <c r="A1577" s="1" t="s">
        <v>1580</v>
      </c>
      <c r="B1577" s="1" t="s">
        <v>5</v>
      </c>
      <c r="C1577" s="2">
        <f>IFERROR(__xludf.DUMMYFUNCTION("IFERROR(VLOOKUP(A1577, IMPORTRANGE(""https://docs.google.com/spreadsheets/d/1AVX9GT0dgogEBStecCXMMQ29tWz3gBrtNB8yIromXbY/edit?gid=741673867"", ""out1g!A:B""), 2, FALSE), 0)"),413.0)</f>
        <v>413</v>
      </c>
      <c r="D1577" s="2" t="str">
        <f>IFERROR(__xludf.DUMMYFUNCTION("IFERROR(VLOOKUP(A1577, IMPORTRANGE(""https://docs.google.com/spreadsheets/d/1-3Vjw2Cyy-mry5gbC8ypIR3YVGFfEpyFESummAta6sg/edit"", ""Sheet1!B:D""), 2, FALSE), ""Not Found"")"),"wivər")</f>
        <v>wivər</v>
      </c>
      <c r="E1577" s="2" t="str">
        <f>IFERROR(__xludf.DUMMYFUNCTION("IFERROR(VLOOKUP(A1577, IMPORTRANGE(""https://docs.google.com/spreadsheets/d/1-3Vjw2Cyy-mry5gbC8ypIR3YVGFfEpyFESummAta6sg/edit"", ""Sheet1!B:D""), 3, FALSE), ""Not Found"")"),"w i v ə r ")</f>
        <v>w i v ə r </v>
      </c>
    </row>
    <row r="1578">
      <c r="A1578" s="1" t="s">
        <v>1581</v>
      </c>
      <c r="B1578" s="1" t="s">
        <v>5</v>
      </c>
      <c r="C1578" s="2">
        <f>IFERROR(__xludf.DUMMYFUNCTION("IFERROR(VLOOKUP(A1578, IMPORTRANGE(""https://docs.google.com/spreadsheets/d/1AVX9GT0dgogEBStecCXMMQ29tWz3gBrtNB8yIromXbY/edit?gid=741673867"", ""out1g!A:B""), 2, FALSE), 0)"),188.0)</f>
        <v>188</v>
      </c>
      <c r="D1578" s="2" t="str">
        <f>IFERROR(__xludf.DUMMYFUNCTION("IFERROR(VLOOKUP(A1578, IMPORTRANGE(""https://docs.google.com/spreadsheets/d/1-3Vjw2Cyy-mry5gbC8ypIR3YVGFfEpyFESummAta6sg/edit"", ""Sheet1!B:D""), 2, FALSE), ""Not Found"")"),"mæʃt")</f>
        <v>mæʃt</v>
      </c>
      <c r="E1578" s="2" t="str">
        <f>IFERROR(__xludf.DUMMYFUNCTION("IFERROR(VLOOKUP(A1578, IMPORTRANGE(""https://docs.google.com/spreadsheets/d/1-3Vjw2Cyy-mry5gbC8ypIR3YVGFfEpyFESummAta6sg/edit"", ""Sheet1!B:D""), 3, FALSE), ""Not Found"")"),"m æ ʃ t ")</f>
        <v>m æ ʃ t </v>
      </c>
    </row>
    <row r="1579">
      <c r="A1579" s="1" t="s">
        <v>1582</v>
      </c>
      <c r="B1579" s="1" t="s">
        <v>5</v>
      </c>
      <c r="C1579" s="2">
        <f>IFERROR(__xludf.DUMMYFUNCTION("IFERROR(VLOOKUP(A1579, IMPORTRANGE(""https://docs.google.com/spreadsheets/d/1AVX9GT0dgogEBStecCXMMQ29tWz3gBrtNB8yIromXbY/edit?gid=741673867"", ""out1g!A:B""), 2, FALSE), 0)"),214.0)</f>
        <v>214</v>
      </c>
      <c r="D1579" s="2" t="str">
        <f>IFERROR(__xludf.DUMMYFUNCTION("IFERROR(VLOOKUP(A1579, IMPORTRANGE(""https://docs.google.com/spreadsheets/d/1-3Vjw2Cyy-mry5gbC8ypIR3YVGFfEpyFESummAta6sg/edit"", ""Sheet1!B:D""), 2, FALSE), ""Not Found"")"),"ʃaʊts")</f>
        <v>ʃaʊts</v>
      </c>
      <c r="E1579" s="2" t="str">
        <f>IFERROR(__xludf.DUMMYFUNCTION("IFERROR(VLOOKUP(A1579, IMPORTRANGE(""https://docs.google.com/spreadsheets/d/1-3Vjw2Cyy-mry5gbC8ypIR3YVGFfEpyFESummAta6sg/edit"", ""Sheet1!B:D""), 3, FALSE), ""Not Found"")"),"ʃ a ʊ t s ")</f>
        <v>ʃ a ʊ t s </v>
      </c>
    </row>
    <row r="1580">
      <c r="A1580" s="1" t="s">
        <v>1583</v>
      </c>
      <c r="B1580" s="1" t="s">
        <v>5</v>
      </c>
      <c r="C1580" s="2">
        <f>IFERROR(__xludf.DUMMYFUNCTION("IFERROR(VLOOKUP(A1580, IMPORTRANGE(""https://docs.google.com/spreadsheets/d/1AVX9GT0dgogEBStecCXMMQ29tWz3gBrtNB8yIromXbY/edit?gid=741673867"", ""out1g!A:B""), 2, FALSE), 0)"),1310.0)</f>
        <v>1310</v>
      </c>
      <c r="D1580" s="2" t="str">
        <f>IFERROR(__xludf.DUMMYFUNCTION("IFERROR(VLOOKUP(A1580, IMPORTRANGE(""https://docs.google.com/spreadsheets/d/1-3Vjw2Cyy-mry5gbC8ypIR3YVGFfEpyFESummAta6sg/edit"", ""Sheet1!B:D""), 2, FALSE), ""Not Found"")"),"nevi")</f>
        <v>nevi</v>
      </c>
      <c r="E1580" s="2" t="str">
        <f>IFERROR(__xludf.DUMMYFUNCTION("IFERROR(VLOOKUP(A1580, IMPORTRANGE(""https://docs.google.com/spreadsheets/d/1-3Vjw2Cyy-mry5gbC8ypIR3YVGFfEpyFESummAta6sg/edit"", ""Sheet1!B:D""), 3, FALSE), ""Not Found"")"),"n e v i ")</f>
        <v>n e v i </v>
      </c>
    </row>
    <row r="1581">
      <c r="A1581" s="1" t="s">
        <v>1584</v>
      </c>
      <c r="B1581" s="1" t="s">
        <v>5</v>
      </c>
      <c r="C1581" s="2">
        <f>IFERROR(__xludf.DUMMYFUNCTION("IFERROR(VLOOKUP(A1581, IMPORTRANGE(""https://docs.google.com/spreadsheets/d/1AVX9GT0dgogEBStecCXMMQ29tWz3gBrtNB8yIromXbY/edit?gid=741673867"", ""out1g!A:B""), 2, FALSE), 0)"),2327.0)</f>
        <v>2327</v>
      </c>
      <c r="D1581" s="2" t="str">
        <f>IFERROR(__xludf.DUMMYFUNCTION("IFERROR(VLOOKUP(A1581, IMPORTRANGE(""https://docs.google.com/spreadsheets/d/1-3Vjw2Cyy-mry5gbC8ypIR3YVGFfEpyFESummAta6sg/edit"", ""Sheet1!B:D""), 2, FALSE), ""Not Found"")"),"kɑz")</f>
        <v>kɑz</v>
      </c>
      <c r="E1581" s="2" t="str">
        <f>IFERROR(__xludf.DUMMYFUNCTION("IFERROR(VLOOKUP(A1581, IMPORTRANGE(""https://docs.google.com/spreadsheets/d/1-3Vjw2Cyy-mry5gbC8ypIR3YVGFfEpyFESummAta6sg/edit"", ""Sheet1!B:D""), 3, FALSE), ""Not Found"")"),"k ɑ z ")</f>
        <v>k ɑ z </v>
      </c>
    </row>
    <row r="1582">
      <c r="A1582" s="1" t="s">
        <v>1585</v>
      </c>
      <c r="B1582" s="1" t="s">
        <v>5</v>
      </c>
      <c r="C1582" s="2">
        <f>IFERROR(__xludf.DUMMYFUNCTION("IFERROR(VLOOKUP(A1582, IMPORTRANGE(""https://docs.google.com/spreadsheets/d/1AVX9GT0dgogEBStecCXMMQ29tWz3gBrtNB8yIromXbY/edit?gid=741673867"", ""out1g!A:B""), 2, FALSE), 0)"),1960.0)</f>
        <v>1960</v>
      </c>
      <c r="D1582" s="2" t="str">
        <f>IFERROR(__xludf.DUMMYFUNCTION("IFERROR(VLOOKUP(A1582, IMPORTRANGE(""https://docs.google.com/spreadsheets/d/1-3Vjw2Cyy-mry5gbC8ypIR3YVGFfEpyFESummAta6sg/edit"", ""Sheet1!B:D""), 2, FALSE), ""Not Found"")"),"laɪnz")</f>
        <v>laɪnz</v>
      </c>
      <c r="E1582" s="2" t="str">
        <f>IFERROR(__xludf.DUMMYFUNCTION("IFERROR(VLOOKUP(A1582, IMPORTRANGE(""https://docs.google.com/spreadsheets/d/1-3Vjw2Cyy-mry5gbC8ypIR3YVGFfEpyFESummAta6sg/edit"", ""Sheet1!B:D""), 3, FALSE), ""Not Found"")"),"l a ɪ n z ")</f>
        <v>l a ɪ n z </v>
      </c>
    </row>
    <row r="1583">
      <c r="A1583" s="1" t="s">
        <v>1586</v>
      </c>
      <c r="B1583" s="1" t="s">
        <v>5</v>
      </c>
      <c r="C1583" s="2">
        <f>IFERROR(__xludf.DUMMYFUNCTION("IFERROR(VLOOKUP(A1583, IMPORTRANGE(""https://docs.google.com/spreadsheets/d/1AVX9GT0dgogEBStecCXMMQ29tWz3gBrtNB8yIromXbY/edit?gid=741673867"", ""out1g!A:B""), 2, FALSE), 0)"),91.0)</f>
        <v>91</v>
      </c>
      <c r="D1583" s="2" t="str">
        <f>IFERROR(__xludf.DUMMYFUNCTION("IFERROR(VLOOKUP(A1583, IMPORTRANGE(""https://docs.google.com/spreadsheets/d/1-3Vjw2Cyy-mry5gbC8ypIR3YVGFfEpyFESummAta6sg/edit"", ""Sheet1!B:D""), 2, FALSE), ""Not Found"")"),"hæg")</f>
        <v>hæg</v>
      </c>
      <c r="E1583" s="2" t="str">
        <f>IFERROR(__xludf.DUMMYFUNCTION("IFERROR(VLOOKUP(A1583, IMPORTRANGE(""https://docs.google.com/spreadsheets/d/1-3Vjw2Cyy-mry5gbC8ypIR3YVGFfEpyFESummAta6sg/edit"", ""Sheet1!B:D""), 3, FALSE), ""Not Found"")"),"h æ g ")</f>
        <v>h æ g </v>
      </c>
    </row>
    <row r="1584">
      <c r="A1584" s="1" t="s">
        <v>1587</v>
      </c>
      <c r="B1584" s="1" t="s">
        <v>5</v>
      </c>
      <c r="C1584" s="2">
        <f>IFERROR(__xludf.DUMMYFUNCTION("IFERROR(VLOOKUP(A1584, IMPORTRANGE(""https://docs.google.com/spreadsheets/d/1AVX9GT0dgogEBStecCXMMQ29tWz3gBrtNB8yIromXbY/edit?gid=741673867"", ""out1g!A:B""), 2, FALSE), 0)"),119.0)</f>
        <v>119</v>
      </c>
      <c r="D1584" s="2" t="str">
        <f>IFERROR(__xludf.DUMMYFUNCTION("IFERROR(VLOOKUP(A1584, IMPORTRANGE(""https://docs.google.com/spreadsheets/d/1-3Vjw2Cyy-mry5gbC8ypIR3YVGFfEpyFESummAta6sg/edit"", ""Sheet1!B:D""), 2, FALSE), ""Not Found"")"),"woʊ")</f>
        <v>woʊ</v>
      </c>
      <c r="E1584" s="2" t="str">
        <f>IFERROR(__xludf.DUMMYFUNCTION("IFERROR(VLOOKUP(A1584, IMPORTRANGE(""https://docs.google.com/spreadsheets/d/1-3Vjw2Cyy-mry5gbC8ypIR3YVGFfEpyFESummAta6sg/edit"", ""Sheet1!B:D""), 3, FALSE), ""Not Found"")"),"w o ʊ ")</f>
        <v>w o ʊ </v>
      </c>
    </row>
    <row r="1585">
      <c r="A1585" s="1" t="s">
        <v>1588</v>
      </c>
      <c r="B1585" s="1" t="s">
        <v>5</v>
      </c>
      <c r="C1585" s="2">
        <f>IFERROR(__xludf.DUMMYFUNCTION("IFERROR(VLOOKUP(A1585, IMPORTRANGE(""https://docs.google.com/spreadsheets/d/1AVX9GT0dgogEBStecCXMMQ29tWz3gBrtNB8yIromXbY/edit?gid=741673867"", ""out1g!A:B""), 2, FALSE), 0)"),404.0)</f>
        <v>404</v>
      </c>
      <c r="D1585" s="2" t="str">
        <f>IFERROR(__xludf.DUMMYFUNCTION("IFERROR(VLOOKUP(A1585, IMPORTRANGE(""https://docs.google.com/spreadsheets/d/1-3Vjw2Cyy-mry5gbC8ypIR3YVGFfEpyFESummAta6sg/edit"", ""Sheet1!B:D""), 2, FALSE), ""Not Found"")"),"pʊlz")</f>
        <v>pʊlz</v>
      </c>
      <c r="E1585" s="2" t="str">
        <f>IFERROR(__xludf.DUMMYFUNCTION("IFERROR(VLOOKUP(A1585, IMPORTRANGE(""https://docs.google.com/spreadsheets/d/1-3Vjw2Cyy-mry5gbC8ypIR3YVGFfEpyFESummAta6sg/edit"", ""Sheet1!B:D""), 3, FALSE), ""Not Found"")"),"p ʊ l z ")</f>
        <v>p ʊ l z </v>
      </c>
    </row>
    <row r="1586">
      <c r="A1586" s="1" t="s">
        <v>1589</v>
      </c>
      <c r="B1586" s="1" t="s">
        <v>5</v>
      </c>
      <c r="C1586" s="2">
        <f>IFERROR(__xludf.DUMMYFUNCTION("IFERROR(VLOOKUP(A1586, IMPORTRANGE(""https://docs.google.com/spreadsheets/d/1AVX9GT0dgogEBStecCXMMQ29tWz3gBrtNB8yIromXbY/edit?gid=741673867"", ""out1g!A:B""), 2, FALSE), 0)"),135.0)</f>
        <v>135</v>
      </c>
      <c r="D1586" s="2" t="str">
        <f>IFERROR(__xludf.DUMMYFUNCTION("IFERROR(VLOOKUP(A1586, IMPORTRANGE(""https://docs.google.com/spreadsheets/d/1-3Vjw2Cyy-mry5gbC8ypIR3YVGFfEpyFESummAta6sg/edit"", ""Sheet1!B:D""), 2, FALSE), ""Not Found"")"),"ɛpi")</f>
        <v>ɛpi</v>
      </c>
      <c r="E1586" s="2" t="str">
        <f>IFERROR(__xludf.DUMMYFUNCTION("IFERROR(VLOOKUP(A1586, IMPORTRANGE(""https://docs.google.com/spreadsheets/d/1-3Vjw2Cyy-mry5gbC8ypIR3YVGFfEpyFESummAta6sg/edit"", ""Sheet1!B:D""), 3, FALSE), ""Not Found"")"),"ɛ p i ")</f>
        <v>ɛ p i </v>
      </c>
    </row>
    <row r="1587">
      <c r="A1587" s="1" t="s">
        <v>1590</v>
      </c>
      <c r="B1587" s="1" t="s">
        <v>5</v>
      </c>
      <c r="C1587" s="2">
        <f>IFERROR(__xludf.DUMMYFUNCTION("IFERROR(VLOOKUP(A1587, IMPORTRANGE(""https://docs.google.com/spreadsheets/d/1AVX9GT0dgogEBStecCXMMQ29tWz3gBrtNB8yIromXbY/edit?gid=741673867"", ""out1g!A:B""), 2, FALSE), 0)"),786.0)</f>
        <v>786</v>
      </c>
      <c r="D1587" s="2" t="str">
        <f>IFERROR(__xludf.DUMMYFUNCTION("IFERROR(VLOOKUP(A1587, IMPORTRANGE(""https://docs.google.com/spreadsheets/d/1-3Vjw2Cyy-mry5gbC8ypIR3YVGFfEpyFESummAta6sg/edit"", ""Sheet1!B:D""), 2, FALSE), ""Not Found"")"),"hɪp")</f>
        <v>hɪp</v>
      </c>
      <c r="E1587" s="2" t="str">
        <f>IFERROR(__xludf.DUMMYFUNCTION("IFERROR(VLOOKUP(A1587, IMPORTRANGE(""https://docs.google.com/spreadsheets/d/1-3Vjw2Cyy-mry5gbC8ypIR3YVGFfEpyFESummAta6sg/edit"", ""Sheet1!B:D""), 3, FALSE), ""Not Found"")"),"h ɪ p ")</f>
        <v>h ɪ p </v>
      </c>
    </row>
    <row r="1588">
      <c r="A1588" s="1" t="s">
        <v>1591</v>
      </c>
      <c r="B1588" s="1" t="s">
        <v>5</v>
      </c>
      <c r="C1588" s="2">
        <f>IFERROR(__xludf.DUMMYFUNCTION("IFERROR(VLOOKUP(A1588, IMPORTRANGE(""https://docs.google.com/spreadsheets/d/1AVX9GT0dgogEBStecCXMMQ29tWz3gBrtNB8yIromXbY/edit?gid=741673867"", ""out1g!A:B""), 2, FALSE), 0)"),266.0)</f>
        <v>266</v>
      </c>
      <c r="D1588" s="2" t="str">
        <f>IFERROR(__xludf.DUMMYFUNCTION("IFERROR(VLOOKUP(A1588, IMPORTRANGE(""https://docs.google.com/spreadsheets/d/1-3Vjw2Cyy-mry5gbC8ypIR3YVGFfEpyFESummAta6sg/edit"", ""Sheet1!B:D""), 2, FALSE), ""Not Found"")"),"gufi")</f>
        <v>gufi</v>
      </c>
      <c r="E1588" s="2" t="str">
        <f>IFERROR(__xludf.DUMMYFUNCTION("IFERROR(VLOOKUP(A1588, IMPORTRANGE(""https://docs.google.com/spreadsheets/d/1-3Vjw2Cyy-mry5gbC8ypIR3YVGFfEpyFESummAta6sg/edit"", ""Sheet1!B:D""), 3, FALSE), ""Not Found"")"),"g u f i ")</f>
        <v>g u f i </v>
      </c>
    </row>
    <row r="1589">
      <c r="A1589" s="1" t="s">
        <v>1592</v>
      </c>
      <c r="B1589" s="1" t="s">
        <v>5</v>
      </c>
      <c r="C1589" s="2">
        <f>IFERROR(__xludf.DUMMYFUNCTION("IFERROR(VLOOKUP(A1589, IMPORTRANGE(""https://docs.google.com/spreadsheets/d/1AVX9GT0dgogEBStecCXMMQ29tWz3gBrtNB8yIromXbY/edit?gid=741673867"", ""out1g!A:B""), 2, FALSE), 0)"),4100.0)</f>
        <v>4100</v>
      </c>
      <c r="D1589" s="2" t="str">
        <f>IFERROR(__xludf.DUMMYFUNCTION("IFERROR(VLOOKUP(A1589, IMPORTRANGE(""https://docs.google.com/spreadsheets/d/1-3Vjw2Cyy-mry5gbC8ypIR3YVGFfEpyFESummAta6sg/edit"", ""Sheet1!B:D""), 2, FALSE), ""Not Found"")"),"rɪʧ")</f>
        <v>rɪʧ</v>
      </c>
      <c r="E1589" s="2" t="str">
        <f>IFERROR(__xludf.DUMMYFUNCTION("IFERROR(VLOOKUP(A1589, IMPORTRANGE(""https://docs.google.com/spreadsheets/d/1-3Vjw2Cyy-mry5gbC8ypIR3YVGFfEpyFESummAta6sg/edit"", ""Sheet1!B:D""), 3, FALSE), ""Not Found"")"),"r ɪ ʧ ")</f>
        <v>r ɪ ʧ </v>
      </c>
    </row>
    <row r="1590">
      <c r="A1590" s="1" t="s">
        <v>1593</v>
      </c>
      <c r="B1590" s="1" t="s">
        <v>5</v>
      </c>
      <c r="C1590" s="2">
        <f>IFERROR(__xludf.DUMMYFUNCTION("IFERROR(VLOOKUP(A1590, IMPORTRANGE(""https://docs.google.com/spreadsheets/d/1AVX9GT0dgogEBStecCXMMQ29tWz3gBrtNB8yIromXbY/edit?gid=741673867"", ""out1g!A:B""), 2, FALSE), 0)"),59.0)</f>
        <v>59</v>
      </c>
      <c r="D1590" s="2" t="str">
        <f>IFERROR(__xludf.DUMMYFUNCTION("IFERROR(VLOOKUP(A1590, IMPORTRANGE(""https://docs.google.com/spreadsheets/d/1-3Vjw2Cyy-mry5gbC8ypIR3YVGFfEpyFESummAta6sg/edit"", ""Sheet1!B:D""), 2, FALSE), ""Not Found"")"),"dʊrɛs")</f>
        <v>dʊrɛs</v>
      </c>
      <c r="E1590" s="2" t="str">
        <f>IFERROR(__xludf.DUMMYFUNCTION("IFERROR(VLOOKUP(A1590, IMPORTRANGE(""https://docs.google.com/spreadsheets/d/1-3Vjw2Cyy-mry5gbC8ypIR3YVGFfEpyFESummAta6sg/edit"", ""Sheet1!B:D""), 3, FALSE), ""Not Found"")"),"d ʊ r ɛ s ")</f>
        <v>d ʊ r ɛ s </v>
      </c>
    </row>
    <row r="1591">
      <c r="A1591" s="1" t="s">
        <v>1594</v>
      </c>
      <c r="B1591" s="1" t="s">
        <v>5</v>
      </c>
      <c r="C1591" s="2">
        <f>IFERROR(__xludf.DUMMYFUNCTION("IFERROR(VLOOKUP(A1591, IMPORTRANGE(""https://docs.google.com/spreadsheets/d/1AVX9GT0dgogEBStecCXMMQ29tWz3gBrtNB8yIromXbY/edit?gid=741673867"", ""out1g!A:B""), 2, FALSE), 0)"),106.0)</f>
        <v>106</v>
      </c>
      <c r="D1591" s="2" t="str">
        <f>IFERROR(__xludf.DUMMYFUNCTION("IFERROR(VLOOKUP(A1591, IMPORTRANGE(""https://docs.google.com/spreadsheets/d/1-3Vjw2Cyy-mry5gbC8ypIR3YVGFfEpyFESummAta6sg/edit"", ""Sheet1!B:D""), 2, FALSE), ""Not Found"")"),"rutɪŋ")</f>
        <v>rutɪŋ</v>
      </c>
      <c r="E1591" s="2" t="str">
        <f>IFERROR(__xludf.DUMMYFUNCTION("IFERROR(VLOOKUP(A1591, IMPORTRANGE(""https://docs.google.com/spreadsheets/d/1-3Vjw2Cyy-mry5gbC8ypIR3YVGFfEpyFESummAta6sg/edit"", ""Sheet1!B:D""), 3, FALSE), ""Not Found"")"),"r u t ɪ ŋ ")</f>
        <v>r u t ɪ ŋ </v>
      </c>
    </row>
    <row r="1592">
      <c r="A1592" s="1" t="s">
        <v>1595</v>
      </c>
      <c r="B1592" s="1" t="s">
        <v>5</v>
      </c>
      <c r="C1592" s="2">
        <f>IFERROR(__xludf.DUMMYFUNCTION("IFERROR(VLOOKUP(A1592, IMPORTRANGE(""https://docs.google.com/spreadsheets/d/1AVX9GT0dgogEBStecCXMMQ29tWz3gBrtNB8yIromXbY/edit?gid=741673867"", ""out1g!A:B""), 2, FALSE), 0)"),88.0)</f>
        <v>88</v>
      </c>
      <c r="D1592" s="2" t="str">
        <f>IFERROR(__xludf.DUMMYFUNCTION("IFERROR(VLOOKUP(A1592, IMPORTRANGE(""https://docs.google.com/spreadsheets/d/1-3Vjw2Cyy-mry5gbC8ypIR3YVGFfEpyFESummAta6sg/edit"", ""Sheet1!B:D""), 2, FALSE), ""Not Found"")"),"mæʤ")</f>
        <v>mæʤ</v>
      </c>
      <c r="E1592" s="2" t="str">
        <f>IFERROR(__xludf.DUMMYFUNCTION("IFERROR(VLOOKUP(A1592, IMPORTRANGE(""https://docs.google.com/spreadsheets/d/1-3Vjw2Cyy-mry5gbC8ypIR3YVGFfEpyFESummAta6sg/edit"", ""Sheet1!B:D""), 3, FALSE), ""Not Found"")"),"m æ ʤ ")</f>
        <v>m æ ʤ </v>
      </c>
    </row>
    <row r="1593">
      <c r="A1593" s="1" t="s">
        <v>1596</v>
      </c>
      <c r="B1593" s="1" t="s">
        <v>5</v>
      </c>
      <c r="C1593" s="2">
        <f>IFERROR(__xludf.DUMMYFUNCTION("IFERROR(VLOOKUP(A1593, IMPORTRANGE(""https://docs.google.com/spreadsheets/d/1AVX9GT0dgogEBStecCXMMQ29tWz3gBrtNB8yIromXbY/edit?gid=741673867"", ""out1g!A:B""), 2, FALSE), 0)"),231.0)</f>
        <v>231</v>
      </c>
      <c r="D1593" s="2" t="str">
        <f>IFERROR(__xludf.DUMMYFUNCTION("IFERROR(VLOOKUP(A1593, IMPORTRANGE(""https://docs.google.com/spreadsheets/d/1-3Vjw2Cyy-mry5gbC8ypIR3YVGFfEpyFESummAta6sg/edit"", ""Sheet1!B:D""), 2, FALSE), ""Not Found"")"),"fɪlθ")</f>
        <v>fɪlθ</v>
      </c>
      <c r="E1593" s="2" t="str">
        <f>IFERROR(__xludf.DUMMYFUNCTION("IFERROR(VLOOKUP(A1593, IMPORTRANGE(""https://docs.google.com/spreadsheets/d/1-3Vjw2Cyy-mry5gbC8ypIR3YVGFfEpyFESummAta6sg/edit"", ""Sheet1!B:D""), 3, FALSE), ""Not Found"")"),"f ɪ l θ ")</f>
        <v>f ɪ l θ </v>
      </c>
    </row>
    <row r="1594">
      <c r="A1594" s="1" t="s">
        <v>1597</v>
      </c>
      <c r="B1594" s="1" t="s">
        <v>5</v>
      </c>
      <c r="C1594" s="2">
        <f>IFERROR(__xludf.DUMMYFUNCTION("IFERROR(VLOOKUP(A1594, IMPORTRANGE(""https://docs.google.com/spreadsheets/d/1AVX9GT0dgogEBStecCXMMQ29tWz3gBrtNB8yIromXbY/edit?gid=741673867"", ""out1g!A:B""), 2, FALSE), 0)"),1538.0)</f>
        <v>1538</v>
      </c>
      <c r="D1594" s="2" t="str">
        <f>IFERROR(__xludf.DUMMYFUNCTION("IFERROR(VLOOKUP(A1594, IMPORTRANGE(""https://docs.google.com/spreadsheets/d/1-3Vjw2Cyy-mry5gbC8ypIR3YVGFfEpyFESummAta6sg/edit"", ""Sheet1!B:D""), 2, FALSE), ""Not Found"")"),"kɪm")</f>
        <v>kɪm</v>
      </c>
      <c r="E1594" s="2" t="str">
        <f>IFERROR(__xludf.DUMMYFUNCTION("IFERROR(VLOOKUP(A1594, IMPORTRANGE(""https://docs.google.com/spreadsheets/d/1-3Vjw2Cyy-mry5gbC8ypIR3YVGFfEpyFESummAta6sg/edit"", ""Sheet1!B:D""), 3, FALSE), ""Not Found"")"),"k ɪ m ")</f>
        <v>k ɪ m </v>
      </c>
    </row>
    <row r="1595">
      <c r="A1595" s="1" t="s">
        <v>1598</v>
      </c>
      <c r="B1595" s="1" t="s">
        <v>5</v>
      </c>
      <c r="C1595" s="2">
        <f>IFERROR(__xludf.DUMMYFUNCTION("IFERROR(VLOOKUP(A1595, IMPORTRANGE(""https://docs.google.com/spreadsheets/d/1AVX9GT0dgogEBStecCXMMQ29tWz3gBrtNB8yIromXbY/edit?gid=741673867"", ""out1g!A:B""), 2, FALSE), 0)"),281.0)</f>
        <v>281</v>
      </c>
      <c r="D1595" s="2" t="str">
        <f>IFERROR(__xludf.DUMMYFUNCTION("IFERROR(VLOOKUP(A1595, IMPORTRANGE(""https://docs.google.com/spreadsheets/d/1-3Vjw2Cyy-mry5gbC8ypIR3YVGFfEpyFESummAta6sg/edit"", ""Sheet1!B:D""), 2, FALSE), ""Not Found"")"),"koʊl")</f>
        <v>koʊl</v>
      </c>
      <c r="E1595" s="2" t="str">
        <f>IFERROR(__xludf.DUMMYFUNCTION("IFERROR(VLOOKUP(A1595, IMPORTRANGE(""https://docs.google.com/spreadsheets/d/1-3Vjw2Cyy-mry5gbC8ypIR3YVGFfEpyFESummAta6sg/edit"", ""Sheet1!B:D""), 3, FALSE), ""Not Found"")"),"k o ʊ l ")</f>
        <v>k o ʊ l </v>
      </c>
    </row>
    <row r="1596">
      <c r="A1596" s="1" t="s">
        <v>1599</v>
      </c>
      <c r="B1596" s="1" t="s">
        <v>5</v>
      </c>
      <c r="C1596" s="2">
        <f>IFERROR(__xludf.DUMMYFUNCTION("IFERROR(VLOOKUP(A1596, IMPORTRANGE(""https://docs.google.com/spreadsheets/d/1AVX9GT0dgogEBStecCXMMQ29tWz3gBrtNB8yIromXbY/edit?gid=741673867"", ""out1g!A:B""), 2, FALSE), 0)"),31.0)</f>
        <v>31</v>
      </c>
      <c r="D1596" s="2" t="str">
        <f>IFERROR(__xludf.DUMMYFUNCTION("IFERROR(VLOOKUP(A1596, IMPORTRANGE(""https://docs.google.com/spreadsheets/d/1-3Vjw2Cyy-mry5gbC8ypIR3YVGFfEpyFESummAta6sg/edit"", ""Sheet1!B:D""), 2, FALSE), ""Not Found"")"),"waɪtɪŋ")</f>
        <v>waɪtɪŋ</v>
      </c>
      <c r="E1596" s="2" t="str">
        <f>IFERROR(__xludf.DUMMYFUNCTION("IFERROR(VLOOKUP(A1596, IMPORTRANGE(""https://docs.google.com/spreadsheets/d/1-3Vjw2Cyy-mry5gbC8ypIR3YVGFfEpyFESummAta6sg/edit"", ""Sheet1!B:D""), 3, FALSE), ""Not Found"")"),"w a ɪ t ɪ ŋ ")</f>
        <v>w a ɪ t ɪ ŋ </v>
      </c>
    </row>
    <row r="1597">
      <c r="A1597" s="1" t="s">
        <v>1600</v>
      </c>
      <c r="B1597" s="1" t="s">
        <v>5</v>
      </c>
      <c r="C1597" s="2">
        <f>IFERROR(__xludf.DUMMYFUNCTION("IFERROR(VLOOKUP(A1597, IMPORTRANGE(""https://docs.google.com/spreadsheets/d/1AVX9GT0dgogEBStecCXMMQ29tWz3gBrtNB8yIromXbY/edit?gid=741673867"", ""out1g!A:B""), 2, FALSE), 0)"),50.0)</f>
        <v>50</v>
      </c>
      <c r="D1597" s="2" t="str">
        <f>IFERROR(__xludf.DUMMYFUNCTION("IFERROR(VLOOKUP(A1597, IMPORTRANGE(""https://docs.google.com/spreadsheets/d/1-3Vjw2Cyy-mry5gbC8ypIR3YVGFfEpyFESummAta6sg/edit"", ""Sheet1!B:D""), 2, FALSE), ""Not Found"")"),"tɑrp")</f>
        <v>tɑrp</v>
      </c>
      <c r="E1597" s="2" t="str">
        <f>IFERROR(__xludf.DUMMYFUNCTION("IFERROR(VLOOKUP(A1597, IMPORTRANGE(""https://docs.google.com/spreadsheets/d/1-3Vjw2Cyy-mry5gbC8ypIR3YVGFfEpyFESummAta6sg/edit"", ""Sheet1!B:D""), 3, FALSE), ""Not Found"")"),"t ɑ r p ")</f>
        <v>t ɑ r p </v>
      </c>
    </row>
    <row r="1598">
      <c r="A1598" s="1" t="s">
        <v>1601</v>
      </c>
      <c r="B1598" s="1" t="s">
        <v>5</v>
      </c>
      <c r="C1598" s="2">
        <f>IFERROR(__xludf.DUMMYFUNCTION("IFERROR(VLOOKUP(A1598, IMPORTRANGE(""https://docs.google.com/spreadsheets/d/1AVX9GT0dgogEBStecCXMMQ29tWz3gBrtNB8yIromXbY/edit?gid=741673867"", ""out1g!A:B""), 2, FALSE), 0)"),208.0)</f>
        <v>208</v>
      </c>
      <c r="D1598" s="2" t="str">
        <f>IFERROR(__xludf.DUMMYFUNCTION("IFERROR(VLOOKUP(A1598, IMPORTRANGE(""https://docs.google.com/spreadsheets/d/1-3Vjw2Cyy-mry5gbC8ypIR3YVGFfEpyFESummAta6sg/edit"", ""Sheet1!B:D""), 2, FALSE), ""Not Found"")"),"kipər")</f>
        <v>kipər</v>
      </c>
      <c r="E1598" s="2" t="str">
        <f>IFERROR(__xludf.DUMMYFUNCTION("IFERROR(VLOOKUP(A1598, IMPORTRANGE(""https://docs.google.com/spreadsheets/d/1-3Vjw2Cyy-mry5gbC8ypIR3YVGFfEpyFESummAta6sg/edit"", ""Sheet1!B:D""), 3, FALSE), ""Not Found"")"),"k i p ə r ")</f>
        <v>k i p ə r </v>
      </c>
    </row>
    <row r="1599">
      <c r="A1599" s="1" t="s">
        <v>1602</v>
      </c>
      <c r="B1599" s="1" t="s">
        <v>5</v>
      </c>
      <c r="C1599" s="2">
        <f>IFERROR(__xludf.DUMMYFUNCTION("IFERROR(VLOOKUP(A1599, IMPORTRANGE(""https://docs.google.com/spreadsheets/d/1AVX9GT0dgogEBStecCXMMQ29tWz3gBrtNB8yIromXbY/edit?gid=741673867"", ""out1g!A:B""), 2, FALSE), 0)"),4122.0)</f>
        <v>4122</v>
      </c>
      <c r="D1599" s="2" t="str">
        <f>IFERROR(__xludf.DUMMYFUNCTION("IFERROR(VLOOKUP(A1599, IMPORTRANGE(""https://docs.google.com/spreadsheets/d/1-3Vjw2Cyy-mry5gbC8ypIR3YVGFfEpyFESummAta6sg/edit"", ""Sheet1!B:D""), 2, FALSE), ""Not Found"")"),"dɑk")</f>
        <v>dɑk</v>
      </c>
      <c r="E1599" s="2" t="str">
        <f>IFERROR(__xludf.DUMMYFUNCTION("IFERROR(VLOOKUP(A1599, IMPORTRANGE(""https://docs.google.com/spreadsheets/d/1-3Vjw2Cyy-mry5gbC8ypIR3YVGFfEpyFESummAta6sg/edit"", ""Sheet1!B:D""), 3, FALSE), ""Not Found"")"),"d ɑ k ")</f>
        <v>d ɑ k </v>
      </c>
    </row>
    <row r="1600">
      <c r="A1600" s="1" t="s">
        <v>1603</v>
      </c>
      <c r="B1600" s="1" t="s">
        <v>5</v>
      </c>
      <c r="C1600" s="2">
        <f>IFERROR(__xludf.DUMMYFUNCTION("IFERROR(VLOOKUP(A1600, IMPORTRANGE(""https://docs.google.com/spreadsheets/d/1AVX9GT0dgogEBStecCXMMQ29tWz3gBrtNB8yIromXbY/edit?gid=741673867"", ""out1g!A:B""), 2, FALSE), 0)"),418.0)</f>
        <v>418</v>
      </c>
      <c r="D1600" s="2" t="str">
        <f>IFERROR(__xludf.DUMMYFUNCTION("IFERROR(VLOOKUP(A1600, IMPORTRANGE(""https://docs.google.com/spreadsheets/d/1-3Vjw2Cyy-mry5gbC8ypIR3YVGFfEpyFESummAta6sg/edit"", ""Sheet1!B:D""), 2, FALSE), ""Not Found"")"),"ʃild")</f>
        <v>ʃild</v>
      </c>
      <c r="E1600" s="2" t="str">
        <f>IFERROR(__xludf.DUMMYFUNCTION("IFERROR(VLOOKUP(A1600, IMPORTRANGE(""https://docs.google.com/spreadsheets/d/1-3Vjw2Cyy-mry5gbC8ypIR3YVGFfEpyFESummAta6sg/edit"", ""Sheet1!B:D""), 3, FALSE), ""Not Found"")"),"ʃ i l d ")</f>
        <v>ʃ i l d </v>
      </c>
    </row>
    <row r="1601">
      <c r="A1601" s="1" t="s">
        <v>1604</v>
      </c>
      <c r="B1601" s="1" t="s">
        <v>5</v>
      </c>
      <c r="C1601" s="2">
        <f>IFERROR(__xludf.DUMMYFUNCTION("IFERROR(VLOOKUP(A1601, IMPORTRANGE(""https://docs.google.com/spreadsheets/d/1AVX9GT0dgogEBStecCXMMQ29tWz3gBrtNB8yIromXbY/edit?gid=741673867"", ""out1g!A:B""), 2, FALSE), 0)"),352.0)</f>
        <v>352</v>
      </c>
      <c r="D1601" s="2" t="str">
        <f>IFERROR(__xludf.DUMMYFUNCTION("IFERROR(VLOOKUP(A1601, IMPORTRANGE(""https://docs.google.com/spreadsheets/d/1-3Vjw2Cyy-mry5gbC8ypIR3YVGFfEpyFESummAta6sg/edit"", ""Sheet1!B:D""), 2, FALSE), ""Not Found"")"),"kræb")</f>
        <v>kræb</v>
      </c>
      <c r="E1601" s="2" t="str">
        <f>IFERROR(__xludf.DUMMYFUNCTION("IFERROR(VLOOKUP(A1601, IMPORTRANGE(""https://docs.google.com/spreadsheets/d/1-3Vjw2Cyy-mry5gbC8ypIR3YVGFfEpyFESummAta6sg/edit"", ""Sheet1!B:D""), 3, FALSE), ""Not Found"")"),"k r æ b ")</f>
        <v>k r æ b </v>
      </c>
    </row>
    <row r="1602">
      <c r="A1602" s="1" t="s">
        <v>1605</v>
      </c>
      <c r="B1602" s="1" t="s">
        <v>5</v>
      </c>
      <c r="C1602" s="2">
        <f>IFERROR(__xludf.DUMMYFUNCTION("IFERROR(VLOOKUP(A1602, IMPORTRANGE(""https://docs.google.com/spreadsheets/d/1AVX9GT0dgogEBStecCXMMQ29tWz3gBrtNB8yIromXbY/edit?gid=741673867"", ""out1g!A:B""), 2, FALSE), 0)"),53.0)</f>
        <v>53</v>
      </c>
      <c r="D1602" s="2" t="str">
        <f>IFERROR(__xludf.DUMMYFUNCTION("IFERROR(VLOOKUP(A1602, IMPORTRANGE(""https://docs.google.com/spreadsheets/d/1-3Vjw2Cyy-mry5gbC8ypIR3YVGFfEpyFESummAta6sg/edit"", ""Sheet1!B:D""), 2, FALSE), ""Not Found"")"),"mid")</f>
        <v>mid</v>
      </c>
      <c r="E1602" s="2" t="str">
        <f>IFERROR(__xludf.DUMMYFUNCTION("IFERROR(VLOOKUP(A1602, IMPORTRANGE(""https://docs.google.com/spreadsheets/d/1-3Vjw2Cyy-mry5gbC8ypIR3YVGFfEpyFESummAta6sg/edit"", ""Sheet1!B:D""), 3, FALSE), ""Not Found"")"),"m i d ")</f>
        <v>m i d </v>
      </c>
    </row>
    <row r="1603">
      <c r="A1603" s="1" t="s">
        <v>1606</v>
      </c>
      <c r="B1603" s="1" t="s">
        <v>5</v>
      </c>
      <c r="C1603" s="2">
        <f>IFERROR(__xludf.DUMMYFUNCTION("IFERROR(VLOOKUP(A1603, IMPORTRANGE(""https://docs.google.com/spreadsheets/d/1AVX9GT0dgogEBStecCXMMQ29tWz3gBrtNB8yIromXbY/edit?gid=741673867"", ""out1g!A:B""), 2, FALSE), 0)"),72.0)</f>
        <v>72</v>
      </c>
      <c r="D1603" s="2" t="str">
        <f>IFERROR(__xludf.DUMMYFUNCTION("IFERROR(VLOOKUP(A1603, IMPORTRANGE(""https://docs.google.com/spreadsheets/d/1-3Vjw2Cyy-mry5gbC8ypIR3YVGFfEpyFESummAta6sg/edit"", ""Sheet1!B:D""), 2, FALSE), ""Not Found"")"),"ɔraɪən")</f>
        <v>ɔraɪən</v>
      </c>
      <c r="E1603" s="2" t="str">
        <f>IFERROR(__xludf.DUMMYFUNCTION("IFERROR(VLOOKUP(A1603, IMPORTRANGE(""https://docs.google.com/spreadsheets/d/1-3Vjw2Cyy-mry5gbC8ypIR3YVGFfEpyFESummAta6sg/edit"", ""Sheet1!B:D""), 3, FALSE), ""Not Found"")"),"ɔ r a ɪ ə n ")</f>
        <v>ɔ r a ɪ ə n </v>
      </c>
    </row>
    <row r="1604">
      <c r="A1604" s="1" t="s">
        <v>1607</v>
      </c>
      <c r="B1604" s="1" t="s">
        <v>5</v>
      </c>
      <c r="C1604" s="2">
        <f>IFERROR(__xludf.DUMMYFUNCTION("IFERROR(VLOOKUP(A1604, IMPORTRANGE(""https://docs.google.com/spreadsheets/d/1AVX9GT0dgogEBStecCXMMQ29tWz3gBrtNB8yIromXbY/edit?gid=741673867"", ""out1g!A:B""), 2, FALSE), 0)"),1900.0)</f>
        <v>1900</v>
      </c>
      <c r="D1604" s="2" t="str">
        <f>IFERROR(__xludf.DUMMYFUNCTION("IFERROR(VLOOKUP(A1604, IMPORTRANGE(""https://docs.google.com/spreadsheets/d/1-3Vjw2Cyy-mry5gbC8ypIR3YVGFfEpyFESummAta6sg/edit"", ""Sheet1!B:D""), 2, FALSE), ""Not Found"")"),"pɛr")</f>
        <v>pɛr</v>
      </c>
      <c r="E1604" s="2" t="str">
        <f>IFERROR(__xludf.DUMMYFUNCTION("IFERROR(VLOOKUP(A1604, IMPORTRANGE(""https://docs.google.com/spreadsheets/d/1-3Vjw2Cyy-mry5gbC8ypIR3YVGFfEpyFESummAta6sg/edit"", ""Sheet1!B:D""), 3, FALSE), ""Not Found"")"),"p ɛ r ")</f>
        <v>p ɛ r </v>
      </c>
    </row>
    <row r="1605">
      <c r="A1605" s="1" t="s">
        <v>1608</v>
      </c>
      <c r="B1605" s="1" t="s">
        <v>5</v>
      </c>
      <c r="C1605" s="2">
        <f>IFERROR(__xludf.DUMMYFUNCTION("IFERROR(VLOOKUP(A1605, IMPORTRANGE(""https://docs.google.com/spreadsheets/d/1AVX9GT0dgogEBStecCXMMQ29tWz3gBrtNB8yIromXbY/edit?gid=741673867"", ""out1g!A:B""), 2, FALSE), 0)"),1459.0)</f>
        <v>1459</v>
      </c>
      <c r="D1605" s="2" t="str">
        <f>IFERROR(__xludf.DUMMYFUNCTION("IFERROR(VLOOKUP(A1605, IMPORTRANGE(""https://docs.google.com/spreadsheets/d/1-3Vjw2Cyy-mry5gbC8ypIR3YVGFfEpyFESummAta6sg/edit"", ""Sheet1!B:D""), 2, FALSE), ""Not Found"")"),"sæt")</f>
        <v>sæt</v>
      </c>
      <c r="E1605" s="2" t="str">
        <f>IFERROR(__xludf.DUMMYFUNCTION("IFERROR(VLOOKUP(A1605, IMPORTRANGE(""https://docs.google.com/spreadsheets/d/1-3Vjw2Cyy-mry5gbC8ypIR3YVGFfEpyFESummAta6sg/edit"", ""Sheet1!B:D""), 3, FALSE), ""Not Found"")"),"s æ t ")</f>
        <v>s æ t </v>
      </c>
    </row>
    <row r="1606">
      <c r="A1606" s="1" t="s">
        <v>1609</v>
      </c>
      <c r="B1606" s="1" t="s">
        <v>5</v>
      </c>
      <c r="C1606" s="2">
        <f>IFERROR(__xludf.DUMMYFUNCTION("IFERROR(VLOOKUP(A1606, IMPORTRANGE(""https://docs.google.com/spreadsheets/d/1AVX9GT0dgogEBStecCXMMQ29tWz3gBrtNB8yIromXbY/edit?gid=741673867"", ""out1g!A:B""), 2, FALSE), 0)"),305.0)</f>
        <v>305</v>
      </c>
      <c r="D1606" s="2" t="str">
        <f>IFERROR(__xludf.DUMMYFUNCTION("IFERROR(VLOOKUP(A1606, IMPORTRANGE(""https://docs.google.com/spreadsheets/d/1-3Vjw2Cyy-mry5gbC8ypIR3YVGFfEpyFESummAta6sg/edit"", ""Sheet1!B:D""), 2, FALSE), ""Not Found"")"),"brek")</f>
        <v>brek</v>
      </c>
      <c r="E1606" s="2" t="str">
        <f>IFERROR(__xludf.DUMMYFUNCTION("IFERROR(VLOOKUP(A1606, IMPORTRANGE(""https://docs.google.com/spreadsheets/d/1-3Vjw2Cyy-mry5gbC8ypIR3YVGFfEpyFESummAta6sg/edit"", ""Sheet1!B:D""), 3, FALSE), ""Not Found"")"),"b r e k ")</f>
        <v>b r e k </v>
      </c>
    </row>
    <row r="1607">
      <c r="A1607" s="1" t="s">
        <v>1610</v>
      </c>
      <c r="B1607" s="1" t="s">
        <v>5</v>
      </c>
      <c r="C1607" s="2">
        <f>IFERROR(__xludf.DUMMYFUNCTION("IFERROR(VLOOKUP(A1607, IMPORTRANGE(""https://docs.google.com/spreadsheets/d/1AVX9GT0dgogEBStecCXMMQ29tWz3gBrtNB8yIromXbY/edit?gid=741673867"", ""out1g!A:B""), 2, FALSE), 0)"),133.0)</f>
        <v>133</v>
      </c>
      <c r="D1607" s="2" t="str">
        <f>IFERROR(__xludf.DUMMYFUNCTION("IFERROR(VLOOKUP(A1607, IMPORTRANGE(""https://docs.google.com/spreadsheets/d/1-3Vjw2Cyy-mry5gbC8ypIR3YVGFfEpyFESummAta6sg/edit"", ""Sheet1!B:D""), 2, FALSE), ""Not Found"")"),"mɛnd")</f>
        <v>mɛnd</v>
      </c>
      <c r="E1607" s="2" t="str">
        <f>IFERROR(__xludf.DUMMYFUNCTION("IFERROR(VLOOKUP(A1607, IMPORTRANGE(""https://docs.google.com/spreadsheets/d/1-3Vjw2Cyy-mry5gbC8ypIR3YVGFfEpyFESummAta6sg/edit"", ""Sheet1!B:D""), 3, FALSE), ""Not Found"")"),"m ɛ n d ")</f>
        <v>m ɛ n d </v>
      </c>
    </row>
    <row r="1608">
      <c r="A1608" s="1" t="s">
        <v>1611</v>
      </c>
      <c r="B1608" s="1" t="s">
        <v>5</v>
      </c>
      <c r="C1608" s="2">
        <f>IFERROR(__xludf.DUMMYFUNCTION("IFERROR(VLOOKUP(A1608, IMPORTRANGE(""https://docs.google.com/spreadsheets/d/1AVX9GT0dgogEBStecCXMMQ29tWz3gBrtNB8yIromXbY/edit?gid=741673867"", ""out1g!A:B""), 2, FALSE), 0)"),107.0)</f>
        <v>107</v>
      </c>
      <c r="D1608" s="2" t="str">
        <f>IFERROR(__xludf.DUMMYFUNCTION("IFERROR(VLOOKUP(A1608, IMPORTRANGE(""https://docs.google.com/spreadsheets/d/1-3Vjw2Cyy-mry5gbC8ypIR3YVGFfEpyFESummAta6sg/edit"", ""Sheet1!B:D""), 2, FALSE), ""Not Found"")"),"bruzd")</f>
        <v>bruzd</v>
      </c>
      <c r="E1608" s="2" t="str">
        <f>IFERROR(__xludf.DUMMYFUNCTION("IFERROR(VLOOKUP(A1608, IMPORTRANGE(""https://docs.google.com/spreadsheets/d/1-3Vjw2Cyy-mry5gbC8ypIR3YVGFfEpyFESummAta6sg/edit"", ""Sheet1!B:D""), 3, FALSE), ""Not Found"")"),"b r u z d ")</f>
        <v>b r u z d </v>
      </c>
    </row>
    <row r="1609">
      <c r="A1609" s="1" t="s">
        <v>1612</v>
      </c>
      <c r="B1609" s="1" t="s">
        <v>5</v>
      </c>
      <c r="C1609" s="2">
        <f>IFERROR(__xludf.DUMMYFUNCTION("IFERROR(VLOOKUP(A1609, IMPORTRANGE(""https://docs.google.com/spreadsheets/d/1AVX9GT0dgogEBStecCXMMQ29tWz3gBrtNB8yIromXbY/edit?gid=741673867"", ""out1g!A:B""), 2, FALSE), 0)"),11478.0)</f>
        <v>11478</v>
      </c>
      <c r="D1609" s="2" t="str">
        <f>IFERROR(__xludf.DUMMYFUNCTION("IFERROR(VLOOKUP(A1609, IMPORTRANGE(""https://docs.google.com/spreadsheets/d/1-3Vjw2Cyy-mry5gbC8ypIR3YVGFfEpyFESummAta6sg/edit"", ""Sheet1!B:D""), 2, FALSE), ""Not Found"")"),"wɔtər")</f>
        <v>wɔtər</v>
      </c>
      <c r="E1609" s="2" t="str">
        <f>IFERROR(__xludf.DUMMYFUNCTION("IFERROR(VLOOKUP(A1609, IMPORTRANGE(""https://docs.google.com/spreadsheets/d/1-3Vjw2Cyy-mry5gbC8ypIR3YVGFfEpyFESummAta6sg/edit"", ""Sheet1!B:D""), 3, FALSE), ""Not Found"")"),"w ɔ t ə r ")</f>
        <v>w ɔ t ə r </v>
      </c>
    </row>
    <row r="1610">
      <c r="A1610" s="1" t="s">
        <v>1613</v>
      </c>
      <c r="B1610" s="1" t="s">
        <v>5</v>
      </c>
      <c r="C1610" s="2">
        <f>IFERROR(__xludf.DUMMYFUNCTION("IFERROR(VLOOKUP(A1610, IMPORTRANGE(""https://docs.google.com/spreadsheets/d/1AVX9GT0dgogEBStecCXMMQ29tWz3gBrtNB8yIromXbY/edit?gid=741673867"", ""out1g!A:B""), 2, FALSE), 0)"),12849.0)</f>
        <v>12849</v>
      </c>
      <c r="D1610" s="2" t="str">
        <f>IFERROR(__xludf.DUMMYFUNCTION("IFERROR(VLOOKUP(A1610, IMPORTRANGE(""https://docs.google.com/spreadsheets/d/1-3Vjw2Cyy-mry5gbC8ypIR3YVGFfEpyFESummAta6sg/edit"", ""Sheet1!B:D""), 2, FALSE), ""Not Found"")"),"ɛm")</f>
        <v>ɛm</v>
      </c>
      <c r="E1610" s="2" t="str">
        <f>IFERROR(__xludf.DUMMYFUNCTION("IFERROR(VLOOKUP(A1610, IMPORTRANGE(""https://docs.google.com/spreadsheets/d/1-3Vjw2Cyy-mry5gbC8ypIR3YVGFfEpyFESummAta6sg/edit"", ""Sheet1!B:D""), 3, FALSE), ""Not Found"")"),"ɛ m ")</f>
        <v>ɛ m </v>
      </c>
    </row>
    <row r="1611">
      <c r="A1611" s="1" t="s">
        <v>1614</v>
      </c>
      <c r="B1611" s="1" t="s">
        <v>5</v>
      </c>
      <c r="C1611" s="2">
        <f>IFERROR(__xludf.DUMMYFUNCTION("IFERROR(VLOOKUP(A1611, IMPORTRANGE(""https://docs.google.com/spreadsheets/d/1AVX9GT0dgogEBStecCXMMQ29tWz3gBrtNB8yIromXbY/edit?gid=741673867"", ""out1g!A:B""), 2, FALSE), 0)"),1059.0)</f>
        <v>1059</v>
      </c>
      <c r="D1611" s="2" t="str">
        <f>IFERROR(__xludf.DUMMYFUNCTION("IFERROR(VLOOKUP(A1611, IMPORTRANGE(""https://docs.google.com/spreadsheets/d/1-3Vjw2Cyy-mry5gbC8ypIR3YVGFfEpyFESummAta6sg/edit"", ""Sheet1!B:D""), 2, FALSE), ""Not Found"")"),"θrɛt")</f>
        <v>θrɛt</v>
      </c>
      <c r="E1611" s="2" t="str">
        <f>IFERROR(__xludf.DUMMYFUNCTION("IFERROR(VLOOKUP(A1611, IMPORTRANGE(""https://docs.google.com/spreadsheets/d/1-3Vjw2Cyy-mry5gbC8ypIR3YVGFfEpyFESummAta6sg/edit"", ""Sheet1!B:D""), 3, FALSE), ""Not Found"")"),"θ r ɛ t ")</f>
        <v>θ r ɛ t </v>
      </c>
    </row>
    <row r="1612">
      <c r="A1612" s="1" t="s">
        <v>1615</v>
      </c>
      <c r="B1612" s="1" t="s">
        <v>5</v>
      </c>
      <c r="C1612" s="2">
        <f>IFERROR(__xludf.DUMMYFUNCTION("IFERROR(VLOOKUP(A1612, IMPORTRANGE(""https://docs.google.com/spreadsheets/d/1AVX9GT0dgogEBStecCXMMQ29tWz3gBrtNB8yIromXbY/edit?gid=741673867"", ""out1g!A:B""), 2, FALSE), 0)"),6349.0)</f>
        <v>6349</v>
      </c>
      <c r="D1612" s="2" t="str">
        <f>IFERROR(__xludf.DUMMYFUNCTION("IFERROR(VLOOKUP(A1612, IMPORTRANGE(""https://docs.google.com/spreadsheets/d/1-3Vjw2Cyy-mry5gbC8ypIR3YVGFfEpyFESummAta6sg/edit"", ""Sheet1!B:D""), 2, FALSE), ""Not Found"")"),"pis")</f>
        <v>pis</v>
      </c>
      <c r="E1612" s="2" t="str">
        <f>IFERROR(__xludf.DUMMYFUNCTION("IFERROR(VLOOKUP(A1612, IMPORTRANGE(""https://docs.google.com/spreadsheets/d/1-3Vjw2Cyy-mry5gbC8ypIR3YVGFfEpyFESummAta6sg/edit"", ""Sheet1!B:D""), 3, FALSE), ""Not Found"")"),"p i s ")</f>
        <v>p i s </v>
      </c>
    </row>
    <row r="1613">
      <c r="A1613" s="1" t="s">
        <v>1616</v>
      </c>
      <c r="B1613" s="1" t="s">
        <v>5</v>
      </c>
      <c r="C1613" s="2">
        <f>IFERROR(__xludf.DUMMYFUNCTION("IFERROR(VLOOKUP(A1613, IMPORTRANGE(""https://docs.google.com/spreadsheets/d/1AVX9GT0dgogEBStecCXMMQ29tWz3gBrtNB8yIromXbY/edit?gid=741673867"", ""out1g!A:B""), 2, FALSE), 0)"),54.0)</f>
        <v>54</v>
      </c>
      <c r="D1613" s="2" t="str">
        <f>IFERROR(__xludf.DUMMYFUNCTION("IFERROR(VLOOKUP(A1613, IMPORTRANGE(""https://docs.google.com/spreadsheets/d/1-3Vjw2Cyy-mry5gbC8ypIR3YVGFfEpyFESummAta6sg/edit"", ""Sheet1!B:D""), 2, FALSE), ""Not Found"")"),"ʧɪri")</f>
        <v>ʧɪri</v>
      </c>
      <c r="E1613" s="2" t="str">
        <f>IFERROR(__xludf.DUMMYFUNCTION("IFERROR(VLOOKUP(A1613, IMPORTRANGE(""https://docs.google.com/spreadsheets/d/1-3Vjw2Cyy-mry5gbC8ypIR3YVGFfEpyFESummAta6sg/edit"", ""Sheet1!B:D""), 3, FALSE), ""Not Found"")"),"ʧ ɪ r i ")</f>
        <v>ʧ ɪ r i </v>
      </c>
    </row>
    <row r="1614">
      <c r="A1614" s="1" t="s">
        <v>1617</v>
      </c>
      <c r="B1614" s="1" t="s">
        <v>5</v>
      </c>
      <c r="C1614" s="2">
        <f>IFERROR(__xludf.DUMMYFUNCTION("IFERROR(VLOOKUP(A1614, IMPORTRANGE(""https://docs.google.com/spreadsheets/d/1AVX9GT0dgogEBStecCXMMQ29tWz3gBrtNB8yIromXbY/edit?gid=741673867"", ""out1g!A:B""), 2, FALSE), 0)"),69.0)</f>
        <v>69</v>
      </c>
      <c r="D1614" s="2" t="str">
        <f>IFERROR(__xludf.DUMMYFUNCTION("IFERROR(VLOOKUP(A1614, IMPORTRANGE(""https://docs.google.com/spreadsheets/d/1-3Vjw2Cyy-mry5gbC8ypIR3YVGFfEpyFESummAta6sg/edit"", ""Sheet1!B:D""), 2, FALSE), ""Not Found"")"),"ʤər")</f>
        <v>ʤər</v>
      </c>
      <c r="E1614" s="2" t="str">
        <f>IFERROR(__xludf.DUMMYFUNCTION("IFERROR(VLOOKUP(A1614, IMPORTRANGE(""https://docs.google.com/spreadsheets/d/1-3Vjw2Cyy-mry5gbC8ypIR3YVGFfEpyFESummAta6sg/edit"", ""Sheet1!B:D""), 3, FALSE), ""Not Found"")"),"ʤ ə r ")</f>
        <v>ʤ ə r </v>
      </c>
    </row>
    <row r="1615">
      <c r="A1615" s="1" t="s">
        <v>1618</v>
      </c>
      <c r="B1615" s="1" t="s">
        <v>5</v>
      </c>
      <c r="C1615" s="2">
        <f>IFERROR(__xludf.DUMMYFUNCTION("IFERROR(VLOOKUP(A1615, IMPORTRANGE(""https://docs.google.com/spreadsheets/d/1AVX9GT0dgogEBStecCXMMQ29tWz3gBrtNB8yIromXbY/edit?gid=741673867"", ""out1g!A:B""), 2, FALSE), 0)"),272.0)</f>
        <v>272</v>
      </c>
      <c r="D1615" s="2" t="str">
        <f>IFERROR(__xludf.DUMMYFUNCTION("IFERROR(VLOOKUP(A1615, IMPORTRANGE(""https://docs.google.com/spreadsheets/d/1-3Vjw2Cyy-mry5gbC8ypIR3YVGFfEpyFESummAta6sg/edit"", ""Sheet1!B:D""), 2, FALSE), ""Not Found"")"),"vɑmət")</f>
        <v>vɑmət</v>
      </c>
      <c r="E1615" s="2" t="str">
        <f>IFERROR(__xludf.DUMMYFUNCTION("IFERROR(VLOOKUP(A1615, IMPORTRANGE(""https://docs.google.com/spreadsheets/d/1-3Vjw2Cyy-mry5gbC8ypIR3YVGFfEpyFESummAta6sg/edit"", ""Sheet1!B:D""), 3, FALSE), ""Not Found"")"),"v ɑ m ə t ")</f>
        <v>v ɑ m ə t </v>
      </c>
    </row>
    <row r="1616">
      <c r="A1616" s="1" t="s">
        <v>1619</v>
      </c>
      <c r="B1616" s="1" t="s">
        <v>5</v>
      </c>
      <c r="C1616" s="2">
        <f>IFERROR(__xludf.DUMMYFUNCTION("IFERROR(VLOOKUP(A1616, IMPORTRANGE(""https://docs.google.com/spreadsheets/d/1AVX9GT0dgogEBStecCXMMQ29tWz3gBrtNB8yIromXbY/edit?gid=741673867"", ""out1g!A:B""), 2, FALSE), 0)"),199.0)</f>
        <v>199</v>
      </c>
      <c r="D1616" s="2" t="str">
        <f>IFERROR(__xludf.DUMMYFUNCTION("IFERROR(VLOOKUP(A1616, IMPORTRANGE(""https://docs.google.com/spreadsheets/d/1-3Vjw2Cyy-mry5gbC8ypIR3YVGFfEpyFESummAta6sg/edit"", ""Sheet1!B:D""), 2, FALSE), ""Not Found"")"),"ɪrest")</f>
        <v>ɪrest</v>
      </c>
      <c r="E1616" s="2" t="str">
        <f>IFERROR(__xludf.DUMMYFUNCTION("IFERROR(VLOOKUP(A1616, IMPORTRANGE(""https://docs.google.com/spreadsheets/d/1-3Vjw2Cyy-mry5gbC8ypIR3YVGFfEpyFESummAta6sg/edit"", ""Sheet1!B:D""), 3, FALSE), ""Not Found"")"),"ɪ r e s t ")</f>
        <v>ɪ r e s t </v>
      </c>
    </row>
    <row r="1617">
      <c r="A1617" s="1" t="s">
        <v>1620</v>
      </c>
      <c r="B1617" s="1" t="s">
        <v>5</v>
      </c>
      <c r="C1617" s="2">
        <f>IFERROR(__xludf.DUMMYFUNCTION("IFERROR(VLOOKUP(A1617, IMPORTRANGE(""https://docs.google.com/spreadsheets/d/1AVX9GT0dgogEBStecCXMMQ29tWz3gBrtNB8yIromXbY/edit?gid=741673867"", ""out1g!A:B""), 2, FALSE), 0)"),2780.0)</f>
        <v>2780</v>
      </c>
      <c r="D1617" s="2" t="str">
        <f>IFERROR(__xludf.DUMMYFUNCTION("IFERROR(VLOOKUP(A1617, IMPORTRANGE(""https://docs.google.com/spreadsheets/d/1-3Vjw2Cyy-mry5gbC8ypIR3YVGFfEpyFESummAta6sg/edit"", ""Sheet1!B:D""), 2, FALSE), ""Not Found"")"),"frɛʃ")</f>
        <v>frɛʃ</v>
      </c>
      <c r="E1617" s="2" t="str">
        <f>IFERROR(__xludf.DUMMYFUNCTION("IFERROR(VLOOKUP(A1617, IMPORTRANGE(""https://docs.google.com/spreadsheets/d/1-3Vjw2Cyy-mry5gbC8ypIR3YVGFfEpyFESummAta6sg/edit"", ""Sheet1!B:D""), 3, FALSE), ""Not Found"")"),"f r ɛ ʃ ")</f>
        <v>f r ɛ ʃ </v>
      </c>
    </row>
    <row r="1618">
      <c r="A1618" s="1" t="s">
        <v>1621</v>
      </c>
      <c r="B1618" s="1" t="s">
        <v>5</v>
      </c>
      <c r="C1618" s="2">
        <f>IFERROR(__xludf.DUMMYFUNCTION("IFERROR(VLOOKUP(A1618, IMPORTRANGE(""https://docs.google.com/spreadsheets/d/1AVX9GT0dgogEBStecCXMMQ29tWz3gBrtNB8yIromXbY/edit?gid=741673867"", ""out1g!A:B""), 2, FALSE), 0)"),49.0)</f>
        <v>49</v>
      </c>
      <c r="D1618" s="2" t="str">
        <f>IFERROR(__xludf.DUMMYFUNCTION("IFERROR(VLOOKUP(A1618, IMPORTRANGE(""https://docs.google.com/spreadsheets/d/1-3Vjw2Cyy-mry5gbC8ypIR3YVGFfEpyFESummAta6sg/edit"", ""Sheet1!B:D""), 2, FALSE), ""Not Found"")"),"nudi")</f>
        <v>nudi</v>
      </c>
      <c r="E1618" s="2" t="str">
        <f>IFERROR(__xludf.DUMMYFUNCTION("IFERROR(VLOOKUP(A1618, IMPORTRANGE(""https://docs.google.com/spreadsheets/d/1-3Vjw2Cyy-mry5gbC8ypIR3YVGFfEpyFESummAta6sg/edit"", ""Sheet1!B:D""), 3, FALSE), ""Not Found"")"),"n u d i ")</f>
        <v>n u d i </v>
      </c>
    </row>
    <row r="1619">
      <c r="A1619" s="1" t="s">
        <v>1622</v>
      </c>
      <c r="B1619" s="1" t="s">
        <v>5</v>
      </c>
      <c r="C1619" s="2">
        <f>IFERROR(__xludf.DUMMYFUNCTION("IFERROR(VLOOKUP(A1619, IMPORTRANGE(""https://docs.google.com/spreadsheets/d/1AVX9GT0dgogEBStecCXMMQ29tWz3gBrtNB8yIromXbY/edit?gid=741673867"", ""out1g!A:B""), 2, FALSE), 0)"),293.0)</f>
        <v>293</v>
      </c>
      <c r="D1619" s="2" t="str">
        <f>IFERROR(__xludf.DUMMYFUNCTION("IFERROR(VLOOKUP(A1619, IMPORTRANGE(""https://docs.google.com/spreadsheets/d/1-3Vjw2Cyy-mry5gbC8ypIR3YVGFfEpyFESummAta6sg/edit"", ""Sheet1!B:D""), 2, FALSE), ""Not Found"")"),"dæm")</f>
        <v>dæm</v>
      </c>
      <c r="E1619" s="2" t="str">
        <f>IFERROR(__xludf.DUMMYFUNCTION("IFERROR(VLOOKUP(A1619, IMPORTRANGE(""https://docs.google.com/spreadsheets/d/1-3Vjw2Cyy-mry5gbC8ypIR3YVGFfEpyFESummAta6sg/edit"", ""Sheet1!B:D""), 3, FALSE), ""Not Found"")"),"d æ m ")</f>
        <v>d æ m </v>
      </c>
    </row>
    <row r="1620">
      <c r="A1620" s="1" t="s">
        <v>1623</v>
      </c>
      <c r="B1620" s="1" t="s">
        <v>5</v>
      </c>
      <c r="C1620" s="2">
        <f>IFERROR(__xludf.DUMMYFUNCTION("IFERROR(VLOOKUP(A1620, IMPORTRANGE(""https://docs.google.com/spreadsheets/d/1AVX9GT0dgogEBStecCXMMQ29tWz3gBrtNB8yIromXbY/edit?gid=741673867"", ""out1g!A:B""), 2, FALSE), 0)"),89.0)</f>
        <v>89</v>
      </c>
      <c r="D1620" s="2" t="str">
        <f>IFERROR(__xludf.DUMMYFUNCTION("IFERROR(VLOOKUP(A1620, IMPORTRANGE(""https://docs.google.com/spreadsheets/d/1-3Vjw2Cyy-mry5gbC8ypIR3YVGFfEpyFESummAta6sg/edit"", ""Sheet1!B:D""), 2, FALSE), ""Not Found"")"),"liʧ")</f>
        <v>liʧ</v>
      </c>
      <c r="E1620" s="2" t="str">
        <f>IFERROR(__xludf.DUMMYFUNCTION("IFERROR(VLOOKUP(A1620, IMPORTRANGE(""https://docs.google.com/spreadsheets/d/1-3Vjw2Cyy-mry5gbC8ypIR3YVGFfEpyFESummAta6sg/edit"", ""Sheet1!B:D""), 3, FALSE), ""Not Found"")"),"l i ʧ ")</f>
        <v>l i ʧ </v>
      </c>
    </row>
    <row r="1621">
      <c r="A1621" s="1" t="s">
        <v>1624</v>
      </c>
      <c r="B1621" s="1" t="s">
        <v>5</v>
      </c>
      <c r="C1621" s="2">
        <f>IFERROR(__xludf.DUMMYFUNCTION("IFERROR(VLOOKUP(A1621, IMPORTRANGE(""https://docs.google.com/spreadsheets/d/1AVX9GT0dgogEBStecCXMMQ29tWz3gBrtNB8yIromXbY/edit?gid=741673867"", ""out1g!A:B""), 2, FALSE), 0)"),124.0)</f>
        <v>124</v>
      </c>
      <c r="D1621" s="2" t="str">
        <f>IFERROR(__xludf.DUMMYFUNCTION("IFERROR(VLOOKUP(A1621, IMPORTRANGE(""https://docs.google.com/spreadsheets/d/1-3Vjw2Cyy-mry5gbC8ypIR3YVGFfEpyFESummAta6sg/edit"", ""Sheet1!B:D""), 2, FALSE), ""Not Found"")"),"ɔrə")</f>
        <v>ɔrə</v>
      </c>
      <c r="E1621" s="2" t="str">
        <f>IFERROR(__xludf.DUMMYFUNCTION("IFERROR(VLOOKUP(A1621, IMPORTRANGE(""https://docs.google.com/spreadsheets/d/1-3Vjw2Cyy-mry5gbC8ypIR3YVGFfEpyFESummAta6sg/edit"", ""Sheet1!B:D""), 3, FALSE), ""Not Found"")"),"ɔ r ə ")</f>
        <v>ɔ r ə </v>
      </c>
    </row>
    <row r="1622">
      <c r="A1622" s="1" t="s">
        <v>1625</v>
      </c>
      <c r="B1622" s="1" t="s">
        <v>5</v>
      </c>
      <c r="C1622" s="2">
        <f>IFERROR(__xludf.DUMMYFUNCTION("IFERROR(VLOOKUP(A1622, IMPORTRANGE(""https://docs.google.com/spreadsheets/d/1AVX9GT0dgogEBStecCXMMQ29tWz3gBrtNB8yIromXbY/edit?gid=741673867"", ""out1g!A:B""), 2, FALSE), 0)"),64.0)</f>
        <v>64</v>
      </c>
      <c r="D1622" s="2" t="str">
        <f>IFERROR(__xludf.DUMMYFUNCTION("IFERROR(VLOOKUP(A1622, IMPORTRANGE(""https://docs.google.com/spreadsheets/d/1-3Vjw2Cyy-mry5gbC8ypIR3YVGFfEpyFESummAta6sg/edit"", ""Sheet1!B:D""), 2, FALSE), ""Not Found"")"),"ʤæmz")</f>
        <v>ʤæmz</v>
      </c>
      <c r="E1622" s="2" t="str">
        <f>IFERROR(__xludf.DUMMYFUNCTION("IFERROR(VLOOKUP(A1622, IMPORTRANGE(""https://docs.google.com/spreadsheets/d/1-3Vjw2Cyy-mry5gbC8ypIR3YVGFfEpyFESummAta6sg/edit"", ""Sheet1!B:D""), 3, FALSE), ""Not Found"")"),"ʤ æ m z ")</f>
        <v>ʤ æ m z </v>
      </c>
    </row>
    <row r="1623">
      <c r="A1623" s="1" t="s">
        <v>1626</v>
      </c>
      <c r="B1623" s="1" t="s">
        <v>5</v>
      </c>
      <c r="C1623" s="2">
        <f>IFERROR(__xludf.DUMMYFUNCTION("IFERROR(VLOOKUP(A1623, IMPORTRANGE(""https://docs.google.com/spreadsheets/d/1AVX9GT0dgogEBStecCXMMQ29tWz3gBrtNB8yIromXbY/edit?gid=741673867"", ""out1g!A:B""), 2, FALSE), 0)"),702.0)</f>
        <v>702</v>
      </c>
      <c r="D1623" s="2" t="str">
        <f>IFERROR(__xludf.DUMMYFUNCTION("IFERROR(VLOOKUP(A1623, IMPORTRANGE(""https://docs.google.com/spreadsheets/d/1-3Vjw2Cyy-mry5gbC8ypIR3YVGFfEpyFESummAta6sg/edit"", ""Sheet1!B:D""), 2, FALSE), ""Not Found"")"),"dem")</f>
        <v>dem</v>
      </c>
      <c r="E1623" s="2" t="str">
        <f>IFERROR(__xludf.DUMMYFUNCTION("IFERROR(VLOOKUP(A1623, IMPORTRANGE(""https://docs.google.com/spreadsheets/d/1-3Vjw2Cyy-mry5gbC8ypIR3YVGFfEpyFESummAta6sg/edit"", ""Sheet1!B:D""), 3, FALSE), ""Not Found"")"),"d e m ")</f>
        <v>d e m </v>
      </c>
    </row>
    <row r="1624">
      <c r="A1624" s="1" t="s">
        <v>1627</v>
      </c>
      <c r="B1624" s="1" t="s">
        <v>5</v>
      </c>
      <c r="C1624" s="2">
        <f>IFERROR(__xludf.DUMMYFUNCTION("IFERROR(VLOOKUP(A1624, IMPORTRANGE(""https://docs.google.com/spreadsheets/d/1AVX9GT0dgogEBStecCXMMQ29tWz3gBrtNB8yIromXbY/edit?gid=741673867"", ""out1g!A:B""), 2, FALSE), 0)"),197.0)</f>
        <v>197</v>
      </c>
      <c r="D1624" s="2" t="str">
        <f>IFERROR(__xludf.DUMMYFUNCTION("IFERROR(VLOOKUP(A1624, IMPORTRANGE(""https://docs.google.com/spreadsheets/d/1-3Vjw2Cyy-mry5gbC8ypIR3YVGFfEpyFESummAta6sg/edit"", ""Sheet1!B:D""), 2, FALSE), ""Not Found"")"),"swɪft")</f>
        <v>swɪft</v>
      </c>
      <c r="E1624" s="2" t="str">
        <f>IFERROR(__xludf.DUMMYFUNCTION("IFERROR(VLOOKUP(A1624, IMPORTRANGE(""https://docs.google.com/spreadsheets/d/1-3Vjw2Cyy-mry5gbC8ypIR3YVGFfEpyFESummAta6sg/edit"", ""Sheet1!B:D""), 3, FALSE), ""Not Found"")"),"s w ɪ f t ")</f>
        <v>s w ɪ f t </v>
      </c>
    </row>
    <row r="1625">
      <c r="A1625" s="1" t="s">
        <v>1628</v>
      </c>
      <c r="B1625" s="1" t="s">
        <v>5</v>
      </c>
      <c r="C1625" s="2">
        <f>IFERROR(__xludf.DUMMYFUNCTION("IFERROR(VLOOKUP(A1625, IMPORTRANGE(""https://docs.google.com/spreadsheets/d/1AVX9GT0dgogEBStecCXMMQ29tWz3gBrtNB8yIromXbY/edit?gid=741673867"", ""out1g!A:B""), 2, FALSE), 0)"),72.0)</f>
        <v>72</v>
      </c>
      <c r="D1625" s="2" t="str">
        <f>IFERROR(__xludf.DUMMYFUNCTION("IFERROR(VLOOKUP(A1625, IMPORTRANGE(""https://docs.google.com/spreadsheets/d/1-3Vjw2Cyy-mry5gbC8ypIR3YVGFfEpyFESummAta6sg/edit"", ""Sheet1!B:D""), 2, FALSE), ""Not Found"")"),"hɪpoʊ")</f>
        <v>hɪpoʊ</v>
      </c>
      <c r="E1625" s="2" t="str">
        <f>IFERROR(__xludf.DUMMYFUNCTION("IFERROR(VLOOKUP(A1625, IMPORTRANGE(""https://docs.google.com/spreadsheets/d/1-3Vjw2Cyy-mry5gbC8ypIR3YVGFfEpyFESummAta6sg/edit"", ""Sheet1!B:D""), 3, FALSE), ""Not Found"")"),"h ɪ p o ʊ ")</f>
        <v>h ɪ p o ʊ </v>
      </c>
    </row>
    <row r="1626">
      <c r="A1626" s="1" t="s">
        <v>1629</v>
      </c>
      <c r="B1626" s="1" t="s">
        <v>5</v>
      </c>
      <c r="C1626" s="2">
        <f>IFERROR(__xludf.DUMMYFUNCTION("IFERROR(VLOOKUP(A1626, IMPORTRANGE(""https://docs.google.com/spreadsheets/d/1AVX9GT0dgogEBStecCXMMQ29tWz3gBrtNB8yIromXbY/edit?gid=741673867"", ""out1g!A:B""), 2, FALSE), 0)"),596.0)</f>
        <v>596</v>
      </c>
      <c r="D1626" s="2" t="str">
        <f>IFERROR(__xludf.DUMMYFUNCTION("IFERROR(VLOOKUP(A1626, IMPORTRANGE(""https://docs.google.com/spreadsheets/d/1-3Vjw2Cyy-mry5gbC8ypIR3YVGFfEpyFESummAta6sg/edit"", ""Sheet1!B:D""), 2, FALSE), ""Not Found"")"),"fraɪz")</f>
        <v>fraɪz</v>
      </c>
      <c r="E1626" s="2" t="str">
        <f>IFERROR(__xludf.DUMMYFUNCTION("IFERROR(VLOOKUP(A1626, IMPORTRANGE(""https://docs.google.com/spreadsheets/d/1-3Vjw2Cyy-mry5gbC8ypIR3YVGFfEpyFESummAta6sg/edit"", ""Sheet1!B:D""), 3, FALSE), ""Not Found"")"),"f r a ɪ z ")</f>
        <v>f r a ɪ z </v>
      </c>
    </row>
    <row r="1627">
      <c r="A1627" s="1" t="s">
        <v>1630</v>
      </c>
      <c r="B1627" s="1" t="s">
        <v>5</v>
      </c>
      <c r="C1627" s="2">
        <f>IFERROR(__xludf.DUMMYFUNCTION("IFERROR(VLOOKUP(A1627, IMPORTRANGE(""https://docs.google.com/spreadsheets/d/1AVX9GT0dgogEBStecCXMMQ29tWz3gBrtNB8yIromXbY/edit?gid=741673867"", ""out1g!A:B""), 2, FALSE), 0)"),626.0)</f>
        <v>626</v>
      </c>
      <c r="D1627" s="2" t="str">
        <f>IFERROR(__xludf.DUMMYFUNCTION("IFERROR(VLOOKUP(A1627, IMPORTRANGE(""https://docs.google.com/spreadsheets/d/1-3Vjw2Cyy-mry5gbC8ypIR3YVGFfEpyFESummAta6sg/edit"", ""Sheet1!B:D""), 2, FALSE), ""Not Found"")"),"tɛnd")</f>
        <v>tɛnd</v>
      </c>
      <c r="E1627" s="2" t="str">
        <f>IFERROR(__xludf.DUMMYFUNCTION("IFERROR(VLOOKUP(A1627, IMPORTRANGE(""https://docs.google.com/spreadsheets/d/1-3Vjw2Cyy-mry5gbC8ypIR3YVGFfEpyFESummAta6sg/edit"", ""Sheet1!B:D""), 3, FALSE), ""Not Found"")"),"t ɛ n d ")</f>
        <v>t ɛ n d </v>
      </c>
    </row>
    <row r="1628">
      <c r="A1628" s="1" t="s">
        <v>1631</v>
      </c>
      <c r="B1628" s="1" t="s">
        <v>5</v>
      </c>
      <c r="C1628" s="2">
        <f>IFERROR(__xludf.DUMMYFUNCTION("IFERROR(VLOOKUP(A1628, IMPORTRANGE(""https://docs.google.com/spreadsheets/d/1AVX9GT0dgogEBStecCXMMQ29tWz3gBrtNB8yIromXbY/edit?gid=741673867"", ""out1g!A:B""), 2, FALSE), 0)"),138.0)</f>
        <v>138</v>
      </c>
      <c r="D1628" s="2" t="str">
        <f>IFERROR(__xludf.DUMMYFUNCTION("IFERROR(VLOOKUP(A1628, IMPORTRANGE(""https://docs.google.com/spreadsheets/d/1-3Vjw2Cyy-mry5gbC8ypIR3YVGFfEpyFESummAta6sg/edit"", ""Sheet1!B:D""), 2, FALSE), ""Not Found"")"),"troʊl")</f>
        <v>troʊl</v>
      </c>
      <c r="E1628" s="2" t="str">
        <f>IFERROR(__xludf.DUMMYFUNCTION("IFERROR(VLOOKUP(A1628, IMPORTRANGE(""https://docs.google.com/spreadsheets/d/1-3Vjw2Cyy-mry5gbC8ypIR3YVGFfEpyFESummAta6sg/edit"", ""Sheet1!B:D""), 3, FALSE), ""Not Found"")"),"t r o ʊ l ")</f>
        <v>t r o ʊ l </v>
      </c>
    </row>
    <row r="1629">
      <c r="A1629" s="1" t="s">
        <v>1632</v>
      </c>
      <c r="B1629" s="1" t="s">
        <v>5</v>
      </c>
      <c r="C1629" s="2">
        <f>IFERROR(__xludf.DUMMYFUNCTION("IFERROR(VLOOKUP(A1629, IMPORTRANGE(""https://docs.google.com/spreadsheets/d/1AVX9GT0dgogEBStecCXMMQ29tWz3gBrtNB8yIromXbY/edit?gid=741673867"", ""out1g!A:B""), 2, FALSE), 0)"),623.0)</f>
        <v>623</v>
      </c>
      <c r="D1629" s="2" t="str">
        <f>IFERROR(__xludf.DUMMYFUNCTION("IFERROR(VLOOKUP(A1629, IMPORTRANGE(""https://docs.google.com/spreadsheets/d/1-3Vjw2Cyy-mry5gbC8ypIR3YVGFfEpyFESummAta6sg/edit"", ""Sheet1!B:D""), 2, FALSE), ""Not Found"")"),"plest")</f>
        <v>plest</v>
      </c>
      <c r="E1629" s="2" t="str">
        <f>IFERROR(__xludf.DUMMYFUNCTION("IFERROR(VLOOKUP(A1629, IMPORTRANGE(""https://docs.google.com/spreadsheets/d/1-3Vjw2Cyy-mry5gbC8ypIR3YVGFfEpyFESummAta6sg/edit"", ""Sheet1!B:D""), 3, FALSE), ""Not Found"")"),"p l e s t ")</f>
        <v>p l e s t </v>
      </c>
    </row>
    <row r="1630">
      <c r="A1630" s="1" t="s">
        <v>1633</v>
      </c>
      <c r="B1630" s="1" t="s">
        <v>5</v>
      </c>
      <c r="C1630" s="2">
        <f>IFERROR(__xludf.DUMMYFUNCTION("IFERROR(VLOOKUP(A1630, IMPORTRANGE(""https://docs.google.com/spreadsheets/d/1AVX9GT0dgogEBStecCXMMQ29tWz3gBrtNB8yIromXbY/edit?gid=741673867"", ""out1g!A:B""), 2, FALSE), 0)"),11395.0)</f>
        <v>11395</v>
      </c>
      <c r="D1630" s="2" t="str">
        <f>IFERROR(__xludf.DUMMYFUNCTION("IFERROR(VLOOKUP(A1630, IMPORTRANGE(""https://docs.google.com/spreadsheets/d/1-3Vjw2Cyy-mry5gbC8ypIR3YVGFfEpyFESummAta6sg/edit"", ""Sheet1!B:D""), 2, FALSE), ""Not Found"")"),"dɪr")</f>
        <v>dɪr</v>
      </c>
      <c r="E1630" s="2" t="str">
        <f>IFERROR(__xludf.DUMMYFUNCTION("IFERROR(VLOOKUP(A1630, IMPORTRANGE(""https://docs.google.com/spreadsheets/d/1-3Vjw2Cyy-mry5gbC8ypIR3YVGFfEpyFESummAta6sg/edit"", ""Sheet1!B:D""), 3, FALSE), ""Not Found"")"),"d ɪ r ")</f>
        <v>d ɪ r </v>
      </c>
    </row>
    <row r="1631">
      <c r="A1631" s="1" t="s">
        <v>1634</v>
      </c>
      <c r="B1631" s="1" t="s">
        <v>5</v>
      </c>
      <c r="C1631" s="2">
        <f>IFERROR(__xludf.DUMMYFUNCTION("IFERROR(VLOOKUP(A1631, IMPORTRANGE(""https://docs.google.com/spreadsheets/d/1AVX9GT0dgogEBStecCXMMQ29tWz3gBrtNB8yIromXbY/edit?gid=741673867"", ""out1g!A:B""), 2, FALSE), 0)"),59.0)</f>
        <v>59</v>
      </c>
      <c r="D1631" s="2" t="str">
        <f>IFERROR(__xludf.DUMMYFUNCTION("IFERROR(VLOOKUP(A1631, IMPORTRANGE(""https://docs.google.com/spreadsheets/d/1-3Vjw2Cyy-mry5gbC8ypIR3YVGFfEpyFESummAta6sg/edit"", ""Sheet1!B:D""), 2, FALSE), ""Not Found"")"),"fui")</f>
        <v>fui</v>
      </c>
      <c r="E1631" s="2" t="str">
        <f>IFERROR(__xludf.DUMMYFUNCTION("IFERROR(VLOOKUP(A1631, IMPORTRANGE(""https://docs.google.com/spreadsheets/d/1-3Vjw2Cyy-mry5gbC8ypIR3YVGFfEpyFESummAta6sg/edit"", ""Sheet1!B:D""), 3, FALSE), ""Not Found"")"),"f u i ")</f>
        <v>f u i </v>
      </c>
    </row>
    <row r="1632">
      <c r="A1632" s="1" t="s">
        <v>1635</v>
      </c>
      <c r="B1632" s="1" t="s">
        <v>5</v>
      </c>
      <c r="C1632" s="2">
        <f>IFERROR(__xludf.DUMMYFUNCTION("IFERROR(VLOOKUP(A1632, IMPORTRANGE(""https://docs.google.com/spreadsheets/d/1AVX9GT0dgogEBStecCXMMQ29tWz3gBrtNB8yIromXbY/edit?gid=741673867"", ""out1g!A:B""), 2, FALSE), 0)"),70.0)</f>
        <v>70</v>
      </c>
      <c r="D1632" s="2" t="str">
        <f>IFERROR(__xludf.DUMMYFUNCTION("IFERROR(VLOOKUP(A1632, IMPORTRANGE(""https://docs.google.com/spreadsheets/d/1-3Vjw2Cyy-mry5gbC8ypIR3YVGFfEpyFESummAta6sg/edit"", ""Sheet1!B:D""), 2, FALSE), ""Not Found"")"),"kræfts")</f>
        <v>kræfts</v>
      </c>
      <c r="E1632" s="2" t="str">
        <f>IFERROR(__xludf.DUMMYFUNCTION("IFERROR(VLOOKUP(A1632, IMPORTRANGE(""https://docs.google.com/spreadsheets/d/1-3Vjw2Cyy-mry5gbC8ypIR3YVGFfEpyFESummAta6sg/edit"", ""Sheet1!B:D""), 3, FALSE), ""Not Found"")"),"k r æ f t s ")</f>
        <v>k r æ f t s </v>
      </c>
    </row>
    <row r="1633">
      <c r="A1633" s="1" t="s">
        <v>1636</v>
      </c>
      <c r="B1633" s="1" t="s">
        <v>5</v>
      </c>
      <c r="C1633" s="2">
        <f>IFERROR(__xludf.DUMMYFUNCTION("IFERROR(VLOOKUP(A1633, IMPORTRANGE(""https://docs.google.com/spreadsheets/d/1AVX9GT0dgogEBStecCXMMQ29tWz3gBrtNB8yIromXbY/edit?gid=741673867"", ""out1g!A:B""), 2, FALSE), 0)"),413.0)</f>
        <v>413</v>
      </c>
      <c r="D1633" s="2" t="str">
        <f>IFERROR(__xludf.DUMMYFUNCTION("IFERROR(VLOOKUP(A1633, IMPORTRANGE(""https://docs.google.com/spreadsheets/d/1-3Vjw2Cyy-mry5gbC8ypIR3YVGFfEpyFESummAta6sg/edit"", ""Sheet1!B:D""), 2, FALSE), ""Not Found"")"),"bɛl")</f>
        <v>bɛl</v>
      </c>
      <c r="E1633" s="2" t="str">
        <f>IFERROR(__xludf.DUMMYFUNCTION("IFERROR(VLOOKUP(A1633, IMPORTRANGE(""https://docs.google.com/spreadsheets/d/1-3Vjw2Cyy-mry5gbC8ypIR3YVGFfEpyFESummAta6sg/edit"", ""Sheet1!B:D""), 3, FALSE), ""Not Found"")"),"b ɛ l ")</f>
        <v>b ɛ l </v>
      </c>
    </row>
    <row r="1634">
      <c r="A1634" s="1" t="s">
        <v>1637</v>
      </c>
      <c r="B1634" s="1" t="s">
        <v>5</v>
      </c>
      <c r="C1634" s="2">
        <f>IFERROR(__xludf.DUMMYFUNCTION("IFERROR(VLOOKUP(A1634, IMPORTRANGE(""https://docs.google.com/spreadsheets/d/1AVX9GT0dgogEBStecCXMMQ29tWz3gBrtNB8yIromXbY/edit?gid=741673867"", ""out1g!A:B""), 2, FALSE), 0)"),67.0)</f>
        <v>67</v>
      </c>
      <c r="D1634" s="2" t="str">
        <f>IFERROR(__xludf.DUMMYFUNCTION("IFERROR(VLOOKUP(A1634, IMPORTRANGE(""https://docs.google.com/spreadsheets/d/1-3Vjw2Cyy-mry5gbC8ypIR3YVGFfEpyFESummAta6sg/edit"", ""Sheet1!B:D""), 2, FALSE), ""Not Found"")"),"straɪv")</f>
        <v>straɪv</v>
      </c>
      <c r="E1634" s="2" t="str">
        <f>IFERROR(__xludf.DUMMYFUNCTION("IFERROR(VLOOKUP(A1634, IMPORTRANGE(""https://docs.google.com/spreadsheets/d/1-3Vjw2Cyy-mry5gbC8ypIR3YVGFfEpyFESummAta6sg/edit"", ""Sheet1!B:D""), 3, FALSE), ""Not Found"")"),"s t r a ɪ v ")</f>
        <v>s t r a ɪ v </v>
      </c>
    </row>
    <row r="1635">
      <c r="A1635" s="1" t="s">
        <v>1638</v>
      </c>
      <c r="B1635" s="1" t="s">
        <v>5</v>
      </c>
      <c r="C1635" s="2">
        <f>IFERROR(__xludf.DUMMYFUNCTION("IFERROR(VLOOKUP(A1635, IMPORTRANGE(""https://docs.google.com/spreadsheets/d/1AVX9GT0dgogEBStecCXMMQ29tWz3gBrtNB8yIromXbY/edit?gid=741673867"", ""out1g!A:B""), 2, FALSE), 0)"),176.0)</f>
        <v>176</v>
      </c>
      <c r="D1635" s="2" t="str">
        <f>IFERROR(__xludf.DUMMYFUNCTION("IFERROR(VLOOKUP(A1635, IMPORTRANGE(""https://docs.google.com/spreadsheets/d/1-3Vjw2Cyy-mry5gbC8ypIR3YVGFfEpyFESummAta6sg/edit"", ""Sheet1!B:D""), 2, FALSE), ""Not Found"")"),"lɑvə")</f>
        <v>lɑvə</v>
      </c>
      <c r="E1635" s="2" t="str">
        <f>IFERROR(__xludf.DUMMYFUNCTION("IFERROR(VLOOKUP(A1635, IMPORTRANGE(""https://docs.google.com/spreadsheets/d/1-3Vjw2Cyy-mry5gbC8ypIR3YVGFfEpyFESummAta6sg/edit"", ""Sheet1!B:D""), 3, FALSE), ""Not Found"")"),"l ɑ v ə ")</f>
        <v>l ɑ v ə </v>
      </c>
    </row>
    <row r="1636">
      <c r="A1636" s="1" t="s">
        <v>1639</v>
      </c>
      <c r="B1636" s="1" t="s">
        <v>5</v>
      </c>
      <c r="C1636" s="2">
        <f>IFERROR(__xludf.DUMMYFUNCTION("IFERROR(VLOOKUP(A1636, IMPORTRANGE(""https://docs.google.com/spreadsheets/d/1AVX9GT0dgogEBStecCXMMQ29tWz3gBrtNB8yIromXbY/edit?gid=741673867"", ""out1g!A:B""), 2, FALSE), 0)"),751.0)</f>
        <v>751</v>
      </c>
      <c r="D1636" s="2" t="str">
        <f>IFERROR(__xludf.DUMMYFUNCTION("IFERROR(VLOOKUP(A1636, IMPORTRANGE(""https://docs.google.com/spreadsheets/d/1-3Vjw2Cyy-mry5gbC8ypIR3YVGFfEpyFESummAta6sg/edit"", ""Sheet1!B:D""), 2, FALSE), ""Not Found"")"),"es")</f>
        <v>es</v>
      </c>
      <c r="E1636" s="2" t="str">
        <f>IFERROR(__xludf.DUMMYFUNCTION("IFERROR(VLOOKUP(A1636, IMPORTRANGE(""https://docs.google.com/spreadsheets/d/1-3Vjw2Cyy-mry5gbC8ypIR3YVGFfEpyFESummAta6sg/edit"", ""Sheet1!B:D""), 3, FALSE), ""Not Found"")"),"e s ")</f>
        <v>e s </v>
      </c>
    </row>
    <row r="1637">
      <c r="A1637" s="1" t="s">
        <v>1640</v>
      </c>
      <c r="B1637" s="1" t="s">
        <v>5</v>
      </c>
      <c r="C1637" s="2">
        <f>IFERROR(__xludf.DUMMYFUNCTION("IFERROR(VLOOKUP(A1637, IMPORTRANGE(""https://docs.google.com/spreadsheets/d/1AVX9GT0dgogEBStecCXMMQ29tWz3gBrtNB8yIromXbY/edit?gid=741673867"", ""out1g!A:B""), 2, FALSE), 0)"),130.0)</f>
        <v>130</v>
      </c>
      <c r="D1637" s="2" t="str">
        <f>IFERROR(__xludf.DUMMYFUNCTION("IFERROR(VLOOKUP(A1637, IMPORTRANGE(""https://docs.google.com/spreadsheets/d/1-3Vjw2Cyy-mry5gbC8ypIR3YVGFfEpyFESummAta6sg/edit"", ""Sheet1!B:D""), 2, FALSE), ""Not Found"")"),"bəgd")</f>
        <v>bəgd</v>
      </c>
      <c r="E1637" s="2" t="str">
        <f>IFERROR(__xludf.DUMMYFUNCTION("IFERROR(VLOOKUP(A1637, IMPORTRANGE(""https://docs.google.com/spreadsheets/d/1-3Vjw2Cyy-mry5gbC8ypIR3YVGFfEpyFESummAta6sg/edit"", ""Sheet1!B:D""), 3, FALSE), ""Not Found"")"),"b ə g d ")</f>
        <v>b ə g d </v>
      </c>
    </row>
    <row r="1638">
      <c r="A1638" s="1" t="s">
        <v>1641</v>
      </c>
      <c r="B1638" s="1" t="s">
        <v>5</v>
      </c>
      <c r="C1638" s="2">
        <f>IFERROR(__xludf.DUMMYFUNCTION("IFERROR(VLOOKUP(A1638, IMPORTRANGE(""https://docs.google.com/spreadsheets/d/1AVX9GT0dgogEBStecCXMMQ29tWz3gBrtNB8yIromXbY/edit?gid=741673867"", ""out1g!A:B""), 2, FALSE), 0)"),72.0)</f>
        <v>72</v>
      </c>
      <c r="D1638" s="2" t="str">
        <f>IFERROR(__xludf.DUMMYFUNCTION("IFERROR(VLOOKUP(A1638, IMPORTRANGE(""https://docs.google.com/spreadsheets/d/1-3Vjw2Cyy-mry5gbC8ypIR3YVGFfEpyFESummAta6sg/edit"", ""Sheet1!B:D""), 2, FALSE), ""Not Found"")"),"bæz")</f>
        <v>bæz</v>
      </c>
      <c r="E1638" s="2" t="str">
        <f>IFERROR(__xludf.DUMMYFUNCTION("IFERROR(VLOOKUP(A1638, IMPORTRANGE(""https://docs.google.com/spreadsheets/d/1-3Vjw2Cyy-mry5gbC8ypIR3YVGFfEpyFESummAta6sg/edit"", ""Sheet1!B:D""), 3, FALSE), ""Not Found"")"),"b æ z ")</f>
        <v>b æ z </v>
      </c>
    </row>
    <row r="1639">
      <c r="A1639" s="1" t="s">
        <v>1642</v>
      </c>
      <c r="B1639" s="1" t="s">
        <v>5</v>
      </c>
      <c r="C1639" s="2">
        <f>IFERROR(__xludf.DUMMYFUNCTION("IFERROR(VLOOKUP(A1639, IMPORTRANGE(""https://docs.google.com/spreadsheets/d/1AVX9GT0dgogEBStecCXMMQ29tWz3gBrtNB8yIromXbY/edit?gid=741673867"", ""out1g!A:B""), 2, FALSE), 0)"),8856.0)</f>
        <v>8856</v>
      </c>
      <c r="D1639" s="2" t="str">
        <f>IFERROR(__xludf.DUMMYFUNCTION("IFERROR(VLOOKUP(A1639, IMPORTRANGE(""https://docs.google.com/spreadsheets/d/1-3Vjw2Cyy-mry5gbC8ypIR3YVGFfEpyFESummAta6sg/edit"", ""Sheet1!B:D""), 2, FALSE), ""Not Found"")"),"həri")</f>
        <v>həri</v>
      </c>
      <c r="E1639" s="2" t="str">
        <f>IFERROR(__xludf.DUMMYFUNCTION("IFERROR(VLOOKUP(A1639, IMPORTRANGE(""https://docs.google.com/spreadsheets/d/1-3Vjw2Cyy-mry5gbC8ypIR3YVGFfEpyFESummAta6sg/edit"", ""Sheet1!B:D""), 3, FALSE), ""Not Found"")"),"h ə r i ")</f>
        <v>h ə r i </v>
      </c>
    </row>
    <row r="1640">
      <c r="A1640" s="1" t="s">
        <v>1643</v>
      </c>
      <c r="B1640" s="1" t="s">
        <v>5</v>
      </c>
      <c r="C1640" s="2">
        <f>IFERROR(__xludf.DUMMYFUNCTION("IFERROR(VLOOKUP(A1640, IMPORTRANGE(""https://docs.google.com/spreadsheets/d/1AVX9GT0dgogEBStecCXMMQ29tWz3gBrtNB8yIromXbY/edit?gid=741673867"", ""out1g!A:B""), 2, FALSE), 0)"),5542.0)</f>
        <v>5542</v>
      </c>
      <c r="D1640" s="2" t="str">
        <f>IFERROR(__xludf.DUMMYFUNCTION("IFERROR(VLOOKUP(A1640, IMPORTRANGE(""https://docs.google.com/spreadsheets/d/1-3Vjw2Cyy-mry5gbC8ypIR3YVGFfEpyFESummAta6sg/edit"", ""Sheet1!B:D""), 2, FALSE), ""Not Found"")"),"kwɪk")</f>
        <v>kwɪk</v>
      </c>
      <c r="E1640" s="2" t="str">
        <f>IFERROR(__xludf.DUMMYFUNCTION("IFERROR(VLOOKUP(A1640, IMPORTRANGE(""https://docs.google.com/spreadsheets/d/1-3Vjw2Cyy-mry5gbC8ypIR3YVGFfEpyFESummAta6sg/edit"", ""Sheet1!B:D""), 3, FALSE), ""Not Found"")"),"k w ɪ k ")</f>
        <v>k w ɪ k </v>
      </c>
    </row>
    <row r="1641">
      <c r="A1641" s="1" t="s">
        <v>1644</v>
      </c>
      <c r="B1641" s="1" t="s">
        <v>5</v>
      </c>
      <c r="C1641" s="2">
        <f>IFERROR(__xludf.DUMMYFUNCTION("IFERROR(VLOOKUP(A1641, IMPORTRANGE(""https://docs.google.com/spreadsheets/d/1AVX9GT0dgogEBStecCXMMQ29tWz3gBrtNB8yIromXbY/edit?gid=741673867"", ""out1g!A:B""), 2, FALSE), 0)"),222.0)</f>
        <v>222</v>
      </c>
      <c r="D1641" s="2" t="str">
        <f>IFERROR(__xludf.DUMMYFUNCTION("IFERROR(VLOOKUP(A1641, IMPORTRANGE(""https://docs.google.com/spreadsheets/d/1-3Vjw2Cyy-mry5gbC8ypIR3YVGFfEpyFESummAta6sg/edit"", ""Sheet1!B:D""), 2, FALSE), ""Not Found"")"),"kɔlər")</f>
        <v>kɔlər</v>
      </c>
      <c r="E1641" s="2" t="str">
        <f>IFERROR(__xludf.DUMMYFUNCTION("IFERROR(VLOOKUP(A1641, IMPORTRANGE(""https://docs.google.com/spreadsheets/d/1-3Vjw2Cyy-mry5gbC8ypIR3YVGFfEpyFESummAta6sg/edit"", ""Sheet1!B:D""), 3, FALSE), ""Not Found"")"),"k ɔ l ə r ")</f>
        <v>k ɔ l ə r </v>
      </c>
    </row>
    <row r="1642">
      <c r="A1642" s="1" t="s">
        <v>1645</v>
      </c>
      <c r="B1642" s="1" t="s">
        <v>5</v>
      </c>
      <c r="C1642" s="2">
        <f>IFERROR(__xludf.DUMMYFUNCTION("IFERROR(VLOOKUP(A1642, IMPORTRANGE(""https://docs.google.com/spreadsheets/d/1AVX9GT0dgogEBStecCXMMQ29tWz3gBrtNB8yIromXbY/edit?gid=741673867"", ""out1g!A:B""), 2, FALSE), 0)"),83109.0)</f>
        <v>83109</v>
      </c>
      <c r="D1642" s="2" t="str">
        <f>IFERROR(__xludf.DUMMYFUNCTION("IFERROR(VLOOKUP(A1642, IMPORTRANGE(""https://docs.google.com/spreadsheets/d/1-3Vjw2Cyy-mry5gbC8ypIR3YVGFfEpyFESummAta6sg/edit"", ""Sheet1!B:D""), 2, FALSE), ""Not Found"")"),"kʊd")</f>
        <v>kʊd</v>
      </c>
      <c r="E1642" s="2" t="str">
        <f>IFERROR(__xludf.DUMMYFUNCTION("IFERROR(VLOOKUP(A1642, IMPORTRANGE(""https://docs.google.com/spreadsheets/d/1-3Vjw2Cyy-mry5gbC8ypIR3YVGFfEpyFESummAta6sg/edit"", ""Sheet1!B:D""), 3, FALSE), ""Not Found"")"),"k ʊ d ")</f>
        <v>k ʊ d </v>
      </c>
    </row>
    <row r="1643">
      <c r="A1643" s="1" t="s">
        <v>1646</v>
      </c>
      <c r="B1643" s="1" t="s">
        <v>5</v>
      </c>
      <c r="C1643" s="2">
        <f>IFERROR(__xludf.DUMMYFUNCTION("IFERROR(VLOOKUP(A1643, IMPORTRANGE(""https://docs.google.com/spreadsheets/d/1AVX9GT0dgogEBStecCXMMQ29tWz3gBrtNB8yIromXbY/edit?gid=741673867"", ""out1g!A:B""), 2, FALSE), 0)"),466.0)</f>
        <v>466</v>
      </c>
      <c r="D1643" s="2" t="str">
        <f>IFERROR(__xludf.DUMMYFUNCTION("IFERROR(VLOOKUP(A1643, IMPORTRANGE(""https://docs.google.com/spreadsheets/d/1-3Vjw2Cyy-mry5gbC8ypIR3YVGFfEpyFESummAta6sg/edit"", ""Sheet1!B:D""), 2, FALSE), ""Not Found"")"),"rɛntɪd")</f>
        <v>rɛntɪd</v>
      </c>
      <c r="E1643" s="2" t="str">
        <f>IFERROR(__xludf.DUMMYFUNCTION("IFERROR(VLOOKUP(A1643, IMPORTRANGE(""https://docs.google.com/spreadsheets/d/1-3Vjw2Cyy-mry5gbC8ypIR3YVGFfEpyFESummAta6sg/edit"", ""Sheet1!B:D""), 3, FALSE), ""Not Found"")"),"r ɛ n t ɪ d ")</f>
        <v>r ɛ n t ɪ d </v>
      </c>
    </row>
    <row r="1644">
      <c r="A1644" s="1" t="s">
        <v>1647</v>
      </c>
      <c r="B1644" s="1" t="s">
        <v>5</v>
      </c>
      <c r="C1644" s="2">
        <f>IFERROR(__xludf.DUMMYFUNCTION("IFERROR(VLOOKUP(A1644, IMPORTRANGE(""https://docs.google.com/spreadsheets/d/1AVX9GT0dgogEBStecCXMMQ29tWz3gBrtNB8yIromXbY/edit?gid=741673867"", ""out1g!A:B""), 2, FALSE), 0)"),3311.0)</f>
        <v>3311</v>
      </c>
      <c r="D1644" s="2" t="str">
        <f>IFERROR(__xludf.DUMMYFUNCTION("IFERROR(VLOOKUP(A1644, IMPORTRANGE(""https://docs.google.com/spreadsheets/d/1-3Vjw2Cyy-mry5gbC8ypIR3YVGFfEpyFESummAta6sg/edit"", ""Sheet1!B:D""), 2, FALSE), ""Not Found"")"),"fʊt")</f>
        <v>fʊt</v>
      </c>
      <c r="E1644" s="2" t="str">
        <f>IFERROR(__xludf.DUMMYFUNCTION("IFERROR(VLOOKUP(A1644, IMPORTRANGE(""https://docs.google.com/spreadsheets/d/1-3Vjw2Cyy-mry5gbC8ypIR3YVGFfEpyFESummAta6sg/edit"", ""Sheet1!B:D""), 3, FALSE), ""Not Found"")"),"f ʊ t ")</f>
        <v>f ʊ t </v>
      </c>
    </row>
    <row r="1645">
      <c r="A1645" s="1" t="s">
        <v>1648</v>
      </c>
      <c r="B1645" s="1" t="s">
        <v>5</v>
      </c>
      <c r="C1645" s="2">
        <f>IFERROR(__xludf.DUMMYFUNCTION("IFERROR(VLOOKUP(A1645, IMPORTRANGE(""https://docs.google.com/spreadsheets/d/1AVX9GT0dgogEBStecCXMMQ29tWz3gBrtNB8yIromXbY/edit?gid=741673867"", ""out1g!A:B""), 2, FALSE), 0)"),64.0)</f>
        <v>64</v>
      </c>
      <c r="D1645" s="2" t="str">
        <f>IFERROR(__xludf.DUMMYFUNCTION("IFERROR(VLOOKUP(A1645, IMPORTRANGE(""https://docs.google.com/spreadsheets/d/1-3Vjw2Cyy-mry5gbC8ypIR3YVGFfEpyFESummAta6sg/edit"", ""Sheet1!B:D""), 2, FALSE), ""Not Found"")"),"ʧɛkaʊt")</f>
        <v>ʧɛkaʊt</v>
      </c>
      <c r="E1645" s="2" t="str">
        <f>IFERROR(__xludf.DUMMYFUNCTION("IFERROR(VLOOKUP(A1645, IMPORTRANGE(""https://docs.google.com/spreadsheets/d/1-3Vjw2Cyy-mry5gbC8ypIR3YVGFfEpyFESummAta6sg/edit"", ""Sheet1!B:D""), 3, FALSE), ""Not Found"")"),"ʧ ɛ k a ʊ t ")</f>
        <v>ʧ ɛ k a ʊ t </v>
      </c>
    </row>
    <row r="1646">
      <c r="A1646" s="1" t="s">
        <v>1649</v>
      </c>
      <c r="B1646" s="1" t="s">
        <v>5</v>
      </c>
      <c r="C1646" s="2">
        <f>IFERROR(__xludf.DUMMYFUNCTION("IFERROR(VLOOKUP(A1646, IMPORTRANGE(""https://docs.google.com/spreadsheets/d/1AVX9GT0dgogEBStecCXMMQ29tWz3gBrtNB8yIromXbY/edit?gid=741673867"", ""out1g!A:B""), 2, FALSE), 0)"),53.0)</f>
        <v>53</v>
      </c>
      <c r="D1646" s="2" t="str">
        <f>IFERROR(__xludf.DUMMYFUNCTION("IFERROR(VLOOKUP(A1646, IMPORTRANGE(""https://docs.google.com/spreadsheets/d/1-3Vjw2Cyy-mry5gbC8ypIR3YVGFfEpyFESummAta6sg/edit"", ""Sheet1!B:D""), 2, FALSE), ""Not Found"")"),"blɪmp")</f>
        <v>blɪmp</v>
      </c>
      <c r="E1646" s="2" t="str">
        <f>IFERROR(__xludf.DUMMYFUNCTION("IFERROR(VLOOKUP(A1646, IMPORTRANGE(""https://docs.google.com/spreadsheets/d/1-3Vjw2Cyy-mry5gbC8ypIR3YVGFfEpyFESummAta6sg/edit"", ""Sheet1!B:D""), 3, FALSE), ""Not Found"")"),"b l ɪ m p ")</f>
        <v>b l ɪ m p </v>
      </c>
    </row>
    <row r="1647">
      <c r="A1647" s="1" t="s">
        <v>1650</v>
      </c>
      <c r="B1647" s="1" t="s">
        <v>5</v>
      </c>
      <c r="C1647" s="2">
        <f>IFERROR(__xludf.DUMMYFUNCTION("IFERROR(VLOOKUP(A1647, IMPORTRANGE(""https://docs.google.com/spreadsheets/d/1AVX9GT0dgogEBStecCXMMQ29tWz3gBrtNB8yIromXbY/edit?gid=741673867"", ""out1g!A:B""), 2, FALSE), 0)"),41.0)</f>
        <v>41</v>
      </c>
      <c r="D1647" s="2" t="str">
        <f>IFERROR(__xludf.DUMMYFUNCTION("IFERROR(VLOOKUP(A1647, IMPORTRANGE(""https://docs.google.com/spreadsheets/d/1-3Vjw2Cyy-mry5gbC8ypIR3YVGFfEpyFESummAta6sg/edit"", ""Sheet1!B:D""), 2, FALSE), ""Not Found"")"),"sæg")</f>
        <v>sæg</v>
      </c>
      <c r="E1647" s="2" t="str">
        <f>IFERROR(__xludf.DUMMYFUNCTION("IFERROR(VLOOKUP(A1647, IMPORTRANGE(""https://docs.google.com/spreadsheets/d/1-3Vjw2Cyy-mry5gbC8ypIR3YVGFfEpyFESummAta6sg/edit"", ""Sheet1!B:D""), 3, FALSE), ""Not Found"")"),"s æ g ")</f>
        <v>s æ g </v>
      </c>
    </row>
    <row r="1648">
      <c r="A1648" s="1" t="s">
        <v>1651</v>
      </c>
      <c r="B1648" s="1" t="s">
        <v>5</v>
      </c>
      <c r="C1648" s="2">
        <f>IFERROR(__xludf.DUMMYFUNCTION("IFERROR(VLOOKUP(A1648, IMPORTRANGE(""https://docs.google.com/spreadsheets/d/1AVX9GT0dgogEBStecCXMMQ29tWz3gBrtNB8yIromXbY/edit?gid=741673867"", ""out1g!A:B""), 2, FALSE), 0)"),55.0)</f>
        <v>55</v>
      </c>
      <c r="D1648" s="2" t="str">
        <f>IFERROR(__xludf.DUMMYFUNCTION("IFERROR(VLOOKUP(A1648, IMPORTRANGE(""https://docs.google.com/spreadsheets/d/1-3Vjw2Cyy-mry5gbC8ypIR3YVGFfEpyFESummAta6sg/edit"", ""Sheet1!B:D""), 2, FALSE), ""Not Found"")"),"dəkts")</f>
        <v>dəkts</v>
      </c>
      <c r="E1648" s="2" t="str">
        <f>IFERROR(__xludf.DUMMYFUNCTION("IFERROR(VLOOKUP(A1648, IMPORTRANGE(""https://docs.google.com/spreadsheets/d/1-3Vjw2Cyy-mry5gbC8ypIR3YVGFfEpyFESummAta6sg/edit"", ""Sheet1!B:D""), 3, FALSE), ""Not Found"")"),"d ə k t s ")</f>
        <v>d ə k t s </v>
      </c>
    </row>
    <row r="1649">
      <c r="A1649" s="1" t="s">
        <v>1652</v>
      </c>
      <c r="B1649" s="1" t="s">
        <v>5</v>
      </c>
      <c r="C1649" s="2">
        <f>IFERROR(__xludf.DUMMYFUNCTION("IFERROR(VLOOKUP(A1649, IMPORTRANGE(""https://docs.google.com/spreadsheets/d/1AVX9GT0dgogEBStecCXMMQ29tWz3gBrtNB8yIromXbY/edit?gid=741673867"", ""out1g!A:B""), 2, FALSE), 0)"),207.0)</f>
        <v>207</v>
      </c>
      <c r="D1649" s="2" t="str">
        <f>IFERROR(__xludf.DUMMYFUNCTION("IFERROR(VLOOKUP(A1649, IMPORTRANGE(""https://docs.google.com/spreadsheets/d/1-3Vjw2Cyy-mry5gbC8ypIR3YVGFfEpyFESummAta6sg/edit"", ""Sheet1!B:D""), 2, FALSE), ""Not Found"")"),"jəm")</f>
        <v>jəm</v>
      </c>
      <c r="E1649" s="2" t="str">
        <f>IFERROR(__xludf.DUMMYFUNCTION("IFERROR(VLOOKUP(A1649, IMPORTRANGE(""https://docs.google.com/spreadsheets/d/1-3Vjw2Cyy-mry5gbC8ypIR3YVGFfEpyFESummAta6sg/edit"", ""Sheet1!B:D""), 3, FALSE), ""Not Found"")"),"j ə m ")</f>
        <v>j ə m </v>
      </c>
    </row>
    <row r="1650">
      <c r="A1650" s="1" t="s">
        <v>1653</v>
      </c>
      <c r="B1650" s="1" t="s">
        <v>5</v>
      </c>
      <c r="C1650" s="2">
        <f>IFERROR(__xludf.DUMMYFUNCTION("IFERROR(VLOOKUP(A1650, IMPORTRANGE(""https://docs.google.com/spreadsheets/d/1AVX9GT0dgogEBStecCXMMQ29tWz3gBrtNB8yIromXbY/edit?gid=741673867"", ""out1g!A:B""), 2, FALSE), 0)"),1008.0)</f>
        <v>1008</v>
      </c>
      <c r="D1650" s="2" t="str">
        <f>IFERROR(__xludf.DUMMYFUNCTION("IFERROR(VLOOKUP(A1650, IMPORTRANGE(""https://docs.google.com/spreadsheets/d/1-3Vjw2Cyy-mry5gbC8ypIR3YVGFfEpyFESummAta6sg/edit"", ""Sheet1!B:D""), 2, FALSE), ""Not Found"")"),"pərs")</f>
        <v>pərs</v>
      </c>
      <c r="E1650" s="2" t="str">
        <f>IFERROR(__xludf.DUMMYFUNCTION("IFERROR(VLOOKUP(A1650, IMPORTRANGE(""https://docs.google.com/spreadsheets/d/1-3Vjw2Cyy-mry5gbC8ypIR3YVGFfEpyFESummAta6sg/edit"", ""Sheet1!B:D""), 3, FALSE), ""Not Found"")"),"p ə r s ")</f>
        <v>p ə r s </v>
      </c>
    </row>
    <row r="1651">
      <c r="A1651" s="1" t="s">
        <v>1654</v>
      </c>
      <c r="B1651" s="1" t="s">
        <v>5</v>
      </c>
      <c r="C1651" s="2">
        <f>IFERROR(__xludf.DUMMYFUNCTION("IFERROR(VLOOKUP(A1651, IMPORTRANGE(""https://docs.google.com/spreadsheets/d/1AVX9GT0dgogEBStecCXMMQ29tWz3gBrtNB8yIromXbY/edit?gid=741673867"", ""out1g!A:B""), 2, FALSE), 0)"),1320.0)</f>
        <v>1320</v>
      </c>
      <c r="D1651" s="2" t="str">
        <f>IFERROR(__xludf.DUMMYFUNCTION("IFERROR(VLOOKUP(A1651, IMPORTRANGE(""https://docs.google.com/spreadsheets/d/1-3Vjw2Cyy-mry5gbC8ypIR3YVGFfEpyFESummAta6sg/edit"", ""Sheet1!B:D""), 2, FALSE), ""Not Found"")"),"niz")</f>
        <v>niz</v>
      </c>
      <c r="E1651" s="2" t="str">
        <f>IFERROR(__xludf.DUMMYFUNCTION("IFERROR(VLOOKUP(A1651, IMPORTRANGE(""https://docs.google.com/spreadsheets/d/1-3Vjw2Cyy-mry5gbC8ypIR3YVGFfEpyFESummAta6sg/edit"", ""Sheet1!B:D""), 3, FALSE), ""Not Found"")"),"n i z ")</f>
        <v>n i z </v>
      </c>
    </row>
    <row r="1652">
      <c r="A1652" s="1" t="s">
        <v>1655</v>
      </c>
      <c r="B1652" s="1" t="s">
        <v>5</v>
      </c>
      <c r="C1652" s="2">
        <f>IFERROR(__xludf.DUMMYFUNCTION("IFERROR(VLOOKUP(A1652, IMPORTRANGE(""https://docs.google.com/spreadsheets/d/1AVX9GT0dgogEBStecCXMMQ29tWz3gBrtNB8yIromXbY/edit?gid=741673867"", ""out1g!A:B""), 2, FALSE), 0)"),956.0)</f>
        <v>956</v>
      </c>
      <c r="D1652" s="2" t="str">
        <f>IFERROR(__xludf.DUMMYFUNCTION("IFERROR(VLOOKUP(A1652, IMPORTRANGE(""https://docs.google.com/spreadsheets/d/1-3Vjw2Cyy-mry5gbC8ypIR3YVGFfEpyFESummAta6sg/edit"", ""Sheet1!B:D""), 2, FALSE), ""Not Found"")"),"kæp")</f>
        <v>kæp</v>
      </c>
      <c r="E1652" s="2" t="str">
        <f>IFERROR(__xludf.DUMMYFUNCTION("IFERROR(VLOOKUP(A1652, IMPORTRANGE(""https://docs.google.com/spreadsheets/d/1-3Vjw2Cyy-mry5gbC8ypIR3YVGFfEpyFESummAta6sg/edit"", ""Sheet1!B:D""), 3, FALSE), ""Not Found"")"),"k æ p ")</f>
        <v>k æ p </v>
      </c>
    </row>
    <row r="1653">
      <c r="A1653" s="1" t="s">
        <v>1656</v>
      </c>
      <c r="B1653" s="1" t="s">
        <v>5</v>
      </c>
      <c r="C1653" s="2">
        <f>IFERROR(__xludf.DUMMYFUNCTION("IFERROR(VLOOKUP(A1653, IMPORTRANGE(""https://docs.google.com/spreadsheets/d/1AVX9GT0dgogEBStecCXMMQ29tWz3gBrtNB8yIromXbY/edit?gid=741673867"", ""out1g!A:B""), 2, FALSE), 0)"),120.0)</f>
        <v>120</v>
      </c>
      <c r="D1653" s="2" t="str">
        <f>IFERROR(__xludf.DUMMYFUNCTION("IFERROR(VLOOKUP(A1653, IMPORTRANGE(""https://docs.google.com/spreadsheets/d/1-3Vjw2Cyy-mry5gbC8ypIR3YVGFfEpyFESummAta6sg/edit"", ""Sheet1!B:D""), 2, FALSE), ""Not Found"")"),"ɛr")</f>
        <v>ɛr</v>
      </c>
      <c r="E1653" s="2" t="str">
        <f>IFERROR(__xludf.DUMMYFUNCTION("IFERROR(VLOOKUP(A1653, IMPORTRANGE(""https://docs.google.com/spreadsheets/d/1-3Vjw2Cyy-mry5gbC8ypIR3YVGFfEpyFESummAta6sg/edit"", ""Sheet1!B:D""), 3, FALSE), ""Not Found"")"),"ɛ r ")</f>
        <v>ɛ r </v>
      </c>
    </row>
    <row r="1654">
      <c r="A1654" s="1" t="s">
        <v>1657</v>
      </c>
      <c r="B1654" s="1" t="s">
        <v>5</v>
      </c>
      <c r="C1654" s="2">
        <f>IFERROR(__xludf.DUMMYFUNCTION("IFERROR(VLOOKUP(A1654, IMPORTRANGE(""https://docs.google.com/spreadsheets/d/1AVX9GT0dgogEBStecCXMMQ29tWz3gBrtNB8yIromXbY/edit?gid=741673867"", ""out1g!A:B""), 2, FALSE), 0)"),59.0)</f>
        <v>59</v>
      </c>
      <c r="D1654" s="2" t="str">
        <f>IFERROR(__xludf.DUMMYFUNCTION("IFERROR(VLOOKUP(A1654, IMPORTRANGE(""https://docs.google.com/spreadsheets/d/1-3Vjw2Cyy-mry5gbC8ypIR3YVGFfEpyFESummAta6sg/edit"", ""Sheet1!B:D""), 2, FALSE), ""Not Found"")"),"blaɪmi")</f>
        <v>blaɪmi</v>
      </c>
      <c r="E1654" s="2" t="str">
        <f>IFERROR(__xludf.DUMMYFUNCTION("IFERROR(VLOOKUP(A1654, IMPORTRANGE(""https://docs.google.com/spreadsheets/d/1-3Vjw2Cyy-mry5gbC8ypIR3YVGFfEpyFESummAta6sg/edit"", ""Sheet1!B:D""), 3, FALSE), ""Not Found"")"),"b l a ɪ m i ")</f>
        <v>b l a ɪ m i </v>
      </c>
    </row>
    <row r="1655">
      <c r="A1655" s="1" t="s">
        <v>1658</v>
      </c>
      <c r="B1655" s="1" t="s">
        <v>5</v>
      </c>
      <c r="C1655" s="2">
        <f>IFERROR(__xludf.DUMMYFUNCTION("IFERROR(VLOOKUP(A1655, IMPORTRANGE(""https://docs.google.com/spreadsheets/d/1AVX9GT0dgogEBStecCXMMQ29tWz3gBrtNB8yIromXbY/edit?gid=741673867"", ""out1g!A:B""), 2, FALSE), 0)"),107.0)</f>
        <v>107</v>
      </c>
      <c r="D1655" s="2" t="str">
        <f>IFERROR(__xludf.DUMMYFUNCTION("IFERROR(VLOOKUP(A1655, IMPORTRANGE(""https://docs.google.com/spreadsheets/d/1-3Vjw2Cyy-mry5gbC8ypIR3YVGFfEpyFESummAta6sg/edit"", ""Sheet1!B:D""), 2, FALSE), ""Not Found"")"),"moʊnz")</f>
        <v>moʊnz</v>
      </c>
      <c r="E1655" s="2" t="str">
        <f>IFERROR(__xludf.DUMMYFUNCTION("IFERROR(VLOOKUP(A1655, IMPORTRANGE(""https://docs.google.com/spreadsheets/d/1-3Vjw2Cyy-mry5gbC8ypIR3YVGFfEpyFESummAta6sg/edit"", ""Sheet1!B:D""), 3, FALSE), ""Not Found"")"),"m o ʊ n z ")</f>
        <v>m o ʊ n z </v>
      </c>
    </row>
    <row r="1656">
      <c r="A1656" s="1" t="s">
        <v>1659</v>
      </c>
      <c r="B1656" s="1" t="s">
        <v>5</v>
      </c>
      <c r="C1656" s="2">
        <f>IFERROR(__xludf.DUMMYFUNCTION("IFERROR(VLOOKUP(A1656, IMPORTRANGE(""https://docs.google.com/spreadsheets/d/1AVX9GT0dgogEBStecCXMMQ29tWz3gBrtNB8yIromXbY/edit?gid=741673867"", ""out1g!A:B""), 2, FALSE), 0)"),2704.0)</f>
        <v>2704</v>
      </c>
      <c r="D1656" s="2" t="str">
        <f>IFERROR(__xludf.DUMMYFUNCTION("IFERROR(VLOOKUP(A1656, IMPORTRANGE(""https://docs.google.com/spreadsheets/d/1-3Vjw2Cyy-mry5gbC8ypIR3YVGFfEpyFESummAta6sg/edit"", ""Sheet1!B:D""), 2, FALSE), ""Not Found"")"),"dɔgz")</f>
        <v>dɔgz</v>
      </c>
      <c r="E1656" s="2" t="str">
        <f>IFERROR(__xludf.DUMMYFUNCTION("IFERROR(VLOOKUP(A1656, IMPORTRANGE(""https://docs.google.com/spreadsheets/d/1-3Vjw2Cyy-mry5gbC8ypIR3YVGFfEpyFESummAta6sg/edit"", ""Sheet1!B:D""), 3, FALSE), ""Not Found"")"),"d ɔ g z ")</f>
        <v>d ɔ g z </v>
      </c>
    </row>
    <row r="1657">
      <c r="A1657" s="1" t="s">
        <v>1660</v>
      </c>
      <c r="B1657" s="1" t="s">
        <v>5</v>
      </c>
      <c r="C1657" s="2">
        <f>IFERROR(__xludf.DUMMYFUNCTION("IFERROR(VLOOKUP(A1657, IMPORTRANGE(""https://docs.google.com/spreadsheets/d/1AVX9GT0dgogEBStecCXMMQ29tWz3gBrtNB8yIromXbY/edit?gid=741673867"", ""out1g!A:B""), 2, FALSE), 0)"),456.0)</f>
        <v>456</v>
      </c>
      <c r="D1657" s="2" t="str">
        <f>IFERROR(__xludf.DUMMYFUNCTION("IFERROR(VLOOKUP(A1657, IMPORTRANGE(""https://docs.google.com/spreadsheets/d/1-3Vjw2Cyy-mry5gbC8ypIR3YVGFfEpyFESummAta6sg/edit"", ""Sheet1!B:D""), 2, FALSE), ""Not Found"")"),"oʊbe")</f>
        <v>oʊbe</v>
      </c>
      <c r="E1657" s="2" t="str">
        <f>IFERROR(__xludf.DUMMYFUNCTION("IFERROR(VLOOKUP(A1657, IMPORTRANGE(""https://docs.google.com/spreadsheets/d/1-3Vjw2Cyy-mry5gbC8ypIR3YVGFfEpyFESummAta6sg/edit"", ""Sheet1!B:D""), 3, FALSE), ""Not Found"")"),"o ʊ b e ")</f>
        <v>o ʊ b e </v>
      </c>
    </row>
    <row r="1658">
      <c r="A1658" s="1" t="s">
        <v>1661</v>
      </c>
      <c r="B1658" s="1" t="s">
        <v>5</v>
      </c>
      <c r="C1658" s="2">
        <f>IFERROR(__xludf.DUMMYFUNCTION("IFERROR(VLOOKUP(A1658, IMPORTRANGE(""https://docs.google.com/spreadsheets/d/1AVX9GT0dgogEBStecCXMMQ29tWz3gBrtNB8yIromXbY/edit?gid=741673867"", ""out1g!A:B""), 2, FALSE), 0)"),437.0)</f>
        <v>437</v>
      </c>
      <c r="D1658" s="2" t="str">
        <f>IFERROR(__xludf.DUMMYFUNCTION("IFERROR(VLOOKUP(A1658, IMPORTRANGE(""https://docs.google.com/spreadsheets/d/1-3Vjw2Cyy-mry5gbC8ypIR3YVGFfEpyFESummAta6sg/edit"", ""Sheet1!B:D""), 2, FALSE), ""Not Found"")"),"dɛl")</f>
        <v>dɛl</v>
      </c>
      <c r="E1658" s="2" t="str">
        <f>IFERROR(__xludf.DUMMYFUNCTION("IFERROR(VLOOKUP(A1658, IMPORTRANGE(""https://docs.google.com/spreadsheets/d/1-3Vjw2Cyy-mry5gbC8ypIR3YVGFfEpyFESummAta6sg/edit"", ""Sheet1!B:D""), 3, FALSE), ""Not Found"")"),"d ɛ l ")</f>
        <v>d ɛ l </v>
      </c>
    </row>
    <row r="1659">
      <c r="A1659" s="1" t="s">
        <v>1662</v>
      </c>
      <c r="B1659" s="1" t="s">
        <v>5</v>
      </c>
      <c r="C1659" s="2">
        <f>IFERROR(__xludf.DUMMYFUNCTION("IFERROR(VLOOKUP(A1659, IMPORTRANGE(""https://docs.google.com/spreadsheets/d/1AVX9GT0dgogEBStecCXMMQ29tWz3gBrtNB8yIromXbY/edit?gid=741673867"", ""out1g!A:B""), 2, FALSE), 0)"),262.0)</f>
        <v>262</v>
      </c>
      <c r="D1659" s="2" t="str">
        <f>IFERROR(__xludf.DUMMYFUNCTION("IFERROR(VLOOKUP(A1659, IMPORTRANGE(""https://docs.google.com/spreadsheets/d/1-3Vjw2Cyy-mry5gbC8ypIR3YVGFfEpyFESummAta6sg/edit"", ""Sheet1!B:D""), 2, FALSE), ""Not Found"")"),"sɛnsərz")</f>
        <v>sɛnsərz</v>
      </c>
      <c r="E1659" s="2" t="str">
        <f>IFERROR(__xludf.DUMMYFUNCTION("IFERROR(VLOOKUP(A1659, IMPORTRANGE(""https://docs.google.com/spreadsheets/d/1-3Vjw2Cyy-mry5gbC8ypIR3YVGFfEpyFESummAta6sg/edit"", ""Sheet1!B:D""), 3, FALSE), ""Not Found"")"),"s ɛ n s ə r z ")</f>
        <v>s ɛ n s ə r z </v>
      </c>
    </row>
    <row r="1660">
      <c r="A1660" s="1" t="s">
        <v>1663</v>
      </c>
      <c r="B1660" s="1" t="s">
        <v>5</v>
      </c>
      <c r="C1660" s="2">
        <f>IFERROR(__xludf.DUMMYFUNCTION("IFERROR(VLOOKUP(A1660, IMPORTRANGE(""https://docs.google.com/spreadsheets/d/1AVX9GT0dgogEBStecCXMMQ29tWz3gBrtNB8yIromXbY/edit?gid=741673867"", ""out1g!A:B""), 2, FALSE), 0)"),86.0)</f>
        <v>86</v>
      </c>
      <c r="D1660" s="2" t="str">
        <f>IFERROR(__xludf.DUMMYFUNCTION("IFERROR(VLOOKUP(A1660, IMPORTRANGE(""https://docs.google.com/spreadsheets/d/1-3Vjw2Cyy-mry5gbC8ypIR3YVGFfEpyFESummAta6sg/edit"", ""Sheet1!B:D""), 2, FALSE), ""Not Found"")"),"təŋ")</f>
        <v>təŋ</v>
      </c>
      <c r="E1660" s="2" t="str">
        <f>IFERROR(__xludf.DUMMYFUNCTION("IFERROR(VLOOKUP(A1660, IMPORTRANGE(""https://docs.google.com/spreadsheets/d/1-3Vjw2Cyy-mry5gbC8ypIR3YVGFfEpyFESummAta6sg/edit"", ""Sheet1!B:D""), 3, FALSE), ""Not Found"")"),"t ə ŋ ")</f>
        <v>t ə ŋ </v>
      </c>
    </row>
    <row r="1661">
      <c r="A1661" s="1" t="s">
        <v>1664</v>
      </c>
      <c r="B1661" s="1" t="s">
        <v>5</v>
      </c>
      <c r="C1661" s="2">
        <f>IFERROR(__xludf.DUMMYFUNCTION("IFERROR(VLOOKUP(A1661, IMPORTRANGE(""https://docs.google.com/spreadsheets/d/1AVX9GT0dgogEBStecCXMMQ29tWz3gBrtNB8yIromXbY/edit?gid=741673867"", ""out1g!A:B""), 2, FALSE), 0)"),83.0)</f>
        <v>83</v>
      </c>
      <c r="D1661" s="2" t="str">
        <f>IFERROR(__xludf.DUMMYFUNCTION("IFERROR(VLOOKUP(A1661, IMPORTRANGE(""https://docs.google.com/spreadsheets/d/1-3Vjw2Cyy-mry5gbC8ypIR3YVGFfEpyFESummAta6sg/edit"", ""Sheet1!B:D""), 2, FALSE), ""Not Found"")"),"ɑs")</f>
        <v>ɑs</v>
      </c>
      <c r="E1661" s="2" t="str">
        <f>IFERROR(__xludf.DUMMYFUNCTION("IFERROR(VLOOKUP(A1661, IMPORTRANGE(""https://docs.google.com/spreadsheets/d/1-3Vjw2Cyy-mry5gbC8ypIR3YVGFfEpyFESummAta6sg/edit"", ""Sheet1!B:D""), 3, FALSE), ""Not Found"")"),"ɑ s ")</f>
        <v>ɑ s </v>
      </c>
    </row>
    <row r="1662">
      <c r="A1662" s="1" t="s">
        <v>1665</v>
      </c>
      <c r="B1662" s="1" t="s">
        <v>5</v>
      </c>
      <c r="C1662" s="2">
        <f>IFERROR(__xludf.DUMMYFUNCTION("IFERROR(VLOOKUP(A1662, IMPORTRANGE(""https://docs.google.com/spreadsheets/d/1AVX9GT0dgogEBStecCXMMQ29tWz3gBrtNB8yIromXbY/edit?gid=741673867"", ""out1g!A:B""), 2, FALSE), 0)"),56.0)</f>
        <v>56</v>
      </c>
      <c r="D1662" s="2" t="str">
        <f>IFERROR(__xludf.DUMMYFUNCTION("IFERROR(VLOOKUP(A1662, IMPORTRANGE(""https://docs.google.com/spreadsheets/d/1-3Vjw2Cyy-mry5gbC8ypIR3YVGFfEpyFESummAta6sg/edit"", ""Sheet1!B:D""), 2, FALSE), ""Not Found"")"),"klɔgd")</f>
        <v>klɔgd</v>
      </c>
      <c r="E1662" s="2" t="str">
        <f>IFERROR(__xludf.DUMMYFUNCTION("IFERROR(VLOOKUP(A1662, IMPORTRANGE(""https://docs.google.com/spreadsheets/d/1-3Vjw2Cyy-mry5gbC8ypIR3YVGFfEpyFESummAta6sg/edit"", ""Sheet1!B:D""), 3, FALSE), ""Not Found"")"),"k l ɔ g d ")</f>
        <v>k l ɔ g d </v>
      </c>
    </row>
    <row r="1663">
      <c r="A1663" s="1" t="s">
        <v>1666</v>
      </c>
      <c r="B1663" s="1" t="s">
        <v>5</v>
      </c>
      <c r="C1663" s="2">
        <f>IFERROR(__xludf.DUMMYFUNCTION("IFERROR(VLOOKUP(A1663, IMPORTRANGE(""https://docs.google.com/spreadsheets/d/1AVX9GT0dgogEBStecCXMMQ29tWz3gBrtNB8yIromXbY/edit?gid=741673867"", ""out1g!A:B""), 2, FALSE), 0)"),196.0)</f>
        <v>196</v>
      </c>
      <c r="D1663" s="2" t="str">
        <f>IFERROR(__xludf.DUMMYFUNCTION("IFERROR(VLOOKUP(A1663, IMPORTRANGE(""https://docs.google.com/spreadsheets/d/1-3Vjw2Cyy-mry5gbC8ypIR3YVGFfEpyFESummAta6sg/edit"", ""Sheet1!B:D""), 2, FALSE), ""Not Found"")"),"fɛz")</f>
        <v>fɛz</v>
      </c>
      <c r="E1663" s="2" t="str">
        <f>IFERROR(__xludf.DUMMYFUNCTION("IFERROR(VLOOKUP(A1663, IMPORTRANGE(""https://docs.google.com/spreadsheets/d/1-3Vjw2Cyy-mry5gbC8ypIR3YVGFfEpyFESummAta6sg/edit"", ""Sheet1!B:D""), 3, FALSE), ""Not Found"")"),"f ɛ z ")</f>
        <v>f ɛ z </v>
      </c>
    </row>
    <row r="1664">
      <c r="A1664" s="1" t="s">
        <v>1667</v>
      </c>
      <c r="B1664" s="1" t="s">
        <v>5</v>
      </c>
      <c r="C1664" s="2">
        <f>IFERROR(__xludf.DUMMYFUNCTION("IFERROR(VLOOKUP(A1664, IMPORTRANGE(""https://docs.google.com/spreadsheets/d/1AVX9GT0dgogEBStecCXMMQ29tWz3gBrtNB8yIromXbY/edit?gid=741673867"", ""out1g!A:B""), 2, FALSE), 0)"),10.0)</f>
        <v>10</v>
      </c>
      <c r="D1664" s="2" t="str">
        <f>IFERROR(__xludf.DUMMYFUNCTION("IFERROR(VLOOKUP(A1664, IMPORTRANGE(""https://docs.google.com/spreadsheets/d/1-3Vjw2Cyy-mry5gbC8ypIR3YVGFfEpyFESummAta6sg/edit"", ""Sheet1!B:D""), 2, FALSE), ""Not Found"")"),"zeni")</f>
        <v>zeni</v>
      </c>
      <c r="E1664" s="2" t="str">
        <f>IFERROR(__xludf.DUMMYFUNCTION("IFERROR(VLOOKUP(A1664, IMPORTRANGE(""https://docs.google.com/spreadsheets/d/1-3Vjw2Cyy-mry5gbC8ypIR3YVGFfEpyFESummAta6sg/edit"", ""Sheet1!B:D""), 3, FALSE), ""Not Found"")"),"z e n i ")</f>
        <v>z e n i </v>
      </c>
    </row>
    <row r="1665">
      <c r="A1665" s="1" t="s">
        <v>1668</v>
      </c>
      <c r="B1665" s="1" t="s">
        <v>5</v>
      </c>
      <c r="C1665" s="2">
        <f>IFERROR(__xludf.DUMMYFUNCTION("IFERROR(VLOOKUP(A1665, IMPORTRANGE(""https://docs.google.com/spreadsheets/d/1AVX9GT0dgogEBStecCXMMQ29tWz3gBrtNB8yIromXbY/edit?gid=741673867"", ""out1g!A:B""), 2, FALSE), 0)"),104.0)</f>
        <v>104</v>
      </c>
      <c r="D1665" s="2" t="str">
        <f>IFERROR(__xludf.DUMMYFUNCTION("IFERROR(VLOOKUP(A1665, IMPORTRANGE(""https://docs.google.com/spreadsheets/d/1-3Vjw2Cyy-mry5gbC8ypIR3YVGFfEpyFESummAta6sg/edit"", ""Sheet1!B:D""), 2, FALSE), ""Not Found"")"),"duz")</f>
        <v>duz</v>
      </c>
      <c r="E1665" s="2" t="str">
        <f>IFERROR(__xludf.DUMMYFUNCTION("IFERROR(VLOOKUP(A1665, IMPORTRANGE(""https://docs.google.com/spreadsheets/d/1-3Vjw2Cyy-mry5gbC8ypIR3YVGFfEpyFESummAta6sg/edit"", ""Sheet1!B:D""), 3, FALSE), ""Not Found"")"),"d u z ")</f>
        <v>d u z </v>
      </c>
    </row>
    <row r="1666">
      <c r="A1666" s="1" t="s">
        <v>1669</v>
      </c>
      <c r="B1666" s="1" t="s">
        <v>5</v>
      </c>
      <c r="C1666" s="2">
        <f>IFERROR(__xludf.DUMMYFUNCTION("IFERROR(VLOOKUP(A1666, IMPORTRANGE(""https://docs.google.com/spreadsheets/d/1AVX9GT0dgogEBStecCXMMQ29tWz3gBrtNB8yIromXbY/edit?gid=741673867"", ""out1g!A:B""), 2, FALSE), 0)"),6179.0)</f>
        <v>6179</v>
      </c>
      <c r="D1666" s="2" t="str">
        <f>IFERROR(__xludf.DUMMYFUNCTION("IFERROR(VLOOKUP(A1666, IMPORTRANGE(""https://docs.google.com/spreadsheets/d/1-3Vjw2Cyy-mry5gbC8ypIR3YVGFfEpyFESummAta6sg/edit"", ""Sheet1!B:D""), 2, FALSE), ""Not Found"")"),"kɪs")</f>
        <v>kɪs</v>
      </c>
      <c r="E1666" s="2" t="str">
        <f>IFERROR(__xludf.DUMMYFUNCTION("IFERROR(VLOOKUP(A1666, IMPORTRANGE(""https://docs.google.com/spreadsheets/d/1-3Vjw2Cyy-mry5gbC8ypIR3YVGFfEpyFESummAta6sg/edit"", ""Sheet1!B:D""), 3, FALSE), ""Not Found"")"),"k ɪ s ")</f>
        <v>k ɪ s </v>
      </c>
    </row>
    <row r="1667">
      <c r="A1667" s="1" t="s">
        <v>1670</v>
      </c>
      <c r="B1667" s="1" t="s">
        <v>5</v>
      </c>
      <c r="C1667" s="2">
        <f>IFERROR(__xludf.DUMMYFUNCTION("IFERROR(VLOOKUP(A1667, IMPORTRANGE(""https://docs.google.com/spreadsheets/d/1AVX9GT0dgogEBStecCXMMQ29tWz3gBrtNB8yIromXbY/edit?gid=741673867"", ""out1g!A:B""), 2, FALSE), 0)"),404.0)</f>
        <v>404</v>
      </c>
      <c r="D1667" s="2" t="str">
        <f>IFERROR(__xludf.DUMMYFUNCTION("IFERROR(VLOOKUP(A1667, IMPORTRANGE(""https://docs.google.com/spreadsheets/d/1-3Vjw2Cyy-mry5gbC8ypIR3YVGFfEpyFESummAta6sg/edit"", ""Sheet1!B:D""), 2, FALSE), ""Not Found"")"),"milz")</f>
        <v>milz</v>
      </c>
      <c r="E1667" s="2" t="str">
        <f>IFERROR(__xludf.DUMMYFUNCTION("IFERROR(VLOOKUP(A1667, IMPORTRANGE(""https://docs.google.com/spreadsheets/d/1-3Vjw2Cyy-mry5gbC8ypIR3YVGFfEpyFESummAta6sg/edit"", ""Sheet1!B:D""), 3, FALSE), ""Not Found"")"),"m i l z ")</f>
        <v>m i l z </v>
      </c>
    </row>
    <row r="1668">
      <c r="A1668" s="1" t="s">
        <v>1671</v>
      </c>
      <c r="B1668" s="1" t="s">
        <v>5</v>
      </c>
      <c r="C1668" s="2">
        <f>IFERROR(__xludf.DUMMYFUNCTION("IFERROR(VLOOKUP(A1668, IMPORTRANGE(""https://docs.google.com/spreadsheets/d/1AVX9GT0dgogEBStecCXMMQ29tWz3gBrtNB8yIromXbY/edit?gid=741673867"", ""out1g!A:B""), 2, FALSE), 0)"),132.0)</f>
        <v>132</v>
      </c>
      <c r="D1668" s="2" t="str">
        <f>IFERROR(__xludf.DUMMYFUNCTION("IFERROR(VLOOKUP(A1668, IMPORTRANGE(""https://docs.google.com/spreadsheets/d/1-3Vjw2Cyy-mry5gbC8ypIR3YVGFfEpyFESummAta6sg/edit"", ""Sheet1!B:D""), 2, FALSE), ""Not Found"")"),"tætud")</f>
        <v>tætud</v>
      </c>
      <c r="E1668" s="2" t="str">
        <f>IFERROR(__xludf.DUMMYFUNCTION("IFERROR(VLOOKUP(A1668, IMPORTRANGE(""https://docs.google.com/spreadsheets/d/1-3Vjw2Cyy-mry5gbC8ypIR3YVGFfEpyFESummAta6sg/edit"", ""Sheet1!B:D""), 3, FALSE), ""Not Found"")"),"t æ t u d ")</f>
        <v>t æ t u d </v>
      </c>
    </row>
    <row r="1669">
      <c r="A1669" s="1" t="s">
        <v>1672</v>
      </c>
      <c r="B1669" s="1" t="s">
        <v>5</v>
      </c>
      <c r="C1669" s="2">
        <f>IFERROR(__xludf.DUMMYFUNCTION("IFERROR(VLOOKUP(A1669, IMPORTRANGE(""https://docs.google.com/spreadsheets/d/1AVX9GT0dgogEBStecCXMMQ29tWz3gBrtNB8yIromXbY/edit?gid=741673867"", ""out1g!A:B""), 2, FALSE), 0)"),421.0)</f>
        <v>421</v>
      </c>
      <c r="D1669" s="2" t="str">
        <f>IFERROR(__xludf.DUMMYFUNCTION("IFERROR(VLOOKUP(A1669, IMPORTRANGE(""https://docs.google.com/spreadsheets/d/1-3Vjw2Cyy-mry5gbC8ypIR3YVGFfEpyFESummAta6sg/edit"", ""Sheet1!B:D""), 2, FALSE), ""Not Found"")"),"tɔst")</f>
        <v>tɔst</v>
      </c>
      <c r="E1669" s="2" t="str">
        <f>IFERROR(__xludf.DUMMYFUNCTION("IFERROR(VLOOKUP(A1669, IMPORTRANGE(""https://docs.google.com/spreadsheets/d/1-3Vjw2Cyy-mry5gbC8ypIR3YVGFfEpyFESummAta6sg/edit"", ""Sheet1!B:D""), 3, FALSE), ""Not Found"")"),"t ɔ s t ")</f>
        <v>t ɔ s t </v>
      </c>
    </row>
    <row r="1670">
      <c r="A1670" s="1" t="s">
        <v>1673</v>
      </c>
      <c r="B1670" s="1" t="s">
        <v>5</v>
      </c>
      <c r="C1670" s="2">
        <f>IFERROR(__xludf.DUMMYFUNCTION("IFERROR(VLOOKUP(A1670, IMPORTRANGE(""https://docs.google.com/spreadsheets/d/1AVX9GT0dgogEBStecCXMMQ29tWz3gBrtNB8yIromXbY/edit?gid=741673867"", ""out1g!A:B""), 2, FALSE), 0)"),155.0)</f>
        <v>155</v>
      </c>
      <c r="D1670" s="2" t="str">
        <f>IFERROR(__xludf.DUMMYFUNCTION("IFERROR(VLOOKUP(A1670, IMPORTRANGE(""https://docs.google.com/spreadsheets/d/1-3Vjw2Cyy-mry5gbC8ypIR3YVGFfEpyFESummAta6sg/edit"", ""Sheet1!B:D""), 2, FALSE), ""Not Found"")"),"gritə")</f>
        <v>gritə</v>
      </c>
      <c r="E1670" s="2" t="str">
        <f>IFERROR(__xludf.DUMMYFUNCTION("IFERROR(VLOOKUP(A1670, IMPORTRANGE(""https://docs.google.com/spreadsheets/d/1-3Vjw2Cyy-mry5gbC8ypIR3YVGFfEpyFESummAta6sg/edit"", ""Sheet1!B:D""), 3, FALSE), ""Not Found"")"),"g r i t ə ")</f>
        <v>g r i t ə </v>
      </c>
    </row>
    <row r="1671">
      <c r="A1671" s="1" t="s">
        <v>1674</v>
      </c>
      <c r="B1671" s="1" t="s">
        <v>5</v>
      </c>
      <c r="C1671" s="2">
        <f>IFERROR(__xludf.DUMMYFUNCTION("IFERROR(VLOOKUP(A1671, IMPORTRANGE(""https://docs.google.com/spreadsheets/d/1AVX9GT0dgogEBStecCXMMQ29tWz3gBrtNB8yIromXbY/edit?gid=741673867"", ""out1g!A:B""), 2, FALSE), 0)"),281.0)</f>
        <v>281</v>
      </c>
      <c r="D1671" s="2" t="str">
        <f>IFERROR(__xludf.DUMMYFUNCTION("IFERROR(VLOOKUP(A1671, IMPORTRANGE(""https://docs.google.com/spreadsheets/d/1-3Vjw2Cyy-mry5gbC8ypIR3YVGFfEpyFESummAta6sg/edit"", ""Sheet1!B:D""), 2, FALSE), ""Not Found"")"),"pre")</f>
        <v>pre</v>
      </c>
      <c r="E1671" s="2" t="str">
        <f>IFERROR(__xludf.DUMMYFUNCTION("IFERROR(VLOOKUP(A1671, IMPORTRANGE(""https://docs.google.com/spreadsheets/d/1-3Vjw2Cyy-mry5gbC8ypIR3YVGFfEpyFESummAta6sg/edit"", ""Sheet1!B:D""), 3, FALSE), ""Not Found"")"),"p r e ")</f>
        <v>p r e </v>
      </c>
    </row>
    <row r="1672">
      <c r="A1672" s="1" t="s">
        <v>1675</v>
      </c>
      <c r="B1672" s="1" t="s">
        <v>5</v>
      </c>
      <c r="C1672" s="2">
        <f>IFERROR(__xludf.DUMMYFUNCTION("IFERROR(VLOOKUP(A1672, IMPORTRANGE(""https://docs.google.com/spreadsheets/d/1AVX9GT0dgogEBStecCXMMQ29tWz3gBrtNB8yIromXbY/edit?gid=741673867"", ""out1g!A:B""), 2, FALSE), 0)"),17454.0)</f>
        <v>17454</v>
      </c>
      <c r="D1672" s="2" t="str">
        <f>IFERROR(__xludf.DUMMYFUNCTION("IFERROR(VLOOKUP(A1672, IMPORTRANGE(""https://docs.google.com/spreadsheets/d/1-3Vjw2Cyy-mry5gbC8ypIR3YVGFfEpyFESummAta6sg/edit"", ""Sheet1!B:D""), 2, FALSE), ""Not Found"")"),"tʊk")</f>
        <v>tʊk</v>
      </c>
      <c r="E1672" s="2" t="str">
        <f>IFERROR(__xludf.DUMMYFUNCTION("IFERROR(VLOOKUP(A1672, IMPORTRANGE(""https://docs.google.com/spreadsheets/d/1-3Vjw2Cyy-mry5gbC8ypIR3YVGFfEpyFESummAta6sg/edit"", ""Sheet1!B:D""), 3, FALSE), ""Not Found"")"),"t ʊ k ")</f>
        <v>t ʊ k </v>
      </c>
    </row>
    <row r="1673">
      <c r="A1673" s="1" t="s">
        <v>1676</v>
      </c>
      <c r="B1673" s="1" t="s">
        <v>5</v>
      </c>
      <c r="C1673" s="2">
        <f>IFERROR(__xludf.DUMMYFUNCTION("IFERROR(VLOOKUP(A1673, IMPORTRANGE(""https://docs.google.com/spreadsheets/d/1AVX9GT0dgogEBStecCXMMQ29tWz3gBrtNB8yIromXbY/edit?gid=741673867"", ""out1g!A:B""), 2, FALSE), 0)"),376.0)</f>
        <v>376</v>
      </c>
      <c r="D1673" s="2" t="str">
        <f>IFERROR(__xludf.DUMMYFUNCTION("IFERROR(VLOOKUP(A1673, IMPORTRANGE(""https://docs.google.com/spreadsheets/d/1-3Vjw2Cyy-mry5gbC8ypIR3YVGFfEpyFESummAta6sg/edit"", ""Sheet1!B:D""), 2, FALSE), ""Not Found"")"),"haɪts")</f>
        <v>haɪts</v>
      </c>
      <c r="E1673" s="2" t="str">
        <f>IFERROR(__xludf.DUMMYFUNCTION("IFERROR(VLOOKUP(A1673, IMPORTRANGE(""https://docs.google.com/spreadsheets/d/1-3Vjw2Cyy-mry5gbC8ypIR3YVGFfEpyFESummAta6sg/edit"", ""Sheet1!B:D""), 3, FALSE), ""Not Found"")"),"h a ɪ t s ")</f>
        <v>h a ɪ t s </v>
      </c>
    </row>
    <row r="1674">
      <c r="A1674" s="1" t="s">
        <v>1677</v>
      </c>
      <c r="B1674" s="1" t="s">
        <v>5</v>
      </c>
      <c r="C1674" s="2">
        <f>IFERROR(__xludf.DUMMYFUNCTION("IFERROR(VLOOKUP(A1674, IMPORTRANGE(""https://docs.google.com/spreadsheets/d/1AVX9GT0dgogEBStecCXMMQ29tWz3gBrtNB8yIromXbY/edit?gid=741673867"", ""out1g!A:B""), 2, FALSE), 0)"),1005.0)</f>
        <v>1005</v>
      </c>
      <c r="D1674" s="2" t="str">
        <f>IFERROR(__xludf.DUMMYFUNCTION("IFERROR(VLOOKUP(A1674, IMPORTRANGE(""https://docs.google.com/spreadsheets/d/1-3Vjw2Cyy-mry5gbC8ypIR3YVGFfEpyFESummAta6sg/edit"", ""Sheet1!B:D""), 2, FALSE), ""Not Found"")"),"bif")</f>
        <v>bif</v>
      </c>
      <c r="E1674" s="2" t="str">
        <f>IFERROR(__xludf.DUMMYFUNCTION("IFERROR(VLOOKUP(A1674, IMPORTRANGE(""https://docs.google.com/spreadsheets/d/1-3Vjw2Cyy-mry5gbC8ypIR3YVGFfEpyFESummAta6sg/edit"", ""Sheet1!B:D""), 3, FALSE), ""Not Found"")"),"b i f ")</f>
        <v>b i f </v>
      </c>
    </row>
    <row r="1675">
      <c r="A1675" s="1" t="s">
        <v>1678</v>
      </c>
      <c r="B1675" s="1" t="s">
        <v>5</v>
      </c>
      <c r="C1675" s="2">
        <f>IFERROR(__xludf.DUMMYFUNCTION("IFERROR(VLOOKUP(A1675, IMPORTRANGE(""https://docs.google.com/spreadsheets/d/1AVX9GT0dgogEBStecCXMMQ29tWz3gBrtNB8yIromXbY/edit?gid=741673867"", ""out1g!A:B""), 2, FALSE), 0)"),592.0)</f>
        <v>592</v>
      </c>
      <c r="D1675" s="2" t="str">
        <f>IFERROR(__xludf.DUMMYFUNCTION("IFERROR(VLOOKUP(A1675, IMPORTRANGE(""https://docs.google.com/spreadsheets/d/1-3Vjw2Cyy-mry5gbC8ypIR3YVGFfEpyFESummAta6sg/edit"", ""Sheet1!B:D""), 2, FALSE), ""Not Found"")"),"pɔrn")</f>
        <v>pɔrn</v>
      </c>
      <c r="E1675" s="2" t="str">
        <f>IFERROR(__xludf.DUMMYFUNCTION("IFERROR(VLOOKUP(A1675, IMPORTRANGE(""https://docs.google.com/spreadsheets/d/1-3Vjw2Cyy-mry5gbC8ypIR3YVGFfEpyFESummAta6sg/edit"", ""Sheet1!B:D""), 3, FALSE), ""Not Found"")"),"p ɔ r n ")</f>
        <v>p ɔ r n </v>
      </c>
    </row>
    <row r="1676">
      <c r="A1676" s="1" t="s">
        <v>1679</v>
      </c>
      <c r="B1676" s="1" t="s">
        <v>5</v>
      </c>
      <c r="C1676" s="2">
        <f>IFERROR(__xludf.DUMMYFUNCTION("IFERROR(VLOOKUP(A1676, IMPORTRANGE(""https://docs.google.com/spreadsheets/d/1AVX9GT0dgogEBStecCXMMQ29tWz3gBrtNB8yIromXbY/edit?gid=741673867"", ""out1g!A:B""), 2, FALSE), 0)"),18947.0)</f>
        <v>18947</v>
      </c>
      <c r="D1676" s="2" t="str">
        <f>IFERROR(__xludf.DUMMYFUNCTION("IFERROR(VLOOKUP(A1676, IMPORTRANGE(""https://docs.google.com/spreadsheets/d/1-3Vjw2Cyy-mry5gbC8ypIR3YVGFfEpyFESummAta6sg/edit"", ""Sheet1!B:D""), 2, FALSE), ""Not Found"")"),"hɛd")</f>
        <v>hɛd</v>
      </c>
      <c r="E1676" s="2" t="str">
        <f>IFERROR(__xludf.DUMMYFUNCTION("IFERROR(VLOOKUP(A1676, IMPORTRANGE(""https://docs.google.com/spreadsheets/d/1-3Vjw2Cyy-mry5gbC8ypIR3YVGFfEpyFESummAta6sg/edit"", ""Sheet1!B:D""), 3, FALSE), ""Not Found"")"),"h ɛ d ")</f>
        <v>h ɛ d </v>
      </c>
    </row>
    <row r="1677">
      <c r="A1677" s="1" t="s">
        <v>1680</v>
      </c>
      <c r="B1677" s="1" t="s">
        <v>5</v>
      </c>
      <c r="C1677" s="2">
        <f>IFERROR(__xludf.DUMMYFUNCTION("IFERROR(VLOOKUP(A1677, IMPORTRANGE(""https://docs.google.com/spreadsheets/d/1AVX9GT0dgogEBStecCXMMQ29tWz3gBrtNB8yIromXbY/edit?gid=741673867"", ""out1g!A:B""), 2, FALSE), 0)"),561.0)</f>
        <v>561</v>
      </c>
      <c r="D1677" s="2" t="str">
        <f>IFERROR(__xludf.DUMMYFUNCTION("IFERROR(VLOOKUP(A1677, IMPORTRANGE(""https://docs.google.com/spreadsheets/d/1-3Vjw2Cyy-mry5gbC8ypIR3YVGFfEpyFESummAta6sg/edit"", ""Sheet1!B:D""), 2, FALSE), ""Not Found"")"),"məri")</f>
        <v>məri</v>
      </c>
      <c r="E1677" s="2" t="str">
        <f>IFERROR(__xludf.DUMMYFUNCTION("IFERROR(VLOOKUP(A1677, IMPORTRANGE(""https://docs.google.com/spreadsheets/d/1-3Vjw2Cyy-mry5gbC8ypIR3YVGFfEpyFESummAta6sg/edit"", ""Sheet1!B:D""), 3, FALSE), ""Not Found"")"),"m ə r i ")</f>
        <v>m ə r i </v>
      </c>
    </row>
    <row r="1678">
      <c r="A1678" s="1" t="s">
        <v>1681</v>
      </c>
      <c r="B1678" s="1" t="s">
        <v>5</v>
      </c>
      <c r="C1678" s="2">
        <f>IFERROR(__xludf.DUMMYFUNCTION("IFERROR(VLOOKUP(A1678, IMPORTRANGE(""https://docs.google.com/spreadsheets/d/1AVX9GT0dgogEBStecCXMMQ29tWz3gBrtNB8yIromXbY/edit?gid=741673867"", ""out1g!A:B""), 2, FALSE), 0)"),117.0)</f>
        <v>117</v>
      </c>
      <c r="D1678" s="2" t="str">
        <f>IFERROR(__xludf.DUMMYFUNCTION("IFERROR(VLOOKUP(A1678, IMPORTRANGE(""https://docs.google.com/spreadsheets/d/1-3Vjw2Cyy-mry5gbC8ypIR3YVGFfEpyFESummAta6sg/edit"", ""Sheet1!B:D""), 2, FALSE), ""Not Found"")"),"kɔrnərd")</f>
        <v>kɔrnərd</v>
      </c>
      <c r="E1678" s="2" t="str">
        <f>IFERROR(__xludf.DUMMYFUNCTION("IFERROR(VLOOKUP(A1678, IMPORTRANGE(""https://docs.google.com/spreadsheets/d/1-3Vjw2Cyy-mry5gbC8ypIR3YVGFfEpyFESummAta6sg/edit"", ""Sheet1!B:D""), 3, FALSE), ""Not Found"")"),"k ɔ r n ə r d ")</f>
        <v>k ɔ r n ə r d </v>
      </c>
    </row>
    <row r="1679">
      <c r="A1679" s="1" t="s">
        <v>1682</v>
      </c>
      <c r="B1679" s="1" t="s">
        <v>5</v>
      </c>
      <c r="C1679" s="2">
        <f>IFERROR(__xludf.DUMMYFUNCTION("IFERROR(VLOOKUP(A1679, IMPORTRANGE(""https://docs.google.com/spreadsheets/d/1AVX9GT0dgogEBStecCXMMQ29tWz3gBrtNB8yIromXbY/edit?gid=741673867"", ""out1g!A:B""), 2, FALSE), 0)"),292.0)</f>
        <v>292</v>
      </c>
      <c r="D1679" s="2" t="str">
        <f>IFERROR(__xludf.DUMMYFUNCTION("IFERROR(VLOOKUP(A1679, IMPORTRANGE(""https://docs.google.com/spreadsheets/d/1-3Vjw2Cyy-mry5gbC8ypIR3YVGFfEpyFESummAta6sg/edit"", ""Sheet1!B:D""), 2, FALSE), ""Not Found"")"),"bəts")</f>
        <v>bəts</v>
      </c>
      <c r="E1679" s="2" t="str">
        <f>IFERROR(__xludf.DUMMYFUNCTION("IFERROR(VLOOKUP(A1679, IMPORTRANGE(""https://docs.google.com/spreadsheets/d/1-3Vjw2Cyy-mry5gbC8ypIR3YVGFfEpyFESummAta6sg/edit"", ""Sheet1!B:D""), 3, FALSE), ""Not Found"")"),"b ə t s ")</f>
        <v>b ə t s </v>
      </c>
    </row>
    <row r="1680">
      <c r="A1680" s="1" t="s">
        <v>1683</v>
      </c>
      <c r="B1680" s="1" t="s">
        <v>5</v>
      </c>
      <c r="C1680" s="2">
        <f>IFERROR(__xludf.DUMMYFUNCTION("IFERROR(VLOOKUP(A1680, IMPORTRANGE(""https://docs.google.com/spreadsheets/d/1AVX9GT0dgogEBStecCXMMQ29tWz3gBrtNB8yIromXbY/edit?gid=741673867"", ""out1g!A:B""), 2, FALSE), 0)"),61.0)</f>
        <v>61</v>
      </c>
      <c r="D1680" s="2" t="str">
        <f>IFERROR(__xludf.DUMMYFUNCTION("IFERROR(VLOOKUP(A1680, IMPORTRANGE(""https://docs.google.com/spreadsheets/d/1-3Vjw2Cyy-mry5gbC8ypIR3YVGFfEpyFESummAta6sg/edit"", ""Sheet1!B:D""), 2, FALSE), ""Not Found"")"),"slɑ")</f>
        <v>slɑ</v>
      </c>
      <c r="E1680" s="2" t="str">
        <f>IFERROR(__xludf.DUMMYFUNCTION("IFERROR(VLOOKUP(A1680, IMPORTRANGE(""https://docs.google.com/spreadsheets/d/1-3Vjw2Cyy-mry5gbC8ypIR3YVGFfEpyFESummAta6sg/edit"", ""Sheet1!B:D""), 3, FALSE), ""Not Found"")"),"s l ɑ ")</f>
        <v>s l ɑ </v>
      </c>
    </row>
    <row r="1681">
      <c r="A1681" s="1" t="s">
        <v>1684</v>
      </c>
      <c r="B1681" s="1" t="s">
        <v>5</v>
      </c>
      <c r="C1681" s="2">
        <f>IFERROR(__xludf.DUMMYFUNCTION("IFERROR(VLOOKUP(A1681, IMPORTRANGE(""https://docs.google.com/spreadsheets/d/1AVX9GT0dgogEBStecCXMMQ29tWz3gBrtNB8yIromXbY/edit?gid=741673867"", ""out1g!A:B""), 2, FALSE), 0)"),59.0)</f>
        <v>59</v>
      </c>
      <c r="D1681" s="2" t="str">
        <f>IFERROR(__xludf.DUMMYFUNCTION("IFERROR(VLOOKUP(A1681, IMPORTRANGE(""https://docs.google.com/spreadsheets/d/1-3Vjw2Cyy-mry5gbC8ypIR3YVGFfEpyFESummAta6sg/edit"", ""Sheet1!B:D""), 2, FALSE), ""Not Found"")"),"spɪk")</f>
        <v>spɪk</v>
      </c>
      <c r="E1681" s="2" t="str">
        <f>IFERROR(__xludf.DUMMYFUNCTION("IFERROR(VLOOKUP(A1681, IMPORTRANGE(""https://docs.google.com/spreadsheets/d/1-3Vjw2Cyy-mry5gbC8ypIR3YVGFfEpyFESummAta6sg/edit"", ""Sheet1!B:D""), 3, FALSE), ""Not Found"")"),"s p ɪ k ")</f>
        <v>s p ɪ k </v>
      </c>
    </row>
    <row r="1682">
      <c r="A1682" s="1" t="s">
        <v>1685</v>
      </c>
      <c r="B1682" s="1" t="s">
        <v>5</v>
      </c>
      <c r="C1682" s="2">
        <f>IFERROR(__xludf.DUMMYFUNCTION("IFERROR(VLOOKUP(A1682, IMPORTRANGE(""https://docs.google.com/spreadsheets/d/1AVX9GT0dgogEBStecCXMMQ29tWz3gBrtNB8yIromXbY/edit?gid=741673867"", ""out1g!A:B""), 2, FALSE), 0)"),139.0)</f>
        <v>139</v>
      </c>
      <c r="D1682" s="2" t="str">
        <f>IFERROR(__xludf.DUMMYFUNCTION("IFERROR(VLOOKUP(A1682, IMPORTRANGE(""https://docs.google.com/spreadsheets/d/1-3Vjw2Cyy-mry5gbC8ypIR3YVGFfEpyFESummAta6sg/edit"", ""Sheet1!B:D""), 2, FALSE), ""Not Found"")"),"kwɪl")</f>
        <v>kwɪl</v>
      </c>
      <c r="E1682" s="2" t="str">
        <f>IFERROR(__xludf.DUMMYFUNCTION("IFERROR(VLOOKUP(A1682, IMPORTRANGE(""https://docs.google.com/spreadsheets/d/1-3Vjw2Cyy-mry5gbC8ypIR3YVGFfEpyFESummAta6sg/edit"", ""Sheet1!B:D""), 3, FALSE), ""Not Found"")"),"k w ɪ l ")</f>
        <v>k w ɪ l </v>
      </c>
    </row>
    <row r="1683">
      <c r="A1683" s="1" t="s">
        <v>1686</v>
      </c>
      <c r="B1683" s="1" t="s">
        <v>5</v>
      </c>
      <c r="C1683" s="2">
        <f>IFERROR(__xludf.DUMMYFUNCTION("IFERROR(VLOOKUP(A1683, IMPORTRANGE(""https://docs.google.com/spreadsheets/d/1AVX9GT0dgogEBStecCXMMQ29tWz3gBrtNB8yIromXbY/edit?gid=741673867"", ""out1g!A:B""), 2, FALSE), 0)"),154.0)</f>
        <v>154</v>
      </c>
      <c r="D1683" s="2" t="str">
        <f>IFERROR(__xludf.DUMMYFUNCTION("IFERROR(VLOOKUP(A1683, IMPORTRANGE(""https://docs.google.com/spreadsheets/d/1-3Vjw2Cyy-mry5gbC8ypIR3YVGFfEpyFESummAta6sg/edit"", ""Sheet1!B:D""), 2, FALSE), ""Not Found"")"),"mɑrə")</f>
        <v>mɑrə</v>
      </c>
      <c r="E1683" s="2" t="str">
        <f>IFERROR(__xludf.DUMMYFUNCTION("IFERROR(VLOOKUP(A1683, IMPORTRANGE(""https://docs.google.com/spreadsheets/d/1-3Vjw2Cyy-mry5gbC8ypIR3YVGFfEpyFESummAta6sg/edit"", ""Sheet1!B:D""), 3, FALSE), ""Not Found"")"),"m ɑ r ə ")</f>
        <v>m ɑ r ə </v>
      </c>
    </row>
    <row r="1684">
      <c r="A1684" s="1" t="s">
        <v>1687</v>
      </c>
      <c r="B1684" s="1" t="s">
        <v>5</v>
      </c>
      <c r="C1684" s="2">
        <f>IFERROR(__xludf.DUMMYFUNCTION("IFERROR(VLOOKUP(A1684, IMPORTRANGE(""https://docs.google.com/spreadsheets/d/1AVX9GT0dgogEBStecCXMMQ29tWz3gBrtNB8yIromXbY/edit?gid=741673867"", ""out1g!A:B""), 2, FALSE), 0)"),804.0)</f>
        <v>804</v>
      </c>
      <c r="D1684" s="2" t="str">
        <f>IFERROR(__xludf.DUMMYFUNCTION("IFERROR(VLOOKUP(A1684, IMPORTRANGE(""https://docs.google.com/spreadsheets/d/1-3Vjw2Cyy-mry5gbC8ypIR3YVGFfEpyFESummAta6sg/edit"", ""Sheet1!B:D""), 2, FALSE), ""Not Found"")"),"fɔrθ")</f>
        <v>fɔrθ</v>
      </c>
      <c r="E1684" s="2" t="str">
        <f>IFERROR(__xludf.DUMMYFUNCTION("IFERROR(VLOOKUP(A1684, IMPORTRANGE(""https://docs.google.com/spreadsheets/d/1-3Vjw2Cyy-mry5gbC8ypIR3YVGFfEpyFESummAta6sg/edit"", ""Sheet1!B:D""), 3, FALSE), ""Not Found"")"),"f ɔ r θ ")</f>
        <v>f ɔ r θ </v>
      </c>
    </row>
    <row r="1685">
      <c r="A1685" s="1" t="s">
        <v>1688</v>
      </c>
      <c r="B1685" s="1" t="s">
        <v>5</v>
      </c>
      <c r="C1685" s="2">
        <f>IFERROR(__xludf.DUMMYFUNCTION("IFERROR(VLOOKUP(A1685, IMPORTRANGE(""https://docs.google.com/spreadsheets/d/1AVX9GT0dgogEBStecCXMMQ29tWz3gBrtNB8yIromXbY/edit?gid=741673867"", ""out1g!A:B""), 2, FALSE), 0)"),567.0)</f>
        <v>567</v>
      </c>
      <c r="D1685" s="2" t="str">
        <f>IFERROR(__xludf.DUMMYFUNCTION("IFERROR(VLOOKUP(A1685, IMPORTRANGE(""https://docs.google.com/spreadsheets/d/1-3Vjw2Cyy-mry5gbC8ypIR3YVGFfEpyFESummAta6sg/edit"", ""Sheet1!B:D""), 2, FALSE), ""Not Found"")"),"ləgɪʤ")</f>
        <v>ləgɪʤ</v>
      </c>
      <c r="E1685" s="2" t="str">
        <f>IFERROR(__xludf.DUMMYFUNCTION("IFERROR(VLOOKUP(A1685, IMPORTRANGE(""https://docs.google.com/spreadsheets/d/1-3Vjw2Cyy-mry5gbC8ypIR3YVGFfEpyFESummAta6sg/edit"", ""Sheet1!B:D""), 3, FALSE), ""Not Found"")"),"l ə g ɪ ʤ ")</f>
        <v>l ə g ɪ ʤ </v>
      </c>
    </row>
    <row r="1686">
      <c r="A1686" s="1" t="s">
        <v>1689</v>
      </c>
      <c r="B1686" s="1" t="s">
        <v>5</v>
      </c>
      <c r="C1686" s="2">
        <f>IFERROR(__xludf.DUMMYFUNCTION("IFERROR(VLOOKUP(A1686, IMPORTRANGE(""https://docs.google.com/spreadsheets/d/1AVX9GT0dgogEBStecCXMMQ29tWz3gBrtNB8yIromXbY/edit?gid=741673867"", ""out1g!A:B""), 2, FALSE), 0)"),11.0)</f>
        <v>11</v>
      </c>
      <c r="D1686" s="2" t="str">
        <f>IFERROR(__xludf.DUMMYFUNCTION("IFERROR(VLOOKUP(A1686, IMPORTRANGE(""https://docs.google.com/spreadsheets/d/1-3Vjw2Cyy-mry5gbC8ypIR3YVGFfEpyFESummAta6sg/edit"", ""Sheet1!B:D""), 2, FALSE), ""Not Found"")"),"bul")</f>
        <v>bul</v>
      </c>
      <c r="E1686" s="2" t="str">
        <f>IFERROR(__xludf.DUMMYFUNCTION("IFERROR(VLOOKUP(A1686, IMPORTRANGE(""https://docs.google.com/spreadsheets/d/1-3Vjw2Cyy-mry5gbC8ypIR3YVGFfEpyFESummAta6sg/edit"", ""Sheet1!B:D""), 3, FALSE), ""Not Found"")"),"b u l ")</f>
        <v>b u l </v>
      </c>
    </row>
    <row r="1687">
      <c r="A1687" s="1" t="s">
        <v>1690</v>
      </c>
      <c r="B1687" s="1" t="s">
        <v>5</v>
      </c>
      <c r="C1687" s="2">
        <f>IFERROR(__xludf.DUMMYFUNCTION("IFERROR(VLOOKUP(A1687, IMPORTRANGE(""https://docs.google.com/spreadsheets/d/1AVX9GT0dgogEBStecCXMMQ29tWz3gBrtNB8yIromXbY/edit?gid=741673867"", ""out1g!A:B""), 2, FALSE), 0)"),954.0)</f>
        <v>954</v>
      </c>
      <c r="D1687" s="2" t="str">
        <f>IFERROR(__xludf.DUMMYFUNCTION("IFERROR(VLOOKUP(A1687, IMPORTRANGE(""https://docs.google.com/spreadsheets/d/1-3Vjw2Cyy-mry5gbC8ypIR3YVGFfEpyFESummAta6sg/edit"", ""Sheet1!B:D""), 2, FALSE), ""Not Found"")"),"ɪʃuz")</f>
        <v>ɪʃuz</v>
      </c>
      <c r="E1687" s="2" t="str">
        <f>IFERROR(__xludf.DUMMYFUNCTION("IFERROR(VLOOKUP(A1687, IMPORTRANGE(""https://docs.google.com/spreadsheets/d/1-3Vjw2Cyy-mry5gbC8ypIR3YVGFfEpyFESummAta6sg/edit"", ""Sheet1!B:D""), 3, FALSE), ""Not Found"")"),"ɪ ʃ u z ")</f>
        <v>ɪ ʃ u z </v>
      </c>
    </row>
    <row r="1688">
      <c r="A1688" s="1" t="s">
        <v>1691</v>
      </c>
      <c r="B1688" s="1" t="s">
        <v>5</v>
      </c>
      <c r="C1688" s="2">
        <f>IFERROR(__xludf.DUMMYFUNCTION("IFERROR(VLOOKUP(A1688, IMPORTRANGE(""https://docs.google.com/spreadsheets/d/1AVX9GT0dgogEBStecCXMMQ29tWz3gBrtNB8yIromXbY/edit?gid=741673867"", ""out1g!A:B""), 2, FALSE), 0)"),251.0)</f>
        <v>251</v>
      </c>
      <c r="D1688" s="2" t="str">
        <f>IFERROR(__xludf.DUMMYFUNCTION("IFERROR(VLOOKUP(A1688, IMPORTRANGE(""https://docs.google.com/spreadsheets/d/1-3Vjw2Cyy-mry5gbC8ypIR3YVGFfEpyFESummAta6sg/edit"", ""Sheet1!B:D""), 2, FALSE), ""Not Found"")"),"kɑfɪŋ")</f>
        <v>kɑfɪŋ</v>
      </c>
      <c r="E1688" s="2" t="str">
        <f>IFERROR(__xludf.DUMMYFUNCTION("IFERROR(VLOOKUP(A1688, IMPORTRANGE(""https://docs.google.com/spreadsheets/d/1-3Vjw2Cyy-mry5gbC8ypIR3YVGFfEpyFESummAta6sg/edit"", ""Sheet1!B:D""), 3, FALSE), ""Not Found"")"),"k ɑ f ɪ ŋ ")</f>
        <v>k ɑ f ɪ ŋ </v>
      </c>
    </row>
    <row r="1689">
      <c r="A1689" s="1" t="s">
        <v>1692</v>
      </c>
      <c r="B1689" s="1" t="s">
        <v>5</v>
      </c>
      <c r="C1689" s="2">
        <f>IFERROR(__xludf.DUMMYFUNCTION("IFERROR(VLOOKUP(A1689, IMPORTRANGE(""https://docs.google.com/spreadsheets/d/1AVX9GT0dgogEBStecCXMMQ29tWz3gBrtNB8yIromXbY/edit?gid=741673867"", ""out1g!A:B""), 2, FALSE), 0)"),4394.0)</f>
        <v>4394</v>
      </c>
      <c r="D1689" s="2" t="str">
        <f>IFERROR(__xludf.DUMMYFUNCTION("IFERROR(VLOOKUP(A1689, IMPORTRANGE(""https://docs.google.com/spreadsheets/d/1-3Vjw2Cyy-mry5gbC8ypIR3YVGFfEpyFESummAta6sg/edit"", ""Sheet1!B:D""), 2, FALSE), ""Not Found"")"),"vɔɪs")</f>
        <v>vɔɪs</v>
      </c>
      <c r="E1689" s="2" t="str">
        <f>IFERROR(__xludf.DUMMYFUNCTION("IFERROR(VLOOKUP(A1689, IMPORTRANGE(""https://docs.google.com/spreadsheets/d/1-3Vjw2Cyy-mry5gbC8ypIR3YVGFfEpyFESummAta6sg/edit"", ""Sheet1!B:D""), 3, FALSE), ""Not Found"")"),"v ɔ ɪ s ")</f>
        <v>v ɔ ɪ s </v>
      </c>
    </row>
    <row r="1690">
      <c r="A1690" s="1" t="s">
        <v>1693</v>
      </c>
      <c r="B1690" s="1" t="s">
        <v>5</v>
      </c>
      <c r="C1690" s="2">
        <f>IFERROR(__xludf.DUMMYFUNCTION("IFERROR(VLOOKUP(A1690, IMPORTRANGE(""https://docs.google.com/spreadsheets/d/1AVX9GT0dgogEBStecCXMMQ29tWz3gBrtNB8yIromXbY/edit?gid=741673867"", ""out1g!A:B""), 2, FALSE), 0)"),132.0)</f>
        <v>132</v>
      </c>
      <c r="D1690" s="2" t="str">
        <f>IFERROR(__xludf.DUMMYFUNCTION("IFERROR(VLOOKUP(A1690, IMPORTRANGE(""https://docs.google.com/spreadsheets/d/1-3Vjw2Cyy-mry5gbC8ypIR3YVGFfEpyFESummAta6sg/edit"", ""Sheet1!B:D""), 2, FALSE), ""Not Found"")"),"daɪk")</f>
        <v>daɪk</v>
      </c>
      <c r="E1690" s="2" t="str">
        <f>IFERROR(__xludf.DUMMYFUNCTION("IFERROR(VLOOKUP(A1690, IMPORTRANGE(""https://docs.google.com/spreadsheets/d/1-3Vjw2Cyy-mry5gbC8ypIR3YVGFfEpyFESummAta6sg/edit"", ""Sheet1!B:D""), 3, FALSE), ""Not Found"")"),"d a ɪ k ")</f>
        <v>d a ɪ k </v>
      </c>
    </row>
    <row r="1691">
      <c r="A1691" s="1" t="s">
        <v>1694</v>
      </c>
      <c r="B1691" s="1" t="s">
        <v>5</v>
      </c>
      <c r="C1691" s="2">
        <f>IFERROR(__xludf.DUMMYFUNCTION("IFERROR(VLOOKUP(A1691, IMPORTRANGE(""https://docs.google.com/spreadsheets/d/1AVX9GT0dgogEBStecCXMMQ29tWz3gBrtNB8yIromXbY/edit?gid=741673867"", ""out1g!A:B""), 2, FALSE), 0)"),143.0)</f>
        <v>143</v>
      </c>
      <c r="D1691" s="2" t="str">
        <f>IFERROR(__xludf.DUMMYFUNCTION("IFERROR(VLOOKUP(A1691, IMPORTRANGE(""https://docs.google.com/spreadsheets/d/1-3Vjw2Cyy-mry5gbC8ypIR3YVGFfEpyFESummAta6sg/edit"", ""Sheet1!B:D""), 2, FALSE), ""Not Found"")"),"ʤɛndər")</f>
        <v>ʤɛndər</v>
      </c>
      <c r="E1691" s="2" t="str">
        <f>IFERROR(__xludf.DUMMYFUNCTION("IFERROR(VLOOKUP(A1691, IMPORTRANGE(""https://docs.google.com/spreadsheets/d/1-3Vjw2Cyy-mry5gbC8ypIR3YVGFfEpyFESummAta6sg/edit"", ""Sheet1!B:D""), 3, FALSE), ""Not Found"")"),"ʤ ɛ n d ə r ")</f>
        <v>ʤ ɛ n d ə r </v>
      </c>
    </row>
    <row r="1692">
      <c r="A1692" s="1" t="s">
        <v>1695</v>
      </c>
      <c r="B1692" s="1" t="s">
        <v>5</v>
      </c>
      <c r="C1692" s="2">
        <f>IFERROR(__xludf.DUMMYFUNCTION("IFERROR(VLOOKUP(A1692, IMPORTRANGE(""https://docs.google.com/spreadsheets/d/1AVX9GT0dgogEBStecCXMMQ29tWz3gBrtNB8yIromXbY/edit?gid=741673867"", ""out1g!A:B""), 2, FALSE), 0)"),2474.0)</f>
        <v>2474</v>
      </c>
      <c r="D1692" s="2" t="str">
        <f>IFERROR(__xludf.DUMMYFUNCTION("IFERROR(VLOOKUP(A1692, IMPORTRANGE(""https://docs.google.com/spreadsheets/d/1-3Vjw2Cyy-mry5gbC8ypIR3YVGFfEpyFESummAta6sg/edit"", ""Sheet1!B:D""), 2, FALSE), ""Not Found"")"),"brið")</f>
        <v>brið</v>
      </c>
      <c r="E1692" s="2" t="str">
        <f>IFERROR(__xludf.DUMMYFUNCTION("IFERROR(VLOOKUP(A1692, IMPORTRANGE(""https://docs.google.com/spreadsheets/d/1-3Vjw2Cyy-mry5gbC8ypIR3YVGFfEpyFESummAta6sg/edit"", ""Sheet1!B:D""), 3, FALSE), ""Not Found"")"),"b r i ð ")</f>
        <v>b r i ð </v>
      </c>
    </row>
    <row r="1693">
      <c r="A1693" s="1" t="s">
        <v>1696</v>
      </c>
      <c r="B1693" s="1" t="s">
        <v>5</v>
      </c>
      <c r="C1693" s="2">
        <f>IFERROR(__xludf.DUMMYFUNCTION("IFERROR(VLOOKUP(A1693, IMPORTRANGE(""https://docs.google.com/spreadsheets/d/1AVX9GT0dgogEBStecCXMMQ29tWz3gBrtNB8yIromXbY/edit?gid=741673867"", ""out1g!A:B""), 2, FALSE), 0)"),38.0)</f>
        <v>38</v>
      </c>
      <c r="D1693" s="2" t="str">
        <f>IFERROR(__xludf.DUMMYFUNCTION("IFERROR(VLOOKUP(A1693, IMPORTRANGE(""https://docs.google.com/spreadsheets/d/1-3Vjw2Cyy-mry5gbC8ypIR3YVGFfEpyFESummAta6sg/edit"", ""Sheet1!B:D""), 2, FALSE), ""Not Found"")"),"ek")</f>
        <v>ek</v>
      </c>
      <c r="E1693" s="2" t="str">
        <f>IFERROR(__xludf.DUMMYFUNCTION("IFERROR(VLOOKUP(A1693, IMPORTRANGE(""https://docs.google.com/spreadsheets/d/1-3Vjw2Cyy-mry5gbC8ypIR3YVGFfEpyFESummAta6sg/edit"", ""Sheet1!B:D""), 3, FALSE), ""Not Found"")"),"e k ")</f>
        <v>e k </v>
      </c>
    </row>
    <row r="1694">
      <c r="A1694" s="1" t="s">
        <v>1697</v>
      </c>
      <c r="B1694" s="1" t="s">
        <v>5</v>
      </c>
      <c r="C1694" s="2">
        <f>IFERROR(__xludf.DUMMYFUNCTION("IFERROR(VLOOKUP(A1694, IMPORTRANGE(""https://docs.google.com/spreadsheets/d/1AVX9GT0dgogEBStecCXMMQ29tWz3gBrtNB8yIromXbY/edit?gid=741673867"", ""out1g!A:B""), 2, FALSE), 0)"),57.0)</f>
        <v>57</v>
      </c>
      <c r="D1694" s="2" t="str">
        <f>IFERROR(__xludf.DUMMYFUNCTION("IFERROR(VLOOKUP(A1694, IMPORTRANGE(""https://docs.google.com/spreadsheets/d/1-3Vjw2Cyy-mry5gbC8ypIR3YVGFfEpyFESummAta6sg/edit"", ""Sheet1!B:D""), 2, FALSE), ""Not Found"")"),"æfroʊ")</f>
        <v>æfroʊ</v>
      </c>
      <c r="E1694" s="2" t="str">
        <f>IFERROR(__xludf.DUMMYFUNCTION("IFERROR(VLOOKUP(A1694, IMPORTRANGE(""https://docs.google.com/spreadsheets/d/1-3Vjw2Cyy-mry5gbC8ypIR3YVGFfEpyFESummAta6sg/edit"", ""Sheet1!B:D""), 3, FALSE), ""Not Found"")"),"æ f r o ʊ ")</f>
        <v>æ f r o ʊ </v>
      </c>
    </row>
    <row r="1695">
      <c r="A1695" s="1" t="s">
        <v>1698</v>
      </c>
      <c r="B1695" s="1" t="s">
        <v>5</v>
      </c>
      <c r="C1695" s="2">
        <f>IFERROR(__xludf.DUMMYFUNCTION("IFERROR(VLOOKUP(A1695, IMPORTRANGE(""https://docs.google.com/spreadsheets/d/1AVX9GT0dgogEBStecCXMMQ29tWz3gBrtNB8yIromXbY/edit?gid=741673867"", ""out1g!A:B""), 2, FALSE), 0)"),414.0)</f>
        <v>414</v>
      </c>
      <c r="D1695" s="2" t="str">
        <f>IFERROR(__xludf.DUMMYFUNCTION("IFERROR(VLOOKUP(A1695, IMPORTRANGE(""https://docs.google.com/spreadsheets/d/1-3Vjw2Cyy-mry5gbC8ypIR3YVGFfEpyFESummAta6sg/edit"", ""Sheet1!B:D""), 2, FALSE), ""Not Found"")"),"pæntiz")</f>
        <v>pæntiz</v>
      </c>
      <c r="E1695" s="2" t="str">
        <f>IFERROR(__xludf.DUMMYFUNCTION("IFERROR(VLOOKUP(A1695, IMPORTRANGE(""https://docs.google.com/spreadsheets/d/1-3Vjw2Cyy-mry5gbC8ypIR3YVGFfEpyFESummAta6sg/edit"", ""Sheet1!B:D""), 3, FALSE), ""Not Found"")"),"p æ n t i z ")</f>
        <v>p æ n t i z </v>
      </c>
    </row>
    <row r="1696">
      <c r="A1696" s="1" t="s">
        <v>1699</v>
      </c>
      <c r="B1696" s="1" t="s">
        <v>5</v>
      </c>
      <c r="C1696" s="2">
        <f>IFERROR(__xludf.DUMMYFUNCTION("IFERROR(VLOOKUP(A1696, IMPORTRANGE(""https://docs.google.com/spreadsheets/d/1AVX9GT0dgogEBStecCXMMQ29tWz3gBrtNB8yIromXbY/edit?gid=741673867"", ""out1g!A:B""), 2, FALSE), 0)"),962.0)</f>
        <v>962</v>
      </c>
      <c r="D1696" s="2" t="str">
        <f>IFERROR(__xludf.DUMMYFUNCTION("IFERROR(VLOOKUP(A1696, IMPORTRANGE(""https://docs.google.com/spreadsheets/d/1-3Vjw2Cyy-mry5gbC8ypIR3YVGFfEpyFESummAta6sg/edit"", ""Sheet1!B:D""), 2, FALSE), ""Not Found"")"),"ʤun")</f>
        <v>ʤun</v>
      </c>
      <c r="E1696" s="2" t="str">
        <f>IFERROR(__xludf.DUMMYFUNCTION("IFERROR(VLOOKUP(A1696, IMPORTRANGE(""https://docs.google.com/spreadsheets/d/1-3Vjw2Cyy-mry5gbC8ypIR3YVGFfEpyFESummAta6sg/edit"", ""Sheet1!B:D""), 3, FALSE), ""Not Found"")"),"ʤ u n ")</f>
        <v>ʤ u n </v>
      </c>
    </row>
    <row r="1697">
      <c r="A1697" s="1" t="s">
        <v>1700</v>
      </c>
      <c r="B1697" s="1" t="s">
        <v>5</v>
      </c>
      <c r="C1697" s="2">
        <f>IFERROR(__xludf.DUMMYFUNCTION("IFERROR(VLOOKUP(A1697, IMPORTRANGE(""https://docs.google.com/spreadsheets/d/1AVX9GT0dgogEBStecCXMMQ29tWz3gBrtNB8yIromXbY/edit?gid=741673867"", ""out1g!A:B""), 2, FALSE), 0)"),165.0)</f>
        <v>165</v>
      </c>
      <c r="D1697" s="2" t="str">
        <f>IFERROR(__xludf.DUMMYFUNCTION("IFERROR(VLOOKUP(A1697, IMPORTRANGE(""https://docs.google.com/spreadsheets/d/1-3Vjw2Cyy-mry5gbC8ypIR3YVGFfEpyFESummAta6sg/edit"", ""Sheet1!B:D""), 2, FALSE), ""Not Found"")"),"poʊzɪŋ")</f>
        <v>poʊzɪŋ</v>
      </c>
      <c r="E1697" s="2" t="str">
        <f>IFERROR(__xludf.DUMMYFUNCTION("IFERROR(VLOOKUP(A1697, IMPORTRANGE(""https://docs.google.com/spreadsheets/d/1-3Vjw2Cyy-mry5gbC8ypIR3YVGFfEpyFESummAta6sg/edit"", ""Sheet1!B:D""), 3, FALSE), ""Not Found"")"),"p o ʊ z ɪ ŋ ")</f>
        <v>p o ʊ z ɪ ŋ </v>
      </c>
    </row>
    <row r="1698">
      <c r="A1698" s="1" t="s">
        <v>1701</v>
      </c>
      <c r="B1698" s="1" t="s">
        <v>5</v>
      </c>
      <c r="C1698" s="2">
        <f>IFERROR(__xludf.DUMMYFUNCTION("IFERROR(VLOOKUP(A1698, IMPORTRANGE(""https://docs.google.com/spreadsheets/d/1AVX9GT0dgogEBStecCXMMQ29tWz3gBrtNB8yIromXbY/edit?gid=741673867"", ""out1g!A:B""), 2, FALSE), 0)"),263.0)</f>
        <v>263</v>
      </c>
      <c r="D1698" s="2" t="str">
        <f>IFERROR(__xludf.DUMMYFUNCTION("IFERROR(VLOOKUP(A1698, IMPORTRANGE(""https://docs.google.com/spreadsheets/d/1-3Vjw2Cyy-mry5gbC8ypIR3YVGFfEpyFESummAta6sg/edit"", ""Sheet1!B:D""), 2, FALSE), ""Not Found"")"),"budə")</f>
        <v>budə</v>
      </c>
      <c r="E1698" s="2" t="str">
        <f>IFERROR(__xludf.DUMMYFUNCTION("IFERROR(VLOOKUP(A1698, IMPORTRANGE(""https://docs.google.com/spreadsheets/d/1-3Vjw2Cyy-mry5gbC8ypIR3YVGFfEpyFESummAta6sg/edit"", ""Sheet1!B:D""), 3, FALSE), ""Not Found"")"),"b u d ə ")</f>
        <v>b u d ə </v>
      </c>
    </row>
    <row r="1699">
      <c r="A1699" s="1" t="s">
        <v>1702</v>
      </c>
      <c r="B1699" s="1" t="s">
        <v>5</v>
      </c>
      <c r="C1699" s="2">
        <f>IFERROR(__xludf.DUMMYFUNCTION("IFERROR(VLOOKUP(A1699, IMPORTRANGE(""https://docs.google.com/spreadsheets/d/1AVX9GT0dgogEBStecCXMMQ29tWz3gBrtNB8yIromXbY/edit?gid=741673867"", ""out1g!A:B""), 2, FALSE), 0)"),84804.0)</f>
        <v>84804</v>
      </c>
      <c r="D1699" s="2" t="str">
        <f>IFERROR(__xludf.DUMMYFUNCTION("IFERROR(VLOOKUP(A1699, IMPORTRANGE(""https://docs.google.com/spreadsheets/d/1-3Vjw2Cyy-mry5gbC8ypIR3YVGFfEpyFESummAta6sg/edit"", ""Sheet1!B:D""), 2, FALSE), ""Not Found"")"),"wər")</f>
        <v>wər</v>
      </c>
      <c r="E1699" s="2" t="str">
        <f>IFERROR(__xludf.DUMMYFUNCTION("IFERROR(VLOOKUP(A1699, IMPORTRANGE(""https://docs.google.com/spreadsheets/d/1-3Vjw2Cyy-mry5gbC8ypIR3YVGFfEpyFESummAta6sg/edit"", ""Sheet1!B:D""), 3, FALSE), ""Not Found"")"),"w ə r ")</f>
        <v>w ə r </v>
      </c>
    </row>
    <row r="1700">
      <c r="A1700" s="1" t="s">
        <v>1703</v>
      </c>
      <c r="B1700" s="1" t="s">
        <v>5</v>
      </c>
      <c r="C1700" s="2">
        <f>IFERROR(__xludf.DUMMYFUNCTION("IFERROR(VLOOKUP(A1700, IMPORTRANGE(""https://docs.google.com/spreadsheets/d/1AVX9GT0dgogEBStecCXMMQ29tWz3gBrtNB8yIromXbY/edit?gid=741673867"", ""out1g!A:B""), 2, FALSE), 0)"),97.0)</f>
        <v>97</v>
      </c>
      <c r="D1700" s="2" t="str">
        <f>IFERROR(__xludf.DUMMYFUNCTION("IFERROR(VLOOKUP(A1700, IMPORTRANGE(""https://docs.google.com/spreadsheets/d/1-3Vjw2Cyy-mry5gbC8ypIR3YVGFfEpyFESummAta6sg/edit"", ""Sheet1!B:D""), 2, FALSE), ""Not Found"")"),"ʃeps")</f>
        <v>ʃeps</v>
      </c>
      <c r="E1700" s="2" t="str">
        <f>IFERROR(__xludf.DUMMYFUNCTION("IFERROR(VLOOKUP(A1700, IMPORTRANGE(""https://docs.google.com/spreadsheets/d/1-3Vjw2Cyy-mry5gbC8ypIR3YVGFfEpyFESummAta6sg/edit"", ""Sheet1!B:D""), 3, FALSE), ""Not Found"")"),"ʃ e p s ")</f>
        <v>ʃ e p s </v>
      </c>
    </row>
    <row r="1701">
      <c r="A1701" s="1" t="s">
        <v>1704</v>
      </c>
      <c r="B1701" s="1" t="s">
        <v>5</v>
      </c>
      <c r="C1701" s="2">
        <f>IFERROR(__xludf.DUMMYFUNCTION("IFERROR(VLOOKUP(A1701, IMPORTRANGE(""https://docs.google.com/spreadsheets/d/1AVX9GT0dgogEBStecCXMMQ29tWz3gBrtNB8yIromXbY/edit?gid=741673867"", ""out1g!A:B""), 2, FALSE), 0)"),47.0)</f>
        <v>47</v>
      </c>
      <c r="D1701" s="2" t="str">
        <f>IFERROR(__xludf.DUMMYFUNCTION("IFERROR(VLOOKUP(A1701, IMPORTRANGE(""https://docs.google.com/spreadsheets/d/1-3Vjw2Cyy-mry5gbC8ypIR3YVGFfEpyFESummAta6sg/edit"", ""Sheet1!B:D""), 2, FALSE), ""Not Found"")"),"tɑrn")</f>
        <v>tɑrn</v>
      </c>
      <c r="E1701" s="2" t="str">
        <f>IFERROR(__xludf.DUMMYFUNCTION("IFERROR(VLOOKUP(A1701, IMPORTRANGE(""https://docs.google.com/spreadsheets/d/1-3Vjw2Cyy-mry5gbC8ypIR3YVGFfEpyFESummAta6sg/edit"", ""Sheet1!B:D""), 3, FALSE), ""Not Found"")"),"t ɑ r n ")</f>
        <v>t ɑ r n </v>
      </c>
    </row>
    <row r="1702">
      <c r="A1702" s="1" t="s">
        <v>1705</v>
      </c>
      <c r="B1702" s="1" t="s">
        <v>5</v>
      </c>
      <c r="C1702" s="2">
        <f>IFERROR(__xludf.DUMMYFUNCTION("IFERROR(VLOOKUP(A1702, IMPORTRANGE(""https://docs.google.com/spreadsheets/d/1AVX9GT0dgogEBStecCXMMQ29tWz3gBrtNB8yIromXbY/edit?gid=741673867"", ""out1g!A:B""), 2, FALSE), 0)"),1262.0)</f>
        <v>1262</v>
      </c>
      <c r="D1702" s="2" t="str">
        <f>IFERROR(__xludf.DUMMYFUNCTION("IFERROR(VLOOKUP(A1702, IMPORTRANGE(""https://docs.google.com/spreadsheets/d/1-3Vjw2Cyy-mry5gbC8ypIR3YVGFfEpyFESummAta6sg/edit"", ""Sheet1!B:D""), 2, FALSE), ""Not Found"")"),"əmaʊnt")</f>
        <v>əmaʊnt</v>
      </c>
      <c r="E1702" s="2" t="str">
        <f>IFERROR(__xludf.DUMMYFUNCTION("IFERROR(VLOOKUP(A1702, IMPORTRANGE(""https://docs.google.com/spreadsheets/d/1-3Vjw2Cyy-mry5gbC8ypIR3YVGFfEpyFESummAta6sg/edit"", ""Sheet1!B:D""), 3, FALSE), ""Not Found"")"),"ə m a ʊ n t ")</f>
        <v>ə m a ʊ n t </v>
      </c>
    </row>
    <row r="1703">
      <c r="A1703" s="1" t="s">
        <v>1706</v>
      </c>
      <c r="B1703" s="1" t="s">
        <v>5</v>
      </c>
      <c r="C1703" s="2">
        <f>IFERROR(__xludf.DUMMYFUNCTION("IFERROR(VLOOKUP(A1703, IMPORTRANGE(""https://docs.google.com/spreadsheets/d/1AVX9GT0dgogEBStecCXMMQ29tWz3gBrtNB8yIromXbY/edit?gid=741673867"", ""out1g!A:B""), 2, FALSE), 0)"),155.0)</f>
        <v>155</v>
      </c>
      <c r="D1703" s="2" t="str">
        <f>IFERROR(__xludf.DUMMYFUNCTION("IFERROR(VLOOKUP(A1703, IMPORTRANGE(""https://docs.google.com/spreadsheets/d/1-3Vjw2Cyy-mry5gbC8ypIR3YVGFfEpyFESummAta6sg/edit"", ""Sheet1!B:D""), 2, FALSE), ""Not Found"")"),"mɛriz")</f>
        <v>mɛriz</v>
      </c>
      <c r="E1703" s="2" t="str">
        <f>IFERROR(__xludf.DUMMYFUNCTION("IFERROR(VLOOKUP(A1703, IMPORTRANGE(""https://docs.google.com/spreadsheets/d/1-3Vjw2Cyy-mry5gbC8ypIR3YVGFfEpyFESummAta6sg/edit"", ""Sheet1!B:D""), 3, FALSE), ""Not Found"")"),"m ɛ r i z ")</f>
        <v>m ɛ r i z </v>
      </c>
    </row>
    <row r="1704">
      <c r="A1704" s="1" t="s">
        <v>1707</v>
      </c>
      <c r="B1704" s="1" t="s">
        <v>5</v>
      </c>
      <c r="C1704" s="2">
        <f>IFERROR(__xludf.DUMMYFUNCTION("IFERROR(VLOOKUP(A1704, IMPORTRANGE(""https://docs.google.com/spreadsheets/d/1AVX9GT0dgogEBStecCXMMQ29tWz3gBrtNB8yIromXbY/edit?gid=741673867"", ""out1g!A:B""), 2, FALSE), 0)"),303.0)</f>
        <v>303</v>
      </c>
      <c r="D1704" s="2" t="str">
        <f>IFERROR(__xludf.DUMMYFUNCTION("IFERROR(VLOOKUP(A1704, IMPORTRANGE(""https://docs.google.com/spreadsheets/d/1-3Vjw2Cyy-mry5gbC8ypIR3YVGFfEpyFESummAta6sg/edit"", ""Sheet1!B:D""), 2, FALSE), ""Not Found"")"),"bɔɪl")</f>
        <v>bɔɪl</v>
      </c>
      <c r="E1704" s="2" t="str">
        <f>IFERROR(__xludf.DUMMYFUNCTION("IFERROR(VLOOKUP(A1704, IMPORTRANGE(""https://docs.google.com/spreadsheets/d/1-3Vjw2Cyy-mry5gbC8ypIR3YVGFfEpyFESummAta6sg/edit"", ""Sheet1!B:D""), 3, FALSE), ""Not Found"")"),"b ɔ ɪ l ")</f>
        <v>b ɔ ɪ l </v>
      </c>
    </row>
    <row r="1705">
      <c r="A1705" s="1" t="s">
        <v>1708</v>
      </c>
      <c r="B1705" s="1" t="s">
        <v>5</v>
      </c>
      <c r="C1705" s="2">
        <f>IFERROR(__xludf.DUMMYFUNCTION("IFERROR(VLOOKUP(A1705, IMPORTRANGE(""https://docs.google.com/spreadsheets/d/1AVX9GT0dgogEBStecCXMMQ29tWz3gBrtNB8yIromXbY/edit?gid=741673867"", ""out1g!A:B""), 2, FALSE), 0)"),238.0)</f>
        <v>238</v>
      </c>
      <c r="D1705" s="2" t="str">
        <f>IFERROR(__xludf.DUMMYFUNCTION("IFERROR(VLOOKUP(A1705, IMPORTRANGE(""https://docs.google.com/spreadsheets/d/1-3Vjw2Cyy-mry5gbC8ypIR3YVGFfEpyFESummAta6sg/edit"", ""Sheet1!B:D""), 2, FALSE), ""Not Found"")"),"maɪə")</f>
        <v>maɪə</v>
      </c>
      <c r="E1705" s="2" t="str">
        <f>IFERROR(__xludf.DUMMYFUNCTION("IFERROR(VLOOKUP(A1705, IMPORTRANGE(""https://docs.google.com/spreadsheets/d/1-3Vjw2Cyy-mry5gbC8ypIR3YVGFfEpyFESummAta6sg/edit"", ""Sheet1!B:D""), 3, FALSE), ""Not Found"")"),"m a ɪ ə ")</f>
        <v>m a ɪ ə </v>
      </c>
    </row>
    <row r="1706">
      <c r="A1706" s="1" t="s">
        <v>1709</v>
      </c>
      <c r="B1706" s="1" t="s">
        <v>5</v>
      </c>
      <c r="C1706" s="2">
        <f>IFERROR(__xludf.DUMMYFUNCTION("IFERROR(VLOOKUP(A1706, IMPORTRANGE(""https://docs.google.com/spreadsheets/d/1AVX9GT0dgogEBStecCXMMQ29tWz3gBrtNB8yIromXbY/edit?gid=741673867"", ""out1g!A:B""), 2, FALSE), 0)"),60.0)</f>
        <v>60</v>
      </c>
      <c r="D1706" s="2" t="str">
        <f>IFERROR(__xludf.DUMMYFUNCTION("IFERROR(VLOOKUP(A1706, IMPORTRANGE(""https://docs.google.com/spreadsheets/d/1-3Vjw2Cyy-mry5gbC8ypIR3YVGFfEpyFESummAta6sg/edit"", ""Sheet1!B:D""), 2, FALSE), ""Not Found"")"),"rɑ")</f>
        <v>rɑ</v>
      </c>
      <c r="E1706" s="2" t="str">
        <f>IFERROR(__xludf.DUMMYFUNCTION("IFERROR(VLOOKUP(A1706, IMPORTRANGE(""https://docs.google.com/spreadsheets/d/1-3Vjw2Cyy-mry5gbC8ypIR3YVGFfEpyFESummAta6sg/edit"", ""Sheet1!B:D""), 3, FALSE), ""Not Found"")"),"r ɑ ")</f>
        <v>r ɑ </v>
      </c>
    </row>
    <row r="1707">
      <c r="A1707" s="1" t="s">
        <v>1710</v>
      </c>
      <c r="B1707" s="1" t="s">
        <v>5</v>
      </c>
      <c r="C1707" s="2">
        <f>IFERROR(__xludf.DUMMYFUNCTION("IFERROR(VLOOKUP(A1707, IMPORTRANGE(""https://docs.google.com/spreadsheets/d/1AVX9GT0dgogEBStecCXMMQ29tWz3gBrtNB8yIromXbY/edit?gid=741673867"", ""out1g!A:B""), 2, FALSE), 0)"),208.0)</f>
        <v>208</v>
      </c>
      <c r="D1707" s="2" t="str">
        <f>IFERROR(__xludf.DUMMYFUNCTION("IFERROR(VLOOKUP(A1707, IMPORTRANGE(""https://docs.google.com/spreadsheets/d/1-3Vjw2Cyy-mry5gbC8ypIR3YVGFfEpyFESummAta6sg/edit"", ""Sheet1!B:D""), 2, FALSE), ""Not Found"")"),"rɑm")</f>
        <v>rɑm</v>
      </c>
      <c r="E1707" s="2" t="str">
        <f>IFERROR(__xludf.DUMMYFUNCTION("IFERROR(VLOOKUP(A1707, IMPORTRANGE(""https://docs.google.com/spreadsheets/d/1-3Vjw2Cyy-mry5gbC8ypIR3YVGFfEpyFESummAta6sg/edit"", ""Sheet1!B:D""), 3, FALSE), ""Not Found"")"),"r ɑ m ")</f>
        <v>r ɑ m </v>
      </c>
    </row>
    <row r="1708">
      <c r="A1708" s="1" t="s">
        <v>1711</v>
      </c>
      <c r="B1708" s="1" t="s">
        <v>5</v>
      </c>
      <c r="C1708" s="2">
        <f>IFERROR(__xludf.DUMMYFUNCTION("IFERROR(VLOOKUP(A1708, IMPORTRANGE(""https://docs.google.com/spreadsheets/d/1AVX9GT0dgogEBStecCXMMQ29tWz3gBrtNB8yIromXbY/edit?gid=741673867"", ""out1g!A:B""), 2, FALSE), 0)"),399.0)</f>
        <v>399</v>
      </c>
      <c r="D1708" s="2" t="str">
        <f>IFERROR(__xludf.DUMMYFUNCTION("IFERROR(VLOOKUP(A1708, IMPORTRANGE(""https://docs.google.com/spreadsheets/d/1-3Vjw2Cyy-mry5gbC8ypIR3YVGFfEpyFESummAta6sg/edit"", ""Sheet1!B:D""), 2, FALSE), ""Not Found"")"),"grum")</f>
        <v>grum</v>
      </c>
      <c r="E1708" s="2" t="str">
        <f>IFERROR(__xludf.DUMMYFUNCTION("IFERROR(VLOOKUP(A1708, IMPORTRANGE(""https://docs.google.com/spreadsheets/d/1-3Vjw2Cyy-mry5gbC8ypIR3YVGFfEpyFESummAta6sg/edit"", ""Sheet1!B:D""), 3, FALSE), ""Not Found"")"),"g r u m ")</f>
        <v>g r u m </v>
      </c>
    </row>
    <row r="1709">
      <c r="A1709" s="1" t="s">
        <v>1712</v>
      </c>
      <c r="B1709" s="1" t="s">
        <v>5</v>
      </c>
      <c r="C1709" s="2">
        <f>IFERROR(__xludf.DUMMYFUNCTION("IFERROR(VLOOKUP(A1709, IMPORTRANGE(""https://docs.google.com/spreadsheets/d/1AVX9GT0dgogEBStecCXMMQ29tWz3gBrtNB8yIromXbY/edit?gid=741673867"", ""out1g!A:B""), 2, FALSE), 0)"),94.0)</f>
        <v>94</v>
      </c>
      <c r="D1709" s="2" t="str">
        <f>IFERROR(__xludf.DUMMYFUNCTION("IFERROR(VLOOKUP(A1709, IMPORTRANGE(""https://docs.google.com/spreadsheets/d/1-3Vjw2Cyy-mry5gbC8ypIR3YVGFfEpyFESummAta6sg/edit"", ""Sheet1!B:D""), 2, FALSE), ""Not Found"")"),"mɛlts")</f>
        <v>mɛlts</v>
      </c>
      <c r="E1709" s="2" t="str">
        <f>IFERROR(__xludf.DUMMYFUNCTION("IFERROR(VLOOKUP(A1709, IMPORTRANGE(""https://docs.google.com/spreadsheets/d/1-3Vjw2Cyy-mry5gbC8ypIR3YVGFfEpyFESummAta6sg/edit"", ""Sheet1!B:D""), 3, FALSE), ""Not Found"")"),"m ɛ l t s ")</f>
        <v>m ɛ l t s </v>
      </c>
    </row>
    <row r="1710">
      <c r="A1710" s="1" t="s">
        <v>1713</v>
      </c>
      <c r="B1710" s="1" t="s">
        <v>5</v>
      </c>
      <c r="C1710" s="2">
        <f>IFERROR(__xludf.DUMMYFUNCTION("IFERROR(VLOOKUP(A1710, IMPORTRANGE(""https://docs.google.com/spreadsheets/d/1AVX9GT0dgogEBStecCXMMQ29tWz3gBrtNB8yIromXbY/edit?gid=741673867"", ""out1g!A:B""), 2, FALSE), 0)"),545.0)</f>
        <v>545</v>
      </c>
      <c r="D1710" s="2" t="str">
        <f>IFERROR(__xludf.DUMMYFUNCTION("IFERROR(VLOOKUP(A1710, IMPORTRANGE(""https://docs.google.com/spreadsheets/d/1-3Vjw2Cyy-mry5gbC8ypIR3YVGFfEpyFESummAta6sg/edit"", ""Sheet1!B:D""), 2, FALSE), ""Not Found"")"),"boʊlɪŋ")</f>
        <v>boʊlɪŋ</v>
      </c>
      <c r="E1710" s="2" t="str">
        <f>IFERROR(__xludf.DUMMYFUNCTION("IFERROR(VLOOKUP(A1710, IMPORTRANGE(""https://docs.google.com/spreadsheets/d/1-3Vjw2Cyy-mry5gbC8ypIR3YVGFfEpyFESummAta6sg/edit"", ""Sheet1!B:D""), 3, FALSE), ""Not Found"")"),"b o ʊ l ɪ ŋ ")</f>
        <v>b o ʊ l ɪ ŋ </v>
      </c>
    </row>
    <row r="1711">
      <c r="A1711" s="1" t="s">
        <v>1714</v>
      </c>
      <c r="B1711" s="1" t="s">
        <v>5</v>
      </c>
      <c r="C1711" s="2">
        <f>IFERROR(__xludf.DUMMYFUNCTION("IFERROR(VLOOKUP(A1711, IMPORTRANGE(""https://docs.google.com/spreadsheets/d/1AVX9GT0dgogEBStecCXMMQ29tWz3gBrtNB8yIromXbY/edit?gid=741673867"", ""out1g!A:B""), 2, FALSE), 0)"),332.0)</f>
        <v>332</v>
      </c>
      <c r="D1711" s="2" t="str">
        <f>IFERROR(__xludf.DUMMYFUNCTION("IFERROR(VLOOKUP(A1711, IMPORTRANGE(""https://docs.google.com/spreadsheets/d/1-3Vjw2Cyy-mry5gbC8ypIR3YVGFfEpyFESummAta6sg/edit"", ""Sheet1!B:D""), 2, FALSE), ""Not Found"")"),"bip")</f>
        <v>bip</v>
      </c>
      <c r="E1711" s="2" t="str">
        <f>IFERROR(__xludf.DUMMYFUNCTION("IFERROR(VLOOKUP(A1711, IMPORTRANGE(""https://docs.google.com/spreadsheets/d/1-3Vjw2Cyy-mry5gbC8ypIR3YVGFfEpyFESummAta6sg/edit"", ""Sheet1!B:D""), 3, FALSE), ""Not Found"")"),"b i p ")</f>
        <v>b i p </v>
      </c>
    </row>
    <row r="1712">
      <c r="A1712" s="1" t="s">
        <v>1715</v>
      </c>
      <c r="B1712" s="1" t="s">
        <v>5</v>
      </c>
      <c r="C1712" s="2">
        <f>IFERROR(__xludf.DUMMYFUNCTION("IFERROR(VLOOKUP(A1712, IMPORTRANGE(""https://docs.google.com/spreadsheets/d/1AVX9GT0dgogEBStecCXMMQ29tWz3gBrtNB8yIromXbY/edit?gid=741673867"", ""out1g!A:B""), 2, FALSE), 0)"),174.0)</f>
        <v>174</v>
      </c>
      <c r="D1712" s="2" t="str">
        <f>IFERROR(__xludf.DUMMYFUNCTION("IFERROR(VLOOKUP(A1712, IMPORTRANGE(""https://docs.google.com/spreadsheets/d/1-3Vjw2Cyy-mry5gbC8ypIR3YVGFfEpyFESummAta6sg/edit"", ""Sheet1!B:D""), 2, FALSE), ""Not Found"")"),"poʊ")</f>
        <v>poʊ</v>
      </c>
      <c r="E1712" s="2" t="str">
        <f>IFERROR(__xludf.DUMMYFUNCTION("IFERROR(VLOOKUP(A1712, IMPORTRANGE(""https://docs.google.com/spreadsheets/d/1-3Vjw2Cyy-mry5gbC8ypIR3YVGFfEpyFESummAta6sg/edit"", ""Sheet1!B:D""), 3, FALSE), ""Not Found"")"),"p o ʊ ")</f>
        <v>p o ʊ </v>
      </c>
    </row>
    <row r="1713">
      <c r="A1713" s="1" t="s">
        <v>1716</v>
      </c>
      <c r="B1713" s="1" t="s">
        <v>5</v>
      </c>
      <c r="C1713" s="2">
        <f>IFERROR(__xludf.DUMMYFUNCTION("IFERROR(VLOOKUP(A1713, IMPORTRANGE(""https://docs.google.com/spreadsheets/d/1AVX9GT0dgogEBStecCXMMQ29tWz3gBrtNB8yIromXbY/edit?gid=741673867"", ""out1g!A:B""), 2, FALSE), 0)"),74.0)</f>
        <v>74</v>
      </c>
      <c r="D1713" s="2" t="str">
        <f>IFERROR(__xludf.DUMMYFUNCTION("IFERROR(VLOOKUP(A1713, IMPORTRANGE(""https://docs.google.com/spreadsheets/d/1-3Vjw2Cyy-mry5gbC8ypIR3YVGFfEpyFESummAta6sg/edit"", ""Sheet1!B:D""), 2, FALSE), ""Not Found"")"),"ʤɪməni")</f>
        <v>ʤɪməni</v>
      </c>
      <c r="E1713" s="2" t="str">
        <f>IFERROR(__xludf.DUMMYFUNCTION("IFERROR(VLOOKUP(A1713, IMPORTRANGE(""https://docs.google.com/spreadsheets/d/1-3Vjw2Cyy-mry5gbC8ypIR3YVGFfEpyFESummAta6sg/edit"", ""Sheet1!B:D""), 3, FALSE), ""Not Found"")"),"ʤ ɪ m ə n i ")</f>
        <v>ʤ ɪ m ə n i </v>
      </c>
    </row>
    <row r="1714">
      <c r="A1714" s="1" t="s">
        <v>1717</v>
      </c>
      <c r="B1714" s="1" t="s">
        <v>5</v>
      </c>
      <c r="C1714" s="2">
        <f>IFERROR(__xludf.DUMMYFUNCTION("IFERROR(VLOOKUP(A1714, IMPORTRANGE(""https://docs.google.com/spreadsheets/d/1AVX9GT0dgogEBStecCXMMQ29tWz3gBrtNB8yIromXbY/edit?gid=741673867"", ""out1g!A:B""), 2, FALSE), 0)"),129.0)</f>
        <v>129</v>
      </c>
      <c r="D1714" s="2" t="str">
        <f>IFERROR(__xludf.DUMMYFUNCTION("IFERROR(VLOOKUP(A1714, IMPORTRANGE(""https://docs.google.com/spreadsheets/d/1-3Vjw2Cyy-mry5gbC8ypIR3YVGFfEpyFESummAta6sg/edit"", ""Sheet1!B:D""), 2, FALSE), ""Not Found"")"),"lækɪŋ")</f>
        <v>lækɪŋ</v>
      </c>
      <c r="E1714" s="2" t="str">
        <f>IFERROR(__xludf.DUMMYFUNCTION("IFERROR(VLOOKUP(A1714, IMPORTRANGE(""https://docs.google.com/spreadsheets/d/1-3Vjw2Cyy-mry5gbC8ypIR3YVGFfEpyFESummAta6sg/edit"", ""Sheet1!B:D""), 3, FALSE), ""Not Found"")"),"l æ k ɪ ŋ ")</f>
        <v>l æ k ɪ ŋ </v>
      </c>
    </row>
    <row r="1715">
      <c r="A1715" s="1" t="s">
        <v>1718</v>
      </c>
      <c r="B1715" s="1" t="s">
        <v>5</v>
      </c>
      <c r="C1715" s="2">
        <f>IFERROR(__xludf.DUMMYFUNCTION("IFERROR(VLOOKUP(A1715, IMPORTRANGE(""https://docs.google.com/spreadsheets/d/1AVX9GT0dgogEBStecCXMMQ29tWz3gBrtNB8yIromXbY/edit?gid=741673867"", ""out1g!A:B""), 2, FALSE), 0)"),24.0)</f>
        <v>24</v>
      </c>
      <c r="D1715" s="2" t="str">
        <f>IFERROR(__xludf.DUMMYFUNCTION("IFERROR(VLOOKUP(A1715, IMPORTRANGE(""https://docs.google.com/spreadsheets/d/1-3Vjw2Cyy-mry5gbC8ypIR3YVGFfEpyFESummAta6sg/edit"", ""Sheet1!B:D""), 2, FALSE), ""Not Found"")"),"drɛʤ")</f>
        <v>drɛʤ</v>
      </c>
      <c r="E1715" s="2" t="str">
        <f>IFERROR(__xludf.DUMMYFUNCTION("IFERROR(VLOOKUP(A1715, IMPORTRANGE(""https://docs.google.com/spreadsheets/d/1-3Vjw2Cyy-mry5gbC8ypIR3YVGFfEpyFESummAta6sg/edit"", ""Sheet1!B:D""), 3, FALSE), ""Not Found"")"),"d r ɛ ʤ ")</f>
        <v>d r ɛ ʤ </v>
      </c>
    </row>
    <row r="1716">
      <c r="A1716" s="1" t="s">
        <v>1719</v>
      </c>
      <c r="B1716" s="1" t="s">
        <v>5</v>
      </c>
      <c r="C1716" s="2">
        <f>IFERROR(__xludf.DUMMYFUNCTION("IFERROR(VLOOKUP(A1716, IMPORTRANGE(""https://docs.google.com/spreadsheets/d/1AVX9GT0dgogEBStecCXMMQ29tWz3gBrtNB8yIromXbY/edit?gid=741673867"", ""out1g!A:B""), 2, FALSE), 0)"),406.0)</f>
        <v>406</v>
      </c>
      <c r="D1716" s="2" t="str">
        <f>IFERROR(__xludf.DUMMYFUNCTION("IFERROR(VLOOKUP(A1716, IMPORTRANGE(""https://docs.google.com/spreadsheets/d/1-3Vjw2Cyy-mry5gbC8ypIR3YVGFfEpyFESummAta6sg/edit"", ""Sheet1!B:D""), 2, FALSE), ""Not Found"")"),"trɪki")</f>
        <v>trɪki</v>
      </c>
      <c r="E1716" s="2" t="str">
        <f>IFERROR(__xludf.DUMMYFUNCTION("IFERROR(VLOOKUP(A1716, IMPORTRANGE(""https://docs.google.com/spreadsheets/d/1-3Vjw2Cyy-mry5gbC8ypIR3YVGFfEpyFESummAta6sg/edit"", ""Sheet1!B:D""), 3, FALSE), ""Not Found"")"),"t r ɪ k i ")</f>
        <v>t r ɪ k i </v>
      </c>
    </row>
    <row r="1717">
      <c r="A1717" s="1" t="s">
        <v>1720</v>
      </c>
      <c r="B1717" s="1" t="s">
        <v>5</v>
      </c>
      <c r="C1717" s="2">
        <f>IFERROR(__xludf.DUMMYFUNCTION("IFERROR(VLOOKUP(A1717, IMPORTRANGE(""https://docs.google.com/spreadsheets/d/1AVX9GT0dgogEBStecCXMMQ29tWz3gBrtNB8yIromXbY/edit?gid=741673867"", ""out1g!A:B""), 2, FALSE), 0)"),722.0)</f>
        <v>722</v>
      </c>
      <c r="D1717" s="2" t="str">
        <f>IFERROR(__xludf.DUMMYFUNCTION("IFERROR(VLOOKUP(A1717, IMPORTRANGE(""https://docs.google.com/spreadsheets/d/1-3Vjw2Cyy-mry5gbC8ypIR3YVGFfEpyFESummAta6sg/edit"", ""Sheet1!B:D""), 2, FALSE), ""Not Found"")"),"brəʃ")</f>
        <v>brəʃ</v>
      </c>
      <c r="E1717" s="2" t="str">
        <f>IFERROR(__xludf.DUMMYFUNCTION("IFERROR(VLOOKUP(A1717, IMPORTRANGE(""https://docs.google.com/spreadsheets/d/1-3Vjw2Cyy-mry5gbC8ypIR3YVGFfEpyFESummAta6sg/edit"", ""Sheet1!B:D""), 3, FALSE), ""Not Found"")"),"b r ə ʃ ")</f>
        <v>b r ə ʃ </v>
      </c>
    </row>
    <row r="1718">
      <c r="A1718" s="1" t="s">
        <v>1721</v>
      </c>
      <c r="B1718" s="1" t="s">
        <v>5</v>
      </c>
      <c r="C1718" s="2">
        <f>IFERROR(__xludf.DUMMYFUNCTION("IFERROR(VLOOKUP(A1718, IMPORTRANGE(""https://docs.google.com/spreadsheets/d/1AVX9GT0dgogEBStecCXMMQ29tWz3gBrtNB8yIromXbY/edit?gid=741673867"", ""out1g!A:B""), 2, FALSE), 0)"),49.0)</f>
        <v>49</v>
      </c>
      <c r="D1718" s="2" t="str">
        <f>IFERROR(__xludf.DUMMYFUNCTION("IFERROR(VLOOKUP(A1718, IMPORTRANGE(""https://docs.google.com/spreadsheets/d/1-3Vjw2Cyy-mry5gbC8ypIR3YVGFfEpyFESummAta6sg/edit"", ""Sheet1!B:D""), 2, FALSE), ""Not Found"")"),"kərlɪŋ")</f>
        <v>kərlɪŋ</v>
      </c>
      <c r="E1718" s="2" t="str">
        <f>IFERROR(__xludf.DUMMYFUNCTION("IFERROR(VLOOKUP(A1718, IMPORTRANGE(""https://docs.google.com/spreadsheets/d/1-3Vjw2Cyy-mry5gbC8ypIR3YVGFfEpyFESummAta6sg/edit"", ""Sheet1!B:D""), 3, FALSE), ""Not Found"")"),"k ə r l ɪ ŋ ")</f>
        <v>k ə r l ɪ ŋ </v>
      </c>
    </row>
    <row r="1719">
      <c r="A1719" s="1" t="s">
        <v>1722</v>
      </c>
      <c r="B1719" s="1" t="s">
        <v>5</v>
      </c>
      <c r="C1719" s="2">
        <f>IFERROR(__xludf.DUMMYFUNCTION("IFERROR(VLOOKUP(A1719, IMPORTRANGE(""https://docs.google.com/spreadsheets/d/1AVX9GT0dgogEBStecCXMMQ29tWz3gBrtNB8yIromXbY/edit?gid=741673867"", ""out1g!A:B""), 2, FALSE), 0)"),243.0)</f>
        <v>243</v>
      </c>
      <c r="D1719" s="2" t="str">
        <f>IFERROR(__xludf.DUMMYFUNCTION("IFERROR(VLOOKUP(A1719, IMPORTRANGE(""https://docs.google.com/spreadsheets/d/1-3Vjw2Cyy-mry5gbC8ypIR3YVGFfEpyFESummAta6sg/edit"", ""Sheet1!B:D""), 2, FALSE), ""Not Found"")"),"dɪm")</f>
        <v>dɪm</v>
      </c>
      <c r="E1719" s="2" t="str">
        <f>IFERROR(__xludf.DUMMYFUNCTION("IFERROR(VLOOKUP(A1719, IMPORTRANGE(""https://docs.google.com/spreadsheets/d/1-3Vjw2Cyy-mry5gbC8ypIR3YVGFfEpyFESummAta6sg/edit"", ""Sheet1!B:D""), 3, FALSE), ""Not Found"")"),"d ɪ m ")</f>
        <v>d ɪ m </v>
      </c>
    </row>
    <row r="1720">
      <c r="A1720" s="1" t="s">
        <v>1723</v>
      </c>
      <c r="B1720" s="1" t="s">
        <v>5</v>
      </c>
      <c r="C1720" s="2">
        <f>IFERROR(__xludf.DUMMYFUNCTION("IFERROR(VLOOKUP(A1720, IMPORTRANGE(""https://docs.google.com/spreadsheets/d/1AVX9GT0dgogEBStecCXMMQ29tWz3gBrtNB8yIromXbY/edit?gid=741673867"", ""out1g!A:B""), 2, FALSE), 0)"),514.0)</f>
        <v>514</v>
      </c>
      <c r="D1720" s="2" t="str">
        <f>IFERROR(__xludf.DUMMYFUNCTION("IFERROR(VLOOKUP(A1720, IMPORTRANGE(""https://docs.google.com/spreadsheets/d/1-3Vjw2Cyy-mry5gbC8ypIR3YVGFfEpyFESummAta6sg/edit"", ""Sheet1!B:D""), 2, FALSE), ""Not Found"")"),"wɔrn")</f>
        <v>wɔrn</v>
      </c>
      <c r="E1720" s="2" t="str">
        <f>IFERROR(__xludf.DUMMYFUNCTION("IFERROR(VLOOKUP(A1720, IMPORTRANGE(""https://docs.google.com/spreadsheets/d/1-3Vjw2Cyy-mry5gbC8ypIR3YVGFfEpyFESummAta6sg/edit"", ""Sheet1!B:D""), 3, FALSE), ""Not Found"")"),"w ɔ r n ")</f>
        <v>w ɔ r n </v>
      </c>
    </row>
    <row r="1721">
      <c r="A1721" s="1" t="s">
        <v>1724</v>
      </c>
      <c r="B1721" s="1" t="s">
        <v>5</v>
      </c>
      <c r="C1721" s="2">
        <f>IFERROR(__xludf.DUMMYFUNCTION("IFERROR(VLOOKUP(A1721, IMPORTRANGE(""https://docs.google.com/spreadsheets/d/1AVX9GT0dgogEBStecCXMMQ29tWz3gBrtNB8yIromXbY/edit?gid=741673867"", ""out1g!A:B""), 2, FALSE), 0)"),133.0)</f>
        <v>133</v>
      </c>
      <c r="D1721" s="2" t="str">
        <f>IFERROR(__xludf.DUMMYFUNCTION("IFERROR(VLOOKUP(A1721, IMPORTRANGE(""https://docs.google.com/spreadsheets/d/1-3Vjw2Cyy-mry5gbC8ypIR3YVGFfEpyFESummAta6sg/edit"", ""Sheet1!B:D""), 2, FALSE), ""Not Found"")"),"grɪnʧ")</f>
        <v>grɪnʧ</v>
      </c>
      <c r="E1721" s="2" t="str">
        <f>IFERROR(__xludf.DUMMYFUNCTION("IFERROR(VLOOKUP(A1721, IMPORTRANGE(""https://docs.google.com/spreadsheets/d/1-3Vjw2Cyy-mry5gbC8ypIR3YVGFfEpyFESummAta6sg/edit"", ""Sheet1!B:D""), 3, FALSE), ""Not Found"")"),"g r ɪ n ʧ ")</f>
        <v>g r ɪ n ʧ </v>
      </c>
    </row>
    <row r="1722">
      <c r="A1722" s="1" t="s">
        <v>1725</v>
      </c>
      <c r="B1722" s="1" t="s">
        <v>5</v>
      </c>
      <c r="C1722" s="2">
        <f>IFERROR(__xludf.DUMMYFUNCTION("IFERROR(VLOOKUP(A1722, IMPORTRANGE(""https://docs.google.com/spreadsheets/d/1AVX9GT0dgogEBStecCXMMQ29tWz3gBrtNB8yIromXbY/edit?gid=741673867"", ""out1g!A:B""), 2, FALSE), 0)"),119.0)</f>
        <v>119</v>
      </c>
      <c r="D1722" s="2" t="str">
        <f>IFERROR(__xludf.DUMMYFUNCTION("IFERROR(VLOOKUP(A1722, IMPORTRANGE(""https://docs.google.com/spreadsheets/d/1-3Vjw2Cyy-mry5gbC8ypIR3YVGFfEpyFESummAta6sg/edit"", ""Sheet1!B:D""), 2, FALSE), ""Not Found"")"),"ʧəg")</f>
        <v>ʧəg</v>
      </c>
      <c r="E1722" s="2" t="str">
        <f>IFERROR(__xludf.DUMMYFUNCTION("IFERROR(VLOOKUP(A1722, IMPORTRANGE(""https://docs.google.com/spreadsheets/d/1-3Vjw2Cyy-mry5gbC8ypIR3YVGFfEpyFESummAta6sg/edit"", ""Sheet1!B:D""), 3, FALSE), ""Not Found"")"),"ʧ ə g ")</f>
        <v>ʧ ə g </v>
      </c>
    </row>
    <row r="1723">
      <c r="A1723" s="1" t="s">
        <v>1726</v>
      </c>
      <c r="B1723" s="1" t="s">
        <v>5</v>
      </c>
      <c r="C1723" s="2">
        <f>IFERROR(__xludf.DUMMYFUNCTION("IFERROR(VLOOKUP(A1723, IMPORTRANGE(""https://docs.google.com/spreadsheets/d/1AVX9GT0dgogEBStecCXMMQ29tWz3gBrtNB8yIromXbY/edit?gid=741673867"", ""out1g!A:B""), 2, FALSE), 0)"),11009.0)</f>
        <v>11009</v>
      </c>
      <c r="D1723" s="2" t="str">
        <f>IFERROR(__xludf.DUMMYFUNCTION("IFERROR(VLOOKUP(A1723, IMPORTRANGE(""https://docs.google.com/spreadsheets/d/1-3Vjw2Cyy-mry5gbC8ypIR3YVGFfEpyFESummAta6sg/edit"", ""Sheet1!B:D""), 2, FALSE), ""Not Found"")"),"wɔk")</f>
        <v>wɔk</v>
      </c>
      <c r="E1723" s="2" t="str">
        <f>IFERROR(__xludf.DUMMYFUNCTION("IFERROR(VLOOKUP(A1723, IMPORTRANGE(""https://docs.google.com/spreadsheets/d/1-3Vjw2Cyy-mry5gbC8ypIR3YVGFfEpyFESummAta6sg/edit"", ""Sheet1!B:D""), 3, FALSE), ""Not Found"")"),"w ɔ k ")</f>
        <v>w ɔ k </v>
      </c>
    </row>
    <row r="1724">
      <c r="A1724" s="1" t="s">
        <v>1727</v>
      </c>
      <c r="B1724" s="1" t="s">
        <v>5</v>
      </c>
      <c r="C1724" s="2">
        <f>IFERROR(__xludf.DUMMYFUNCTION("IFERROR(VLOOKUP(A1724, IMPORTRANGE(""https://docs.google.com/spreadsheets/d/1AVX9GT0dgogEBStecCXMMQ29tWz3gBrtNB8yIromXbY/edit?gid=741673867"", ""out1g!A:B""), 2, FALSE), 0)"),2724.0)</f>
        <v>2724</v>
      </c>
      <c r="D1724" s="2" t="str">
        <f>IFERROR(__xludf.DUMMYFUNCTION("IFERROR(VLOOKUP(A1724, IMPORTRANGE(""https://docs.google.com/spreadsheets/d/1-3Vjw2Cyy-mry5gbC8ypIR3YVGFfEpyFESummAta6sg/edit"", ""Sheet1!B:D""), 2, FALSE), ""Not Found"")"),"bænd")</f>
        <v>bænd</v>
      </c>
      <c r="E1724" s="2" t="str">
        <f>IFERROR(__xludf.DUMMYFUNCTION("IFERROR(VLOOKUP(A1724, IMPORTRANGE(""https://docs.google.com/spreadsheets/d/1-3Vjw2Cyy-mry5gbC8ypIR3YVGFfEpyFESummAta6sg/edit"", ""Sheet1!B:D""), 3, FALSE), ""Not Found"")"),"b æ n d ")</f>
        <v>b æ n d </v>
      </c>
    </row>
    <row r="1725">
      <c r="A1725" s="1" t="s">
        <v>1728</v>
      </c>
      <c r="B1725" s="1" t="s">
        <v>5</v>
      </c>
      <c r="C1725" s="2">
        <f>IFERROR(__xludf.DUMMYFUNCTION("IFERROR(VLOOKUP(A1725, IMPORTRANGE(""https://docs.google.com/spreadsheets/d/1AVX9GT0dgogEBStecCXMMQ29tWz3gBrtNB8yIromXbY/edit?gid=741673867"", ""out1g!A:B""), 2, FALSE), 0)"),67.0)</f>
        <v>67</v>
      </c>
      <c r="D1725" s="2" t="str">
        <f>IFERROR(__xludf.DUMMYFUNCTION("IFERROR(VLOOKUP(A1725, IMPORTRANGE(""https://docs.google.com/spreadsheets/d/1-3Vjw2Cyy-mry5gbC8ypIR3YVGFfEpyFESummAta6sg/edit"", ""Sheet1!B:D""), 2, FALSE), ""Not Found"")"),"sɪk")</f>
        <v>sɪk</v>
      </c>
      <c r="E1725" s="2" t="str">
        <f>IFERROR(__xludf.DUMMYFUNCTION("IFERROR(VLOOKUP(A1725, IMPORTRANGE(""https://docs.google.com/spreadsheets/d/1-3Vjw2Cyy-mry5gbC8ypIR3YVGFfEpyFESummAta6sg/edit"", ""Sheet1!B:D""), 3, FALSE), ""Not Found"")"),"s ɪ k ")</f>
        <v>s ɪ k </v>
      </c>
    </row>
    <row r="1726">
      <c r="A1726" s="1" t="s">
        <v>1729</v>
      </c>
      <c r="B1726" s="1" t="s">
        <v>5</v>
      </c>
      <c r="C1726" s="2">
        <f>IFERROR(__xludf.DUMMYFUNCTION("IFERROR(VLOOKUP(A1726, IMPORTRANGE(""https://docs.google.com/spreadsheets/d/1AVX9GT0dgogEBStecCXMMQ29tWz3gBrtNB8yIromXbY/edit?gid=741673867"", ""out1g!A:B""), 2, FALSE), 0)"),56.0)</f>
        <v>56</v>
      </c>
      <c r="D1726" s="2" t="str">
        <f>IFERROR(__xludf.DUMMYFUNCTION("IFERROR(VLOOKUP(A1726, IMPORTRANGE(""https://docs.google.com/spreadsheets/d/1-3Vjw2Cyy-mry5gbC8ypIR3YVGFfEpyFESummAta6sg/edit"", ""Sheet1!B:D""), 2, FALSE), ""Not Found"")"),"lunə")</f>
        <v>lunə</v>
      </c>
      <c r="E1726" s="2" t="str">
        <f>IFERROR(__xludf.DUMMYFUNCTION("IFERROR(VLOOKUP(A1726, IMPORTRANGE(""https://docs.google.com/spreadsheets/d/1-3Vjw2Cyy-mry5gbC8ypIR3YVGFfEpyFESummAta6sg/edit"", ""Sheet1!B:D""), 3, FALSE), ""Not Found"")"),"l u n ə ")</f>
        <v>l u n ə </v>
      </c>
    </row>
    <row r="1727">
      <c r="A1727" s="1" t="s">
        <v>1730</v>
      </c>
      <c r="B1727" s="1" t="s">
        <v>5</v>
      </c>
      <c r="C1727" s="2">
        <f>IFERROR(__xludf.DUMMYFUNCTION("IFERROR(VLOOKUP(A1727, IMPORTRANGE(""https://docs.google.com/spreadsheets/d/1AVX9GT0dgogEBStecCXMMQ29tWz3gBrtNB8yIromXbY/edit?gid=741673867"", ""out1g!A:B""), 2, FALSE), 0)"),686.0)</f>
        <v>686</v>
      </c>
      <c r="D1727" s="2" t="str">
        <f>IFERROR(__xludf.DUMMYFUNCTION("IFERROR(VLOOKUP(A1727, IMPORTRANGE(""https://docs.google.com/spreadsheets/d/1-3Vjw2Cyy-mry5gbC8ypIR3YVGFfEpyFESummAta6sg/edit"", ""Sheet1!B:D""), 2, FALSE), ""Not Found"")"),"blɑ")</f>
        <v>blɑ</v>
      </c>
      <c r="E1727" s="2" t="str">
        <f>IFERROR(__xludf.DUMMYFUNCTION("IFERROR(VLOOKUP(A1727, IMPORTRANGE(""https://docs.google.com/spreadsheets/d/1-3Vjw2Cyy-mry5gbC8ypIR3YVGFfEpyFESummAta6sg/edit"", ""Sheet1!B:D""), 3, FALSE), ""Not Found"")"),"b l ɑ ")</f>
        <v>b l ɑ </v>
      </c>
    </row>
    <row r="1728">
      <c r="A1728" s="1" t="s">
        <v>1731</v>
      </c>
      <c r="B1728" s="1" t="s">
        <v>5</v>
      </c>
      <c r="C1728" s="2">
        <f>IFERROR(__xludf.DUMMYFUNCTION("IFERROR(VLOOKUP(A1728, IMPORTRANGE(""https://docs.google.com/spreadsheets/d/1AVX9GT0dgogEBStecCXMMQ29tWz3gBrtNB8yIromXbY/edit?gid=741673867"", ""out1g!A:B""), 2, FALSE), 0)"),96.0)</f>
        <v>96</v>
      </c>
      <c r="D1728" s="2" t="str">
        <f>IFERROR(__xludf.DUMMYFUNCTION("IFERROR(VLOOKUP(A1728, IMPORTRANGE(""https://docs.google.com/spreadsheets/d/1-3Vjw2Cyy-mry5gbC8ypIR3YVGFfEpyFESummAta6sg/edit"", ""Sheet1!B:D""), 2, FALSE), ""Not Found"")"),"fevərz")</f>
        <v>fevərz</v>
      </c>
      <c r="E1728" s="2" t="str">
        <f>IFERROR(__xludf.DUMMYFUNCTION("IFERROR(VLOOKUP(A1728, IMPORTRANGE(""https://docs.google.com/spreadsheets/d/1-3Vjw2Cyy-mry5gbC8ypIR3YVGFfEpyFESummAta6sg/edit"", ""Sheet1!B:D""), 3, FALSE), ""Not Found"")"),"f e v ə r z ")</f>
        <v>f e v ə r z </v>
      </c>
    </row>
    <row r="1729">
      <c r="A1729" s="1" t="s">
        <v>1732</v>
      </c>
      <c r="B1729" s="1" t="s">
        <v>5</v>
      </c>
      <c r="C1729" s="2">
        <f>IFERROR(__xludf.DUMMYFUNCTION("IFERROR(VLOOKUP(A1729, IMPORTRANGE(""https://docs.google.com/spreadsheets/d/1AVX9GT0dgogEBStecCXMMQ29tWz3gBrtNB8yIromXbY/edit?gid=741673867"", ""out1g!A:B""), 2, FALSE), 0)"),177.0)</f>
        <v>177</v>
      </c>
      <c r="D1729" s="2" t="str">
        <f>IFERROR(__xludf.DUMMYFUNCTION("IFERROR(VLOOKUP(A1729, IMPORTRANGE(""https://docs.google.com/spreadsheets/d/1-3Vjw2Cyy-mry5gbC8ypIR3YVGFfEpyFESummAta6sg/edit"", ""Sheet1!B:D""), 2, FALSE), ""Not Found"")"),"fekt")</f>
        <v>fekt</v>
      </c>
      <c r="E1729" s="2" t="str">
        <f>IFERROR(__xludf.DUMMYFUNCTION("IFERROR(VLOOKUP(A1729, IMPORTRANGE(""https://docs.google.com/spreadsheets/d/1-3Vjw2Cyy-mry5gbC8ypIR3YVGFfEpyFESummAta6sg/edit"", ""Sheet1!B:D""), 3, FALSE), ""Not Found"")"),"f e k t ")</f>
        <v>f e k t </v>
      </c>
    </row>
    <row r="1730">
      <c r="A1730" s="1" t="s">
        <v>1733</v>
      </c>
      <c r="B1730" s="1" t="s">
        <v>5</v>
      </c>
      <c r="C1730" s="2">
        <f>IFERROR(__xludf.DUMMYFUNCTION("IFERROR(VLOOKUP(A1730, IMPORTRANGE(""https://docs.google.com/spreadsheets/d/1AVX9GT0dgogEBStecCXMMQ29tWz3gBrtNB8yIromXbY/edit?gid=741673867"", ""out1g!A:B""), 2, FALSE), 0)"),240.0)</f>
        <v>240</v>
      </c>
      <c r="D1730" s="2" t="str">
        <f>IFERROR(__xludf.DUMMYFUNCTION("IFERROR(VLOOKUP(A1730, IMPORTRANGE(""https://docs.google.com/spreadsheets/d/1-3Vjw2Cyy-mry5gbC8ypIR3YVGFfEpyFESummAta6sg/edit"", ""Sheet1!B:D""), 2, FALSE), ""Not Found"")"),"θəroʊ")</f>
        <v>θəroʊ</v>
      </c>
      <c r="E1730" s="2" t="str">
        <f>IFERROR(__xludf.DUMMYFUNCTION("IFERROR(VLOOKUP(A1730, IMPORTRANGE(""https://docs.google.com/spreadsheets/d/1-3Vjw2Cyy-mry5gbC8ypIR3YVGFfEpyFESummAta6sg/edit"", ""Sheet1!B:D""), 3, FALSE), ""Not Found"")"),"θ ə r o ʊ ")</f>
        <v>θ ə r o ʊ </v>
      </c>
    </row>
    <row r="1731">
      <c r="A1731" s="1" t="s">
        <v>1734</v>
      </c>
      <c r="B1731" s="1" t="s">
        <v>5</v>
      </c>
      <c r="C1731" s="2">
        <f>IFERROR(__xludf.DUMMYFUNCTION("IFERROR(VLOOKUP(A1731, IMPORTRANGE(""https://docs.google.com/spreadsheets/d/1AVX9GT0dgogEBStecCXMMQ29tWz3gBrtNB8yIromXbY/edit?gid=741673867"", ""out1g!A:B""), 2, FALSE), 0)"),180.0)</f>
        <v>180</v>
      </c>
      <c r="D1731" s="2" t="str">
        <f>IFERROR(__xludf.DUMMYFUNCTION("IFERROR(VLOOKUP(A1731, IMPORTRANGE(""https://docs.google.com/spreadsheets/d/1-3Vjw2Cyy-mry5gbC8ypIR3YVGFfEpyFESummAta6sg/edit"", ""Sheet1!B:D""), 2, FALSE), ""Not Found"")"),"flɪŋ")</f>
        <v>flɪŋ</v>
      </c>
      <c r="E1731" s="2" t="str">
        <f>IFERROR(__xludf.DUMMYFUNCTION("IFERROR(VLOOKUP(A1731, IMPORTRANGE(""https://docs.google.com/spreadsheets/d/1-3Vjw2Cyy-mry5gbC8ypIR3YVGFfEpyFESummAta6sg/edit"", ""Sheet1!B:D""), 3, FALSE), ""Not Found"")"),"f l ɪ ŋ ")</f>
        <v>f l ɪ ŋ </v>
      </c>
    </row>
    <row r="1732">
      <c r="A1732" s="1" t="s">
        <v>1735</v>
      </c>
      <c r="B1732" s="1" t="s">
        <v>5</v>
      </c>
      <c r="C1732" s="2">
        <f>IFERROR(__xludf.DUMMYFUNCTION("IFERROR(VLOOKUP(A1732, IMPORTRANGE(""https://docs.google.com/spreadsheets/d/1AVX9GT0dgogEBStecCXMMQ29tWz3gBrtNB8yIromXbY/edit?gid=741673867"", ""out1g!A:B""), 2, FALSE), 0)"),24719.0)</f>
        <v>24719</v>
      </c>
      <c r="D1732" s="2" t="str">
        <f>IFERROR(__xludf.DUMMYFUNCTION("IFERROR(VLOOKUP(A1732, IMPORTRANGE(""https://docs.google.com/spreadsheets/d/1-3Vjw2Cyy-mry5gbC8ypIR3YVGFfEpyFESummAta6sg/edit"", ""Sheet1!B:D""), 2, FALSE), ""Not Found"")"),"gɪtɪŋ")</f>
        <v>gɪtɪŋ</v>
      </c>
      <c r="E1732" s="2" t="str">
        <f>IFERROR(__xludf.DUMMYFUNCTION("IFERROR(VLOOKUP(A1732, IMPORTRANGE(""https://docs.google.com/spreadsheets/d/1-3Vjw2Cyy-mry5gbC8ypIR3YVGFfEpyFESummAta6sg/edit"", ""Sheet1!B:D""), 3, FALSE), ""Not Found"")"),"g ɪ t ɪ ŋ ")</f>
        <v>g ɪ t ɪ ŋ </v>
      </c>
    </row>
    <row r="1733">
      <c r="A1733" s="1" t="s">
        <v>1736</v>
      </c>
      <c r="B1733" s="1" t="s">
        <v>5</v>
      </c>
      <c r="C1733" s="2">
        <f>IFERROR(__xludf.DUMMYFUNCTION("IFERROR(VLOOKUP(A1733, IMPORTRANGE(""https://docs.google.com/spreadsheets/d/1AVX9GT0dgogEBStecCXMMQ29tWz3gBrtNB8yIromXbY/edit?gid=741673867"", ""out1g!A:B""), 2, FALSE), 0)"),1848.0)</f>
        <v>1848</v>
      </c>
      <c r="D1733" s="2" t="str">
        <f>IFERROR(__xludf.DUMMYFUNCTION("IFERROR(VLOOKUP(A1733, IMPORTRANGE(""https://docs.google.com/spreadsheets/d/1-3Vjw2Cyy-mry5gbC8ypIR3YVGFfEpyFESummAta6sg/edit"", ""Sheet1!B:D""), 2, FALSE), ""Not Found"")"),"ʧip")</f>
        <v>ʧip</v>
      </c>
      <c r="E1733" s="2" t="str">
        <f>IFERROR(__xludf.DUMMYFUNCTION("IFERROR(VLOOKUP(A1733, IMPORTRANGE(""https://docs.google.com/spreadsheets/d/1-3Vjw2Cyy-mry5gbC8ypIR3YVGFfEpyFESummAta6sg/edit"", ""Sheet1!B:D""), 3, FALSE), ""Not Found"")"),"ʧ i p ")</f>
        <v>ʧ i p </v>
      </c>
    </row>
    <row r="1734">
      <c r="A1734" s="1" t="s">
        <v>1737</v>
      </c>
      <c r="B1734" s="1" t="s">
        <v>5</v>
      </c>
      <c r="C1734" s="2">
        <f>IFERROR(__xludf.DUMMYFUNCTION("IFERROR(VLOOKUP(A1734, IMPORTRANGE(""https://docs.google.com/spreadsheets/d/1AVX9GT0dgogEBStecCXMMQ29tWz3gBrtNB8yIromXbY/edit?gid=741673867"", ""out1g!A:B""), 2, FALSE), 0)"),212.0)</f>
        <v>212</v>
      </c>
      <c r="D1734" s="2" t="str">
        <f>IFERROR(__xludf.DUMMYFUNCTION("IFERROR(VLOOKUP(A1734, IMPORTRANGE(""https://docs.google.com/spreadsheets/d/1-3Vjw2Cyy-mry5gbC8ypIR3YVGFfEpyFESummAta6sg/edit"", ""Sheet1!B:D""), 2, FALSE), ""Not Found"")"),"skiɪŋ")</f>
        <v>skiɪŋ</v>
      </c>
      <c r="E1734" s="2" t="str">
        <f>IFERROR(__xludf.DUMMYFUNCTION("IFERROR(VLOOKUP(A1734, IMPORTRANGE(""https://docs.google.com/spreadsheets/d/1-3Vjw2Cyy-mry5gbC8ypIR3YVGFfEpyFESummAta6sg/edit"", ""Sheet1!B:D""), 3, FALSE), ""Not Found"")"),"s k i ɪ ŋ ")</f>
        <v>s k i ɪ ŋ </v>
      </c>
    </row>
    <row r="1735">
      <c r="A1735" s="1" t="s">
        <v>1738</v>
      </c>
      <c r="B1735" s="1" t="s">
        <v>5</v>
      </c>
      <c r="C1735" s="2">
        <f>IFERROR(__xludf.DUMMYFUNCTION("IFERROR(VLOOKUP(A1735, IMPORTRANGE(""https://docs.google.com/spreadsheets/d/1AVX9GT0dgogEBStecCXMMQ29tWz3gBrtNB8yIromXbY/edit?gid=741673867"", ""out1g!A:B""), 2, FALSE), 0)"),113.0)</f>
        <v>113</v>
      </c>
      <c r="D1735" s="2" t="str">
        <f>IFERROR(__xludf.DUMMYFUNCTION("IFERROR(VLOOKUP(A1735, IMPORTRANGE(""https://docs.google.com/spreadsheets/d/1-3Vjw2Cyy-mry5gbC8ypIR3YVGFfEpyFESummAta6sg/edit"", ""Sheet1!B:D""), 2, FALSE), ""Not Found"")"),"ʤər")</f>
        <v>ʤər</v>
      </c>
      <c r="E1735" s="2" t="str">
        <f>IFERROR(__xludf.DUMMYFUNCTION("IFERROR(VLOOKUP(A1735, IMPORTRANGE(""https://docs.google.com/spreadsheets/d/1-3Vjw2Cyy-mry5gbC8ypIR3YVGFfEpyFESummAta6sg/edit"", ""Sheet1!B:D""), 3, FALSE), ""Not Found"")"),"ʤ ə r ")</f>
        <v>ʤ ə r </v>
      </c>
    </row>
    <row r="1736">
      <c r="A1736" s="1" t="s">
        <v>1739</v>
      </c>
      <c r="B1736" s="1" t="s">
        <v>5</v>
      </c>
      <c r="C1736" s="2">
        <f>IFERROR(__xludf.DUMMYFUNCTION("IFERROR(VLOOKUP(A1736, IMPORTRANGE(""https://docs.google.com/spreadsheets/d/1AVX9GT0dgogEBStecCXMMQ29tWz3gBrtNB8yIromXbY/edit?gid=741673867"", ""out1g!A:B""), 2, FALSE), 0)"),411.0)</f>
        <v>411</v>
      </c>
      <c r="D1736" s="2" t="str">
        <f>IFERROR(__xludf.DUMMYFUNCTION("IFERROR(VLOOKUP(A1736, IMPORTRANGE(""https://docs.google.com/spreadsheets/d/1-3Vjw2Cyy-mry5gbC8ypIR3YVGFfEpyFESummAta6sg/edit"", ""Sheet1!B:D""), 2, FALSE), ""Not Found"")"),"moʊl")</f>
        <v>moʊl</v>
      </c>
      <c r="E1736" s="2" t="str">
        <f>IFERROR(__xludf.DUMMYFUNCTION("IFERROR(VLOOKUP(A1736, IMPORTRANGE(""https://docs.google.com/spreadsheets/d/1-3Vjw2Cyy-mry5gbC8ypIR3YVGFfEpyFESummAta6sg/edit"", ""Sheet1!B:D""), 3, FALSE), ""Not Found"")"),"m o ʊ l ")</f>
        <v>m o ʊ l </v>
      </c>
    </row>
    <row r="1737">
      <c r="A1737" s="1" t="s">
        <v>1740</v>
      </c>
      <c r="B1737" s="1" t="s">
        <v>5</v>
      </c>
      <c r="C1737" s="2">
        <f>IFERROR(__xludf.DUMMYFUNCTION("IFERROR(VLOOKUP(A1737, IMPORTRANGE(""https://docs.google.com/spreadsheets/d/1AVX9GT0dgogEBStecCXMMQ29tWz3gBrtNB8yIromXbY/edit?gid=741673867"", ""out1g!A:B""), 2, FALSE), 0)"),228.0)</f>
        <v>228</v>
      </c>
      <c r="D1737" s="2" t="str">
        <f>IFERROR(__xludf.DUMMYFUNCTION("IFERROR(VLOOKUP(A1737, IMPORTRANGE(""https://docs.google.com/spreadsheets/d/1-3Vjw2Cyy-mry5gbC8ypIR3YVGFfEpyFESummAta6sg/edit"", ""Sheet1!B:D""), 2, FALSE), ""Not Found"")"),"suzæn")</f>
        <v>suzæn</v>
      </c>
      <c r="E1737" s="2" t="str">
        <f>IFERROR(__xludf.DUMMYFUNCTION("IFERROR(VLOOKUP(A1737, IMPORTRANGE(""https://docs.google.com/spreadsheets/d/1-3Vjw2Cyy-mry5gbC8ypIR3YVGFfEpyFESummAta6sg/edit"", ""Sheet1!B:D""), 3, FALSE), ""Not Found"")"),"s u z æ n ")</f>
        <v>s u z æ n </v>
      </c>
    </row>
    <row r="1738">
      <c r="A1738" s="1" t="s">
        <v>1741</v>
      </c>
      <c r="B1738" s="1" t="s">
        <v>5</v>
      </c>
      <c r="C1738" s="2">
        <f>IFERROR(__xludf.DUMMYFUNCTION("IFERROR(VLOOKUP(A1738, IMPORTRANGE(""https://docs.google.com/spreadsheets/d/1AVX9GT0dgogEBStecCXMMQ29tWz3gBrtNB8yIromXbY/edit?gid=741673867"", ""out1g!A:B""), 2, FALSE), 0)"),2157.0)</f>
        <v>2157</v>
      </c>
      <c r="D1738" s="2" t="str">
        <f>IFERROR(__xludf.DUMMYFUNCTION("IFERROR(VLOOKUP(A1738, IMPORTRANGE(""https://docs.google.com/spreadsheets/d/1-3Vjw2Cyy-mry5gbC8ypIR3YVGFfEpyFESummAta6sg/edit"", ""Sheet1!B:D""), 2, FALSE), ""Not Found"")"),"gres")</f>
        <v>gres</v>
      </c>
      <c r="E1738" s="2" t="str">
        <f>IFERROR(__xludf.DUMMYFUNCTION("IFERROR(VLOOKUP(A1738, IMPORTRANGE(""https://docs.google.com/spreadsheets/d/1-3Vjw2Cyy-mry5gbC8ypIR3YVGFfEpyFESummAta6sg/edit"", ""Sheet1!B:D""), 3, FALSE), ""Not Found"")"),"g r e s ")</f>
        <v>g r e s </v>
      </c>
    </row>
    <row r="1739">
      <c r="A1739" s="1" t="s">
        <v>1742</v>
      </c>
      <c r="B1739" s="1" t="s">
        <v>5</v>
      </c>
      <c r="C1739" s="2">
        <f>IFERROR(__xludf.DUMMYFUNCTION("IFERROR(VLOOKUP(A1739, IMPORTRANGE(""https://docs.google.com/spreadsheets/d/1AVX9GT0dgogEBStecCXMMQ29tWz3gBrtNB8yIromXbY/edit?gid=741673867"", ""out1g!A:B""), 2, FALSE), 0)"),92.0)</f>
        <v>92</v>
      </c>
      <c r="D1739" s="2" t="str">
        <f>IFERROR(__xludf.DUMMYFUNCTION("IFERROR(VLOOKUP(A1739, IMPORTRANGE(""https://docs.google.com/spreadsheets/d/1-3Vjw2Cyy-mry5gbC8ypIR3YVGFfEpyFESummAta6sg/edit"", ""Sheet1!B:D""), 2, FALSE), ""Not Found"")"),"mɔɪst")</f>
        <v>mɔɪst</v>
      </c>
      <c r="E1739" s="2" t="str">
        <f>IFERROR(__xludf.DUMMYFUNCTION("IFERROR(VLOOKUP(A1739, IMPORTRANGE(""https://docs.google.com/spreadsheets/d/1-3Vjw2Cyy-mry5gbC8ypIR3YVGFfEpyFESummAta6sg/edit"", ""Sheet1!B:D""), 3, FALSE), ""Not Found"")"),"m ɔ ɪ s t ")</f>
        <v>m ɔ ɪ s t </v>
      </c>
    </row>
    <row r="1740">
      <c r="A1740" s="1" t="s">
        <v>1743</v>
      </c>
      <c r="B1740" s="1" t="s">
        <v>5</v>
      </c>
      <c r="C1740" s="2">
        <f>IFERROR(__xludf.DUMMYFUNCTION("IFERROR(VLOOKUP(A1740, IMPORTRANGE(""https://docs.google.com/spreadsheets/d/1AVX9GT0dgogEBStecCXMMQ29tWz3gBrtNB8yIromXbY/edit?gid=741673867"", ""out1g!A:B""), 2, FALSE), 0)"),26.0)</f>
        <v>26</v>
      </c>
      <c r="D1740" s="2" t="str">
        <f>IFERROR(__xludf.DUMMYFUNCTION("IFERROR(VLOOKUP(A1740, IMPORTRANGE(""https://docs.google.com/spreadsheets/d/1-3Vjw2Cyy-mry5gbC8ypIR3YVGFfEpyFESummAta6sg/edit"", ""Sheet1!B:D""), 2, FALSE), ""Not Found"")"),"prɔn")</f>
        <v>prɔn</v>
      </c>
      <c r="E1740" s="2" t="str">
        <f>IFERROR(__xludf.DUMMYFUNCTION("IFERROR(VLOOKUP(A1740, IMPORTRANGE(""https://docs.google.com/spreadsheets/d/1-3Vjw2Cyy-mry5gbC8ypIR3YVGFfEpyFESummAta6sg/edit"", ""Sheet1!B:D""), 3, FALSE), ""Not Found"")"),"p r ɔ n ")</f>
        <v>p r ɔ n </v>
      </c>
    </row>
    <row r="1741">
      <c r="A1741" s="1" t="s">
        <v>1744</v>
      </c>
      <c r="B1741" s="1" t="s">
        <v>5</v>
      </c>
      <c r="C1741" s="2">
        <f>IFERROR(__xludf.DUMMYFUNCTION("IFERROR(VLOOKUP(A1741, IMPORTRANGE(""https://docs.google.com/spreadsheets/d/1AVX9GT0dgogEBStecCXMMQ29tWz3gBrtNB8yIromXbY/edit?gid=741673867"", ""out1g!A:B""), 2, FALSE), 0)"),496.0)</f>
        <v>496</v>
      </c>
      <c r="D1741" s="2" t="str">
        <f>IFERROR(__xludf.DUMMYFUNCTION("IFERROR(VLOOKUP(A1741, IMPORTRANGE(""https://docs.google.com/spreadsheets/d/1-3Vjw2Cyy-mry5gbC8ypIR3YVGFfEpyFESummAta6sg/edit"", ""Sheet1!B:D""), 2, FALSE), ""Not Found"")"),"lɪt")</f>
        <v>lɪt</v>
      </c>
      <c r="E1741" s="2" t="str">
        <f>IFERROR(__xludf.DUMMYFUNCTION("IFERROR(VLOOKUP(A1741, IMPORTRANGE(""https://docs.google.com/spreadsheets/d/1-3Vjw2Cyy-mry5gbC8ypIR3YVGFfEpyFESummAta6sg/edit"", ""Sheet1!B:D""), 3, FALSE), ""Not Found"")"),"l ɪ t ")</f>
        <v>l ɪ t </v>
      </c>
    </row>
    <row r="1742">
      <c r="A1742" s="1" t="s">
        <v>1745</v>
      </c>
      <c r="B1742" s="1" t="s">
        <v>5</v>
      </c>
      <c r="C1742" s="2">
        <f>IFERROR(__xludf.DUMMYFUNCTION("IFERROR(VLOOKUP(A1742, IMPORTRANGE(""https://docs.google.com/spreadsheets/d/1AVX9GT0dgogEBStecCXMMQ29tWz3gBrtNB8yIromXbY/edit?gid=741673867"", ""out1g!A:B""), 2, FALSE), 0)"),107.0)</f>
        <v>107</v>
      </c>
      <c r="D1742" s="2" t="str">
        <f>IFERROR(__xludf.DUMMYFUNCTION("IFERROR(VLOOKUP(A1742, IMPORTRANGE(""https://docs.google.com/spreadsheets/d/1-3Vjw2Cyy-mry5gbC8ypIR3YVGFfEpyFESummAta6sg/edit"", ""Sheet1!B:D""), 2, FALSE), ""Not Found"")"),"læks")</f>
        <v>læks</v>
      </c>
      <c r="E1742" s="2" t="str">
        <f>IFERROR(__xludf.DUMMYFUNCTION("IFERROR(VLOOKUP(A1742, IMPORTRANGE(""https://docs.google.com/spreadsheets/d/1-3Vjw2Cyy-mry5gbC8ypIR3YVGFfEpyFESummAta6sg/edit"", ""Sheet1!B:D""), 3, FALSE), ""Not Found"")"),"l æ k s ")</f>
        <v>l æ k s </v>
      </c>
    </row>
    <row r="1743">
      <c r="A1743" s="1" t="s">
        <v>1746</v>
      </c>
      <c r="B1743" s="1" t="s">
        <v>5</v>
      </c>
      <c r="C1743" s="2">
        <f>IFERROR(__xludf.DUMMYFUNCTION("IFERROR(VLOOKUP(A1743, IMPORTRANGE(""https://docs.google.com/spreadsheets/d/1AVX9GT0dgogEBStecCXMMQ29tWz3gBrtNB8yIromXbY/edit?gid=741673867"", ""out1g!A:B""), 2, FALSE), 0)"),654.0)</f>
        <v>654</v>
      </c>
      <c r="D1743" s="2" t="str">
        <f>IFERROR(__xludf.DUMMYFUNCTION("IFERROR(VLOOKUP(A1743, IMPORTRANGE(""https://docs.google.com/spreadsheets/d/1-3Vjw2Cyy-mry5gbC8ypIR3YVGFfEpyFESummAta6sg/edit"", ""Sheet1!B:D""), 2, FALSE), ""Not Found"")"),"fɪts")</f>
        <v>fɪts</v>
      </c>
      <c r="E1743" s="2" t="str">
        <f>IFERROR(__xludf.DUMMYFUNCTION("IFERROR(VLOOKUP(A1743, IMPORTRANGE(""https://docs.google.com/spreadsheets/d/1-3Vjw2Cyy-mry5gbC8ypIR3YVGFfEpyFESummAta6sg/edit"", ""Sheet1!B:D""), 3, FALSE), ""Not Found"")"),"f ɪ t s ")</f>
        <v>f ɪ t s </v>
      </c>
    </row>
    <row r="1744">
      <c r="A1744" s="1" t="s">
        <v>1747</v>
      </c>
      <c r="B1744" s="1" t="s">
        <v>5</v>
      </c>
      <c r="C1744" s="2">
        <f>IFERROR(__xludf.DUMMYFUNCTION("IFERROR(VLOOKUP(A1744, IMPORTRANGE(""https://docs.google.com/spreadsheets/d/1AVX9GT0dgogEBStecCXMMQ29tWz3gBrtNB8yIromXbY/edit?gid=741673867"", ""out1g!A:B""), 2, FALSE), 0)"),47.0)</f>
        <v>47</v>
      </c>
      <c r="D1744" s="2" t="str">
        <f>IFERROR(__xludf.DUMMYFUNCTION("IFERROR(VLOOKUP(A1744, IMPORTRANGE(""https://docs.google.com/spreadsheets/d/1-3Vjw2Cyy-mry5gbC8ypIR3YVGFfEpyFESummAta6sg/edit"", ""Sheet1!B:D""), 2, FALSE), ""Not Found"")"),"hoʊmli")</f>
        <v>hoʊmli</v>
      </c>
      <c r="E1744" s="2" t="str">
        <f>IFERROR(__xludf.DUMMYFUNCTION("IFERROR(VLOOKUP(A1744, IMPORTRANGE(""https://docs.google.com/spreadsheets/d/1-3Vjw2Cyy-mry5gbC8ypIR3YVGFfEpyFESummAta6sg/edit"", ""Sheet1!B:D""), 3, FALSE), ""Not Found"")"),"h o ʊ m l i ")</f>
        <v>h o ʊ m l i </v>
      </c>
    </row>
    <row r="1745">
      <c r="A1745" s="1" t="s">
        <v>1748</v>
      </c>
      <c r="B1745" s="1" t="s">
        <v>5</v>
      </c>
      <c r="C1745" s="2">
        <f>IFERROR(__xludf.DUMMYFUNCTION("IFERROR(VLOOKUP(A1745, IMPORTRANGE(""https://docs.google.com/spreadsheets/d/1AVX9GT0dgogEBStecCXMMQ29tWz3gBrtNB8yIromXbY/edit?gid=741673867"", ""out1g!A:B""), 2, FALSE), 0)"),120.0)</f>
        <v>120</v>
      </c>
      <c r="D1745" s="2" t="str">
        <f>IFERROR(__xludf.DUMMYFUNCTION("IFERROR(VLOOKUP(A1745, IMPORTRANGE(""https://docs.google.com/spreadsheets/d/1-3Vjw2Cyy-mry5gbC8ypIR3YVGFfEpyFESummAta6sg/edit"", ""Sheet1!B:D""), 2, FALSE), ""Not Found"")"),"mæskt")</f>
        <v>mæskt</v>
      </c>
      <c r="E1745" s="2" t="str">
        <f>IFERROR(__xludf.DUMMYFUNCTION("IFERROR(VLOOKUP(A1745, IMPORTRANGE(""https://docs.google.com/spreadsheets/d/1-3Vjw2Cyy-mry5gbC8ypIR3YVGFfEpyFESummAta6sg/edit"", ""Sheet1!B:D""), 3, FALSE), ""Not Found"")"),"m æ s k t ")</f>
        <v>m æ s k t </v>
      </c>
    </row>
    <row r="1746">
      <c r="A1746" s="1" t="s">
        <v>1749</v>
      </c>
      <c r="B1746" s="1" t="s">
        <v>5</v>
      </c>
      <c r="C1746" s="2">
        <f>IFERROR(__xludf.DUMMYFUNCTION("IFERROR(VLOOKUP(A1746, IMPORTRANGE(""https://docs.google.com/spreadsheets/d/1AVX9GT0dgogEBStecCXMMQ29tWz3gBrtNB8yIromXbY/edit?gid=741673867"", ""out1g!A:B""), 2, FALSE), 0)"),502.0)</f>
        <v>502</v>
      </c>
      <c r="D1746" s="2" t="str">
        <f>IFERROR(__xludf.DUMMYFUNCTION("IFERROR(VLOOKUP(A1746, IMPORTRANGE(""https://docs.google.com/spreadsheets/d/1-3Vjw2Cyy-mry5gbC8ypIR3YVGFfEpyFESummAta6sg/edit"", ""Sheet1!B:D""), 2, FALSE), ""Not Found"")"),"frɪʤ")</f>
        <v>frɪʤ</v>
      </c>
      <c r="E1746" s="2" t="str">
        <f>IFERROR(__xludf.DUMMYFUNCTION("IFERROR(VLOOKUP(A1746, IMPORTRANGE(""https://docs.google.com/spreadsheets/d/1-3Vjw2Cyy-mry5gbC8ypIR3YVGFfEpyFESummAta6sg/edit"", ""Sheet1!B:D""), 3, FALSE), ""Not Found"")"),"f r ɪ ʤ ")</f>
        <v>f r ɪ ʤ </v>
      </c>
    </row>
    <row r="1747">
      <c r="A1747" s="1" t="s">
        <v>1750</v>
      </c>
      <c r="B1747" s="1" t="s">
        <v>5</v>
      </c>
      <c r="C1747" s="2">
        <f>IFERROR(__xludf.DUMMYFUNCTION("IFERROR(VLOOKUP(A1747, IMPORTRANGE(""https://docs.google.com/spreadsheets/d/1AVX9GT0dgogEBStecCXMMQ29tWz3gBrtNB8yIromXbY/edit?gid=741673867"", ""out1g!A:B""), 2, FALSE), 0)"),165.0)</f>
        <v>165</v>
      </c>
      <c r="D1747" s="2" t="str">
        <f>IFERROR(__xludf.DUMMYFUNCTION("IFERROR(VLOOKUP(A1747, IMPORTRANGE(""https://docs.google.com/spreadsheets/d/1-3Vjw2Cyy-mry5gbC8ypIR3YVGFfEpyFESummAta6sg/edit"", ""Sheet1!B:D""), 2, FALSE), ""Not Found"")"),"noʊbɛl")</f>
        <v>noʊbɛl</v>
      </c>
      <c r="E1747" s="2" t="str">
        <f>IFERROR(__xludf.DUMMYFUNCTION("IFERROR(VLOOKUP(A1747, IMPORTRANGE(""https://docs.google.com/spreadsheets/d/1-3Vjw2Cyy-mry5gbC8ypIR3YVGFfEpyFESummAta6sg/edit"", ""Sheet1!B:D""), 3, FALSE), ""Not Found"")"),"n o ʊ b ɛ l ")</f>
        <v>n o ʊ b ɛ l </v>
      </c>
    </row>
    <row r="1748">
      <c r="A1748" s="1" t="s">
        <v>1751</v>
      </c>
      <c r="B1748" s="1" t="s">
        <v>5</v>
      </c>
      <c r="C1748" s="2">
        <f>IFERROR(__xludf.DUMMYFUNCTION("IFERROR(VLOOKUP(A1748, IMPORTRANGE(""https://docs.google.com/spreadsheets/d/1AVX9GT0dgogEBStecCXMMQ29tWz3gBrtNB8yIromXbY/edit?gid=741673867"", ""out1g!A:B""), 2, FALSE), 0)"),3151.0)</f>
        <v>3151</v>
      </c>
      <c r="D1748" s="2" t="str">
        <f>IFERROR(__xludf.DUMMYFUNCTION("IFERROR(VLOOKUP(A1748, IMPORTRANGE(""https://docs.google.com/spreadsheets/d/1-3Vjw2Cyy-mry5gbC8ypIR3YVGFfEpyFESummAta6sg/edit"", ""Sheet1!B:D""), 2, FALSE), ""Not Found"")"),"kræp")</f>
        <v>kræp</v>
      </c>
      <c r="E1748" s="2" t="str">
        <f>IFERROR(__xludf.DUMMYFUNCTION("IFERROR(VLOOKUP(A1748, IMPORTRANGE(""https://docs.google.com/spreadsheets/d/1-3Vjw2Cyy-mry5gbC8ypIR3YVGFfEpyFESummAta6sg/edit"", ""Sheet1!B:D""), 3, FALSE), ""Not Found"")"),"k r æ p ")</f>
        <v>k r æ p </v>
      </c>
    </row>
    <row r="1749">
      <c r="A1749" s="1" t="s">
        <v>1752</v>
      </c>
      <c r="B1749" s="1" t="s">
        <v>5</v>
      </c>
      <c r="C1749" s="2">
        <f>IFERROR(__xludf.DUMMYFUNCTION("IFERROR(VLOOKUP(A1749, IMPORTRANGE(""https://docs.google.com/spreadsheets/d/1AVX9GT0dgogEBStecCXMMQ29tWz3gBrtNB8yIromXbY/edit?gid=741673867"", ""out1g!A:B""), 2, FALSE), 0)"),95.0)</f>
        <v>95</v>
      </c>
      <c r="D1749" s="2" t="str">
        <f>IFERROR(__xludf.DUMMYFUNCTION("IFERROR(VLOOKUP(A1749, IMPORTRANGE(""https://docs.google.com/spreadsheets/d/1-3Vjw2Cyy-mry5gbC8ypIR3YVGFfEpyFESummAta6sg/edit"", ""Sheet1!B:D""), 2, FALSE), ""Not Found"")"),"sɛləri")</f>
        <v>sɛləri</v>
      </c>
      <c r="E1749" s="2" t="str">
        <f>IFERROR(__xludf.DUMMYFUNCTION("IFERROR(VLOOKUP(A1749, IMPORTRANGE(""https://docs.google.com/spreadsheets/d/1-3Vjw2Cyy-mry5gbC8ypIR3YVGFfEpyFESummAta6sg/edit"", ""Sheet1!B:D""), 3, FALSE), ""Not Found"")"),"s ɛ l ə r i ")</f>
        <v>s ɛ l ə r i </v>
      </c>
    </row>
    <row r="1750">
      <c r="A1750" s="1" t="s">
        <v>1753</v>
      </c>
      <c r="B1750" s="1" t="s">
        <v>5</v>
      </c>
      <c r="C1750" s="2">
        <f>IFERROR(__xludf.DUMMYFUNCTION("IFERROR(VLOOKUP(A1750, IMPORTRANGE(""https://docs.google.com/spreadsheets/d/1AVX9GT0dgogEBStecCXMMQ29tWz3gBrtNB8yIromXbY/edit?gid=741673867"", ""out1g!A:B""), 2, FALSE), 0)"),189.0)</f>
        <v>189</v>
      </c>
      <c r="D1750" s="2" t="str">
        <f>IFERROR(__xludf.DUMMYFUNCTION("IFERROR(VLOOKUP(A1750, IMPORTRANGE(""https://docs.google.com/spreadsheets/d/1-3Vjw2Cyy-mry5gbC8ypIR3YVGFfEpyFESummAta6sg/edit"", ""Sheet1!B:D""), 2, FALSE), ""Not Found"")"),"taɪdi")</f>
        <v>taɪdi</v>
      </c>
      <c r="E1750" s="2" t="str">
        <f>IFERROR(__xludf.DUMMYFUNCTION("IFERROR(VLOOKUP(A1750, IMPORTRANGE(""https://docs.google.com/spreadsheets/d/1-3Vjw2Cyy-mry5gbC8ypIR3YVGFfEpyFESummAta6sg/edit"", ""Sheet1!B:D""), 3, FALSE), ""Not Found"")"),"t a ɪ d i ")</f>
        <v>t a ɪ d i </v>
      </c>
    </row>
    <row r="1751">
      <c r="A1751" s="1" t="s">
        <v>1754</v>
      </c>
      <c r="B1751" s="1" t="s">
        <v>5</v>
      </c>
      <c r="C1751" s="2">
        <f>IFERROR(__xludf.DUMMYFUNCTION("IFERROR(VLOOKUP(A1751, IMPORTRANGE(""https://docs.google.com/spreadsheets/d/1AVX9GT0dgogEBStecCXMMQ29tWz3gBrtNB8yIromXbY/edit?gid=741673867"", ""out1g!A:B""), 2, FALSE), 0)"),378.0)</f>
        <v>378</v>
      </c>
      <c r="D1751" s="2" t="str">
        <f>IFERROR(__xludf.DUMMYFUNCTION("IFERROR(VLOOKUP(A1751, IMPORTRANGE(""https://docs.google.com/spreadsheets/d/1-3Vjw2Cyy-mry5gbC8ypIR3YVGFfEpyFESummAta6sg/edit"", ""Sheet1!B:D""), 2, FALSE), ""Not Found"")"),"paɪps")</f>
        <v>paɪps</v>
      </c>
      <c r="E1751" s="2" t="str">
        <f>IFERROR(__xludf.DUMMYFUNCTION("IFERROR(VLOOKUP(A1751, IMPORTRANGE(""https://docs.google.com/spreadsheets/d/1-3Vjw2Cyy-mry5gbC8ypIR3YVGFfEpyFESummAta6sg/edit"", ""Sheet1!B:D""), 3, FALSE), ""Not Found"")"),"p a ɪ p s ")</f>
        <v>p a ɪ p s </v>
      </c>
    </row>
    <row r="1752">
      <c r="A1752" s="1" t="s">
        <v>1755</v>
      </c>
      <c r="B1752" s="1" t="s">
        <v>5</v>
      </c>
      <c r="C1752" s="2">
        <f>IFERROR(__xludf.DUMMYFUNCTION("IFERROR(VLOOKUP(A1752, IMPORTRANGE(""https://docs.google.com/spreadsheets/d/1AVX9GT0dgogEBStecCXMMQ29tWz3gBrtNB8yIromXbY/edit?gid=741673867"", ""out1g!A:B""), 2, FALSE), 0)"),568.0)</f>
        <v>568</v>
      </c>
      <c r="D1752" s="2" t="str">
        <f>IFERROR(__xludf.DUMMYFUNCTION("IFERROR(VLOOKUP(A1752, IMPORTRANGE(""https://docs.google.com/spreadsheets/d/1-3Vjw2Cyy-mry5gbC8ypIR3YVGFfEpyFESummAta6sg/edit"", ""Sheet1!B:D""), 2, FALSE), ""Not Found"")"),"bɪtər")</f>
        <v>bɪtər</v>
      </c>
      <c r="E1752" s="2" t="str">
        <f>IFERROR(__xludf.DUMMYFUNCTION("IFERROR(VLOOKUP(A1752, IMPORTRANGE(""https://docs.google.com/spreadsheets/d/1-3Vjw2Cyy-mry5gbC8ypIR3YVGFfEpyFESummAta6sg/edit"", ""Sheet1!B:D""), 3, FALSE), ""Not Found"")"),"b ɪ t ə r ")</f>
        <v>b ɪ t ə r </v>
      </c>
    </row>
    <row r="1753">
      <c r="A1753" s="1" t="s">
        <v>1756</v>
      </c>
      <c r="B1753" s="1" t="s">
        <v>5</v>
      </c>
      <c r="C1753" s="2">
        <f>IFERROR(__xludf.DUMMYFUNCTION("IFERROR(VLOOKUP(A1753, IMPORTRANGE(""https://docs.google.com/spreadsheets/d/1AVX9GT0dgogEBStecCXMMQ29tWz3gBrtNB8yIromXbY/edit?gid=741673867"", ""out1g!A:B""), 2, FALSE), 0)"),69490.0)</f>
        <v>69490</v>
      </c>
      <c r="D1753" s="2" t="str">
        <f>IFERROR(__xludf.DUMMYFUNCTION("IFERROR(VLOOKUP(A1753, IMPORTRANGE(""https://docs.google.com/spreadsheets/d/1-3Vjw2Cyy-mry5gbC8ypIR3YVGFfEpyFESummAta6sg/edit"", ""Sheet1!B:D""), 2, FALSE), ""Not Found"")"),"nɛvər")</f>
        <v>nɛvər</v>
      </c>
      <c r="E1753" s="2" t="str">
        <f>IFERROR(__xludf.DUMMYFUNCTION("IFERROR(VLOOKUP(A1753, IMPORTRANGE(""https://docs.google.com/spreadsheets/d/1-3Vjw2Cyy-mry5gbC8ypIR3YVGFfEpyFESummAta6sg/edit"", ""Sheet1!B:D""), 3, FALSE), ""Not Found"")"),"n ɛ v ə r ")</f>
        <v>n ɛ v ə r </v>
      </c>
    </row>
    <row r="1754">
      <c r="A1754" s="1" t="s">
        <v>1757</v>
      </c>
      <c r="B1754" s="1" t="s">
        <v>5</v>
      </c>
      <c r="C1754" s="2">
        <f>IFERROR(__xludf.DUMMYFUNCTION("IFERROR(VLOOKUP(A1754, IMPORTRANGE(""https://docs.google.com/spreadsheets/d/1AVX9GT0dgogEBStecCXMMQ29tWz3gBrtNB8yIromXbY/edit?gid=741673867"", ""out1g!A:B""), 2, FALSE), 0)"),117.0)</f>
        <v>117</v>
      </c>
      <c r="D1754" s="2" t="str">
        <f>IFERROR(__xludf.DUMMYFUNCTION("IFERROR(VLOOKUP(A1754, IMPORTRANGE(""https://docs.google.com/spreadsheets/d/1-3Vjw2Cyy-mry5gbC8ypIR3YVGFfEpyFESummAta6sg/edit"", ""Sheet1!B:D""), 2, FALSE), ""Not Found"")"),"ewɔl")</f>
        <v>ewɔl</v>
      </c>
      <c r="E1754" s="2" t="str">
        <f>IFERROR(__xludf.DUMMYFUNCTION("IFERROR(VLOOKUP(A1754, IMPORTRANGE(""https://docs.google.com/spreadsheets/d/1-3Vjw2Cyy-mry5gbC8ypIR3YVGFfEpyFESummAta6sg/edit"", ""Sheet1!B:D""), 3, FALSE), ""Not Found"")"),"e w ɔ l ")</f>
        <v>e w ɔ l </v>
      </c>
    </row>
    <row r="1755">
      <c r="A1755" s="1" t="s">
        <v>1758</v>
      </c>
      <c r="B1755" s="1" t="s">
        <v>5</v>
      </c>
      <c r="C1755" s="2">
        <f>IFERROR(__xludf.DUMMYFUNCTION("IFERROR(VLOOKUP(A1755, IMPORTRANGE(""https://docs.google.com/spreadsheets/d/1AVX9GT0dgogEBStecCXMMQ29tWz3gBrtNB8yIromXbY/edit?gid=741673867"", ""out1g!A:B""), 2, FALSE), 0)"),440.0)</f>
        <v>440</v>
      </c>
      <c r="D1755" s="2" t="str">
        <f>IFERROR(__xludf.DUMMYFUNCTION("IFERROR(VLOOKUP(A1755, IMPORTRANGE(""https://docs.google.com/spreadsheets/d/1-3Vjw2Cyy-mry5gbC8ypIR3YVGFfEpyFESummAta6sg/edit"", ""Sheet1!B:D""), 2, FALSE), ""Not Found"")"),"mɔrg")</f>
        <v>mɔrg</v>
      </c>
      <c r="E1755" s="2" t="str">
        <f>IFERROR(__xludf.DUMMYFUNCTION("IFERROR(VLOOKUP(A1755, IMPORTRANGE(""https://docs.google.com/spreadsheets/d/1-3Vjw2Cyy-mry5gbC8ypIR3YVGFfEpyFESummAta6sg/edit"", ""Sheet1!B:D""), 3, FALSE), ""Not Found"")"),"m ɔ r g ")</f>
        <v>m ɔ r g </v>
      </c>
    </row>
    <row r="1756">
      <c r="A1756" s="1" t="s">
        <v>1759</v>
      </c>
      <c r="B1756" s="1" t="s">
        <v>5</v>
      </c>
      <c r="C1756" s="2">
        <f>IFERROR(__xludf.DUMMYFUNCTION("IFERROR(VLOOKUP(A1756, IMPORTRANGE(""https://docs.google.com/spreadsheets/d/1AVX9GT0dgogEBStecCXMMQ29tWz3gBrtNB8yIromXbY/edit?gid=741673867"", ""out1g!A:B""), 2, FALSE), 0)"),1746.0)</f>
        <v>1746</v>
      </c>
      <c r="D1756" s="2" t="str">
        <f>IFERROR(__xludf.DUMMYFUNCTION("IFERROR(VLOOKUP(A1756, IMPORTRANGE(""https://docs.google.com/spreadsheets/d/1-3Vjw2Cyy-mry5gbC8ypIR3YVGFfEpyFESummAta6sg/edit"", ""Sheet1!B:D""), 2, FALSE), ""Not Found"")"),"wɛðər")</f>
        <v>wɛðər</v>
      </c>
      <c r="E1756" s="2" t="str">
        <f>IFERROR(__xludf.DUMMYFUNCTION("IFERROR(VLOOKUP(A1756, IMPORTRANGE(""https://docs.google.com/spreadsheets/d/1-3Vjw2Cyy-mry5gbC8ypIR3YVGFfEpyFESummAta6sg/edit"", ""Sheet1!B:D""), 3, FALSE), ""Not Found"")"),"w ɛ ð ə r ")</f>
        <v>w ɛ ð ə r </v>
      </c>
    </row>
    <row r="1757">
      <c r="A1757" s="1" t="s">
        <v>1760</v>
      </c>
      <c r="B1757" s="1" t="s">
        <v>5</v>
      </c>
      <c r="C1757" s="2">
        <f>IFERROR(__xludf.DUMMYFUNCTION("IFERROR(VLOOKUP(A1757, IMPORTRANGE(""https://docs.google.com/spreadsheets/d/1AVX9GT0dgogEBStecCXMMQ29tWz3gBrtNB8yIromXbY/edit?gid=741673867"", ""out1g!A:B""), 2, FALSE), 0)"),69.0)</f>
        <v>69</v>
      </c>
      <c r="D1757" s="2" t="str">
        <f>IFERROR(__xludf.DUMMYFUNCTION("IFERROR(VLOOKUP(A1757, IMPORTRANGE(""https://docs.google.com/spreadsheets/d/1-3Vjw2Cyy-mry5gbC8ypIR3YVGFfEpyFESummAta6sg/edit"", ""Sheet1!B:D""), 2, FALSE), ""Not Found"")"),"teld")</f>
        <v>teld</v>
      </c>
      <c r="E1757" s="2" t="str">
        <f>IFERROR(__xludf.DUMMYFUNCTION("IFERROR(VLOOKUP(A1757, IMPORTRANGE(""https://docs.google.com/spreadsheets/d/1-3Vjw2Cyy-mry5gbC8ypIR3YVGFfEpyFESummAta6sg/edit"", ""Sheet1!B:D""), 3, FALSE), ""Not Found"")"),"t e l d ")</f>
        <v>t e l d </v>
      </c>
    </row>
    <row r="1758">
      <c r="A1758" s="1" t="s">
        <v>1761</v>
      </c>
      <c r="B1758" s="1" t="s">
        <v>5</v>
      </c>
      <c r="C1758" s="2">
        <f>IFERROR(__xludf.DUMMYFUNCTION("IFERROR(VLOOKUP(A1758, IMPORTRANGE(""https://docs.google.com/spreadsheets/d/1AVX9GT0dgogEBStecCXMMQ29tWz3gBrtNB8yIromXbY/edit?gid=741673867"", ""out1g!A:B""), 2, FALSE), 0)"),351.0)</f>
        <v>351</v>
      </c>
      <c r="D1758" s="2" t="str">
        <f>IFERROR(__xludf.DUMMYFUNCTION("IFERROR(VLOOKUP(A1758, IMPORTRANGE(""https://docs.google.com/spreadsheets/d/1-3Vjw2Cyy-mry5gbC8ypIR3YVGFfEpyFESummAta6sg/edit"", ""Sheet1!B:D""), 2, FALSE), ""Not Found"")"),"rezər")</f>
        <v>rezər</v>
      </c>
      <c r="E1758" s="2" t="str">
        <f>IFERROR(__xludf.DUMMYFUNCTION("IFERROR(VLOOKUP(A1758, IMPORTRANGE(""https://docs.google.com/spreadsheets/d/1-3Vjw2Cyy-mry5gbC8ypIR3YVGFfEpyFESummAta6sg/edit"", ""Sheet1!B:D""), 3, FALSE), ""Not Found"")"),"r e z ə r ")</f>
        <v>r e z ə r </v>
      </c>
    </row>
    <row r="1759">
      <c r="A1759" s="1" t="s">
        <v>1762</v>
      </c>
      <c r="B1759" s="1" t="s">
        <v>5</v>
      </c>
      <c r="C1759" s="2">
        <f>IFERROR(__xludf.DUMMYFUNCTION("IFERROR(VLOOKUP(A1759, IMPORTRANGE(""https://docs.google.com/spreadsheets/d/1AVX9GT0dgogEBStecCXMMQ29tWz3gBrtNB8yIromXbY/edit?gid=741673867"", ""out1g!A:B""), 2, FALSE), 0)"),3716.0)</f>
        <v>3716</v>
      </c>
      <c r="D1759" s="2" t="str">
        <f>IFERROR(__xludf.DUMMYFUNCTION("IFERROR(VLOOKUP(A1759, IMPORTRANGE(""https://docs.google.com/spreadsheets/d/1-3Vjw2Cyy-mry5gbC8ypIR3YVGFfEpyFESummAta6sg/edit"", ""Sheet1!B:D""), 2, FALSE), ""Not Found"")"),"trək")</f>
        <v>trək</v>
      </c>
      <c r="E1759" s="2" t="str">
        <f>IFERROR(__xludf.DUMMYFUNCTION("IFERROR(VLOOKUP(A1759, IMPORTRANGE(""https://docs.google.com/spreadsheets/d/1-3Vjw2Cyy-mry5gbC8ypIR3YVGFfEpyFESummAta6sg/edit"", ""Sheet1!B:D""), 3, FALSE), ""Not Found"")"),"t r ə k ")</f>
        <v>t r ə k </v>
      </c>
    </row>
    <row r="1760">
      <c r="A1760" s="1" t="s">
        <v>1763</v>
      </c>
      <c r="B1760" s="1" t="s">
        <v>5</v>
      </c>
      <c r="C1760" s="2">
        <f>IFERROR(__xludf.DUMMYFUNCTION("IFERROR(VLOOKUP(A1760, IMPORTRANGE(""https://docs.google.com/spreadsheets/d/1AVX9GT0dgogEBStecCXMMQ29tWz3gBrtNB8yIromXbY/edit?gid=741673867"", ""out1g!A:B""), 2, FALSE), 0)"),1345.0)</f>
        <v>1345</v>
      </c>
      <c r="D1760" s="2" t="str">
        <f>IFERROR(__xludf.DUMMYFUNCTION("IFERROR(VLOOKUP(A1760, IMPORTRANGE(""https://docs.google.com/spreadsheets/d/1-3Vjw2Cyy-mry5gbC8ypIR3YVGFfEpyFESummAta6sg/edit"", ""Sheet1!B:D""), 2, FALSE), ""Not Found"")"),"ɪvɛnt")</f>
        <v>ɪvɛnt</v>
      </c>
      <c r="E1760" s="2" t="str">
        <f>IFERROR(__xludf.DUMMYFUNCTION("IFERROR(VLOOKUP(A1760, IMPORTRANGE(""https://docs.google.com/spreadsheets/d/1-3Vjw2Cyy-mry5gbC8ypIR3YVGFfEpyFESummAta6sg/edit"", ""Sheet1!B:D""), 3, FALSE), ""Not Found"")"),"ɪ v ɛ n t ")</f>
        <v>ɪ v ɛ n t </v>
      </c>
    </row>
    <row r="1761">
      <c r="A1761" s="1" t="s">
        <v>1764</v>
      </c>
      <c r="B1761" s="1" t="s">
        <v>5</v>
      </c>
      <c r="C1761" s="2">
        <f>IFERROR(__xludf.DUMMYFUNCTION("IFERROR(VLOOKUP(A1761, IMPORTRANGE(""https://docs.google.com/spreadsheets/d/1AVX9GT0dgogEBStecCXMMQ29tWz3gBrtNB8yIromXbY/edit?gid=741673867"", ""out1g!A:B""), 2, FALSE), 0)"),48.0)</f>
        <v>48</v>
      </c>
      <c r="D1761" s="2" t="str">
        <f>IFERROR(__xludf.DUMMYFUNCTION("IFERROR(VLOOKUP(A1761, IMPORTRANGE(""https://docs.google.com/spreadsheets/d/1-3Vjw2Cyy-mry5gbC8ypIR3YVGFfEpyFESummAta6sg/edit"", ""Sheet1!B:D""), 2, FALSE), ""Not Found"")"),"fɪle")</f>
        <v>fɪle</v>
      </c>
      <c r="E1761" s="2" t="str">
        <f>IFERROR(__xludf.DUMMYFUNCTION("IFERROR(VLOOKUP(A1761, IMPORTRANGE(""https://docs.google.com/spreadsheets/d/1-3Vjw2Cyy-mry5gbC8ypIR3YVGFfEpyFESummAta6sg/edit"", ""Sheet1!B:D""), 3, FALSE), ""Not Found"")"),"f ɪ l e ")</f>
        <v>f ɪ l e </v>
      </c>
    </row>
    <row r="1762">
      <c r="A1762" s="1" t="s">
        <v>1765</v>
      </c>
      <c r="B1762" s="1" t="s">
        <v>5</v>
      </c>
      <c r="C1762" s="2">
        <f>IFERROR(__xludf.DUMMYFUNCTION("IFERROR(VLOOKUP(A1762, IMPORTRANGE(""https://docs.google.com/spreadsheets/d/1AVX9GT0dgogEBStecCXMMQ29tWz3gBrtNB8yIromXbY/edit?gid=741673867"", ""out1g!A:B""), 2, FALSE), 0)"),78.0)</f>
        <v>78</v>
      </c>
      <c r="D1762" s="2" t="str">
        <f>IFERROR(__xludf.DUMMYFUNCTION("IFERROR(VLOOKUP(A1762, IMPORTRANGE(""https://docs.google.com/spreadsheets/d/1-3Vjw2Cyy-mry5gbC8ypIR3YVGFfEpyFESummAta6sg/edit"", ""Sheet1!B:D""), 2, FALSE), ""Not Found"")"),"nɔrs")</f>
        <v>nɔrs</v>
      </c>
      <c r="E1762" s="2" t="str">
        <f>IFERROR(__xludf.DUMMYFUNCTION("IFERROR(VLOOKUP(A1762, IMPORTRANGE(""https://docs.google.com/spreadsheets/d/1-3Vjw2Cyy-mry5gbC8ypIR3YVGFfEpyFESummAta6sg/edit"", ""Sheet1!B:D""), 3, FALSE), ""Not Found"")"),"n ɔ r s ")</f>
        <v>n ɔ r s </v>
      </c>
    </row>
    <row r="1763">
      <c r="A1763" s="1" t="s">
        <v>1766</v>
      </c>
      <c r="B1763" s="1" t="s">
        <v>5</v>
      </c>
      <c r="C1763" s="2">
        <f>IFERROR(__xludf.DUMMYFUNCTION("IFERROR(VLOOKUP(A1763, IMPORTRANGE(""https://docs.google.com/spreadsheets/d/1AVX9GT0dgogEBStecCXMMQ29tWz3gBrtNB8yIromXbY/edit?gid=741673867"", ""out1g!A:B""), 2, FALSE), 0)"),150.0)</f>
        <v>150</v>
      </c>
      <c r="D1763" s="2" t="str">
        <f>IFERROR(__xludf.DUMMYFUNCTION("IFERROR(VLOOKUP(A1763, IMPORTRANGE(""https://docs.google.com/spreadsheets/d/1-3Vjw2Cyy-mry5gbC8ypIR3YVGFfEpyFESummAta6sg/edit"", ""Sheet1!B:D""), 2, FALSE), ""Not Found"")"),"dipoʊ")</f>
        <v>dipoʊ</v>
      </c>
      <c r="E1763" s="2" t="str">
        <f>IFERROR(__xludf.DUMMYFUNCTION("IFERROR(VLOOKUP(A1763, IMPORTRANGE(""https://docs.google.com/spreadsheets/d/1-3Vjw2Cyy-mry5gbC8ypIR3YVGFfEpyFESummAta6sg/edit"", ""Sheet1!B:D""), 3, FALSE), ""Not Found"")"),"d i p o ʊ ")</f>
        <v>d i p o ʊ </v>
      </c>
    </row>
    <row r="1764">
      <c r="A1764" s="1" t="s">
        <v>1767</v>
      </c>
      <c r="B1764" s="1" t="s">
        <v>5</v>
      </c>
      <c r="C1764" s="2">
        <f>IFERROR(__xludf.DUMMYFUNCTION("IFERROR(VLOOKUP(A1764, IMPORTRANGE(""https://docs.google.com/spreadsheets/d/1AVX9GT0dgogEBStecCXMMQ29tWz3gBrtNB8yIromXbY/edit?gid=741673867"", ""out1g!A:B""), 2, FALSE), 0)"),102.0)</f>
        <v>102</v>
      </c>
      <c r="D1764" s="2" t="str">
        <f>IFERROR(__xludf.DUMMYFUNCTION("IFERROR(VLOOKUP(A1764, IMPORTRANGE(""https://docs.google.com/spreadsheets/d/1-3Vjw2Cyy-mry5gbC8ypIR3YVGFfEpyFESummAta6sg/edit"", ""Sheet1!B:D""), 2, FALSE), ""Not Found"")"),"wɪn")</f>
        <v>wɪn</v>
      </c>
      <c r="E1764" s="2" t="str">
        <f>IFERROR(__xludf.DUMMYFUNCTION("IFERROR(VLOOKUP(A1764, IMPORTRANGE(""https://docs.google.com/spreadsheets/d/1-3Vjw2Cyy-mry5gbC8ypIR3YVGFfEpyFESummAta6sg/edit"", ""Sheet1!B:D""), 3, FALSE), ""Not Found"")"),"w ɪ n ")</f>
        <v>w ɪ n </v>
      </c>
    </row>
    <row r="1765">
      <c r="A1765" s="1" t="s">
        <v>1768</v>
      </c>
      <c r="B1765" s="1" t="s">
        <v>5</v>
      </c>
      <c r="C1765" s="2">
        <f>IFERROR(__xludf.DUMMYFUNCTION("IFERROR(VLOOKUP(A1765, IMPORTRANGE(""https://docs.google.com/spreadsheets/d/1AVX9GT0dgogEBStecCXMMQ29tWz3gBrtNB8yIromXbY/edit?gid=741673867"", ""out1g!A:B""), 2, FALSE), 0)"),3694.0)</f>
        <v>3694</v>
      </c>
      <c r="D1765" s="2" t="str">
        <f>IFERROR(__xludf.DUMMYFUNCTION("IFERROR(VLOOKUP(A1765, IMPORTRANGE(""https://docs.google.com/spreadsheets/d/1-3Vjw2Cyy-mry5gbC8ypIR3YVGFfEpyFESummAta6sg/edit"", ""Sheet1!B:D""), 2, FALSE), ""Not Found"")"),"kæʃ")</f>
        <v>kæʃ</v>
      </c>
      <c r="E1765" s="2" t="str">
        <f>IFERROR(__xludf.DUMMYFUNCTION("IFERROR(VLOOKUP(A1765, IMPORTRANGE(""https://docs.google.com/spreadsheets/d/1-3Vjw2Cyy-mry5gbC8ypIR3YVGFfEpyFESummAta6sg/edit"", ""Sheet1!B:D""), 3, FALSE), ""Not Found"")"),"k æ ʃ ")</f>
        <v>k æ ʃ </v>
      </c>
    </row>
    <row r="1766">
      <c r="A1766" s="1" t="s">
        <v>1769</v>
      </c>
      <c r="B1766" s="1" t="s">
        <v>5</v>
      </c>
      <c r="C1766" s="2">
        <f>IFERROR(__xludf.DUMMYFUNCTION("IFERROR(VLOOKUP(A1766, IMPORTRANGE(""https://docs.google.com/spreadsheets/d/1AVX9GT0dgogEBStecCXMMQ29tWz3gBrtNB8yIromXbY/edit?gid=741673867"", ""out1g!A:B""), 2, FALSE), 0)"),54159.0)</f>
        <v>54159</v>
      </c>
      <c r="D1766" s="2" t="str">
        <f>IFERROR(__xludf.DUMMYFUNCTION("IFERROR(VLOOKUP(A1766, IMPORTRANGE(""https://docs.google.com/spreadsheets/d/1-3Vjw2Cyy-mry5gbC8ypIR3YVGFfEpyFESummAta6sg/edit"", ""Sheet1!B:D""), 2, FALSE), ""Not Found"")"),"ʃʊd")</f>
        <v>ʃʊd</v>
      </c>
      <c r="E1766" s="2" t="str">
        <f>IFERROR(__xludf.DUMMYFUNCTION("IFERROR(VLOOKUP(A1766, IMPORTRANGE(""https://docs.google.com/spreadsheets/d/1-3Vjw2Cyy-mry5gbC8ypIR3YVGFfEpyFESummAta6sg/edit"", ""Sheet1!B:D""), 3, FALSE), ""Not Found"")"),"ʃ ʊ d ")</f>
        <v>ʃ ʊ d </v>
      </c>
    </row>
    <row r="1767">
      <c r="A1767" s="1" t="s">
        <v>1770</v>
      </c>
      <c r="B1767" s="1" t="s">
        <v>5</v>
      </c>
      <c r="C1767" s="2">
        <f>IFERROR(__xludf.DUMMYFUNCTION("IFERROR(VLOOKUP(A1767, IMPORTRANGE(""https://docs.google.com/spreadsheets/d/1AVX9GT0dgogEBStecCXMMQ29tWz3gBrtNB8yIromXbY/edit?gid=741673867"", ""out1g!A:B""), 2, FALSE), 0)"),2324.0)</f>
        <v>2324</v>
      </c>
      <c r="D1767" s="2" t="str">
        <f>IFERROR(__xludf.DUMMYFUNCTION("IFERROR(VLOOKUP(A1767, IMPORTRANGE(""https://docs.google.com/spreadsheets/d/1-3Vjw2Cyy-mry5gbC8ypIR3YVGFfEpyFESummAta6sg/edit"", ""Sheet1!B:D""), 2, FALSE), ""Not Found"")"),"kʊk")</f>
        <v>kʊk</v>
      </c>
      <c r="E1767" s="2" t="str">
        <f>IFERROR(__xludf.DUMMYFUNCTION("IFERROR(VLOOKUP(A1767, IMPORTRANGE(""https://docs.google.com/spreadsheets/d/1-3Vjw2Cyy-mry5gbC8ypIR3YVGFfEpyFESummAta6sg/edit"", ""Sheet1!B:D""), 3, FALSE), ""Not Found"")"),"k ʊ k ")</f>
        <v>k ʊ k </v>
      </c>
    </row>
    <row r="1768">
      <c r="A1768" s="1" t="s">
        <v>1771</v>
      </c>
      <c r="B1768" s="1" t="s">
        <v>5</v>
      </c>
      <c r="C1768" s="2">
        <f>IFERROR(__xludf.DUMMYFUNCTION("IFERROR(VLOOKUP(A1768, IMPORTRANGE(""https://docs.google.com/spreadsheets/d/1AVX9GT0dgogEBStecCXMMQ29tWz3gBrtNB8yIromXbY/edit?gid=741673867"", ""out1g!A:B""), 2, FALSE), 0)"),66.0)</f>
        <v>66</v>
      </c>
      <c r="D1768" s="2" t="str">
        <f>IFERROR(__xludf.DUMMYFUNCTION("IFERROR(VLOOKUP(A1768, IMPORTRANGE(""https://docs.google.com/spreadsheets/d/1-3Vjw2Cyy-mry5gbC8ypIR3YVGFfEpyFESummAta6sg/edit"", ""Sheet1!B:D""), 2, FALSE), ""Not Found"")"),"flevərz")</f>
        <v>flevərz</v>
      </c>
      <c r="E1768" s="2" t="str">
        <f>IFERROR(__xludf.DUMMYFUNCTION("IFERROR(VLOOKUP(A1768, IMPORTRANGE(""https://docs.google.com/spreadsheets/d/1-3Vjw2Cyy-mry5gbC8ypIR3YVGFfEpyFESummAta6sg/edit"", ""Sheet1!B:D""), 3, FALSE), ""Not Found"")"),"f l e v ə r z ")</f>
        <v>f l e v ə r z </v>
      </c>
    </row>
    <row r="1769">
      <c r="A1769" s="1" t="s">
        <v>1772</v>
      </c>
      <c r="B1769" s="1" t="s">
        <v>5</v>
      </c>
      <c r="C1769" s="2">
        <f>IFERROR(__xludf.DUMMYFUNCTION("IFERROR(VLOOKUP(A1769, IMPORTRANGE(""https://docs.google.com/spreadsheets/d/1AVX9GT0dgogEBStecCXMMQ29tWz3gBrtNB8yIromXbY/edit?gid=741673867"", ""out1g!A:B""), 2, FALSE), 0)"),277.0)</f>
        <v>277</v>
      </c>
      <c r="D1769" s="2" t="str">
        <f>IFERROR(__xludf.DUMMYFUNCTION("IFERROR(VLOOKUP(A1769, IMPORTRANGE(""https://docs.google.com/spreadsheets/d/1-3Vjw2Cyy-mry5gbC8ypIR3YVGFfEpyFESummAta6sg/edit"", ""Sheet1!B:D""), 2, FALSE), ""Not Found"")"),"mɪnt")</f>
        <v>mɪnt</v>
      </c>
      <c r="E1769" s="2" t="str">
        <f>IFERROR(__xludf.DUMMYFUNCTION("IFERROR(VLOOKUP(A1769, IMPORTRANGE(""https://docs.google.com/spreadsheets/d/1-3Vjw2Cyy-mry5gbC8ypIR3YVGFfEpyFESummAta6sg/edit"", ""Sheet1!B:D""), 3, FALSE), ""Not Found"")"),"m ɪ n t ")</f>
        <v>m ɪ n t </v>
      </c>
    </row>
    <row r="1770">
      <c r="A1770" s="1" t="s">
        <v>1773</v>
      </c>
      <c r="B1770" s="1" t="s">
        <v>5</v>
      </c>
      <c r="C1770" s="2">
        <f>IFERROR(__xludf.DUMMYFUNCTION("IFERROR(VLOOKUP(A1770, IMPORTRANGE(""https://docs.google.com/spreadsheets/d/1AVX9GT0dgogEBStecCXMMQ29tWz3gBrtNB8yIromXbY/edit?gid=741673867"", ""out1g!A:B""), 2, FALSE), 0)"),126.0)</f>
        <v>126</v>
      </c>
      <c r="D1770" s="2" t="str">
        <f>IFERROR(__xludf.DUMMYFUNCTION("IFERROR(VLOOKUP(A1770, IMPORTRANGE(""https://docs.google.com/spreadsheets/d/1-3Vjw2Cyy-mry5gbC8ypIR3YVGFfEpyFESummAta6sg/edit"", ""Sheet1!B:D""), 2, FALSE), ""Not Found"")"),"deviz")</f>
        <v>deviz</v>
      </c>
      <c r="E1770" s="2" t="str">
        <f>IFERROR(__xludf.DUMMYFUNCTION("IFERROR(VLOOKUP(A1770, IMPORTRANGE(""https://docs.google.com/spreadsheets/d/1-3Vjw2Cyy-mry5gbC8ypIR3YVGFfEpyFESummAta6sg/edit"", ""Sheet1!B:D""), 3, FALSE), ""Not Found"")"),"d e v i z ")</f>
        <v>d e v i z </v>
      </c>
    </row>
    <row r="1771">
      <c r="A1771" s="1" t="s">
        <v>1774</v>
      </c>
      <c r="B1771" s="1" t="s">
        <v>5</v>
      </c>
      <c r="C1771" s="2">
        <f>IFERROR(__xludf.DUMMYFUNCTION("IFERROR(VLOOKUP(A1771, IMPORTRANGE(""https://docs.google.com/spreadsheets/d/1AVX9GT0dgogEBStecCXMMQ29tWz3gBrtNB8yIromXbY/edit?gid=741673867"", ""out1g!A:B""), 2, FALSE), 0)"),14638.0)</f>
        <v>14638</v>
      </c>
      <c r="D1771" s="2" t="str">
        <f>IFERROR(__xludf.DUMMYFUNCTION("IFERROR(VLOOKUP(A1771, IMPORTRANGE(""https://docs.google.com/spreadsheets/d/1-3Vjw2Cyy-mry5gbC8ypIR3YVGFfEpyFESummAta6sg/edit"", ""Sheet1!B:D""), 2, FALSE), ""Not Found"")"),"wəri")</f>
        <v>wəri</v>
      </c>
      <c r="E1771" s="2" t="str">
        <f>IFERROR(__xludf.DUMMYFUNCTION("IFERROR(VLOOKUP(A1771, IMPORTRANGE(""https://docs.google.com/spreadsheets/d/1-3Vjw2Cyy-mry5gbC8ypIR3YVGFfEpyFESummAta6sg/edit"", ""Sheet1!B:D""), 3, FALSE), ""Not Found"")"),"w ə r i ")</f>
        <v>w ə r i </v>
      </c>
    </row>
    <row r="1772">
      <c r="A1772" s="1" t="s">
        <v>1775</v>
      </c>
      <c r="B1772" s="1" t="s">
        <v>5</v>
      </c>
      <c r="C1772" s="2">
        <f>IFERROR(__xludf.DUMMYFUNCTION("IFERROR(VLOOKUP(A1772, IMPORTRANGE(""https://docs.google.com/spreadsheets/d/1AVX9GT0dgogEBStecCXMMQ29tWz3gBrtNB8yIromXbY/edit?gid=741673867"", ""out1g!A:B""), 2, FALSE), 0)"),109.0)</f>
        <v>109</v>
      </c>
      <c r="D1772" s="2" t="str">
        <f>IFERROR(__xludf.DUMMYFUNCTION("IFERROR(VLOOKUP(A1772, IMPORTRANGE(""https://docs.google.com/spreadsheets/d/1-3Vjw2Cyy-mry5gbC8ypIR3YVGFfEpyFESummAta6sg/edit"", ""Sheet1!B:D""), 2, FALSE), ""Not Found"")"),"laɪs")</f>
        <v>laɪs</v>
      </c>
      <c r="E1772" s="2" t="str">
        <f>IFERROR(__xludf.DUMMYFUNCTION("IFERROR(VLOOKUP(A1772, IMPORTRANGE(""https://docs.google.com/spreadsheets/d/1-3Vjw2Cyy-mry5gbC8ypIR3YVGFfEpyFESummAta6sg/edit"", ""Sheet1!B:D""), 3, FALSE), ""Not Found"")"),"l a ɪ s ")</f>
        <v>l a ɪ s </v>
      </c>
    </row>
    <row r="1773">
      <c r="A1773" s="1" t="s">
        <v>1776</v>
      </c>
      <c r="B1773" s="1" t="s">
        <v>5</v>
      </c>
      <c r="C1773" s="2">
        <f>IFERROR(__xludf.DUMMYFUNCTION("IFERROR(VLOOKUP(A1773, IMPORTRANGE(""https://docs.google.com/spreadsheets/d/1AVX9GT0dgogEBStecCXMMQ29tWz3gBrtNB8yIromXbY/edit?gid=741673867"", ""out1g!A:B""), 2, FALSE), 0)"),95071.0)</f>
        <v>95071</v>
      </c>
      <c r="D1773" s="2" t="str">
        <f>IFERROR(__xludf.DUMMYFUNCTION("IFERROR(VLOOKUP(A1773, IMPORTRANGE(""https://docs.google.com/spreadsheets/d/1-3Vjw2Cyy-mry5gbC8ypIR3YVGFfEpyFESummAta6sg/edit"", ""Sheet1!B:D""), 2, FALSE), ""Not Found"")"),"ən")</f>
        <v>ən</v>
      </c>
      <c r="E1773" s="2" t="str">
        <f>IFERROR(__xludf.DUMMYFUNCTION("IFERROR(VLOOKUP(A1773, IMPORTRANGE(""https://docs.google.com/spreadsheets/d/1-3Vjw2Cyy-mry5gbC8ypIR3YVGFfEpyFESummAta6sg/edit"", ""Sheet1!B:D""), 3, FALSE), ""Not Found"")"),"ə n ")</f>
        <v>ə n </v>
      </c>
    </row>
    <row r="1774">
      <c r="A1774" s="1" t="s">
        <v>1777</v>
      </c>
      <c r="B1774" s="1" t="s">
        <v>5</v>
      </c>
      <c r="C1774" s="2">
        <f>IFERROR(__xludf.DUMMYFUNCTION("IFERROR(VLOOKUP(A1774, IMPORTRANGE(""https://docs.google.com/spreadsheets/d/1AVX9GT0dgogEBStecCXMMQ29tWz3gBrtNB8yIromXbY/edit?gid=741673867"", ""out1g!A:B""), 2, FALSE), 0)"),52.0)</f>
        <v>52</v>
      </c>
      <c r="D1774" s="2" t="str">
        <f>IFERROR(__xludf.DUMMYFUNCTION("IFERROR(VLOOKUP(A1774, IMPORTRANGE(""https://docs.google.com/spreadsheets/d/1-3Vjw2Cyy-mry5gbC8ypIR3YVGFfEpyFESummAta6sg/edit"", ""Sheet1!B:D""), 2, FALSE), ""Not Found"")"),"boʊtɪŋ")</f>
        <v>boʊtɪŋ</v>
      </c>
      <c r="E1774" s="2" t="str">
        <f>IFERROR(__xludf.DUMMYFUNCTION("IFERROR(VLOOKUP(A1774, IMPORTRANGE(""https://docs.google.com/spreadsheets/d/1-3Vjw2Cyy-mry5gbC8ypIR3YVGFfEpyFESummAta6sg/edit"", ""Sheet1!B:D""), 3, FALSE), ""Not Found"")"),"b o ʊ t ɪ ŋ ")</f>
        <v>b o ʊ t ɪ ŋ </v>
      </c>
    </row>
    <row r="1775">
      <c r="A1775" s="1" t="s">
        <v>1778</v>
      </c>
      <c r="B1775" s="1" t="s">
        <v>5</v>
      </c>
      <c r="C1775" s="2">
        <f>IFERROR(__xludf.DUMMYFUNCTION("IFERROR(VLOOKUP(A1775, IMPORTRANGE(""https://docs.google.com/spreadsheets/d/1AVX9GT0dgogEBStecCXMMQ29tWz3gBrtNB8yIromXbY/edit?gid=741673867"", ""out1g!A:B""), 2, FALSE), 0)"),426.0)</f>
        <v>426</v>
      </c>
      <c r="D1775" s="2" t="str">
        <f>IFERROR(__xludf.DUMMYFUNCTION("IFERROR(VLOOKUP(A1775, IMPORTRANGE(""https://docs.google.com/spreadsheets/d/1-3Vjw2Cyy-mry5gbC8ypIR3YVGFfEpyFESummAta6sg/edit"", ""Sheet1!B:D""), 2, FALSE), ""Not Found"")"),"wɪg")</f>
        <v>wɪg</v>
      </c>
      <c r="E1775" s="2" t="str">
        <f>IFERROR(__xludf.DUMMYFUNCTION("IFERROR(VLOOKUP(A1775, IMPORTRANGE(""https://docs.google.com/spreadsheets/d/1-3Vjw2Cyy-mry5gbC8ypIR3YVGFfEpyFESummAta6sg/edit"", ""Sheet1!B:D""), 3, FALSE), ""Not Found"")"),"w ɪ g ")</f>
        <v>w ɪ g </v>
      </c>
    </row>
    <row r="1776">
      <c r="A1776" s="1" t="s">
        <v>1779</v>
      </c>
      <c r="B1776" s="1" t="s">
        <v>5</v>
      </c>
      <c r="C1776" s="2">
        <f>IFERROR(__xludf.DUMMYFUNCTION("IFERROR(VLOOKUP(A1776, IMPORTRANGE(""https://docs.google.com/spreadsheets/d/1AVX9GT0dgogEBStecCXMMQ29tWz3gBrtNB8yIromXbY/edit?gid=741673867"", ""out1g!A:B""), 2, FALSE), 0)"),976.0)</f>
        <v>976</v>
      </c>
      <c r="D1776" s="2" t="str">
        <f>IFERROR(__xludf.DUMMYFUNCTION("IFERROR(VLOOKUP(A1776, IMPORTRANGE(""https://docs.google.com/spreadsheets/d/1-3Vjw2Cyy-mry5gbC8ypIR3YVGFfEpyFESummAta6sg/edit"", ""Sheet1!B:D""), 2, FALSE), ""Not Found"")"),"oʊnz")</f>
        <v>oʊnz</v>
      </c>
      <c r="E1776" s="2" t="str">
        <f>IFERROR(__xludf.DUMMYFUNCTION("IFERROR(VLOOKUP(A1776, IMPORTRANGE(""https://docs.google.com/spreadsheets/d/1-3Vjw2Cyy-mry5gbC8ypIR3YVGFfEpyFESummAta6sg/edit"", ""Sheet1!B:D""), 3, FALSE), ""Not Found"")"),"o ʊ n z ")</f>
        <v>o ʊ n z </v>
      </c>
    </row>
    <row r="1777">
      <c r="A1777" s="1" t="s">
        <v>1780</v>
      </c>
      <c r="B1777" s="1" t="s">
        <v>5</v>
      </c>
      <c r="C1777" s="2">
        <f>IFERROR(__xludf.DUMMYFUNCTION("IFERROR(VLOOKUP(A1777, IMPORTRANGE(""https://docs.google.com/spreadsheets/d/1AVX9GT0dgogEBStecCXMMQ29tWz3gBrtNB8yIromXbY/edit?gid=741673867"", ""out1g!A:B""), 2, FALSE), 0)"),69.0)</f>
        <v>69</v>
      </c>
      <c r="D1777" s="2" t="str">
        <f>IFERROR(__xludf.DUMMYFUNCTION("IFERROR(VLOOKUP(A1777, IMPORTRANGE(""https://docs.google.com/spreadsheets/d/1-3Vjw2Cyy-mry5gbC8ypIR3YVGFfEpyFESummAta6sg/edit"", ""Sheet1!B:D""), 2, FALSE), ""Not Found"")"),"kɔrs")</f>
        <v>kɔrs</v>
      </c>
      <c r="E1777" s="2" t="str">
        <f>IFERROR(__xludf.DUMMYFUNCTION("IFERROR(VLOOKUP(A1777, IMPORTRANGE(""https://docs.google.com/spreadsheets/d/1-3Vjw2Cyy-mry5gbC8ypIR3YVGFfEpyFESummAta6sg/edit"", ""Sheet1!B:D""), 3, FALSE), ""Not Found"")"),"k ɔ r s ")</f>
        <v>k ɔ r s </v>
      </c>
    </row>
    <row r="1778">
      <c r="A1778" s="1" t="s">
        <v>1781</v>
      </c>
      <c r="B1778" s="1" t="s">
        <v>5</v>
      </c>
      <c r="C1778" s="2">
        <f>IFERROR(__xludf.DUMMYFUNCTION("IFERROR(VLOOKUP(A1778, IMPORTRANGE(""https://docs.google.com/spreadsheets/d/1AVX9GT0dgogEBStecCXMMQ29tWz3gBrtNB8yIromXbY/edit?gid=741673867"", ""out1g!A:B""), 2, FALSE), 0)"),24715.0)</f>
        <v>24715</v>
      </c>
      <c r="D1778" s="2" t="str">
        <f>IFERROR(__xludf.DUMMYFUNCTION("IFERROR(VLOOKUP(A1778, IMPORTRANGE(""https://docs.google.com/spreadsheets/d/1-3Vjw2Cyy-mry5gbC8ypIR3YVGFfEpyFESummAta6sg/edit"", ""Sheet1!B:D""), 2, FALSE), ""Not Found"")"),"maɪnd")</f>
        <v>maɪnd</v>
      </c>
      <c r="E1778" s="2" t="str">
        <f>IFERROR(__xludf.DUMMYFUNCTION("IFERROR(VLOOKUP(A1778, IMPORTRANGE(""https://docs.google.com/spreadsheets/d/1-3Vjw2Cyy-mry5gbC8ypIR3YVGFfEpyFESummAta6sg/edit"", ""Sheet1!B:D""), 3, FALSE), ""Not Found"")"),"m a ɪ n d ")</f>
        <v>m a ɪ n d </v>
      </c>
    </row>
    <row r="1779">
      <c r="A1779" s="1" t="s">
        <v>1782</v>
      </c>
      <c r="B1779" s="1" t="s">
        <v>5</v>
      </c>
      <c r="C1779" s="2">
        <f>IFERROR(__xludf.DUMMYFUNCTION("IFERROR(VLOOKUP(A1779, IMPORTRANGE(""https://docs.google.com/spreadsheets/d/1AVX9GT0dgogEBStecCXMMQ29tWz3gBrtNB8yIromXbY/edit?gid=741673867"", ""out1g!A:B""), 2, FALSE), 0)"),207.0)</f>
        <v>207</v>
      </c>
      <c r="D1779" s="2" t="str">
        <f>IFERROR(__xludf.DUMMYFUNCTION("IFERROR(VLOOKUP(A1779, IMPORTRANGE(""https://docs.google.com/spreadsheets/d/1-3Vjw2Cyy-mry5gbC8ypIR3YVGFfEpyFESummAta6sg/edit"", ""Sheet1!B:D""), 2, FALSE), ""Not Found"")"),"wækt")</f>
        <v>wækt</v>
      </c>
      <c r="E1779" s="2" t="str">
        <f>IFERROR(__xludf.DUMMYFUNCTION("IFERROR(VLOOKUP(A1779, IMPORTRANGE(""https://docs.google.com/spreadsheets/d/1-3Vjw2Cyy-mry5gbC8ypIR3YVGFfEpyFESummAta6sg/edit"", ""Sheet1!B:D""), 3, FALSE), ""Not Found"")"),"w æ k t ")</f>
        <v>w æ k t </v>
      </c>
    </row>
    <row r="1780">
      <c r="A1780" s="1" t="s">
        <v>1783</v>
      </c>
      <c r="B1780" s="1" t="s">
        <v>5</v>
      </c>
      <c r="C1780" s="2">
        <f>IFERROR(__xludf.DUMMYFUNCTION("IFERROR(VLOOKUP(A1780, IMPORTRANGE(""https://docs.google.com/spreadsheets/d/1AVX9GT0dgogEBStecCXMMQ29tWz3gBrtNB8yIromXbY/edit?gid=741673867"", ""out1g!A:B""), 2, FALSE), 0)"),134.0)</f>
        <v>134</v>
      </c>
      <c r="D1780" s="2" t="str">
        <f>IFERROR(__xludf.DUMMYFUNCTION("IFERROR(VLOOKUP(A1780, IMPORTRANGE(""https://docs.google.com/spreadsheets/d/1-3Vjw2Cyy-mry5gbC8ypIR3YVGFfEpyFESummAta6sg/edit"", ""Sheet1!B:D""), 2, FALSE), ""Not Found"")"),"fɛriz")</f>
        <v>fɛriz</v>
      </c>
      <c r="E1780" s="2" t="str">
        <f>IFERROR(__xludf.DUMMYFUNCTION("IFERROR(VLOOKUP(A1780, IMPORTRANGE(""https://docs.google.com/spreadsheets/d/1-3Vjw2Cyy-mry5gbC8ypIR3YVGFfEpyFESummAta6sg/edit"", ""Sheet1!B:D""), 3, FALSE), ""Not Found"")"),"f ɛ r i z ")</f>
        <v>f ɛ r i z </v>
      </c>
    </row>
    <row r="1781">
      <c r="A1781" s="1" t="s">
        <v>1784</v>
      </c>
      <c r="B1781" s="1" t="s">
        <v>5</v>
      </c>
      <c r="C1781" s="2">
        <f>IFERROR(__xludf.DUMMYFUNCTION("IFERROR(VLOOKUP(A1781, IMPORTRANGE(""https://docs.google.com/spreadsheets/d/1AVX9GT0dgogEBStecCXMMQ29tWz3gBrtNB8yIromXbY/edit?gid=741673867"", ""out1g!A:B""), 2, FALSE), 0)"),171.0)</f>
        <v>171</v>
      </c>
      <c r="D1781" s="2" t="str">
        <f>IFERROR(__xludf.DUMMYFUNCTION("IFERROR(VLOOKUP(A1781, IMPORTRANGE(""https://docs.google.com/spreadsheets/d/1-3Vjw2Cyy-mry5gbC8ypIR3YVGFfEpyFESummAta6sg/edit"", ""Sheet1!B:D""), 2, FALSE), ""Not Found"")"),"kɔʃəs")</f>
        <v>kɔʃəs</v>
      </c>
      <c r="E1781" s="2" t="str">
        <f>IFERROR(__xludf.DUMMYFUNCTION("IFERROR(VLOOKUP(A1781, IMPORTRANGE(""https://docs.google.com/spreadsheets/d/1-3Vjw2Cyy-mry5gbC8ypIR3YVGFfEpyFESummAta6sg/edit"", ""Sheet1!B:D""), 3, FALSE), ""Not Found"")"),"k ɔ ʃ ə s ")</f>
        <v>k ɔ ʃ ə s </v>
      </c>
    </row>
    <row r="1782">
      <c r="A1782" s="1" t="s">
        <v>1785</v>
      </c>
      <c r="B1782" s="1" t="s">
        <v>5</v>
      </c>
      <c r="C1782" s="2">
        <f>IFERROR(__xludf.DUMMYFUNCTION("IFERROR(VLOOKUP(A1782, IMPORTRANGE(""https://docs.google.com/spreadsheets/d/1AVX9GT0dgogEBStecCXMMQ29tWz3gBrtNB8yIromXbY/edit?gid=741673867"", ""out1g!A:B""), 2, FALSE), 0)"),162.0)</f>
        <v>162</v>
      </c>
      <c r="D1782" s="2" t="str">
        <f>IFERROR(__xludf.DUMMYFUNCTION("IFERROR(VLOOKUP(A1782, IMPORTRANGE(""https://docs.google.com/spreadsheets/d/1-3Vjw2Cyy-mry5gbC8ypIR3YVGFfEpyFESummAta6sg/edit"", ""Sheet1!B:D""), 2, FALSE), ""Not Found"")"),"meʤərz")</f>
        <v>meʤərz</v>
      </c>
      <c r="E1782" s="2" t="str">
        <f>IFERROR(__xludf.DUMMYFUNCTION("IFERROR(VLOOKUP(A1782, IMPORTRANGE(""https://docs.google.com/spreadsheets/d/1-3Vjw2Cyy-mry5gbC8ypIR3YVGFfEpyFESummAta6sg/edit"", ""Sheet1!B:D""), 3, FALSE), ""Not Found"")"),"m e ʤ ə r z ")</f>
        <v>m e ʤ ə r z </v>
      </c>
    </row>
    <row r="1783">
      <c r="A1783" s="1" t="s">
        <v>1786</v>
      </c>
      <c r="B1783" s="1" t="s">
        <v>5</v>
      </c>
      <c r="C1783" s="2">
        <f>IFERROR(__xludf.DUMMYFUNCTION("IFERROR(VLOOKUP(A1783, IMPORTRANGE(""https://docs.google.com/spreadsheets/d/1AVX9GT0dgogEBStecCXMMQ29tWz3gBrtNB8yIromXbY/edit?gid=741673867"", ""out1g!A:B""), 2, FALSE), 0)"),1010.0)</f>
        <v>1010</v>
      </c>
      <c r="D1783" s="2" t="str">
        <f>IFERROR(__xludf.DUMMYFUNCTION("IFERROR(VLOOKUP(A1783, IMPORTRANGE(""https://docs.google.com/spreadsheets/d/1-3Vjw2Cyy-mry5gbC8ypIR3YVGFfEpyFESummAta6sg/edit"", ""Sheet1!B:D""), 2, FALSE), ""Not Found"")"),"tɛli")</f>
        <v>tɛli</v>
      </c>
      <c r="E1783" s="2" t="str">
        <f>IFERROR(__xludf.DUMMYFUNCTION("IFERROR(VLOOKUP(A1783, IMPORTRANGE(""https://docs.google.com/spreadsheets/d/1-3Vjw2Cyy-mry5gbC8ypIR3YVGFfEpyFESummAta6sg/edit"", ""Sheet1!B:D""), 3, FALSE), ""Not Found"")"),"t ɛ l i ")</f>
        <v>t ɛ l i </v>
      </c>
    </row>
    <row r="1784">
      <c r="A1784" s="1" t="s">
        <v>1787</v>
      </c>
      <c r="B1784" s="1" t="s">
        <v>5</v>
      </c>
      <c r="C1784" s="2">
        <f>IFERROR(__xludf.DUMMYFUNCTION("IFERROR(VLOOKUP(A1784, IMPORTRANGE(""https://docs.google.com/spreadsheets/d/1AVX9GT0dgogEBStecCXMMQ29tWz3gBrtNB8yIromXbY/edit?gid=741673867"", ""out1g!A:B""), 2, FALSE), 0)"),1290.0)</f>
        <v>1290</v>
      </c>
      <c r="D1784" s="2" t="str">
        <f>IFERROR(__xludf.DUMMYFUNCTION("IFERROR(VLOOKUP(A1784, IMPORTRANGE(""https://docs.google.com/spreadsheets/d/1-3Vjw2Cyy-mry5gbC8ypIR3YVGFfEpyFESummAta6sg/edit"", ""Sheet1!B:D""), 2, FALSE), ""Not Found"")"),"ʤɛsi")</f>
        <v>ʤɛsi</v>
      </c>
      <c r="E1784" s="2" t="str">
        <f>IFERROR(__xludf.DUMMYFUNCTION("IFERROR(VLOOKUP(A1784, IMPORTRANGE(""https://docs.google.com/spreadsheets/d/1-3Vjw2Cyy-mry5gbC8ypIR3YVGFfEpyFESummAta6sg/edit"", ""Sheet1!B:D""), 3, FALSE), ""Not Found"")"),"ʤ ɛ s i ")</f>
        <v>ʤ ɛ s i </v>
      </c>
    </row>
    <row r="1785">
      <c r="A1785" s="1" t="s">
        <v>1788</v>
      </c>
      <c r="B1785" s="1" t="s">
        <v>5</v>
      </c>
      <c r="C1785" s="2">
        <f>IFERROR(__xludf.DUMMYFUNCTION("IFERROR(VLOOKUP(A1785, IMPORTRANGE(""https://docs.google.com/spreadsheets/d/1AVX9GT0dgogEBStecCXMMQ29tWz3gBrtNB8yIromXbY/edit?gid=741673867"", ""out1g!A:B""), 2, FALSE), 0)"),78.0)</f>
        <v>78</v>
      </c>
      <c r="D1785" s="2" t="str">
        <f>IFERROR(__xludf.DUMMYFUNCTION("IFERROR(VLOOKUP(A1785, IMPORTRANGE(""https://docs.google.com/spreadsheets/d/1-3Vjw2Cyy-mry5gbC8ypIR3YVGFfEpyFESummAta6sg/edit"", ""Sheet1!B:D""), 2, FALSE), ""Not Found"")"),"ʃægi")</f>
        <v>ʃægi</v>
      </c>
      <c r="E1785" s="2" t="str">
        <f>IFERROR(__xludf.DUMMYFUNCTION("IFERROR(VLOOKUP(A1785, IMPORTRANGE(""https://docs.google.com/spreadsheets/d/1-3Vjw2Cyy-mry5gbC8ypIR3YVGFfEpyFESummAta6sg/edit"", ""Sheet1!B:D""), 3, FALSE), ""Not Found"")"),"ʃ æ g i ")</f>
        <v>ʃ æ g i </v>
      </c>
    </row>
    <row r="1786">
      <c r="A1786" s="1" t="s">
        <v>1789</v>
      </c>
      <c r="B1786" s="1" t="s">
        <v>5</v>
      </c>
      <c r="C1786" s="2">
        <f>IFERROR(__xludf.DUMMYFUNCTION("IFERROR(VLOOKUP(A1786, IMPORTRANGE(""https://docs.google.com/spreadsheets/d/1AVX9GT0dgogEBStecCXMMQ29tWz3gBrtNB8yIromXbY/edit?gid=741673867"", ""out1g!A:B""), 2, FALSE), 0)"),47.0)</f>
        <v>47</v>
      </c>
      <c r="D1786" s="2" t="str">
        <f>IFERROR(__xludf.DUMMYFUNCTION("IFERROR(VLOOKUP(A1786, IMPORTRANGE(""https://docs.google.com/spreadsheets/d/1-3Vjw2Cyy-mry5gbC8ypIR3YVGFfEpyFESummAta6sg/edit"", ""Sheet1!B:D""), 2, FALSE), ""Not Found"")"),"skreps")</f>
        <v>skreps</v>
      </c>
      <c r="E1786" s="2" t="str">
        <f>IFERROR(__xludf.DUMMYFUNCTION("IFERROR(VLOOKUP(A1786, IMPORTRANGE(""https://docs.google.com/spreadsheets/d/1-3Vjw2Cyy-mry5gbC8ypIR3YVGFfEpyFESummAta6sg/edit"", ""Sheet1!B:D""), 3, FALSE), ""Not Found"")"),"s k r e p s ")</f>
        <v>s k r e p s </v>
      </c>
    </row>
    <row r="1787">
      <c r="A1787" s="1" t="s">
        <v>1790</v>
      </c>
      <c r="B1787" s="1" t="s">
        <v>5</v>
      </c>
      <c r="C1787" s="2">
        <f>IFERROR(__xludf.DUMMYFUNCTION("IFERROR(VLOOKUP(A1787, IMPORTRANGE(""https://docs.google.com/spreadsheets/d/1AVX9GT0dgogEBStecCXMMQ29tWz3gBrtNB8yIromXbY/edit?gid=741673867"", ""out1g!A:B""), 2, FALSE), 0)"),1777.0)</f>
        <v>1777</v>
      </c>
      <c r="D1787" s="2" t="str">
        <f>IFERROR(__xludf.DUMMYFUNCTION("IFERROR(VLOOKUP(A1787, IMPORTRANGE(""https://docs.google.com/spreadsheets/d/1-3Vjw2Cyy-mry5gbC8ypIR3YVGFfEpyFESummAta6sg/edit"", ""Sheet1!B:D""), 2, FALSE), ""Not Found"")"),"fænsi")</f>
        <v>fænsi</v>
      </c>
      <c r="E1787" s="2" t="str">
        <f>IFERROR(__xludf.DUMMYFUNCTION("IFERROR(VLOOKUP(A1787, IMPORTRANGE(""https://docs.google.com/spreadsheets/d/1-3Vjw2Cyy-mry5gbC8ypIR3YVGFfEpyFESummAta6sg/edit"", ""Sheet1!B:D""), 3, FALSE), ""Not Found"")"),"f æ n s i ")</f>
        <v>f æ n s i </v>
      </c>
    </row>
    <row r="1788">
      <c r="A1788" s="1" t="s">
        <v>1791</v>
      </c>
      <c r="B1788" s="1" t="s">
        <v>5</v>
      </c>
      <c r="C1788" s="2">
        <f>IFERROR(__xludf.DUMMYFUNCTION("IFERROR(VLOOKUP(A1788, IMPORTRANGE(""https://docs.google.com/spreadsheets/d/1AVX9GT0dgogEBStecCXMMQ29tWz3gBrtNB8yIromXbY/edit?gid=741673867"", ""out1g!A:B""), 2, FALSE), 0)"),632.0)</f>
        <v>632</v>
      </c>
      <c r="D1788" s="2" t="str">
        <f>IFERROR(__xludf.DUMMYFUNCTION("IFERROR(VLOOKUP(A1788, IMPORTRANGE(""https://docs.google.com/spreadsheets/d/1-3Vjw2Cyy-mry5gbC8ypIR3YVGFfEpyFESummAta6sg/edit"", ""Sheet1!B:D""), 2, FALSE), ""Not Found"")"),"selər")</f>
        <v>selər</v>
      </c>
      <c r="E1788" s="2" t="str">
        <f>IFERROR(__xludf.DUMMYFUNCTION("IFERROR(VLOOKUP(A1788, IMPORTRANGE(""https://docs.google.com/spreadsheets/d/1-3Vjw2Cyy-mry5gbC8ypIR3YVGFfEpyFESummAta6sg/edit"", ""Sheet1!B:D""), 3, FALSE), ""Not Found"")"),"s e l ə r ")</f>
        <v>s e l ə r </v>
      </c>
    </row>
    <row r="1789">
      <c r="A1789" s="1" t="s">
        <v>1792</v>
      </c>
      <c r="B1789" s="1" t="s">
        <v>5</v>
      </c>
      <c r="C1789" s="2">
        <f>IFERROR(__xludf.DUMMYFUNCTION("IFERROR(VLOOKUP(A1789, IMPORTRANGE(""https://docs.google.com/spreadsheets/d/1AVX9GT0dgogEBStecCXMMQ29tWz3gBrtNB8yIromXbY/edit?gid=741673867"", ""out1g!A:B""), 2, FALSE), 0)"),80.0)</f>
        <v>80</v>
      </c>
      <c r="D1789" s="2" t="str">
        <f>IFERROR(__xludf.DUMMYFUNCTION("IFERROR(VLOOKUP(A1789, IMPORTRANGE(""https://docs.google.com/spreadsheets/d/1-3Vjw2Cyy-mry5gbC8ypIR3YVGFfEpyFESummAta6sg/edit"", ""Sheet1!B:D""), 2, FALSE), ""Not Found"")"),"gloʊt")</f>
        <v>gloʊt</v>
      </c>
      <c r="E1789" s="2" t="str">
        <f>IFERROR(__xludf.DUMMYFUNCTION("IFERROR(VLOOKUP(A1789, IMPORTRANGE(""https://docs.google.com/spreadsheets/d/1-3Vjw2Cyy-mry5gbC8ypIR3YVGFfEpyFESummAta6sg/edit"", ""Sheet1!B:D""), 3, FALSE), ""Not Found"")"),"g l o ʊ t ")</f>
        <v>g l o ʊ t </v>
      </c>
    </row>
    <row r="1790">
      <c r="A1790" s="1" t="s">
        <v>1793</v>
      </c>
      <c r="B1790" s="1" t="s">
        <v>5</v>
      </c>
      <c r="C1790" s="2">
        <f>IFERROR(__xludf.DUMMYFUNCTION("IFERROR(VLOOKUP(A1790, IMPORTRANGE(""https://docs.google.com/spreadsheets/d/1AVX9GT0dgogEBStecCXMMQ29tWz3gBrtNB8yIromXbY/edit?gid=741673867"", ""out1g!A:B""), 2, FALSE), 0)"),24.0)</f>
        <v>24</v>
      </c>
      <c r="D1790" s="2" t="str">
        <f>IFERROR(__xludf.DUMMYFUNCTION("IFERROR(VLOOKUP(A1790, IMPORTRANGE(""https://docs.google.com/spreadsheets/d/1-3Vjw2Cyy-mry5gbC8ypIR3YVGFfEpyFESummAta6sg/edit"", ""Sheet1!B:D""), 2, FALSE), ""Not Found"")"),"aɪdəlz")</f>
        <v>aɪdəlz</v>
      </c>
      <c r="E1790" s="2" t="str">
        <f>IFERROR(__xludf.DUMMYFUNCTION("IFERROR(VLOOKUP(A1790, IMPORTRANGE(""https://docs.google.com/spreadsheets/d/1-3Vjw2Cyy-mry5gbC8ypIR3YVGFfEpyFESummAta6sg/edit"", ""Sheet1!B:D""), 3, FALSE), ""Not Found"")"),"a ɪ d ə l z ")</f>
        <v>a ɪ d ə l z </v>
      </c>
    </row>
    <row r="1791">
      <c r="A1791" s="1" t="s">
        <v>1794</v>
      </c>
      <c r="B1791" s="1" t="s">
        <v>5</v>
      </c>
      <c r="C1791" s="2">
        <f>IFERROR(__xludf.DUMMYFUNCTION("IFERROR(VLOOKUP(A1791, IMPORTRANGE(""https://docs.google.com/spreadsheets/d/1AVX9GT0dgogEBStecCXMMQ29tWz3gBrtNB8yIromXbY/edit?gid=741673867"", ""out1g!A:B""), 2, FALSE), 0)"),95.0)</f>
        <v>95</v>
      </c>
      <c r="D1791" s="2" t="str">
        <f>IFERROR(__xludf.DUMMYFUNCTION("IFERROR(VLOOKUP(A1791, IMPORTRANGE(""https://docs.google.com/spreadsheets/d/1-3Vjw2Cyy-mry5gbC8ypIR3YVGFfEpyFESummAta6sg/edit"", ""Sheet1!B:D""), 2, FALSE), ""Not Found"")"),"hiθ")</f>
        <v>hiθ</v>
      </c>
      <c r="E1791" s="2" t="str">
        <f>IFERROR(__xludf.DUMMYFUNCTION("IFERROR(VLOOKUP(A1791, IMPORTRANGE(""https://docs.google.com/spreadsheets/d/1-3Vjw2Cyy-mry5gbC8ypIR3YVGFfEpyFESummAta6sg/edit"", ""Sheet1!B:D""), 3, FALSE), ""Not Found"")"),"h i θ ")</f>
        <v>h i θ </v>
      </c>
    </row>
    <row r="1792">
      <c r="A1792" s="1" t="s">
        <v>1795</v>
      </c>
      <c r="B1792" s="1" t="s">
        <v>5</v>
      </c>
      <c r="C1792" s="2">
        <f>IFERROR(__xludf.DUMMYFUNCTION("IFERROR(VLOOKUP(A1792, IMPORTRANGE(""https://docs.google.com/spreadsheets/d/1AVX9GT0dgogEBStecCXMMQ29tWz3gBrtNB8yIromXbY/edit?gid=741673867"", ""out1g!A:B""), 2, FALSE), 0)"),383.0)</f>
        <v>383</v>
      </c>
      <c r="D1792" s="2" t="str">
        <f>IFERROR(__xludf.DUMMYFUNCTION("IFERROR(VLOOKUP(A1792, IMPORTRANGE(""https://docs.google.com/spreadsheets/d/1-3Vjw2Cyy-mry5gbC8ypIR3YVGFfEpyFESummAta6sg/edit"", ""Sheet1!B:D""), 2, FALSE), ""Not Found"")"),"ɔfərz")</f>
        <v>ɔfərz</v>
      </c>
      <c r="E1792" s="2" t="str">
        <f>IFERROR(__xludf.DUMMYFUNCTION("IFERROR(VLOOKUP(A1792, IMPORTRANGE(""https://docs.google.com/spreadsheets/d/1-3Vjw2Cyy-mry5gbC8ypIR3YVGFfEpyFESummAta6sg/edit"", ""Sheet1!B:D""), 3, FALSE), ""Not Found"")"),"ɔ f ə r z ")</f>
        <v>ɔ f ə r z </v>
      </c>
    </row>
    <row r="1793">
      <c r="A1793" s="1" t="s">
        <v>1796</v>
      </c>
      <c r="B1793" s="1" t="s">
        <v>5</v>
      </c>
      <c r="C1793" s="2">
        <f>IFERROR(__xludf.DUMMYFUNCTION("IFERROR(VLOOKUP(A1793, IMPORTRANGE(""https://docs.google.com/spreadsheets/d/1AVX9GT0dgogEBStecCXMMQ29tWz3gBrtNB8yIromXbY/edit?gid=741673867"", ""out1g!A:B""), 2, FALSE), 0)"),77.0)</f>
        <v>77</v>
      </c>
      <c r="D1793" s="2" t="str">
        <f>IFERROR(__xludf.DUMMYFUNCTION("IFERROR(VLOOKUP(A1793, IMPORTRANGE(""https://docs.google.com/spreadsheets/d/1-3Vjw2Cyy-mry5gbC8ypIR3YVGFfEpyFESummAta6sg/edit"", ""Sheet1!B:D""), 2, FALSE), ""Not Found"")"),"gɪrz")</f>
        <v>gɪrz</v>
      </c>
      <c r="E1793" s="2" t="str">
        <f>IFERROR(__xludf.DUMMYFUNCTION("IFERROR(VLOOKUP(A1793, IMPORTRANGE(""https://docs.google.com/spreadsheets/d/1-3Vjw2Cyy-mry5gbC8ypIR3YVGFfEpyFESummAta6sg/edit"", ""Sheet1!B:D""), 3, FALSE), ""Not Found"")"),"g ɪ r z ")</f>
        <v>g ɪ r z </v>
      </c>
    </row>
    <row r="1794">
      <c r="A1794" s="1" t="s">
        <v>1797</v>
      </c>
      <c r="B1794" s="1" t="s">
        <v>5</v>
      </c>
      <c r="C1794" s="2">
        <f>IFERROR(__xludf.DUMMYFUNCTION("IFERROR(VLOOKUP(A1794, IMPORTRANGE(""https://docs.google.com/spreadsheets/d/1AVX9GT0dgogEBStecCXMMQ29tWz3gBrtNB8yIromXbY/edit?gid=741673867"", ""out1g!A:B""), 2, FALSE), 0)"),252.0)</f>
        <v>252</v>
      </c>
      <c r="D1794" s="2" t="str">
        <f>IFERROR(__xludf.DUMMYFUNCTION("IFERROR(VLOOKUP(A1794, IMPORTRANGE(""https://docs.google.com/spreadsheets/d/1-3Vjw2Cyy-mry5gbC8ypIR3YVGFfEpyFESummAta6sg/edit"", ""Sheet1!B:D""), 2, FALSE), ""Not Found"")"),"soʊl")</f>
        <v>soʊl</v>
      </c>
      <c r="E1794" s="2" t="str">
        <f>IFERROR(__xludf.DUMMYFUNCTION("IFERROR(VLOOKUP(A1794, IMPORTRANGE(""https://docs.google.com/spreadsheets/d/1-3Vjw2Cyy-mry5gbC8ypIR3YVGFfEpyFESummAta6sg/edit"", ""Sheet1!B:D""), 3, FALSE), ""Not Found"")"),"s o ʊ l ")</f>
        <v>s o ʊ l </v>
      </c>
    </row>
    <row r="1795">
      <c r="A1795" s="1" t="s">
        <v>1798</v>
      </c>
      <c r="B1795" s="1" t="s">
        <v>5</v>
      </c>
      <c r="C1795" s="2">
        <f>IFERROR(__xludf.DUMMYFUNCTION("IFERROR(VLOOKUP(A1795, IMPORTRANGE(""https://docs.google.com/spreadsheets/d/1AVX9GT0dgogEBStecCXMMQ29tWz3gBrtNB8yIromXbY/edit?gid=741673867"", ""out1g!A:B""), 2, FALSE), 0)"),95.0)</f>
        <v>95</v>
      </c>
      <c r="D1795" s="2" t="str">
        <f>IFERROR(__xludf.DUMMYFUNCTION("IFERROR(VLOOKUP(A1795, IMPORTRANGE(""https://docs.google.com/spreadsheets/d/1-3Vjw2Cyy-mry5gbC8ypIR3YVGFfEpyFESummAta6sg/edit"", ""Sheet1!B:D""), 2, FALSE), ""Not Found"")"),"krets")</f>
        <v>krets</v>
      </c>
      <c r="E1795" s="2" t="str">
        <f>IFERROR(__xludf.DUMMYFUNCTION("IFERROR(VLOOKUP(A1795, IMPORTRANGE(""https://docs.google.com/spreadsheets/d/1-3Vjw2Cyy-mry5gbC8ypIR3YVGFfEpyFESummAta6sg/edit"", ""Sheet1!B:D""), 3, FALSE), ""Not Found"")"),"k r e t s ")</f>
        <v>k r e t s </v>
      </c>
    </row>
    <row r="1796">
      <c r="A1796" s="1" t="s">
        <v>1799</v>
      </c>
      <c r="B1796" s="1" t="s">
        <v>5</v>
      </c>
      <c r="C1796" s="2">
        <f>IFERROR(__xludf.DUMMYFUNCTION("IFERROR(VLOOKUP(A1796, IMPORTRANGE(""https://docs.google.com/spreadsheets/d/1AVX9GT0dgogEBStecCXMMQ29tWz3gBrtNB8yIromXbY/edit?gid=741673867"", ""out1g!A:B""), 2, FALSE), 0)"),974.0)</f>
        <v>974</v>
      </c>
      <c r="D1796" s="2" t="str">
        <f>IFERROR(__xludf.DUMMYFUNCTION("IFERROR(VLOOKUP(A1796, IMPORTRANGE(""https://docs.google.com/spreadsheets/d/1-3Vjw2Cyy-mry5gbC8ypIR3YVGFfEpyFESummAta6sg/edit"", ""Sheet1!B:D""), 2, FALSE), ""Not Found"")"),"iz")</f>
        <v>iz</v>
      </c>
      <c r="E1796" s="2" t="str">
        <f>IFERROR(__xludf.DUMMYFUNCTION("IFERROR(VLOOKUP(A1796, IMPORTRANGE(""https://docs.google.com/spreadsheets/d/1-3Vjw2Cyy-mry5gbC8ypIR3YVGFfEpyFESummAta6sg/edit"", ""Sheet1!B:D""), 3, FALSE), ""Not Found"")"),"i z ")</f>
        <v>i z </v>
      </c>
    </row>
    <row r="1797">
      <c r="A1797" s="1" t="s">
        <v>1800</v>
      </c>
      <c r="B1797" s="1" t="s">
        <v>5</v>
      </c>
      <c r="C1797" s="2">
        <f>IFERROR(__xludf.DUMMYFUNCTION("IFERROR(VLOOKUP(A1797, IMPORTRANGE(""https://docs.google.com/spreadsheets/d/1AVX9GT0dgogEBStecCXMMQ29tWz3gBrtNB8yIromXbY/edit?gid=741673867"", ""out1g!A:B""), 2, FALSE), 0)"),226.0)</f>
        <v>226</v>
      </c>
      <c r="D1797" s="2" t="str">
        <f>IFERROR(__xludf.DUMMYFUNCTION("IFERROR(VLOOKUP(A1797, IMPORTRANGE(""https://docs.google.com/spreadsheets/d/1-3Vjw2Cyy-mry5gbC8ypIR3YVGFfEpyFESummAta6sg/edit"", ""Sheet1!B:D""), 2, FALSE), ""Not Found"")"),"grəʤ")</f>
        <v>grəʤ</v>
      </c>
      <c r="E1797" s="2" t="str">
        <f>IFERROR(__xludf.DUMMYFUNCTION("IFERROR(VLOOKUP(A1797, IMPORTRANGE(""https://docs.google.com/spreadsheets/d/1-3Vjw2Cyy-mry5gbC8ypIR3YVGFfEpyFESummAta6sg/edit"", ""Sheet1!B:D""), 3, FALSE), ""Not Found"")"),"g r ə ʤ ")</f>
        <v>g r ə ʤ </v>
      </c>
    </row>
    <row r="1798">
      <c r="A1798" s="1" t="s">
        <v>1801</v>
      </c>
      <c r="B1798" s="1" t="s">
        <v>5</v>
      </c>
      <c r="C1798" s="2">
        <f>IFERROR(__xludf.DUMMYFUNCTION("IFERROR(VLOOKUP(A1798, IMPORTRANGE(""https://docs.google.com/spreadsheets/d/1AVX9GT0dgogEBStecCXMMQ29tWz3gBrtNB8yIromXbY/edit?gid=741673867"", ""out1g!A:B""), 2, FALSE), 0)"),766.0)</f>
        <v>766</v>
      </c>
      <c r="D1798" s="2" t="str">
        <f>IFERROR(__xludf.DUMMYFUNCTION("IFERROR(VLOOKUP(A1798, IMPORTRANGE(""https://docs.google.com/spreadsheets/d/1-3Vjw2Cyy-mry5gbC8ypIR3YVGFfEpyFESummAta6sg/edit"", ""Sheet1!B:D""), 2, FALSE), ""Not Found"")"),"bɛgɪŋ")</f>
        <v>bɛgɪŋ</v>
      </c>
      <c r="E1798" s="2" t="str">
        <f>IFERROR(__xludf.DUMMYFUNCTION("IFERROR(VLOOKUP(A1798, IMPORTRANGE(""https://docs.google.com/spreadsheets/d/1-3Vjw2Cyy-mry5gbC8ypIR3YVGFfEpyFESummAta6sg/edit"", ""Sheet1!B:D""), 3, FALSE), ""Not Found"")"),"b ɛ g ɪ ŋ ")</f>
        <v>b ɛ g ɪ ŋ </v>
      </c>
    </row>
    <row r="1799">
      <c r="A1799" s="1" t="s">
        <v>1802</v>
      </c>
      <c r="B1799" s="1" t="s">
        <v>5</v>
      </c>
      <c r="C1799" s="2">
        <f>IFERROR(__xludf.DUMMYFUNCTION("IFERROR(VLOOKUP(A1799, IMPORTRANGE(""https://docs.google.com/spreadsheets/d/1AVX9GT0dgogEBStecCXMMQ29tWz3gBrtNB8yIromXbY/edit?gid=741673867"", ""out1g!A:B""), 2, FALSE), 0)"),93.0)</f>
        <v>93</v>
      </c>
      <c r="D1799" s="2" t="str">
        <f>IFERROR(__xludf.DUMMYFUNCTION("IFERROR(VLOOKUP(A1799, IMPORTRANGE(""https://docs.google.com/spreadsheets/d/1-3Vjw2Cyy-mry5gbC8ypIR3YVGFfEpyFESummAta6sg/edit"", ""Sheet1!B:D""), 2, FALSE), ""Not Found"")"),"pəti")</f>
        <v>pəti</v>
      </c>
      <c r="E1799" s="2" t="str">
        <f>IFERROR(__xludf.DUMMYFUNCTION("IFERROR(VLOOKUP(A1799, IMPORTRANGE(""https://docs.google.com/spreadsheets/d/1-3Vjw2Cyy-mry5gbC8ypIR3YVGFfEpyFESummAta6sg/edit"", ""Sheet1!B:D""), 3, FALSE), ""Not Found"")"),"p ə t i ")</f>
        <v>p ə t i </v>
      </c>
    </row>
    <row r="1800">
      <c r="A1800" s="1" t="s">
        <v>1803</v>
      </c>
      <c r="B1800" s="1" t="s">
        <v>5</v>
      </c>
      <c r="C1800" s="2">
        <f>IFERROR(__xludf.DUMMYFUNCTION("IFERROR(VLOOKUP(A1800, IMPORTRANGE(""https://docs.google.com/spreadsheets/d/1AVX9GT0dgogEBStecCXMMQ29tWz3gBrtNB8yIromXbY/edit?gid=741673867"", ""out1g!A:B""), 2, FALSE), 0)"),2670.0)</f>
        <v>2670</v>
      </c>
      <c r="D1800" s="2" t="str">
        <f>IFERROR(__xludf.DUMMYFUNCTION("IFERROR(VLOOKUP(A1800, IMPORTRANGE(""https://docs.google.com/spreadsheets/d/1-3Vjw2Cyy-mry5gbC8ypIR3YVGFfEpyFESummAta6sg/edit"", ""Sheet1!B:D""), 2, FALSE), ""Not Found"")"),"lɑkt")</f>
        <v>lɑkt</v>
      </c>
      <c r="E1800" s="2" t="str">
        <f>IFERROR(__xludf.DUMMYFUNCTION("IFERROR(VLOOKUP(A1800, IMPORTRANGE(""https://docs.google.com/spreadsheets/d/1-3Vjw2Cyy-mry5gbC8ypIR3YVGFfEpyFESummAta6sg/edit"", ""Sheet1!B:D""), 3, FALSE), ""Not Found"")"),"l ɑ k t ")</f>
        <v>l ɑ k t </v>
      </c>
    </row>
    <row r="1801">
      <c r="A1801" s="1" t="s">
        <v>1804</v>
      </c>
      <c r="B1801" s="1" t="s">
        <v>5</v>
      </c>
      <c r="C1801" s="2">
        <f>IFERROR(__xludf.DUMMYFUNCTION("IFERROR(VLOOKUP(A1801, IMPORTRANGE(""https://docs.google.com/spreadsheets/d/1AVX9GT0dgogEBStecCXMMQ29tWz3gBrtNB8yIromXbY/edit?gid=741673867"", ""out1g!A:B""), 2, FALSE), 0)"),26.0)</f>
        <v>26</v>
      </c>
      <c r="D1801" s="2" t="str">
        <f>IFERROR(__xludf.DUMMYFUNCTION("IFERROR(VLOOKUP(A1801, IMPORTRANGE(""https://docs.google.com/spreadsheets/d/1-3Vjw2Cyy-mry5gbC8ypIR3YVGFfEpyFESummAta6sg/edit"", ""Sheet1!B:D""), 2, FALSE), ""Not Found"")"),"wɔlər")</f>
        <v>wɔlər</v>
      </c>
      <c r="E1801" s="2" t="str">
        <f>IFERROR(__xludf.DUMMYFUNCTION("IFERROR(VLOOKUP(A1801, IMPORTRANGE(""https://docs.google.com/spreadsheets/d/1-3Vjw2Cyy-mry5gbC8ypIR3YVGFfEpyFESummAta6sg/edit"", ""Sheet1!B:D""), 3, FALSE), ""Not Found"")"),"w ɔ l ə r ")</f>
        <v>w ɔ l ə r </v>
      </c>
    </row>
    <row r="1802">
      <c r="A1802" s="1" t="s">
        <v>1805</v>
      </c>
      <c r="B1802" s="1" t="s">
        <v>5</v>
      </c>
      <c r="C1802" s="2">
        <f>IFERROR(__xludf.DUMMYFUNCTION("IFERROR(VLOOKUP(A1802, IMPORTRANGE(""https://docs.google.com/spreadsheets/d/1AVX9GT0dgogEBStecCXMMQ29tWz3gBrtNB8yIromXbY/edit?gid=741673867"", ""out1g!A:B""), 2, FALSE), 0)"),46.0)</f>
        <v>46</v>
      </c>
      <c r="D1802" s="2" t="str">
        <f>IFERROR(__xludf.DUMMYFUNCTION("IFERROR(VLOOKUP(A1802, IMPORTRANGE(""https://docs.google.com/spreadsheets/d/1-3Vjw2Cyy-mry5gbC8ypIR3YVGFfEpyFESummAta6sg/edit"", ""Sheet1!B:D""), 2, FALSE), ""Not Found"")"),"sɔɪld")</f>
        <v>sɔɪld</v>
      </c>
      <c r="E1802" s="2" t="str">
        <f>IFERROR(__xludf.DUMMYFUNCTION("IFERROR(VLOOKUP(A1802, IMPORTRANGE(""https://docs.google.com/spreadsheets/d/1-3Vjw2Cyy-mry5gbC8ypIR3YVGFfEpyFESummAta6sg/edit"", ""Sheet1!B:D""), 3, FALSE), ""Not Found"")"),"s ɔ ɪ l d ")</f>
        <v>s ɔ ɪ l d </v>
      </c>
    </row>
    <row r="1803">
      <c r="A1803" s="1" t="s">
        <v>1806</v>
      </c>
      <c r="B1803" s="1" t="s">
        <v>5</v>
      </c>
      <c r="C1803" s="2">
        <f>IFERROR(__xludf.DUMMYFUNCTION("IFERROR(VLOOKUP(A1803, IMPORTRANGE(""https://docs.google.com/spreadsheets/d/1AVX9GT0dgogEBStecCXMMQ29tWz3gBrtNB8yIromXbY/edit?gid=741673867"", ""out1g!A:B""), 2, FALSE), 0)"),754.0)</f>
        <v>754</v>
      </c>
      <c r="D1803" s="2" t="str">
        <f>IFERROR(__xludf.DUMMYFUNCTION("IFERROR(VLOOKUP(A1803, IMPORTRANGE(""https://docs.google.com/spreadsheets/d/1-3Vjw2Cyy-mry5gbC8ypIR3YVGFfEpyFESummAta6sg/edit"", ""Sheet1!B:D""), 2, FALSE), ""Not Found"")"),"soʊlz")</f>
        <v>soʊlz</v>
      </c>
      <c r="E1803" s="2" t="str">
        <f>IFERROR(__xludf.DUMMYFUNCTION("IFERROR(VLOOKUP(A1803, IMPORTRANGE(""https://docs.google.com/spreadsheets/d/1-3Vjw2Cyy-mry5gbC8ypIR3YVGFfEpyFESummAta6sg/edit"", ""Sheet1!B:D""), 3, FALSE), ""Not Found"")"),"s o ʊ l z ")</f>
        <v>s o ʊ l z </v>
      </c>
    </row>
    <row r="1804">
      <c r="A1804" s="1" t="s">
        <v>1807</v>
      </c>
      <c r="B1804" s="1" t="s">
        <v>5</v>
      </c>
      <c r="C1804" s="2">
        <f>IFERROR(__xludf.DUMMYFUNCTION("IFERROR(VLOOKUP(A1804, IMPORTRANGE(""https://docs.google.com/spreadsheets/d/1AVX9GT0dgogEBStecCXMMQ29tWz3gBrtNB8yIromXbY/edit?gid=741673867"", ""out1g!A:B""), 2, FALSE), 0)"),342.0)</f>
        <v>342</v>
      </c>
      <c r="D1804" s="2" t="str">
        <f>IFERROR(__xludf.DUMMYFUNCTION("IFERROR(VLOOKUP(A1804, IMPORTRANGE(""https://docs.google.com/spreadsheets/d/1-3Vjw2Cyy-mry5gbC8ypIR3YVGFfEpyFESummAta6sg/edit"", ""Sheet1!B:D""), 2, FALSE), ""Not Found"")"),"lɑʤɪk")</f>
        <v>lɑʤɪk</v>
      </c>
      <c r="E1804" s="2" t="str">
        <f>IFERROR(__xludf.DUMMYFUNCTION("IFERROR(VLOOKUP(A1804, IMPORTRANGE(""https://docs.google.com/spreadsheets/d/1-3Vjw2Cyy-mry5gbC8ypIR3YVGFfEpyFESummAta6sg/edit"", ""Sheet1!B:D""), 3, FALSE), ""Not Found"")"),"l ɑ ʤ ɪ k ")</f>
        <v>l ɑ ʤ ɪ k </v>
      </c>
    </row>
    <row r="1805">
      <c r="A1805" s="1" t="s">
        <v>1808</v>
      </c>
      <c r="B1805" s="1" t="s">
        <v>5</v>
      </c>
      <c r="C1805" s="2">
        <f>IFERROR(__xludf.DUMMYFUNCTION("IFERROR(VLOOKUP(A1805, IMPORTRANGE(""https://docs.google.com/spreadsheets/d/1AVX9GT0dgogEBStecCXMMQ29tWz3gBrtNB8yIromXbY/edit?gid=741673867"", ""out1g!A:B""), 2, FALSE), 0)"),23153.0)</f>
        <v>23153</v>
      </c>
      <c r="D1805" s="2" t="str">
        <f>IFERROR(__xludf.DUMMYFUNCTION("IFERROR(VLOOKUP(A1805, IMPORTRANGE(""https://docs.google.com/spreadsheets/d/1-3Vjw2Cyy-mry5gbC8ypIR3YVGFfEpyFESummAta6sg/edit"", ""Sheet1!B:D""), 2, FALSE), ""Not Found"")"),"gɛs")</f>
        <v>gɛs</v>
      </c>
      <c r="E1805" s="2" t="str">
        <f>IFERROR(__xludf.DUMMYFUNCTION("IFERROR(VLOOKUP(A1805, IMPORTRANGE(""https://docs.google.com/spreadsheets/d/1-3Vjw2Cyy-mry5gbC8ypIR3YVGFfEpyFESummAta6sg/edit"", ""Sheet1!B:D""), 3, FALSE), ""Not Found"")"),"g ɛ s ")</f>
        <v>g ɛ s </v>
      </c>
    </row>
    <row r="1806">
      <c r="A1806" s="1" t="s">
        <v>1809</v>
      </c>
      <c r="B1806" s="1" t="s">
        <v>5</v>
      </c>
      <c r="C1806" s="2">
        <f>IFERROR(__xludf.DUMMYFUNCTION("IFERROR(VLOOKUP(A1806, IMPORTRANGE(""https://docs.google.com/spreadsheets/d/1AVX9GT0dgogEBStecCXMMQ29tWz3gBrtNB8yIromXbY/edit?gid=741673867"", ""out1g!A:B""), 2, FALSE), 0)"),3288.0)</f>
        <v>3288</v>
      </c>
      <c r="D1806" s="2" t="str">
        <f>IFERROR(__xludf.DUMMYFUNCTION("IFERROR(VLOOKUP(A1806, IMPORTRANGE(""https://docs.google.com/spreadsheets/d/1-3Vjw2Cyy-mry5gbC8ypIR3YVGFfEpyFESummAta6sg/edit"", ""Sheet1!B:D""), 2, FALSE), ""Not Found"")"),"saʊθ")</f>
        <v>saʊθ</v>
      </c>
      <c r="E1806" s="2" t="str">
        <f>IFERROR(__xludf.DUMMYFUNCTION("IFERROR(VLOOKUP(A1806, IMPORTRANGE(""https://docs.google.com/spreadsheets/d/1-3Vjw2Cyy-mry5gbC8ypIR3YVGFfEpyFESummAta6sg/edit"", ""Sheet1!B:D""), 3, FALSE), ""Not Found"")"),"s a ʊ θ ")</f>
        <v>s a ʊ θ </v>
      </c>
    </row>
    <row r="1807">
      <c r="A1807" s="1" t="s">
        <v>1810</v>
      </c>
      <c r="B1807" s="1" t="s">
        <v>5</v>
      </c>
      <c r="C1807" s="2">
        <f>IFERROR(__xludf.DUMMYFUNCTION("IFERROR(VLOOKUP(A1807, IMPORTRANGE(""https://docs.google.com/spreadsheets/d/1AVX9GT0dgogEBStecCXMMQ29tWz3gBrtNB8yIromXbY/edit?gid=741673867"", ""out1g!A:B""), 2, FALSE), 0)"),759.0)</f>
        <v>759</v>
      </c>
      <c r="D1807" s="2" t="str">
        <f>IFERROR(__xludf.DUMMYFUNCTION("IFERROR(VLOOKUP(A1807, IMPORTRANGE(""https://docs.google.com/spreadsheets/d/1-3Vjw2Cyy-mry5gbC8ypIR3YVGFfEpyFESummAta6sg/edit"", ""Sheet1!B:D""), 2, FALSE), ""Not Found"")"),"dɪgri")</f>
        <v>dɪgri</v>
      </c>
      <c r="E1807" s="2" t="str">
        <f>IFERROR(__xludf.DUMMYFUNCTION("IFERROR(VLOOKUP(A1807, IMPORTRANGE(""https://docs.google.com/spreadsheets/d/1-3Vjw2Cyy-mry5gbC8ypIR3YVGFfEpyFESummAta6sg/edit"", ""Sheet1!B:D""), 3, FALSE), ""Not Found"")"),"d ɪ g r i ")</f>
        <v>d ɪ g r i </v>
      </c>
    </row>
    <row r="1808">
      <c r="A1808" s="1" t="s">
        <v>1811</v>
      </c>
      <c r="B1808" s="1" t="s">
        <v>5</v>
      </c>
      <c r="C1808" s="2">
        <f>IFERROR(__xludf.DUMMYFUNCTION("IFERROR(VLOOKUP(A1808, IMPORTRANGE(""https://docs.google.com/spreadsheets/d/1AVX9GT0dgogEBStecCXMMQ29tWz3gBrtNB8yIromXbY/edit?gid=741673867"", ""out1g!A:B""), 2, FALSE), 0)"),68.0)</f>
        <v>68</v>
      </c>
      <c r="D1808" s="2" t="str">
        <f>IFERROR(__xludf.DUMMYFUNCTION("IFERROR(VLOOKUP(A1808, IMPORTRANGE(""https://docs.google.com/spreadsheets/d/1-3Vjw2Cyy-mry5gbC8ypIR3YVGFfEpyFESummAta6sg/edit"", ""Sheet1!B:D""), 2, FALSE), ""Not Found"")"),"laʊ")</f>
        <v>laʊ</v>
      </c>
      <c r="E1808" s="2" t="str">
        <f>IFERROR(__xludf.DUMMYFUNCTION("IFERROR(VLOOKUP(A1808, IMPORTRANGE(""https://docs.google.com/spreadsheets/d/1-3Vjw2Cyy-mry5gbC8ypIR3YVGFfEpyFESummAta6sg/edit"", ""Sheet1!B:D""), 3, FALSE), ""Not Found"")"),"l a ʊ ")</f>
        <v>l a ʊ </v>
      </c>
    </row>
    <row r="1809">
      <c r="A1809" s="1" t="s">
        <v>1812</v>
      </c>
      <c r="B1809" s="1" t="s">
        <v>5</v>
      </c>
      <c r="C1809" s="2">
        <f>IFERROR(__xludf.DUMMYFUNCTION("IFERROR(VLOOKUP(A1809, IMPORTRANGE(""https://docs.google.com/spreadsheets/d/1AVX9GT0dgogEBStecCXMMQ29tWz3gBrtNB8yIromXbY/edit?gid=741673867"", ""out1g!A:B""), 2, FALSE), 0)"),284.0)</f>
        <v>284</v>
      </c>
      <c r="D1809" s="2" t="str">
        <f>IFERROR(__xludf.DUMMYFUNCTION("IFERROR(VLOOKUP(A1809, IMPORTRANGE(""https://docs.google.com/spreadsheets/d/1-3Vjw2Cyy-mry5gbC8ypIR3YVGFfEpyFESummAta6sg/edit"", ""Sheet1!B:D""), 2, FALSE), ""Not Found"")"),"rɪliv")</f>
        <v>rɪliv</v>
      </c>
      <c r="E1809" s="2" t="str">
        <f>IFERROR(__xludf.DUMMYFUNCTION("IFERROR(VLOOKUP(A1809, IMPORTRANGE(""https://docs.google.com/spreadsheets/d/1-3Vjw2Cyy-mry5gbC8ypIR3YVGFfEpyFESummAta6sg/edit"", ""Sheet1!B:D""), 3, FALSE), ""Not Found"")"),"r ɪ l i v ")</f>
        <v>r ɪ l i v </v>
      </c>
    </row>
    <row r="1810">
      <c r="A1810" s="1" t="s">
        <v>1813</v>
      </c>
      <c r="B1810" s="1" t="s">
        <v>5</v>
      </c>
      <c r="C1810" s="2">
        <f>IFERROR(__xludf.DUMMYFUNCTION("IFERROR(VLOOKUP(A1810, IMPORTRANGE(""https://docs.google.com/spreadsheets/d/1AVX9GT0dgogEBStecCXMMQ29tWz3gBrtNB8yIromXbY/edit?gid=741673867"", ""out1g!A:B""), 2, FALSE), 0)"),60.0)</f>
        <v>60</v>
      </c>
      <c r="D1810" s="2" t="str">
        <f>IFERROR(__xludf.DUMMYFUNCTION("IFERROR(VLOOKUP(A1810, IMPORTRANGE(""https://docs.google.com/spreadsheets/d/1-3Vjw2Cyy-mry5gbC8ypIR3YVGFfEpyFESummAta6sg/edit"", ""Sheet1!B:D""), 2, FALSE), ""Not Found"")"),"splɛndər")</f>
        <v>splɛndər</v>
      </c>
      <c r="E1810" s="2" t="str">
        <f>IFERROR(__xludf.DUMMYFUNCTION("IFERROR(VLOOKUP(A1810, IMPORTRANGE(""https://docs.google.com/spreadsheets/d/1-3Vjw2Cyy-mry5gbC8ypIR3YVGFfEpyFESummAta6sg/edit"", ""Sheet1!B:D""), 3, FALSE), ""Not Found"")"),"s p l ɛ n d ə r ")</f>
        <v>s p l ɛ n d ə r </v>
      </c>
    </row>
    <row r="1811">
      <c r="A1811" s="1" t="s">
        <v>1814</v>
      </c>
      <c r="B1811" s="1" t="s">
        <v>5</v>
      </c>
      <c r="C1811" s="2">
        <f>IFERROR(__xludf.DUMMYFUNCTION("IFERROR(VLOOKUP(A1811, IMPORTRANGE(""https://docs.google.com/spreadsheets/d/1AVX9GT0dgogEBStecCXMMQ29tWz3gBrtNB8yIromXbY/edit?gid=741673867"", ""out1g!A:B""), 2, FALSE), 0)"),158.0)</f>
        <v>158</v>
      </c>
      <c r="D1811" s="2" t="str">
        <f>IFERROR(__xludf.DUMMYFUNCTION("IFERROR(VLOOKUP(A1811, IMPORTRANGE(""https://docs.google.com/spreadsheets/d/1-3Vjw2Cyy-mry5gbC8ypIR3YVGFfEpyFESummAta6sg/edit"", ""Sheet1!B:D""), 2, FALSE), ""Not Found"")"),"ʧɪŋ")</f>
        <v>ʧɪŋ</v>
      </c>
      <c r="E1811" s="2" t="str">
        <f>IFERROR(__xludf.DUMMYFUNCTION("IFERROR(VLOOKUP(A1811, IMPORTRANGE(""https://docs.google.com/spreadsheets/d/1-3Vjw2Cyy-mry5gbC8ypIR3YVGFfEpyFESummAta6sg/edit"", ""Sheet1!B:D""), 3, FALSE), ""Not Found"")"),"ʧ ɪ ŋ ")</f>
        <v>ʧ ɪ ŋ </v>
      </c>
    </row>
    <row r="1812">
      <c r="A1812" s="1" t="s">
        <v>1815</v>
      </c>
      <c r="B1812" s="1" t="s">
        <v>5</v>
      </c>
      <c r="C1812" s="2">
        <f>IFERROR(__xludf.DUMMYFUNCTION("IFERROR(VLOOKUP(A1812, IMPORTRANGE(""https://docs.google.com/spreadsheets/d/1AVX9GT0dgogEBStecCXMMQ29tWz3gBrtNB8yIromXbY/edit?gid=741673867"", ""out1g!A:B""), 2, FALSE), 0)"),48.0)</f>
        <v>48</v>
      </c>
      <c r="D1812" s="2" t="str">
        <f>IFERROR(__xludf.DUMMYFUNCTION("IFERROR(VLOOKUP(A1812, IMPORTRANGE(""https://docs.google.com/spreadsheets/d/1-3Vjw2Cyy-mry5gbC8ypIR3YVGFfEpyFESummAta6sg/edit"", ""Sheet1!B:D""), 2, FALSE), ""Not Found"")"),"klətər")</f>
        <v>klətər</v>
      </c>
      <c r="E1812" s="2" t="str">
        <f>IFERROR(__xludf.DUMMYFUNCTION("IFERROR(VLOOKUP(A1812, IMPORTRANGE(""https://docs.google.com/spreadsheets/d/1-3Vjw2Cyy-mry5gbC8ypIR3YVGFfEpyFESummAta6sg/edit"", ""Sheet1!B:D""), 3, FALSE), ""Not Found"")"),"k l ə t ə r ")</f>
        <v>k l ə t ə r </v>
      </c>
    </row>
    <row r="1813">
      <c r="A1813" s="1" t="s">
        <v>1816</v>
      </c>
      <c r="B1813" s="1" t="s">
        <v>5</v>
      </c>
      <c r="C1813" s="2">
        <f>IFERROR(__xludf.DUMMYFUNCTION("IFERROR(VLOOKUP(A1813, IMPORTRANGE(""https://docs.google.com/spreadsheets/d/1AVX9GT0dgogEBStecCXMMQ29tWz3gBrtNB8yIromXbY/edit?gid=741673867"", ""out1g!A:B""), 2, FALSE), 0)"),1278.0)</f>
        <v>1278</v>
      </c>
      <c r="D1813" s="2" t="str">
        <f>IFERROR(__xludf.DUMMYFUNCTION("IFERROR(VLOOKUP(A1813, IMPORTRANGE(""https://docs.google.com/spreadsheets/d/1-3Vjw2Cyy-mry5gbC8ypIR3YVGFfEpyFESummAta6sg/edit"", ""Sheet1!B:D""), 2, FALSE), ""Not Found"")"),"jɑrd")</f>
        <v>jɑrd</v>
      </c>
      <c r="E1813" s="2" t="str">
        <f>IFERROR(__xludf.DUMMYFUNCTION("IFERROR(VLOOKUP(A1813, IMPORTRANGE(""https://docs.google.com/spreadsheets/d/1-3Vjw2Cyy-mry5gbC8ypIR3YVGFfEpyFESummAta6sg/edit"", ""Sheet1!B:D""), 3, FALSE), ""Not Found"")"),"j ɑ r d ")</f>
        <v>j ɑ r d </v>
      </c>
    </row>
    <row r="1814">
      <c r="A1814" s="1" t="s">
        <v>1817</v>
      </c>
      <c r="B1814" s="1" t="s">
        <v>5</v>
      </c>
      <c r="C1814" s="2">
        <f>IFERROR(__xludf.DUMMYFUNCTION("IFERROR(VLOOKUP(A1814, IMPORTRANGE(""https://docs.google.com/spreadsheets/d/1AVX9GT0dgogEBStecCXMMQ29tWz3gBrtNB8yIromXbY/edit?gid=741673867"", ""out1g!A:B""), 2, FALSE), 0)"),580.0)</f>
        <v>580</v>
      </c>
      <c r="D1814" s="2" t="str">
        <f>IFERROR(__xludf.DUMMYFUNCTION("IFERROR(VLOOKUP(A1814, IMPORTRANGE(""https://docs.google.com/spreadsheets/d/1-3Vjw2Cyy-mry5gbC8ypIR3YVGFfEpyFESummAta6sg/edit"", ""Sheet1!B:D""), 2, FALSE), ""Not Found"")"),"əpruv")</f>
        <v>əpruv</v>
      </c>
      <c r="E1814" s="2" t="str">
        <f>IFERROR(__xludf.DUMMYFUNCTION("IFERROR(VLOOKUP(A1814, IMPORTRANGE(""https://docs.google.com/spreadsheets/d/1-3Vjw2Cyy-mry5gbC8ypIR3YVGFfEpyFESummAta6sg/edit"", ""Sheet1!B:D""), 3, FALSE), ""Not Found"")"),"ə p r u v ")</f>
        <v>ə p r u v </v>
      </c>
    </row>
    <row r="1815">
      <c r="A1815" s="1" t="s">
        <v>1818</v>
      </c>
      <c r="B1815" s="1" t="s">
        <v>5</v>
      </c>
      <c r="C1815" s="2">
        <f>IFERROR(__xludf.DUMMYFUNCTION("IFERROR(VLOOKUP(A1815, IMPORTRANGE(""https://docs.google.com/spreadsheets/d/1AVX9GT0dgogEBStecCXMMQ29tWz3gBrtNB8yIromXbY/edit?gid=741673867"", ""out1g!A:B""), 2, FALSE), 0)"),26298.0)</f>
        <v>26298</v>
      </c>
      <c r="D1815" s="2" t="str">
        <f>IFERROR(__xludf.DUMMYFUNCTION("IFERROR(VLOOKUP(A1815, IMPORTRANGE(""https://docs.google.com/spreadsheets/d/1-3Vjw2Cyy-mry5gbC8ypIR3YVGFfEpyFESummAta6sg/edit"", ""Sheet1!B:D""), 2, FALSE), ""Not Found"")"),"ste")</f>
        <v>ste</v>
      </c>
      <c r="E1815" s="2" t="str">
        <f>IFERROR(__xludf.DUMMYFUNCTION("IFERROR(VLOOKUP(A1815, IMPORTRANGE(""https://docs.google.com/spreadsheets/d/1-3Vjw2Cyy-mry5gbC8ypIR3YVGFfEpyFESummAta6sg/edit"", ""Sheet1!B:D""), 3, FALSE), ""Not Found"")"),"s t e ")</f>
        <v>s t e </v>
      </c>
    </row>
    <row r="1816">
      <c r="A1816" s="1" t="s">
        <v>1819</v>
      </c>
      <c r="B1816" s="1" t="s">
        <v>5</v>
      </c>
      <c r="C1816" s="2">
        <f>IFERROR(__xludf.DUMMYFUNCTION("IFERROR(VLOOKUP(A1816, IMPORTRANGE(""https://docs.google.com/spreadsheets/d/1AVX9GT0dgogEBStecCXMMQ29tWz3gBrtNB8yIromXbY/edit?gid=741673867"", ""out1g!A:B""), 2, FALSE), 0)"),81.0)</f>
        <v>81</v>
      </c>
      <c r="D1816" s="2" t="str">
        <f>IFERROR(__xludf.DUMMYFUNCTION("IFERROR(VLOOKUP(A1816, IMPORTRANGE(""https://docs.google.com/spreadsheets/d/1-3Vjw2Cyy-mry5gbC8ypIR3YVGFfEpyFESummAta6sg/edit"", ""Sheet1!B:D""), 2, FALSE), ""Not Found"")"),"gis")</f>
        <v>gis</v>
      </c>
      <c r="E1816" s="2" t="str">
        <f>IFERROR(__xludf.DUMMYFUNCTION("IFERROR(VLOOKUP(A1816, IMPORTRANGE(""https://docs.google.com/spreadsheets/d/1-3Vjw2Cyy-mry5gbC8ypIR3YVGFfEpyFESummAta6sg/edit"", ""Sheet1!B:D""), 3, FALSE), ""Not Found"")"),"g i s ")</f>
        <v>g i s </v>
      </c>
    </row>
    <row r="1817">
      <c r="A1817" s="1" t="s">
        <v>1820</v>
      </c>
      <c r="B1817" s="1" t="s">
        <v>5</v>
      </c>
      <c r="C1817" s="2">
        <f>IFERROR(__xludf.DUMMYFUNCTION("IFERROR(VLOOKUP(A1817, IMPORTRANGE(""https://docs.google.com/spreadsheets/d/1AVX9GT0dgogEBStecCXMMQ29tWz3gBrtNB8yIromXbY/edit?gid=741673867"", ""out1g!A:B""), 2, FALSE), 0)"),13756.0)</f>
        <v>13756</v>
      </c>
      <c r="D1817" s="2" t="str">
        <f>IFERROR(__xludf.DUMMYFUNCTION("IFERROR(VLOOKUP(A1817, IMPORTRANGE(""https://docs.google.com/spreadsheets/d/1-3Vjw2Cyy-mry5gbC8ypIR3YVGFfEpyFESummAta6sg/edit"", ""Sheet1!B:D""), 2, FALSE), ""Not Found"")"),"let")</f>
        <v>let</v>
      </c>
      <c r="E1817" s="2" t="str">
        <f>IFERROR(__xludf.DUMMYFUNCTION("IFERROR(VLOOKUP(A1817, IMPORTRANGE(""https://docs.google.com/spreadsheets/d/1-3Vjw2Cyy-mry5gbC8ypIR3YVGFfEpyFESummAta6sg/edit"", ""Sheet1!B:D""), 3, FALSE), ""Not Found"")"),"l e t ")</f>
        <v>l e t </v>
      </c>
    </row>
    <row r="1818">
      <c r="A1818" s="1" t="s">
        <v>1821</v>
      </c>
      <c r="B1818" s="1" t="s">
        <v>5</v>
      </c>
      <c r="C1818" s="2">
        <f>IFERROR(__xludf.DUMMYFUNCTION("IFERROR(VLOOKUP(A1818, IMPORTRANGE(""https://docs.google.com/spreadsheets/d/1AVX9GT0dgogEBStecCXMMQ29tWz3gBrtNB8yIromXbY/edit?gid=741673867"", ""out1g!A:B""), 2, FALSE), 0)"),61.0)</f>
        <v>61</v>
      </c>
      <c r="D1818" s="2" t="str">
        <f>IFERROR(__xludf.DUMMYFUNCTION("IFERROR(VLOOKUP(A1818, IMPORTRANGE(""https://docs.google.com/spreadsheets/d/1-3Vjw2Cyy-mry5gbC8ypIR3YVGFfEpyFESummAta6sg/edit"", ""Sheet1!B:D""), 2, FALSE), ""Not Found"")"),"tæroʊ")</f>
        <v>tæroʊ</v>
      </c>
      <c r="E1818" s="2" t="str">
        <f>IFERROR(__xludf.DUMMYFUNCTION("IFERROR(VLOOKUP(A1818, IMPORTRANGE(""https://docs.google.com/spreadsheets/d/1-3Vjw2Cyy-mry5gbC8ypIR3YVGFfEpyFESummAta6sg/edit"", ""Sheet1!B:D""), 3, FALSE), ""Not Found"")"),"t æ r o ʊ ")</f>
        <v>t æ r o ʊ </v>
      </c>
    </row>
    <row r="1819">
      <c r="A1819" s="1" t="s">
        <v>1822</v>
      </c>
      <c r="B1819" s="1" t="s">
        <v>5</v>
      </c>
      <c r="C1819" s="2">
        <f>IFERROR(__xludf.DUMMYFUNCTION("IFERROR(VLOOKUP(A1819, IMPORTRANGE(""https://docs.google.com/spreadsheets/d/1AVX9GT0dgogEBStecCXMMQ29tWz3gBrtNB8yIromXbY/edit?gid=741673867"", ""out1g!A:B""), 2, FALSE), 0)"),90.0)</f>
        <v>90</v>
      </c>
      <c r="D1819" s="2" t="str">
        <f>IFERROR(__xludf.DUMMYFUNCTION("IFERROR(VLOOKUP(A1819, IMPORTRANGE(""https://docs.google.com/spreadsheets/d/1-3Vjw2Cyy-mry5gbC8ypIR3YVGFfEpyFESummAta6sg/edit"", ""Sheet1!B:D""), 2, FALSE), ""Not Found"")"),"skæmp")</f>
        <v>skæmp</v>
      </c>
      <c r="E1819" s="2" t="str">
        <f>IFERROR(__xludf.DUMMYFUNCTION("IFERROR(VLOOKUP(A1819, IMPORTRANGE(""https://docs.google.com/spreadsheets/d/1-3Vjw2Cyy-mry5gbC8ypIR3YVGFfEpyFESummAta6sg/edit"", ""Sheet1!B:D""), 3, FALSE), ""Not Found"")"),"s k æ m p ")</f>
        <v>s k æ m p </v>
      </c>
    </row>
    <row r="1820">
      <c r="A1820" s="1" t="s">
        <v>1823</v>
      </c>
      <c r="B1820" s="1" t="s">
        <v>5</v>
      </c>
      <c r="C1820" s="2">
        <f>IFERROR(__xludf.DUMMYFUNCTION("IFERROR(VLOOKUP(A1820, IMPORTRANGE(""https://docs.google.com/spreadsheets/d/1AVX9GT0dgogEBStecCXMMQ29tWz3gBrtNB8yIromXbY/edit?gid=741673867"", ""out1g!A:B""), 2, FALSE), 0)"),630.0)</f>
        <v>630</v>
      </c>
      <c r="D1820" s="2" t="str">
        <f>IFERROR(__xludf.DUMMYFUNCTION("IFERROR(VLOOKUP(A1820, IMPORTRANGE(""https://docs.google.com/spreadsheets/d/1-3Vjw2Cyy-mry5gbC8ypIR3YVGFfEpyFESummAta6sg/edit"", ""Sheet1!B:D""), 2, FALSE), ""Not Found"")"),"bəmp")</f>
        <v>bəmp</v>
      </c>
      <c r="E1820" s="2" t="str">
        <f>IFERROR(__xludf.DUMMYFUNCTION("IFERROR(VLOOKUP(A1820, IMPORTRANGE(""https://docs.google.com/spreadsheets/d/1-3Vjw2Cyy-mry5gbC8ypIR3YVGFfEpyFESummAta6sg/edit"", ""Sheet1!B:D""), 3, FALSE), ""Not Found"")"),"b ə m p ")</f>
        <v>b ə m p </v>
      </c>
    </row>
    <row r="1821">
      <c r="A1821" s="1" t="s">
        <v>1824</v>
      </c>
      <c r="B1821" s="1" t="s">
        <v>5</v>
      </c>
      <c r="C1821" s="2">
        <f>IFERROR(__xludf.DUMMYFUNCTION("IFERROR(VLOOKUP(A1821, IMPORTRANGE(""https://docs.google.com/spreadsheets/d/1AVX9GT0dgogEBStecCXMMQ29tWz3gBrtNB8yIromXbY/edit?gid=741673867"", ""out1g!A:B""), 2, FALSE), 0)"),260.0)</f>
        <v>260</v>
      </c>
      <c r="D1821" s="2" t="str">
        <f>IFERROR(__xludf.DUMMYFUNCTION("IFERROR(VLOOKUP(A1821, IMPORTRANGE(""https://docs.google.com/spreadsheets/d/1-3Vjw2Cyy-mry5gbC8ypIR3YVGFfEpyFESummAta6sg/edit"", ""Sheet1!B:D""), 2, FALSE), ""Not Found"")"),"æsɛts")</f>
        <v>æsɛts</v>
      </c>
      <c r="E1821" s="2" t="str">
        <f>IFERROR(__xludf.DUMMYFUNCTION("IFERROR(VLOOKUP(A1821, IMPORTRANGE(""https://docs.google.com/spreadsheets/d/1-3Vjw2Cyy-mry5gbC8ypIR3YVGFfEpyFESummAta6sg/edit"", ""Sheet1!B:D""), 3, FALSE), ""Not Found"")"),"æ s ɛ t s ")</f>
        <v>æ s ɛ t s </v>
      </c>
    </row>
    <row r="1822">
      <c r="A1822" s="1" t="s">
        <v>1825</v>
      </c>
      <c r="B1822" s="1" t="s">
        <v>5</v>
      </c>
      <c r="C1822" s="2">
        <f>IFERROR(__xludf.DUMMYFUNCTION("IFERROR(VLOOKUP(A1822, IMPORTRANGE(""https://docs.google.com/spreadsheets/d/1AVX9GT0dgogEBStecCXMMQ29tWz3gBrtNB8yIromXbY/edit?gid=741673867"", ""out1g!A:B""), 2, FALSE), 0)"),630.0)</f>
        <v>630</v>
      </c>
      <c r="D1822" s="2" t="str">
        <f>IFERROR(__xludf.DUMMYFUNCTION("IFERROR(VLOOKUP(A1822, IMPORTRANGE(""https://docs.google.com/spreadsheets/d/1-3Vjw2Cyy-mry5gbC8ypIR3YVGFfEpyFESummAta6sg/edit"", ""Sheet1!B:D""), 2, FALSE), ""Not Found"")"),"rəʃə")</f>
        <v>rəʃə</v>
      </c>
      <c r="E1822" s="2" t="str">
        <f>IFERROR(__xludf.DUMMYFUNCTION("IFERROR(VLOOKUP(A1822, IMPORTRANGE(""https://docs.google.com/spreadsheets/d/1-3Vjw2Cyy-mry5gbC8ypIR3YVGFfEpyFESummAta6sg/edit"", ""Sheet1!B:D""), 3, FALSE), ""Not Found"")"),"r ə ʃ ə ")</f>
        <v>r ə ʃ ə </v>
      </c>
    </row>
    <row r="1823">
      <c r="A1823" s="1" t="s">
        <v>1826</v>
      </c>
      <c r="B1823" s="1" t="s">
        <v>5</v>
      </c>
      <c r="C1823" s="2">
        <f>IFERROR(__xludf.DUMMYFUNCTION("IFERROR(VLOOKUP(A1823, IMPORTRANGE(""https://docs.google.com/spreadsheets/d/1AVX9GT0dgogEBStecCXMMQ29tWz3gBrtNB8yIromXbY/edit?gid=741673867"", ""out1g!A:B""), 2, FALSE), 0)"),403.0)</f>
        <v>403</v>
      </c>
      <c r="D1823" s="2" t="str">
        <f>IFERROR(__xludf.DUMMYFUNCTION("IFERROR(VLOOKUP(A1823, IMPORTRANGE(""https://docs.google.com/spreadsheets/d/1-3Vjw2Cyy-mry5gbC8ypIR3YVGFfEpyFESummAta6sg/edit"", ""Sheet1!B:D""), 2, FALSE), ""Not Found"")"),"wɪspər")</f>
        <v>wɪspər</v>
      </c>
      <c r="E1823" s="2" t="str">
        <f>IFERROR(__xludf.DUMMYFUNCTION("IFERROR(VLOOKUP(A1823, IMPORTRANGE(""https://docs.google.com/spreadsheets/d/1-3Vjw2Cyy-mry5gbC8ypIR3YVGFfEpyFESummAta6sg/edit"", ""Sheet1!B:D""), 3, FALSE), ""Not Found"")"),"w ɪ s p ə r ")</f>
        <v>w ɪ s p ə r </v>
      </c>
    </row>
    <row r="1824">
      <c r="A1824" s="1" t="s">
        <v>1827</v>
      </c>
      <c r="B1824" s="1" t="s">
        <v>5</v>
      </c>
      <c r="C1824" s="2">
        <f>IFERROR(__xludf.DUMMYFUNCTION("IFERROR(VLOOKUP(A1824, IMPORTRANGE(""https://docs.google.com/spreadsheets/d/1AVX9GT0dgogEBStecCXMMQ29tWz3gBrtNB8yIromXbY/edit?gid=741673867"", ""out1g!A:B""), 2, FALSE), 0)"),85.0)</f>
        <v>85</v>
      </c>
      <c r="D1824" s="2" t="str">
        <f>IFERROR(__xludf.DUMMYFUNCTION("IFERROR(VLOOKUP(A1824, IMPORTRANGE(""https://docs.google.com/spreadsheets/d/1-3Vjw2Cyy-mry5gbC8ypIR3YVGFfEpyFESummAta6sg/edit"", ""Sheet1!B:D""), 2, FALSE), ""Not Found"")"),"taɪlz")</f>
        <v>taɪlz</v>
      </c>
      <c r="E1824" s="2" t="str">
        <f>IFERROR(__xludf.DUMMYFUNCTION("IFERROR(VLOOKUP(A1824, IMPORTRANGE(""https://docs.google.com/spreadsheets/d/1-3Vjw2Cyy-mry5gbC8ypIR3YVGFfEpyFESummAta6sg/edit"", ""Sheet1!B:D""), 3, FALSE), ""Not Found"")"),"t a ɪ l z ")</f>
        <v>t a ɪ l z </v>
      </c>
    </row>
    <row r="1825">
      <c r="A1825" s="1" t="s">
        <v>1828</v>
      </c>
      <c r="B1825" s="1" t="s">
        <v>5</v>
      </c>
      <c r="C1825" s="2">
        <f>IFERROR(__xludf.DUMMYFUNCTION("IFERROR(VLOOKUP(A1825, IMPORTRANGE(""https://docs.google.com/spreadsheets/d/1AVX9GT0dgogEBStecCXMMQ29tWz3gBrtNB8yIromXbY/edit?gid=741673867"", ""out1g!A:B""), 2, FALSE), 0)"),149.0)</f>
        <v>149</v>
      </c>
      <c r="D1825" s="2" t="str">
        <f>IFERROR(__xludf.DUMMYFUNCTION("IFERROR(VLOOKUP(A1825, IMPORTRANGE(""https://docs.google.com/spreadsheets/d/1-3Vjw2Cyy-mry5gbC8ypIR3YVGFfEpyFESummAta6sg/edit"", ""Sheet1!B:D""), 2, FALSE), ""Not Found"")"),"vərbəl")</f>
        <v>vərbəl</v>
      </c>
      <c r="E1825" s="2" t="str">
        <f>IFERROR(__xludf.DUMMYFUNCTION("IFERROR(VLOOKUP(A1825, IMPORTRANGE(""https://docs.google.com/spreadsheets/d/1-3Vjw2Cyy-mry5gbC8ypIR3YVGFfEpyFESummAta6sg/edit"", ""Sheet1!B:D""), 3, FALSE), ""Not Found"")"),"v ə r b ə l ")</f>
        <v>v ə r b ə l </v>
      </c>
    </row>
    <row r="1826">
      <c r="A1826" s="1" t="s">
        <v>1829</v>
      </c>
      <c r="B1826" s="1" t="s">
        <v>5</v>
      </c>
      <c r="C1826" s="2">
        <f>IFERROR(__xludf.DUMMYFUNCTION("IFERROR(VLOOKUP(A1826, IMPORTRANGE(""https://docs.google.com/spreadsheets/d/1AVX9GT0dgogEBStecCXMMQ29tWz3gBrtNB8yIromXbY/edit?gid=741673867"", ""out1g!A:B""), 2, FALSE), 0)"),119.0)</f>
        <v>119</v>
      </c>
      <c r="D1826" s="2" t="str">
        <f>IFERROR(__xludf.DUMMYFUNCTION("IFERROR(VLOOKUP(A1826, IMPORTRANGE(""https://docs.google.com/spreadsheets/d/1-3Vjw2Cyy-mry5gbC8ypIR3YVGFfEpyFESummAta6sg/edit"", ""Sheet1!B:D""), 2, FALSE), ""Not Found"")"),"raɪtfəl")</f>
        <v>raɪtfəl</v>
      </c>
      <c r="E1826" s="2" t="str">
        <f>IFERROR(__xludf.DUMMYFUNCTION("IFERROR(VLOOKUP(A1826, IMPORTRANGE(""https://docs.google.com/spreadsheets/d/1-3Vjw2Cyy-mry5gbC8ypIR3YVGFfEpyFESummAta6sg/edit"", ""Sheet1!B:D""), 3, FALSE), ""Not Found"")"),"r a ɪ t f ə l ")</f>
        <v>r a ɪ t f ə l </v>
      </c>
    </row>
    <row r="1827">
      <c r="A1827" s="1" t="s">
        <v>1830</v>
      </c>
      <c r="B1827" s="1" t="s">
        <v>5</v>
      </c>
      <c r="C1827" s="2">
        <f>IFERROR(__xludf.DUMMYFUNCTION("IFERROR(VLOOKUP(A1827, IMPORTRANGE(""https://docs.google.com/spreadsheets/d/1AVX9GT0dgogEBStecCXMMQ29tWz3gBrtNB8yIromXbY/edit?gid=741673867"", ""out1g!A:B""), 2, FALSE), 0)"),1325.0)</f>
        <v>1325</v>
      </c>
      <c r="D1827" s="2" t="str">
        <f>IFERROR(__xludf.DUMMYFUNCTION("IFERROR(VLOOKUP(A1827, IMPORTRANGE(""https://docs.google.com/spreadsheets/d/1-3Vjw2Cyy-mry5gbC8ypIR3YVGFfEpyFESummAta6sg/edit"", ""Sheet1!B:D""), 2, FALSE), ""Not Found"")"),"swɪŋ")</f>
        <v>swɪŋ</v>
      </c>
      <c r="E1827" s="2" t="str">
        <f>IFERROR(__xludf.DUMMYFUNCTION("IFERROR(VLOOKUP(A1827, IMPORTRANGE(""https://docs.google.com/spreadsheets/d/1-3Vjw2Cyy-mry5gbC8ypIR3YVGFfEpyFESummAta6sg/edit"", ""Sheet1!B:D""), 3, FALSE), ""Not Found"")"),"s w ɪ ŋ ")</f>
        <v>s w ɪ ŋ </v>
      </c>
    </row>
    <row r="1828">
      <c r="A1828" s="1" t="s">
        <v>1831</v>
      </c>
      <c r="B1828" s="1" t="s">
        <v>5</v>
      </c>
      <c r="C1828" s="2">
        <f>IFERROR(__xludf.DUMMYFUNCTION("IFERROR(VLOOKUP(A1828, IMPORTRANGE(""https://docs.google.com/spreadsheets/d/1AVX9GT0dgogEBStecCXMMQ29tWz3gBrtNB8yIromXbY/edit?gid=741673867"", ""out1g!A:B""), 2, FALSE), 0)"),150.0)</f>
        <v>150</v>
      </c>
      <c r="D1828" s="2" t="str">
        <f>IFERROR(__xludf.DUMMYFUNCTION("IFERROR(VLOOKUP(A1828, IMPORTRANGE(""https://docs.google.com/spreadsheets/d/1-3Vjw2Cyy-mry5gbC8ypIR3YVGFfEpyFESummAta6sg/edit"", ""Sheet1!B:D""), 2, FALSE), ""Not Found"")"),"pæpi")</f>
        <v>pæpi</v>
      </c>
      <c r="E1828" s="2" t="str">
        <f>IFERROR(__xludf.DUMMYFUNCTION("IFERROR(VLOOKUP(A1828, IMPORTRANGE(""https://docs.google.com/spreadsheets/d/1-3Vjw2Cyy-mry5gbC8ypIR3YVGFfEpyFESummAta6sg/edit"", ""Sheet1!B:D""), 3, FALSE), ""Not Found"")"),"p æ p i ")</f>
        <v>p æ p i </v>
      </c>
    </row>
    <row r="1829">
      <c r="A1829" s="1" t="s">
        <v>1832</v>
      </c>
      <c r="B1829" s="1" t="s">
        <v>5</v>
      </c>
      <c r="C1829" s="2">
        <f>IFERROR(__xludf.DUMMYFUNCTION("IFERROR(VLOOKUP(A1829, IMPORTRANGE(""https://docs.google.com/spreadsheets/d/1AVX9GT0dgogEBStecCXMMQ29tWz3gBrtNB8yIromXbY/edit?gid=741673867"", ""out1g!A:B""), 2, FALSE), 0)"),360.0)</f>
        <v>360</v>
      </c>
      <c r="D1829" s="2" t="str">
        <f>IFERROR(__xludf.DUMMYFUNCTION("IFERROR(VLOOKUP(A1829, IMPORTRANGE(""https://docs.google.com/spreadsheets/d/1-3Vjw2Cyy-mry5gbC8ypIR3YVGFfEpyFESummAta6sg/edit"", ""Sheet1!B:D""), 2, FALSE), ""Not Found"")"),"gæg")</f>
        <v>gæg</v>
      </c>
      <c r="E1829" s="2" t="str">
        <f>IFERROR(__xludf.DUMMYFUNCTION("IFERROR(VLOOKUP(A1829, IMPORTRANGE(""https://docs.google.com/spreadsheets/d/1-3Vjw2Cyy-mry5gbC8ypIR3YVGFfEpyFESummAta6sg/edit"", ""Sheet1!B:D""), 3, FALSE), ""Not Found"")"),"g æ g ")</f>
        <v>g æ g </v>
      </c>
    </row>
    <row r="1830">
      <c r="A1830" s="1" t="s">
        <v>1833</v>
      </c>
      <c r="B1830" s="1" t="s">
        <v>5</v>
      </c>
      <c r="C1830" s="2">
        <f>IFERROR(__xludf.DUMMYFUNCTION("IFERROR(VLOOKUP(A1830, IMPORTRANGE(""https://docs.google.com/spreadsheets/d/1AVX9GT0dgogEBStecCXMMQ29tWz3gBrtNB8yIromXbY/edit?gid=741673867"", ""out1g!A:B""), 2, FALSE), 0)"),66.0)</f>
        <v>66</v>
      </c>
      <c r="D1830" s="2" t="str">
        <f>IFERROR(__xludf.DUMMYFUNCTION("IFERROR(VLOOKUP(A1830, IMPORTRANGE(""https://docs.google.com/spreadsheets/d/1-3Vjw2Cyy-mry5gbC8ypIR3YVGFfEpyFESummAta6sg/edit"", ""Sheet1!B:D""), 2, FALSE), ""Not Found"")"),"duɛt")</f>
        <v>duɛt</v>
      </c>
      <c r="E1830" s="2" t="str">
        <f>IFERROR(__xludf.DUMMYFUNCTION("IFERROR(VLOOKUP(A1830, IMPORTRANGE(""https://docs.google.com/spreadsheets/d/1-3Vjw2Cyy-mry5gbC8ypIR3YVGFfEpyFESummAta6sg/edit"", ""Sheet1!B:D""), 3, FALSE), ""Not Found"")"),"d u ɛ t ")</f>
        <v>d u ɛ t </v>
      </c>
    </row>
    <row r="1831">
      <c r="A1831" s="1" t="s">
        <v>1834</v>
      </c>
      <c r="B1831" s="1" t="s">
        <v>5</v>
      </c>
      <c r="C1831" s="2">
        <f>IFERROR(__xludf.DUMMYFUNCTION("IFERROR(VLOOKUP(A1831, IMPORTRANGE(""https://docs.google.com/spreadsheets/d/1AVX9GT0dgogEBStecCXMMQ29tWz3gBrtNB8yIromXbY/edit?gid=741673867"", ""out1g!A:B""), 2, FALSE), 0)"),422.0)</f>
        <v>422</v>
      </c>
      <c r="D1831" s="2" t="str">
        <f>IFERROR(__xludf.DUMMYFUNCTION("IFERROR(VLOOKUP(A1831, IMPORTRANGE(""https://docs.google.com/spreadsheets/d/1-3Vjw2Cyy-mry5gbC8ypIR3YVGFfEpyFESummAta6sg/edit"", ""Sheet1!B:D""), 2, FALSE), ""Not Found"")"),"skɔrz")</f>
        <v>skɔrz</v>
      </c>
      <c r="E1831" s="2" t="str">
        <f>IFERROR(__xludf.DUMMYFUNCTION("IFERROR(VLOOKUP(A1831, IMPORTRANGE(""https://docs.google.com/spreadsheets/d/1-3Vjw2Cyy-mry5gbC8ypIR3YVGFfEpyFESummAta6sg/edit"", ""Sheet1!B:D""), 3, FALSE), ""Not Found"")"),"s k ɔ r z ")</f>
        <v>s k ɔ r z </v>
      </c>
    </row>
    <row r="1832">
      <c r="A1832" s="1" t="s">
        <v>1835</v>
      </c>
      <c r="B1832" s="1" t="s">
        <v>5</v>
      </c>
      <c r="C1832" s="2">
        <f>IFERROR(__xludf.DUMMYFUNCTION("IFERROR(VLOOKUP(A1832, IMPORTRANGE(""https://docs.google.com/spreadsheets/d/1AVX9GT0dgogEBStecCXMMQ29tWz3gBrtNB8yIromXbY/edit?gid=741673867"", ""out1g!A:B""), 2, FALSE), 0)"),86.0)</f>
        <v>86</v>
      </c>
      <c r="D1832" s="2" t="str">
        <f>IFERROR(__xludf.DUMMYFUNCTION("IFERROR(VLOOKUP(A1832, IMPORTRANGE(""https://docs.google.com/spreadsheets/d/1-3Vjw2Cyy-mry5gbC8ypIR3YVGFfEpyFESummAta6sg/edit"", ""Sheet1!B:D""), 2, FALSE), ""Not Found"")"),"stɔk")</f>
        <v>stɔk</v>
      </c>
      <c r="E1832" s="2" t="str">
        <f>IFERROR(__xludf.DUMMYFUNCTION("IFERROR(VLOOKUP(A1832, IMPORTRANGE(""https://docs.google.com/spreadsheets/d/1-3Vjw2Cyy-mry5gbC8ypIR3YVGFfEpyFESummAta6sg/edit"", ""Sheet1!B:D""), 3, FALSE), ""Not Found"")"),"s t ɔ k ")</f>
        <v>s t ɔ k </v>
      </c>
    </row>
    <row r="1833">
      <c r="A1833" s="1" t="s">
        <v>1836</v>
      </c>
      <c r="B1833" s="1" t="s">
        <v>5</v>
      </c>
      <c r="C1833" s="2">
        <f>IFERROR(__xludf.DUMMYFUNCTION("IFERROR(VLOOKUP(A1833, IMPORTRANGE(""https://docs.google.com/spreadsheets/d/1AVX9GT0dgogEBStecCXMMQ29tWz3gBrtNB8yIromXbY/edit?gid=741673867"", ""out1g!A:B""), 2, FALSE), 0)"),27.0)</f>
        <v>27</v>
      </c>
      <c r="D1833" s="2" t="str">
        <f>IFERROR(__xludf.DUMMYFUNCTION("IFERROR(VLOOKUP(A1833, IMPORTRANGE(""https://docs.google.com/spreadsheets/d/1-3Vjw2Cyy-mry5gbC8ypIR3YVGFfEpyFESummAta6sg/edit"", ""Sheet1!B:D""), 2, FALSE), ""Not Found"")"),"ləgɪŋ")</f>
        <v>ləgɪŋ</v>
      </c>
      <c r="E1833" s="2" t="str">
        <f>IFERROR(__xludf.DUMMYFUNCTION("IFERROR(VLOOKUP(A1833, IMPORTRANGE(""https://docs.google.com/spreadsheets/d/1-3Vjw2Cyy-mry5gbC8ypIR3YVGFfEpyFESummAta6sg/edit"", ""Sheet1!B:D""), 3, FALSE), ""Not Found"")"),"l ə g ɪ ŋ ")</f>
        <v>l ə g ɪ ŋ </v>
      </c>
    </row>
    <row r="1834">
      <c r="A1834" s="1" t="s">
        <v>1837</v>
      </c>
      <c r="B1834" s="1" t="s">
        <v>5</v>
      </c>
      <c r="C1834" s="2">
        <f>IFERROR(__xludf.DUMMYFUNCTION("IFERROR(VLOOKUP(A1834, IMPORTRANGE(""https://docs.google.com/spreadsheets/d/1AVX9GT0dgogEBStecCXMMQ29tWz3gBrtNB8yIromXbY/edit?gid=741673867"", ""out1g!A:B""), 2, FALSE), 0)"),2874.0)</f>
        <v>2874</v>
      </c>
      <c r="D1834" s="2" t="str">
        <f>IFERROR(__xludf.DUMMYFUNCTION("IFERROR(VLOOKUP(A1834, IMPORTRANGE(""https://docs.google.com/spreadsheets/d/1-3Vjw2Cyy-mry5gbC8ypIR3YVGFfEpyFESummAta6sg/edit"", ""Sheet1!B:D""), 2, FALSE), ""Not Found"")"),"wərst")</f>
        <v>wərst</v>
      </c>
      <c r="E1834" s="2" t="str">
        <f>IFERROR(__xludf.DUMMYFUNCTION("IFERROR(VLOOKUP(A1834, IMPORTRANGE(""https://docs.google.com/spreadsheets/d/1-3Vjw2Cyy-mry5gbC8ypIR3YVGFfEpyFESummAta6sg/edit"", ""Sheet1!B:D""), 3, FALSE), ""Not Found"")"),"w ə r s t ")</f>
        <v>w ə r s t </v>
      </c>
    </row>
    <row r="1835">
      <c r="A1835" s="1" t="s">
        <v>1838</v>
      </c>
      <c r="B1835" s="1" t="s">
        <v>5</v>
      </c>
      <c r="C1835" s="2">
        <f>IFERROR(__xludf.DUMMYFUNCTION("IFERROR(VLOOKUP(A1835, IMPORTRANGE(""https://docs.google.com/spreadsheets/d/1AVX9GT0dgogEBStecCXMMQ29tWz3gBrtNB8yIromXbY/edit?gid=741673867"", ""out1g!A:B""), 2, FALSE), 0)"),1386.0)</f>
        <v>1386</v>
      </c>
      <c r="D1835" s="2" t="str">
        <f>IFERROR(__xludf.DUMMYFUNCTION("IFERROR(VLOOKUP(A1835, IMPORTRANGE(""https://docs.google.com/spreadsheets/d/1-3Vjw2Cyy-mry5gbC8ypIR3YVGFfEpyFESummAta6sg/edit"", ""Sheet1!B:D""), 2, FALSE), ""Not Found"")"),"fɪld")</f>
        <v>fɪld</v>
      </c>
      <c r="E1835" s="2" t="str">
        <f>IFERROR(__xludf.DUMMYFUNCTION("IFERROR(VLOOKUP(A1835, IMPORTRANGE(""https://docs.google.com/spreadsheets/d/1-3Vjw2Cyy-mry5gbC8ypIR3YVGFfEpyFESummAta6sg/edit"", ""Sheet1!B:D""), 3, FALSE), ""Not Found"")"),"f ɪ l d ")</f>
        <v>f ɪ l d </v>
      </c>
    </row>
    <row r="1836">
      <c r="A1836" s="1" t="s">
        <v>1839</v>
      </c>
      <c r="B1836" s="1" t="s">
        <v>5</v>
      </c>
      <c r="C1836" s="2">
        <f>IFERROR(__xludf.DUMMYFUNCTION("IFERROR(VLOOKUP(A1836, IMPORTRANGE(""https://docs.google.com/spreadsheets/d/1AVX9GT0dgogEBStecCXMMQ29tWz3gBrtNB8yIromXbY/edit?gid=741673867"", ""out1g!A:B""), 2, FALSE), 0)"),209.0)</f>
        <v>209</v>
      </c>
      <c r="D1836" s="2" t="str">
        <f>IFERROR(__xludf.DUMMYFUNCTION("IFERROR(VLOOKUP(A1836, IMPORTRANGE(""https://docs.google.com/spreadsheets/d/1-3Vjw2Cyy-mry5gbC8ypIR3YVGFfEpyFESummAta6sg/edit"", ""Sheet1!B:D""), 2, FALSE), ""Not Found"")"),"eps")</f>
        <v>eps</v>
      </c>
      <c r="E1836" s="2" t="str">
        <f>IFERROR(__xludf.DUMMYFUNCTION("IFERROR(VLOOKUP(A1836, IMPORTRANGE(""https://docs.google.com/spreadsheets/d/1-3Vjw2Cyy-mry5gbC8ypIR3YVGFfEpyFESummAta6sg/edit"", ""Sheet1!B:D""), 3, FALSE), ""Not Found"")"),"e p s ")</f>
        <v>e p s </v>
      </c>
    </row>
    <row r="1837">
      <c r="A1837" s="1" t="s">
        <v>1840</v>
      </c>
      <c r="B1837" s="1" t="s">
        <v>5</v>
      </c>
      <c r="C1837" s="2">
        <f>IFERROR(__xludf.DUMMYFUNCTION("IFERROR(VLOOKUP(A1837, IMPORTRANGE(""https://docs.google.com/spreadsheets/d/1AVX9GT0dgogEBStecCXMMQ29tWz3gBrtNB8yIromXbY/edit?gid=741673867"", ""out1g!A:B""), 2, FALSE), 0)"),199.0)</f>
        <v>199</v>
      </c>
      <c r="D1837" s="2" t="str">
        <f>IFERROR(__xludf.DUMMYFUNCTION("IFERROR(VLOOKUP(A1837, IMPORTRANGE(""https://docs.google.com/spreadsheets/d/1-3Vjw2Cyy-mry5gbC8ypIR3YVGFfEpyFESummAta6sg/edit"", ""Sheet1!B:D""), 2, FALSE), ""Not Found"")"),"ni")</f>
        <v>ni</v>
      </c>
      <c r="E1837" s="2" t="str">
        <f>IFERROR(__xludf.DUMMYFUNCTION("IFERROR(VLOOKUP(A1837, IMPORTRANGE(""https://docs.google.com/spreadsheets/d/1-3Vjw2Cyy-mry5gbC8ypIR3YVGFfEpyFESummAta6sg/edit"", ""Sheet1!B:D""), 3, FALSE), ""Not Found"")"),"n i ")</f>
        <v>n i </v>
      </c>
    </row>
    <row r="1838">
      <c r="A1838" s="1" t="s">
        <v>1841</v>
      </c>
      <c r="B1838" s="1" t="s">
        <v>5</v>
      </c>
      <c r="C1838" s="2">
        <f>IFERROR(__xludf.DUMMYFUNCTION("IFERROR(VLOOKUP(A1838, IMPORTRANGE(""https://docs.google.com/spreadsheets/d/1AVX9GT0dgogEBStecCXMMQ29tWz3gBrtNB8yIromXbY/edit?gid=741673867"", ""out1g!A:B""), 2, FALSE), 0)"),2665.0)</f>
        <v>2665</v>
      </c>
      <c r="D1838" s="2" t="str">
        <f>IFERROR(__xludf.DUMMYFUNCTION("IFERROR(VLOOKUP(A1838, IMPORTRANGE(""https://docs.google.com/spreadsheets/d/1-3Vjw2Cyy-mry5gbC8ypIR3YVGFfEpyFESummAta6sg/edit"", ""Sheet1!B:D""), 2, FALSE), ""Not Found"")"),"tɛlz")</f>
        <v>tɛlz</v>
      </c>
      <c r="E1838" s="2" t="str">
        <f>IFERROR(__xludf.DUMMYFUNCTION("IFERROR(VLOOKUP(A1838, IMPORTRANGE(""https://docs.google.com/spreadsheets/d/1-3Vjw2Cyy-mry5gbC8ypIR3YVGFfEpyFESummAta6sg/edit"", ""Sheet1!B:D""), 3, FALSE), ""Not Found"")"),"t ɛ l z ")</f>
        <v>t ɛ l z </v>
      </c>
    </row>
    <row r="1839">
      <c r="A1839" s="1" t="s">
        <v>1842</v>
      </c>
      <c r="B1839" s="1" t="s">
        <v>5</v>
      </c>
      <c r="C1839" s="2">
        <f>IFERROR(__xludf.DUMMYFUNCTION("IFERROR(VLOOKUP(A1839, IMPORTRANGE(""https://docs.google.com/spreadsheets/d/1AVX9GT0dgogEBStecCXMMQ29tWz3gBrtNB8yIromXbY/edit?gid=741673867"", ""out1g!A:B""), 2, FALSE), 0)"),6133.0)</f>
        <v>6133</v>
      </c>
      <c r="D1839" s="2" t="str">
        <f>IFERROR(__xludf.DUMMYFUNCTION("IFERROR(VLOOKUP(A1839, IMPORTRANGE(""https://docs.google.com/spreadsheets/d/1-3Vjw2Cyy-mry5gbC8ypIR3YVGFfEpyFESummAta6sg/edit"", ""Sheet1!B:D""), 2, FALSE), ""Not Found"")"),"laɪ")</f>
        <v>laɪ</v>
      </c>
      <c r="E1839" s="2" t="str">
        <f>IFERROR(__xludf.DUMMYFUNCTION("IFERROR(VLOOKUP(A1839, IMPORTRANGE(""https://docs.google.com/spreadsheets/d/1-3Vjw2Cyy-mry5gbC8ypIR3YVGFfEpyFESummAta6sg/edit"", ""Sheet1!B:D""), 3, FALSE), ""Not Found"")"),"l a ɪ ")</f>
        <v>l a ɪ </v>
      </c>
    </row>
    <row r="1840">
      <c r="A1840" s="1" t="s">
        <v>1843</v>
      </c>
      <c r="B1840" s="1" t="s">
        <v>5</v>
      </c>
      <c r="C1840" s="2">
        <f>IFERROR(__xludf.DUMMYFUNCTION("IFERROR(VLOOKUP(A1840, IMPORTRANGE(""https://docs.google.com/spreadsheets/d/1AVX9GT0dgogEBStecCXMMQ29tWz3gBrtNB8yIromXbY/edit?gid=741673867"", ""out1g!A:B""), 2, FALSE), 0)"),2291.0)</f>
        <v>2291</v>
      </c>
      <c r="D1840" s="2" t="str">
        <f>IFERROR(__xludf.DUMMYFUNCTION("IFERROR(VLOOKUP(A1840, IMPORTRANGE(""https://docs.google.com/spreadsheets/d/1-3Vjw2Cyy-mry5gbC8ypIR3YVGFfEpyFESummAta6sg/edit"", ""Sheet1!B:D""), 2, FALSE), ""Not Found"")"),"fəkt")</f>
        <v>fəkt</v>
      </c>
      <c r="E1840" s="2" t="str">
        <f>IFERROR(__xludf.DUMMYFUNCTION("IFERROR(VLOOKUP(A1840, IMPORTRANGE(""https://docs.google.com/spreadsheets/d/1-3Vjw2Cyy-mry5gbC8ypIR3YVGFfEpyFESummAta6sg/edit"", ""Sheet1!B:D""), 3, FALSE), ""Not Found"")"),"f ə k t ")</f>
        <v>f ə k t </v>
      </c>
    </row>
    <row r="1841">
      <c r="A1841" s="1" t="s">
        <v>1844</v>
      </c>
      <c r="B1841" s="1" t="s">
        <v>5</v>
      </c>
      <c r="C1841" s="2">
        <f>IFERROR(__xludf.DUMMYFUNCTION("IFERROR(VLOOKUP(A1841, IMPORTRANGE(""https://docs.google.com/spreadsheets/d/1AVX9GT0dgogEBStecCXMMQ29tWz3gBrtNB8yIromXbY/edit?gid=741673867"", ""out1g!A:B""), 2, FALSE), 0)"),251.0)</f>
        <v>251</v>
      </c>
      <c r="D1841" s="2" t="str">
        <f>IFERROR(__xludf.DUMMYFUNCTION("IFERROR(VLOOKUP(A1841, IMPORTRANGE(""https://docs.google.com/spreadsheets/d/1-3Vjw2Cyy-mry5gbC8ypIR3YVGFfEpyFESummAta6sg/edit"", ""Sheet1!B:D""), 2, FALSE), ""Not Found"")"),"dægər")</f>
        <v>dægər</v>
      </c>
      <c r="E1841" s="2" t="str">
        <f>IFERROR(__xludf.DUMMYFUNCTION("IFERROR(VLOOKUP(A1841, IMPORTRANGE(""https://docs.google.com/spreadsheets/d/1-3Vjw2Cyy-mry5gbC8ypIR3YVGFfEpyFESummAta6sg/edit"", ""Sheet1!B:D""), 3, FALSE), ""Not Found"")"),"d æ g ə r ")</f>
        <v>d æ g ə r </v>
      </c>
    </row>
    <row r="1842">
      <c r="A1842" s="1" t="s">
        <v>1845</v>
      </c>
      <c r="B1842" s="1" t="s">
        <v>5</v>
      </c>
      <c r="C1842" s="2">
        <f>IFERROR(__xludf.DUMMYFUNCTION("IFERROR(VLOOKUP(A1842, IMPORTRANGE(""https://docs.google.com/spreadsheets/d/1AVX9GT0dgogEBStecCXMMQ29tWz3gBrtNB8yIromXbY/edit?gid=741673867"", ""out1g!A:B""), 2, FALSE), 0)"),10861.0)</f>
        <v>10861</v>
      </c>
      <c r="D1842" s="2" t="str">
        <f>IFERROR(__xludf.DUMMYFUNCTION("IFERROR(VLOOKUP(A1842, IMPORTRANGE(""https://docs.google.com/spreadsheets/d/1-3Vjw2Cyy-mry5gbC8ypIR3YVGFfEpyFESummAta6sg/edit"", ""Sheet1!B:D""), 2, FALSE), ""Not Found"")"),"rɛst")</f>
        <v>rɛst</v>
      </c>
      <c r="E1842" s="2" t="str">
        <f>IFERROR(__xludf.DUMMYFUNCTION("IFERROR(VLOOKUP(A1842, IMPORTRANGE(""https://docs.google.com/spreadsheets/d/1-3Vjw2Cyy-mry5gbC8ypIR3YVGFfEpyFESummAta6sg/edit"", ""Sheet1!B:D""), 3, FALSE), ""Not Found"")"),"r ɛ s t ")</f>
        <v>r ɛ s t </v>
      </c>
    </row>
    <row r="1843">
      <c r="A1843" s="1" t="s">
        <v>1846</v>
      </c>
      <c r="B1843" s="1" t="s">
        <v>5</v>
      </c>
      <c r="C1843" s="2">
        <f>IFERROR(__xludf.DUMMYFUNCTION("IFERROR(VLOOKUP(A1843, IMPORTRANGE(""https://docs.google.com/spreadsheets/d/1AVX9GT0dgogEBStecCXMMQ29tWz3gBrtNB8yIromXbY/edit?gid=741673867"", ""out1g!A:B""), 2, FALSE), 0)"),10.0)</f>
        <v>10</v>
      </c>
      <c r="D1843" s="2" t="str">
        <f>IFERROR(__xludf.DUMMYFUNCTION("IFERROR(VLOOKUP(A1843, IMPORTRANGE(""https://docs.google.com/spreadsheets/d/1-3Vjw2Cyy-mry5gbC8ypIR3YVGFfEpyFESummAta6sg/edit"", ""Sheet1!B:D""), 2, FALSE), ""Not Found"")"),"əlud")</f>
        <v>əlud</v>
      </c>
      <c r="E1843" s="2" t="str">
        <f>IFERROR(__xludf.DUMMYFUNCTION("IFERROR(VLOOKUP(A1843, IMPORTRANGE(""https://docs.google.com/spreadsheets/d/1-3Vjw2Cyy-mry5gbC8ypIR3YVGFfEpyFESummAta6sg/edit"", ""Sheet1!B:D""), 3, FALSE), ""Not Found"")"),"ə l u d ")</f>
        <v>ə l u d </v>
      </c>
    </row>
    <row r="1844">
      <c r="A1844" s="1" t="s">
        <v>1847</v>
      </c>
      <c r="B1844" s="1" t="s">
        <v>5</v>
      </c>
      <c r="C1844" s="2">
        <f>IFERROR(__xludf.DUMMYFUNCTION("IFERROR(VLOOKUP(A1844, IMPORTRANGE(""https://docs.google.com/spreadsheets/d/1AVX9GT0dgogEBStecCXMMQ29tWz3gBrtNB8yIromXbY/edit?gid=741673867"", ""out1g!A:B""), 2, FALSE), 0)"),1755.0)</f>
        <v>1755</v>
      </c>
      <c r="D1844" s="2" t="str">
        <f>IFERROR(__xludf.DUMMYFUNCTION("IFERROR(VLOOKUP(A1844, IMPORTRANGE(""https://docs.google.com/spreadsheets/d/1-3Vjw2Cyy-mry5gbC8ypIR3YVGFfEpyFESummAta6sg/edit"", ""Sheet1!B:D""), 2, FALSE), ""Not Found"")"),"dɔrz")</f>
        <v>dɔrz</v>
      </c>
      <c r="E1844" s="2" t="str">
        <f>IFERROR(__xludf.DUMMYFUNCTION("IFERROR(VLOOKUP(A1844, IMPORTRANGE(""https://docs.google.com/spreadsheets/d/1-3Vjw2Cyy-mry5gbC8ypIR3YVGFfEpyFESummAta6sg/edit"", ""Sheet1!B:D""), 3, FALSE), ""Not Found"")"),"d ɔ r z ")</f>
        <v>d ɔ r z </v>
      </c>
    </row>
    <row r="1845">
      <c r="A1845" s="1" t="s">
        <v>1848</v>
      </c>
      <c r="B1845" s="1" t="s">
        <v>5</v>
      </c>
      <c r="C1845" s="2">
        <f>IFERROR(__xludf.DUMMYFUNCTION("IFERROR(VLOOKUP(A1845, IMPORTRANGE(""https://docs.google.com/spreadsheets/d/1AVX9GT0dgogEBStecCXMMQ29tWz3gBrtNB8yIromXbY/edit?gid=741673867"", ""out1g!A:B""), 2, FALSE), 0)"),154.0)</f>
        <v>154</v>
      </c>
      <c r="D1845" s="2" t="str">
        <f>IFERROR(__xludf.DUMMYFUNCTION("IFERROR(VLOOKUP(A1845, IMPORTRANGE(""https://docs.google.com/spreadsheets/d/1-3Vjw2Cyy-mry5gbC8ypIR3YVGFfEpyFESummAta6sg/edit"", ""Sheet1!B:D""), 2, FALSE), ""Not Found"")"),"kɔfs")</f>
        <v>kɔfs</v>
      </c>
      <c r="E1845" s="2" t="str">
        <f>IFERROR(__xludf.DUMMYFUNCTION("IFERROR(VLOOKUP(A1845, IMPORTRANGE(""https://docs.google.com/spreadsheets/d/1-3Vjw2Cyy-mry5gbC8ypIR3YVGFfEpyFESummAta6sg/edit"", ""Sheet1!B:D""), 3, FALSE), ""Not Found"")"),"k ɔ f s ")</f>
        <v>k ɔ f s </v>
      </c>
    </row>
    <row r="1846">
      <c r="A1846" s="1" t="s">
        <v>1849</v>
      </c>
      <c r="B1846" s="1" t="s">
        <v>5</v>
      </c>
      <c r="C1846" s="2">
        <f>IFERROR(__xludf.DUMMYFUNCTION("IFERROR(VLOOKUP(A1846, IMPORTRANGE(""https://docs.google.com/spreadsheets/d/1AVX9GT0dgogEBStecCXMMQ29tWz3gBrtNB8yIromXbY/edit?gid=741673867"", ""out1g!A:B""), 2, FALSE), 0)"),259.0)</f>
        <v>259</v>
      </c>
      <c r="D1846" s="2" t="str">
        <f>IFERROR(__xludf.DUMMYFUNCTION("IFERROR(VLOOKUP(A1846, IMPORTRANGE(""https://docs.google.com/spreadsheets/d/1-3Vjw2Cyy-mry5gbC8ypIR3YVGFfEpyFESummAta6sg/edit"", ""Sheet1!B:D""), 2, FALSE), ""Not Found"")"),"ɔltər")</f>
        <v>ɔltər</v>
      </c>
      <c r="E1846" s="2" t="str">
        <f>IFERROR(__xludf.DUMMYFUNCTION("IFERROR(VLOOKUP(A1846, IMPORTRANGE(""https://docs.google.com/spreadsheets/d/1-3Vjw2Cyy-mry5gbC8ypIR3YVGFfEpyFESummAta6sg/edit"", ""Sheet1!B:D""), 3, FALSE), ""Not Found"")"),"ɔ l t ə r ")</f>
        <v>ɔ l t ə r </v>
      </c>
    </row>
    <row r="1847">
      <c r="A1847" s="1" t="s">
        <v>1850</v>
      </c>
      <c r="B1847" s="1" t="s">
        <v>5</v>
      </c>
      <c r="C1847" s="2">
        <f>IFERROR(__xludf.DUMMYFUNCTION("IFERROR(VLOOKUP(A1847, IMPORTRANGE(""https://docs.google.com/spreadsheets/d/1AVX9GT0dgogEBStecCXMMQ29tWz3gBrtNB8yIromXbY/edit?gid=741673867"", ""out1g!A:B""), 2, FALSE), 0)"),181.0)</f>
        <v>181</v>
      </c>
      <c r="D1847" s="2" t="str">
        <f>IFERROR(__xludf.DUMMYFUNCTION("IFERROR(VLOOKUP(A1847, IMPORTRANGE(""https://docs.google.com/spreadsheets/d/1-3Vjw2Cyy-mry5gbC8ypIR3YVGFfEpyFESummAta6sg/edit"", ""Sheet1!B:D""), 2, FALSE), ""Not Found"")"),"əwet")</f>
        <v>əwet</v>
      </c>
      <c r="E1847" s="2" t="str">
        <f>IFERROR(__xludf.DUMMYFUNCTION("IFERROR(VLOOKUP(A1847, IMPORTRANGE(""https://docs.google.com/spreadsheets/d/1-3Vjw2Cyy-mry5gbC8ypIR3YVGFfEpyFESummAta6sg/edit"", ""Sheet1!B:D""), 3, FALSE), ""Not Found"")"),"ə w e t ")</f>
        <v>ə w e t </v>
      </c>
    </row>
    <row r="1848">
      <c r="A1848" s="1" t="s">
        <v>1851</v>
      </c>
      <c r="B1848" s="1" t="s">
        <v>5</v>
      </c>
      <c r="C1848" s="2">
        <f>IFERROR(__xludf.DUMMYFUNCTION("IFERROR(VLOOKUP(A1848, IMPORTRANGE(""https://docs.google.com/spreadsheets/d/1AVX9GT0dgogEBStecCXMMQ29tWz3gBrtNB8yIromXbY/edit?gid=741673867"", ""out1g!A:B""), 2, FALSE), 0)"),4484.0)</f>
        <v>4484</v>
      </c>
      <c r="D1848" s="2" t="str">
        <f>IFERROR(__xludf.DUMMYFUNCTION("IFERROR(VLOOKUP(A1848, IMPORTRANGE(""https://docs.google.com/spreadsheets/d/1-3Vjw2Cyy-mry5gbC8ypIR3YVGFfEpyFESummAta6sg/edit"", ""Sheet1!B:D""), 2, FALSE), ""Not Found"")"),"mɪsɪŋ")</f>
        <v>mɪsɪŋ</v>
      </c>
      <c r="E1848" s="2" t="str">
        <f>IFERROR(__xludf.DUMMYFUNCTION("IFERROR(VLOOKUP(A1848, IMPORTRANGE(""https://docs.google.com/spreadsheets/d/1-3Vjw2Cyy-mry5gbC8ypIR3YVGFfEpyFESummAta6sg/edit"", ""Sheet1!B:D""), 3, FALSE), ""Not Found"")"),"m ɪ s ɪ ŋ ")</f>
        <v>m ɪ s ɪ ŋ </v>
      </c>
    </row>
    <row r="1849">
      <c r="A1849" s="1" t="s">
        <v>1852</v>
      </c>
      <c r="B1849" s="1" t="s">
        <v>5</v>
      </c>
      <c r="C1849" s="2">
        <f>IFERROR(__xludf.DUMMYFUNCTION("IFERROR(VLOOKUP(A1849, IMPORTRANGE(""https://docs.google.com/spreadsheets/d/1AVX9GT0dgogEBStecCXMMQ29tWz3gBrtNB8yIromXbY/edit?gid=741673867"", ""out1g!A:B""), 2, FALSE), 0)"),128.0)</f>
        <v>128</v>
      </c>
      <c r="D1849" s="2" t="str">
        <f>IFERROR(__xludf.DUMMYFUNCTION("IFERROR(VLOOKUP(A1849, IMPORTRANGE(""https://docs.google.com/spreadsheets/d/1-3Vjw2Cyy-mry5gbC8ypIR3YVGFfEpyFESummAta6sg/edit"", ""Sheet1!B:D""), 2, FALSE), ""Not Found"")"),"mɔrt")</f>
        <v>mɔrt</v>
      </c>
      <c r="E1849" s="2" t="str">
        <f>IFERROR(__xludf.DUMMYFUNCTION("IFERROR(VLOOKUP(A1849, IMPORTRANGE(""https://docs.google.com/spreadsheets/d/1-3Vjw2Cyy-mry5gbC8ypIR3YVGFfEpyFESummAta6sg/edit"", ""Sheet1!B:D""), 3, FALSE), ""Not Found"")"),"m ɔ r t ")</f>
        <v>m ɔ r t </v>
      </c>
    </row>
    <row r="1850">
      <c r="A1850" s="1" t="s">
        <v>1853</v>
      </c>
      <c r="B1850" s="1" t="s">
        <v>5</v>
      </c>
      <c r="C1850" s="2">
        <f>IFERROR(__xludf.DUMMYFUNCTION("IFERROR(VLOOKUP(A1850, IMPORTRANGE(""https://docs.google.com/spreadsheets/d/1AVX9GT0dgogEBStecCXMMQ29tWz3gBrtNB8yIromXbY/edit?gid=741673867"", ""out1g!A:B""), 2, FALSE), 0)"),559.0)</f>
        <v>559</v>
      </c>
      <c r="D1850" s="2" t="str">
        <f>IFERROR(__xludf.DUMMYFUNCTION("IFERROR(VLOOKUP(A1850, IMPORTRANGE(""https://docs.google.com/spreadsheets/d/1-3Vjw2Cyy-mry5gbC8ypIR3YVGFfEpyFESummAta6sg/edit"", ""Sheet1!B:D""), 2, FALSE), ""Not Found"")"),"lɪk")</f>
        <v>lɪk</v>
      </c>
      <c r="E1850" s="2" t="str">
        <f>IFERROR(__xludf.DUMMYFUNCTION("IFERROR(VLOOKUP(A1850, IMPORTRANGE(""https://docs.google.com/spreadsheets/d/1-3Vjw2Cyy-mry5gbC8ypIR3YVGFfEpyFESummAta6sg/edit"", ""Sheet1!B:D""), 3, FALSE), ""Not Found"")"),"l ɪ k ")</f>
        <v>l ɪ k </v>
      </c>
    </row>
    <row r="1851">
      <c r="A1851" s="1" t="s">
        <v>1854</v>
      </c>
      <c r="B1851" s="1" t="s">
        <v>5</v>
      </c>
      <c r="C1851" s="2">
        <f>IFERROR(__xludf.DUMMYFUNCTION("IFERROR(VLOOKUP(A1851, IMPORTRANGE(""https://docs.google.com/spreadsheets/d/1AVX9GT0dgogEBStecCXMMQ29tWz3gBrtNB8yIromXbY/edit?gid=741673867"", ""out1g!A:B""), 2, FALSE), 0)"),58.0)</f>
        <v>58</v>
      </c>
      <c r="D1851" s="2" t="str">
        <f>IFERROR(__xludf.DUMMYFUNCTION("IFERROR(VLOOKUP(A1851, IMPORTRANGE(""https://docs.google.com/spreadsheets/d/1-3Vjw2Cyy-mry5gbC8ypIR3YVGFfEpyFESummAta6sg/edit"", ""Sheet1!B:D""), 2, FALSE), ""Not Found"")"),"bɑʧt")</f>
        <v>bɑʧt</v>
      </c>
      <c r="E1851" s="2" t="str">
        <f>IFERROR(__xludf.DUMMYFUNCTION("IFERROR(VLOOKUP(A1851, IMPORTRANGE(""https://docs.google.com/spreadsheets/d/1-3Vjw2Cyy-mry5gbC8ypIR3YVGFfEpyFESummAta6sg/edit"", ""Sheet1!B:D""), 3, FALSE), ""Not Found"")"),"b ɑ ʧ t ")</f>
        <v>b ɑ ʧ t </v>
      </c>
    </row>
    <row r="1852">
      <c r="A1852" s="1" t="s">
        <v>1855</v>
      </c>
      <c r="B1852" s="1" t="s">
        <v>5</v>
      </c>
      <c r="C1852" s="2">
        <f>IFERROR(__xludf.DUMMYFUNCTION("IFERROR(VLOOKUP(A1852, IMPORTRANGE(""https://docs.google.com/spreadsheets/d/1AVX9GT0dgogEBStecCXMMQ29tWz3gBrtNB8yIromXbY/edit?gid=741673867"", ""out1g!A:B""), 2, FALSE), 0)"),1791.0)</f>
        <v>1791</v>
      </c>
      <c r="D1852" s="2" t="str">
        <f>IFERROR(__xludf.DUMMYFUNCTION("IFERROR(VLOOKUP(A1852, IMPORTRANGE(""https://docs.google.com/spreadsheets/d/1-3Vjw2Cyy-mry5gbC8ypIR3YVGFfEpyFESummAta6sg/edit"", ""Sheet1!B:D""), 2, FALSE), ""Not Found"")"),"brɪŋz")</f>
        <v>brɪŋz</v>
      </c>
      <c r="E1852" s="2" t="str">
        <f>IFERROR(__xludf.DUMMYFUNCTION("IFERROR(VLOOKUP(A1852, IMPORTRANGE(""https://docs.google.com/spreadsheets/d/1-3Vjw2Cyy-mry5gbC8ypIR3YVGFfEpyFESummAta6sg/edit"", ""Sheet1!B:D""), 3, FALSE), ""Not Found"")"),"b r ɪ ŋ z ")</f>
        <v>b r ɪ ŋ z </v>
      </c>
    </row>
    <row r="1853">
      <c r="A1853" s="1" t="s">
        <v>1856</v>
      </c>
      <c r="B1853" s="1" t="s">
        <v>5</v>
      </c>
      <c r="C1853" s="2">
        <f>IFERROR(__xludf.DUMMYFUNCTION("IFERROR(VLOOKUP(A1853, IMPORTRANGE(""https://docs.google.com/spreadsheets/d/1AVX9GT0dgogEBStecCXMMQ29tWz3gBrtNB8yIromXbY/edit?gid=741673867"", ""out1g!A:B""), 2, FALSE), 0)"),46.0)</f>
        <v>46</v>
      </c>
      <c r="D1853" s="2" t="str">
        <f>IFERROR(__xludf.DUMMYFUNCTION("IFERROR(VLOOKUP(A1853, IMPORTRANGE(""https://docs.google.com/spreadsheets/d/1-3Vjw2Cyy-mry5gbC8ypIR3YVGFfEpyFESummAta6sg/edit"", ""Sheet1!B:D""), 2, FALSE), ""Not Found"")"),"ten")</f>
        <v>ten</v>
      </c>
      <c r="E1853" s="2" t="str">
        <f>IFERROR(__xludf.DUMMYFUNCTION("IFERROR(VLOOKUP(A1853, IMPORTRANGE(""https://docs.google.com/spreadsheets/d/1-3Vjw2Cyy-mry5gbC8ypIR3YVGFfEpyFESummAta6sg/edit"", ""Sheet1!B:D""), 3, FALSE), ""Not Found"")"),"t e n ")</f>
        <v>t e n </v>
      </c>
    </row>
    <row r="1854">
      <c r="A1854" s="1" t="s">
        <v>1857</v>
      </c>
      <c r="B1854" s="1" t="s">
        <v>5</v>
      </c>
      <c r="C1854" s="2">
        <f>IFERROR(__xludf.DUMMYFUNCTION("IFERROR(VLOOKUP(A1854, IMPORTRANGE(""https://docs.google.com/spreadsheets/d/1AVX9GT0dgogEBStecCXMMQ29tWz3gBrtNB8yIromXbY/edit?gid=741673867"", ""out1g!A:B""), 2, FALSE), 0)"),665.0)</f>
        <v>665</v>
      </c>
      <c r="D1854" s="2" t="str">
        <f>IFERROR(__xludf.DUMMYFUNCTION("IFERROR(VLOOKUP(A1854, IMPORTRANGE(""https://docs.google.com/spreadsheets/d/1-3Vjw2Cyy-mry5gbC8ypIR3YVGFfEpyFESummAta6sg/edit"", ""Sheet1!B:D""), 2, FALSE), ""Not Found"")"),"ræp")</f>
        <v>ræp</v>
      </c>
      <c r="E1854" s="2" t="str">
        <f>IFERROR(__xludf.DUMMYFUNCTION("IFERROR(VLOOKUP(A1854, IMPORTRANGE(""https://docs.google.com/spreadsheets/d/1-3Vjw2Cyy-mry5gbC8ypIR3YVGFfEpyFESummAta6sg/edit"", ""Sheet1!B:D""), 3, FALSE), ""Not Found"")"),"r æ p ")</f>
        <v>r æ p </v>
      </c>
    </row>
    <row r="1855">
      <c r="A1855" s="1" t="s">
        <v>1858</v>
      </c>
      <c r="B1855" s="1" t="s">
        <v>5</v>
      </c>
      <c r="C1855" s="2">
        <f>IFERROR(__xludf.DUMMYFUNCTION("IFERROR(VLOOKUP(A1855, IMPORTRANGE(""https://docs.google.com/spreadsheets/d/1AVX9GT0dgogEBStecCXMMQ29tWz3gBrtNB8yIromXbY/edit?gid=741673867"", ""out1g!A:B""), 2, FALSE), 0)"),63.0)</f>
        <v>63</v>
      </c>
      <c r="D1855" s="2" t="str">
        <f>IFERROR(__xludf.DUMMYFUNCTION("IFERROR(VLOOKUP(A1855, IMPORTRANGE(""https://docs.google.com/spreadsheets/d/1-3Vjw2Cyy-mry5gbC8ypIR3YVGFfEpyFESummAta6sg/edit"", ""Sheet1!B:D""), 2, FALSE), ""Not Found"")"),"flætən")</f>
        <v>flætən</v>
      </c>
      <c r="E1855" s="2" t="str">
        <f>IFERROR(__xludf.DUMMYFUNCTION("IFERROR(VLOOKUP(A1855, IMPORTRANGE(""https://docs.google.com/spreadsheets/d/1-3Vjw2Cyy-mry5gbC8ypIR3YVGFfEpyFESummAta6sg/edit"", ""Sheet1!B:D""), 3, FALSE), ""Not Found"")"),"f l æ t ə n ")</f>
        <v>f l æ t ə n </v>
      </c>
    </row>
    <row r="1856">
      <c r="A1856" s="1" t="s">
        <v>1859</v>
      </c>
      <c r="B1856" s="1" t="s">
        <v>5</v>
      </c>
      <c r="C1856" s="2">
        <f>IFERROR(__xludf.DUMMYFUNCTION("IFERROR(VLOOKUP(A1856, IMPORTRANGE(""https://docs.google.com/spreadsheets/d/1AVX9GT0dgogEBStecCXMMQ29tWz3gBrtNB8yIromXbY/edit?gid=741673867"", ""out1g!A:B""), 2, FALSE), 0)"),184.0)</f>
        <v>184</v>
      </c>
      <c r="D1856" s="2" t="str">
        <f>IFERROR(__xludf.DUMMYFUNCTION("IFERROR(VLOOKUP(A1856, IMPORTRANGE(""https://docs.google.com/spreadsheets/d/1-3Vjw2Cyy-mry5gbC8ypIR3YVGFfEpyFESummAta6sg/edit"", ""Sheet1!B:D""), 2, FALSE), ""Not Found"")"),"mɪni")</f>
        <v>mɪni</v>
      </c>
      <c r="E1856" s="2" t="str">
        <f>IFERROR(__xludf.DUMMYFUNCTION("IFERROR(VLOOKUP(A1856, IMPORTRANGE(""https://docs.google.com/spreadsheets/d/1-3Vjw2Cyy-mry5gbC8ypIR3YVGFfEpyFESummAta6sg/edit"", ""Sheet1!B:D""), 3, FALSE), ""Not Found"")"),"m ɪ n i ")</f>
        <v>m ɪ n i </v>
      </c>
    </row>
    <row r="1857">
      <c r="A1857" s="1" t="s">
        <v>1860</v>
      </c>
      <c r="B1857" s="1" t="s">
        <v>5</v>
      </c>
      <c r="C1857" s="2">
        <f>IFERROR(__xludf.DUMMYFUNCTION("IFERROR(VLOOKUP(A1857, IMPORTRANGE(""https://docs.google.com/spreadsheets/d/1AVX9GT0dgogEBStecCXMMQ29tWz3gBrtNB8yIromXbY/edit?gid=741673867"", ""out1g!A:B""), 2, FALSE), 0)"),199.0)</f>
        <v>199</v>
      </c>
      <c r="D1857" s="2" t="str">
        <f>IFERROR(__xludf.DUMMYFUNCTION("IFERROR(VLOOKUP(A1857, IMPORTRANGE(""https://docs.google.com/spreadsheets/d/1-3Vjw2Cyy-mry5gbC8ypIR3YVGFfEpyFESummAta6sg/edit"", ""Sheet1!B:D""), 2, FALSE), ""Not Found"")"),"pi")</f>
        <v>pi</v>
      </c>
      <c r="E1857" s="2" t="str">
        <f>IFERROR(__xludf.DUMMYFUNCTION("IFERROR(VLOOKUP(A1857, IMPORTRANGE(""https://docs.google.com/spreadsheets/d/1-3Vjw2Cyy-mry5gbC8ypIR3YVGFfEpyFESummAta6sg/edit"", ""Sheet1!B:D""), 3, FALSE), ""Not Found"")"),"p i ")</f>
        <v>p i </v>
      </c>
    </row>
    <row r="1858">
      <c r="A1858" s="1" t="s">
        <v>1861</v>
      </c>
      <c r="B1858" s="1" t="s">
        <v>5</v>
      </c>
      <c r="C1858" s="2">
        <f>IFERROR(__xludf.DUMMYFUNCTION("IFERROR(VLOOKUP(A1858, IMPORTRANGE(""https://docs.google.com/spreadsheets/d/1AVX9GT0dgogEBStecCXMMQ29tWz3gBrtNB8yIromXbY/edit?gid=741673867"", ""out1g!A:B""), 2, FALSE), 0)"),14262.0)</f>
        <v>14262</v>
      </c>
      <c r="D1858" s="2" t="str">
        <f>IFERROR(__xludf.DUMMYFUNCTION("IFERROR(VLOOKUP(A1858, IMPORTRANGE(""https://docs.google.com/spreadsheets/d/1-3Vjw2Cyy-mry5gbC8ypIR3YVGFfEpyFESummAta6sg/edit"", ""Sheet1!B:D""), 2, FALSE), ""Not Found"")"),"hænd")</f>
        <v>hænd</v>
      </c>
      <c r="E1858" s="2" t="str">
        <f>IFERROR(__xludf.DUMMYFUNCTION("IFERROR(VLOOKUP(A1858, IMPORTRANGE(""https://docs.google.com/spreadsheets/d/1-3Vjw2Cyy-mry5gbC8ypIR3YVGFfEpyFESummAta6sg/edit"", ""Sheet1!B:D""), 3, FALSE), ""Not Found"")"),"h æ n d ")</f>
        <v>h æ n d </v>
      </c>
    </row>
    <row r="1859">
      <c r="A1859" s="1" t="s">
        <v>1862</v>
      </c>
      <c r="B1859" s="1" t="s">
        <v>5</v>
      </c>
      <c r="C1859" s="2">
        <f>IFERROR(__xludf.DUMMYFUNCTION("IFERROR(VLOOKUP(A1859, IMPORTRANGE(""https://docs.google.com/spreadsheets/d/1AVX9GT0dgogEBStecCXMMQ29tWz3gBrtNB8yIromXbY/edit?gid=741673867"", ""out1g!A:B""), 2, FALSE), 0)"),783.0)</f>
        <v>783</v>
      </c>
      <c r="D1859" s="2" t="str">
        <f>IFERROR(__xludf.DUMMYFUNCTION("IFERROR(VLOOKUP(A1859, IMPORTRANGE(""https://docs.google.com/spreadsheets/d/1-3Vjw2Cyy-mry5gbC8ypIR3YVGFfEpyFESummAta6sg/edit"", ""Sheet1!B:D""), 2, FALSE), ""Not Found"")"),"rælf")</f>
        <v>rælf</v>
      </c>
      <c r="E1859" s="2" t="str">
        <f>IFERROR(__xludf.DUMMYFUNCTION("IFERROR(VLOOKUP(A1859, IMPORTRANGE(""https://docs.google.com/spreadsheets/d/1-3Vjw2Cyy-mry5gbC8ypIR3YVGFfEpyFESummAta6sg/edit"", ""Sheet1!B:D""), 3, FALSE), ""Not Found"")"),"r æ l f ")</f>
        <v>r æ l f </v>
      </c>
    </row>
    <row r="1860">
      <c r="A1860" s="1" t="s">
        <v>1863</v>
      </c>
      <c r="B1860" s="1" t="s">
        <v>5</v>
      </c>
      <c r="C1860" s="2">
        <f>IFERROR(__xludf.DUMMYFUNCTION("IFERROR(VLOOKUP(A1860, IMPORTRANGE(""https://docs.google.com/spreadsheets/d/1AVX9GT0dgogEBStecCXMMQ29tWz3gBrtNB8yIromXbY/edit?gid=741673867"", ""out1g!A:B""), 2, FALSE), 0)"),1405.0)</f>
        <v>1405</v>
      </c>
      <c r="D1860" s="2" t="str">
        <f>IFERROR(__xludf.DUMMYFUNCTION("IFERROR(VLOOKUP(A1860, IMPORTRANGE(""https://docs.google.com/spreadsheets/d/1-3Vjw2Cyy-mry5gbC8ypIR3YVGFfEpyFESummAta6sg/edit"", ""Sheet1!B:D""), 2, FALSE), ""Not Found"")"),"ʤɔɪnt")</f>
        <v>ʤɔɪnt</v>
      </c>
      <c r="E1860" s="2" t="str">
        <f>IFERROR(__xludf.DUMMYFUNCTION("IFERROR(VLOOKUP(A1860, IMPORTRANGE(""https://docs.google.com/spreadsheets/d/1-3Vjw2Cyy-mry5gbC8ypIR3YVGFfEpyFESummAta6sg/edit"", ""Sheet1!B:D""), 3, FALSE), ""Not Found"")"),"ʤ ɔ ɪ n t ")</f>
        <v>ʤ ɔ ɪ n t </v>
      </c>
    </row>
    <row r="1861">
      <c r="A1861" s="1" t="s">
        <v>1864</v>
      </c>
      <c r="B1861" s="1" t="s">
        <v>5</v>
      </c>
      <c r="C1861" s="2">
        <f>IFERROR(__xludf.DUMMYFUNCTION("IFERROR(VLOOKUP(A1861, IMPORTRANGE(""https://docs.google.com/spreadsheets/d/1AVX9GT0dgogEBStecCXMMQ29tWz3gBrtNB8yIromXbY/edit?gid=741673867"", ""out1g!A:B""), 2, FALSE), 0)"),87.0)</f>
        <v>87</v>
      </c>
      <c r="D1861" s="2" t="str">
        <f>IFERROR(__xludf.DUMMYFUNCTION("IFERROR(VLOOKUP(A1861, IMPORTRANGE(""https://docs.google.com/spreadsheets/d/1-3Vjw2Cyy-mry5gbC8ypIR3YVGFfEpyFESummAta6sg/edit"", ""Sheet1!B:D""), 2, FALSE), ""Not Found"")"),"gɪl")</f>
        <v>gɪl</v>
      </c>
      <c r="E1861" s="2" t="str">
        <f>IFERROR(__xludf.DUMMYFUNCTION("IFERROR(VLOOKUP(A1861, IMPORTRANGE(""https://docs.google.com/spreadsheets/d/1-3Vjw2Cyy-mry5gbC8ypIR3YVGFfEpyFESummAta6sg/edit"", ""Sheet1!B:D""), 3, FALSE), ""Not Found"")"),"g ɪ l ")</f>
        <v>g ɪ l </v>
      </c>
    </row>
    <row r="1862">
      <c r="A1862" s="1" t="s">
        <v>1865</v>
      </c>
      <c r="B1862" s="1" t="s">
        <v>5</v>
      </c>
      <c r="C1862" s="2">
        <f>IFERROR(__xludf.DUMMYFUNCTION("IFERROR(VLOOKUP(A1862, IMPORTRANGE(""https://docs.google.com/spreadsheets/d/1AVX9GT0dgogEBStecCXMMQ29tWz3gBrtNB8yIromXbY/edit?gid=741673867"", ""out1g!A:B""), 2, FALSE), 0)"),1836.0)</f>
        <v>1836</v>
      </c>
      <c r="D1862" s="2" t="str">
        <f>IFERROR(__xludf.DUMMYFUNCTION("IFERROR(VLOOKUP(A1862, IMPORTRANGE(""https://docs.google.com/spreadsheets/d/1-3Vjw2Cyy-mry5gbC8ypIR3YVGFfEpyFESummAta6sg/edit"", ""Sheet1!B:D""), 2, FALSE), ""Not Found"")"),"lek")</f>
        <v>lek</v>
      </c>
      <c r="E1862" s="2" t="str">
        <f>IFERROR(__xludf.DUMMYFUNCTION("IFERROR(VLOOKUP(A1862, IMPORTRANGE(""https://docs.google.com/spreadsheets/d/1-3Vjw2Cyy-mry5gbC8ypIR3YVGFfEpyFESummAta6sg/edit"", ""Sheet1!B:D""), 3, FALSE), ""Not Found"")"),"l e k ")</f>
        <v>l e k </v>
      </c>
    </row>
    <row r="1863">
      <c r="A1863" s="1" t="s">
        <v>1866</v>
      </c>
      <c r="B1863" s="1" t="s">
        <v>5</v>
      </c>
      <c r="C1863" s="2">
        <f>IFERROR(__xludf.DUMMYFUNCTION("IFERROR(VLOOKUP(A1863, IMPORTRANGE(""https://docs.google.com/spreadsheets/d/1AVX9GT0dgogEBStecCXMMQ29tWz3gBrtNB8yIromXbY/edit?gid=741673867"", ""out1g!A:B""), 2, FALSE), 0)"),139.0)</f>
        <v>139</v>
      </c>
      <c r="D1863" s="2" t="str">
        <f>IFERROR(__xludf.DUMMYFUNCTION("IFERROR(VLOOKUP(A1863, IMPORTRANGE(""https://docs.google.com/spreadsheets/d/1-3Vjw2Cyy-mry5gbC8ypIR3YVGFfEpyFESummAta6sg/edit"", ""Sheet1!B:D""), 2, FALSE), ""Not Found"")"),"tæm")</f>
        <v>tæm</v>
      </c>
      <c r="E1863" s="2" t="str">
        <f>IFERROR(__xludf.DUMMYFUNCTION("IFERROR(VLOOKUP(A1863, IMPORTRANGE(""https://docs.google.com/spreadsheets/d/1-3Vjw2Cyy-mry5gbC8ypIR3YVGFfEpyFESummAta6sg/edit"", ""Sheet1!B:D""), 3, FALSE), ""Not Found"")"),"t æ m ")</f>
        <v>t æ m </v>
      </c>
    </row>
    <row r="1864">
      <c r="A1864" s="1" t="s">
        <v>1867</v>
      </c>
      <c r="B1864" s="1" t="s">
        <v>5</v>
      </c>
      <c r="C1864" s="2">
        <f>IFERROR(__xludf.DUMMYFUNCTION("IFERROR(VLOOKUP(A1864, IMPORTRANGE(""https://docs.google.com/spreadsheets/d/1AVX9GT0dgogEBStecCXMMQ29tWz3gBrtNB8yIromXbY/edit?gid=741673867"", ""out1g!A:B""), 2, FALSE), 0)"),9972.0)</f>
        <v>9972</v>
      </c>
      <c r="D1864" s="2" t="str">
        <f>IFERROR(__xludf.DUMMYFUNCTION("IFERROR(VLOOKUP(A1864, IMPORTRANGE(""https://docs.google.com/spreadsheets/d/1-3Vjw2Cyy-mry5gbC8ypIR3YVGFfEpyFESummAta6sg/edit"", ""Sheet1!B:D""), 2, FALSE), ""Not Found"")"),"bɑdi")</f>
        <v>bɑdi</v>
      </c>
      <c r="E1864" s="2" t="str">
        <f>IFERROR(__xludf.DUMMYFUNCTION("IFERROR(VLOOKUP(A1864, IMPORTRANGE(""https://docs.google.com/spreadsheets/d/1-3Vjw2Cyy-mry5gbC8ypIR3YVGFfEpyFESummAta6sg/edit"", ""Sheet1!B:D""), 3, FALSE), ""Not Found"")"),"b ɑ d i ")</f>
        <v>b ɑ d i </v>
      </c>
    </row>
    <row r="1865">
      <c r="A1865" s="1" t="s">
        <v>1868</v>
      </c>
      <c r="B1865" s="1" t="s">
        <v>5</v>
      </c>
      <c r="C1865" s="2">
        <f>IFERROR(__xludf.DUMMYFUNCTION("IFERROR(VLOOKUP(A1865, IMPORTRANGE(""https://docs.google.com/spreadsheets/d/1AVX9GT0dgogEBStecCXMMQ29tWz3gBrtNB8yIromXbY/edit?gid=741673867"", ""out1g!A:B""), 2, FALSE), 0)"),234.0)</f>
        <v>234</v>
      </c>
      <c r="D1865" s="2" t="str">
        <f>IFERROR(__xludf.DUMMYFUNCTION("IFERROR(VLOOKUP(A1865, IMPORTRANGE(""https://docs.google.com/spreadsheets/d/1-3Vjw2Cyy-mry5gbC8ypIR3YVGFfEpyFESummAta6sg/edit"", ""Sheet1!B:D""), 2, FALSE), ""Not Found"")"),"dədli")</f>
        <v>dədli</v>
      </c>
      <c r="E1865" s="2" t="str">
        <f>IFERROR(__xludf.DUMMYFUNCTION("IFERROR(VLOOKUP(A1865, IMPORTRANGE(""https://docs.google.com/spreadsheets/d/1-3Vjw2Cyy-mry5gbC8ypIR3YVGFfEpyFESummAta6sg/edit"", ""Sheet1!B:D""), 3, FALSE), ""Not Found"")"),"d ə d l i ")</f>
        <v>d ə d l i </v>
      </c>
    </row>
    <row r="1866">
      <c r="A1866" s="1" t="s">
        <v>1869</v>
      </c>
      <c r="B1866" s="1" t="s">
        <v>5</v>
      </c>
      <c r="C1866" s="2">
        <f>IFERROR(__xludf.DUMMYFUNCTION("IFERROR(VLOOKUP(A1866, IMPORTRANGE(""https://docs.google.com/spreadsheets/d/1AVX9GT0dgogEBStecCXMMQ29tWz3gBrtNB8yIromXbY/edit?gid=741673867"", ""out1g!A:B""), 2, FALSE), 0)"),185.0)</f>
        <v>185</v>
      </c>
      <c r="D1866" s="2" t="str">
        <f>IFERROR(__xludf.DUMMYFUNCTION("IFERROR(VLOOKUP(A1866, IMPORTRANGE(""https://docs.google.com/spreadsheets/d/1-3Vjw2Cyy-mry5gbC8ypIR3YVGFfEpyFESummAta6sg/edit"", ""Sheet1!B:D""), 2, FALSE), ""Not Found"")"),"loʊkəlz")</f>
        <v>loʊkəlz</v>
      </c>
      <c r="E1866" s="2" t="str">
        <f>IFERROR(__xludf.DUMMYFUNCTION("IFERROR(VLOOKUP(A1866, IMPORTRANGE(""https://docs.google.com/spreadsheets/d/1-3Vjw2Cyy-mry5gbC8ypIR3YVGFfEpyFESummAta6sg/edit"", ""Sheet1!B:D""), 3, FALSE), ""Not Found"")"),"l o ʊ k ə l z ")</f>
        <v>l o ʊ k ə l z </v>
      </c>
    </row>
    <row r="1867">
      <c r="A1867" s="1" t="s">
        <v>1870</v>
      </c>
      <c r="B1867" s="1" t="s">
        <v>5</v>
      </c>
      <c r="C1867" s="2">
        <f>IFERROR(__xludf.DUMMYFUNCTION("IFERROR(VLOOKUP(A1867, IMPORTRANGE(""https://docs.google.com/spreadsheets/d/1AVX9GT0dgogEBStecCXMMQ29tWz3gBrtNB8yIromXbY/edit?gid=741673867"", ""out1g!A:B""), 2, FALSE), 0)"),1818.0)</f>
        <v>1818</v>
      </c>
      <c r="D1867" s="2" t="str">
        <f>IFERROR(__xludf.DUMMYFUNCTION("IFERROR(VLOOKUP(A1867, IMPORTRANGE(""https://docs.google.com/spreadsheets/d/1-3Vjw2Cyy-mry5gbC8ypIR3YVGFfEpyFESummAta6sg/edit"", ""Sheet1!B:D""), 2, FALSE), ""Not Found"")"),"əwɛr")</f>
        <v>əwɛr</v>
      </c>
      <c r="E1867" s="2" t="str">
        <f>IFERROR(__xludf.DUMMYFUNCTION("IFERROR(VLOOKUP(A1867, IMPORTRANGE(""https://docs.google.com/spreadsheets/d/1-3Vjw2Cyy-mry5gbC8ypIR3YVGFfEpyFESummAta6sg/edit"", ""Sheet1!B:D""), 3, FALSE), ""Not Found"")"),"ə w ɛ r ")</f>
        <v>ə w ɛ r </v>
      </c>
    </row>
    <row r="1868">
      <c r="A1868" s="1" t="s">
        <v>1871</v>
      </c>
      <c r="B1868" s="1" t="s">
        <v>5</v>
      </c>
      <c r="C1868" s="2">
        <f>IFERROR(__xludf.DUMMYFUNCTION("IFERROR(VLOOKUP(A1868, IMPORTRANGE(""https://docs.google.com/spreadsheets/d/1AVX9GT0dgogEBStecCXMMQ29tWz3gBrtNB8yIromXbY/edit?gid=741673867"", ""out1g!A:B""), 2, FALSE), 0)"),61.0)</f>
        <v>61</v>
      </c>
      <c r="D1868" s="2" t="str">
        <f>IFERROR(__xludf.DUMMYFUNCTION("IFERROR(VLOOKUP(A1868, IMPORTRANGE(""https://docs.google.com/spreadsheets/d/1-3Vjw2Cyy-mry5gbC8ypIR3YVGFfEpyFESummAta6sg/edit"", ""Sheet1!B:D""), 2, FALSE), ""Not Found"")"),"tɪŋk")</f>
        <v>tɪŋk</v>
      </c>
      <c r="E1868" s="2" t="str">
        <f>IFERROR(__xludf.DUMMYFUNCTION("IFERROR(VLOOKUP(A1868, IMPORTRANGE(""https://docs.google.com/spreadsheets/d/1-3Vjw2Cyy-mry5gbC8ypIR3YVGFfEpyFESummAta6sg/edit"", ""Sheet1!B:D""), 3, FALSE), ""Not Found"")"),"t ɪ ŋ k ")</f>
        <v>t ɪ ŋ k </v>
      </c>
    </row>
    <row r="1869">
      <c r="A1869" s="1" t="s">
        <v>1872</v>
      </c>
      <c r="B1869" s="1" t="s">
        <v>5</v>
      </c>
      <c r="C1869" s="2">
        <f>IFERROR(__xludf.DUMMYFUNCTION("IFERROR(VLOOKUP(A1869, IMPORTRANGE(""https://docs.google.com/spreadsheets/d/1AVX9GT0dgogEBStecCXMMQ29tWz3gBrtNB8yIromXbY/edit?gid=741673867"", ""out1g!A:B""), 2, FALSE), 0)"),567.0)</f>
        <v>567</v>
      </c>
      <c r="D1869" s="2" t="str">
        <f>IFERROR(__xludf.DUMMYFUNCTION("IFERROR(VLOOKUP(A1869, IMPORTRANGE(""https://docs.google.com/spreadsheets/d/1-3Vjw2Cyy-mry5gbC8ypIR3YVGFfEpyFESummAta6sg/edit"", ""Sheet1!B:D""), 2, FALSE), ""Not Found"")"),"brændi")</f>
        <v>brændi</v>
      </c>
      <c r="E1869" s="2" t="str">
        <f>IFERROR(__xludf.DUMMYFUNCTION("IFERROR(VLOOKUP(A1869, IMPORTRANGE(""https://docs.google.com/spreadsheets/d/1-3Vjw2Cyy-mry5gbC8ypIR3YVGFfEpyFESummAta6sg/edit"", ""Sheet1!B:D""), 3, FALSE), ""Not Found"")"),"b r æ n d i ")</f>
        <v>b r æ n d i </v>
      </c>
    </row>
    <row r="1870">
      <c r="A1870" s="1" t="s">
        <v>1873</v>
      </c>
      <c r="B1870" s="1" t="s">
        <v>5</v>
      </c>
      <c r="C1870" s="2">
        <f>IFERROR(__xludf.DUMMYFUNCTION("IFERROR(VLOOKUP(A1870, IMPORTRANGE(""https://docs.google.com/spreadsheets/d/1AVX9GT0dgogEBStecCXMMQ29tWz3gBrtNB8yIromXbY/edit?gid=741673867"", ""out1g!A:B""), 2, FALSE), 0)"),320.0)</f>
        <v>320</v>
      </c>
      <c r="D1870" s="2" t="str">
        <f>IFERROR(__xludf.DUMMYFUNCTION("IFERROR(VLOOKUP(A1870, IMPORTRANGE(""https://docs.google.com/spreadsheets/d/1-3Vjw2Cyy-mry5gbC8ypIR3YVGFfEpyFESummAta6sg/edit"", ""Sheet1!B:D""), 2, FALSE), ""Not Found"")"),"spɑrk")</f>
        <v>spɑrk</v>
      </c>
      <c r="E1870" s="2" t="str">
        <f>IFERROR(__xludf.DUMMYFUNCTION("IFERROR(VLOOKUP(A1870, IMPORTRANGE(""https://docs.google.com/spreadsheets/d/1-3Vjw2Cyy-mry5gbC8ypIR3YVGFfEpyFESummAta6sg/edit"", ""Sheet1!B:D""), 3, FALSE), ""Not Found"")"),"s p ɑ r k ")</f>
        <v>s p ɑ r k </v>
      </c>
    </row>
    <row r="1871">
      <c r="A1871" s="1" t="s">
        <v>1874</v>
      </c>
      <c r="B1871" s="1" t="s">
        <v>5</v>
      </c>
      <c r="C1871" s="2">
        <f>IFERROR(__xludf.DUMMYFUNCTION("IFERROR(VLOOKUP(A1871, IMPORTRANGE(""https://docs.google.com/spreadsheets/d/1AVX9GT0dgogEBStecCXMMQ29tWz3gBrtNB8yIromXbY/edit?gid=741673867"", ""out1g!A:B""), 2, FALSE), 0)"),67.0)</f>
        <v>67</v>
      </c>
      <c r="D1871" s="2" t="str">
        <f>IFERROR(__xludf.DUMMYFUNCTION("IFERROR(VLOOKUP(A1871, IMPORTRANGE(""https://docs.google.com/spreadsheets/d/1-3Vjw2Cyy-mry5gbC8ypIR3YVGFfEpyFESummAta6sg/edit"", ""Sheet1!B:D""), 2, FALSE), ""Not Found"")"),"faɪvz")</f>
        <v>faɪvz</v>
      </c>
      <c r="E1871" s="2" t="str">
        <f>IFERROR(__xludf.DUMMYFUNCTION("IFERROR(VLOOKUP(A1871, IMPORTRANGE(""https://docs.google.com/spreadsheets/d/1-3Vjw2Cyy-mry5gbC8ypIR3YVGFfEpyFESummAta6sg/edit"", ""Sheet1!B:D""), 3, FALSE), ""Not Found"")"),"f a ɪ v z ")</f>
        <v>f a ɪ v z </v>
      </c>
    </row>
    <row r="1872">
      <c r="A1872" s="1" t="s">
        <v>1875</v>
      </c>
      <c r="B1872" s="1" t="s">
        <v>5</v>
      </c>
      <c r="C1872" s="2">
        <f>IFERROR(__xludf.DUMMYFUNCTION("IFERROR(VLOOKUP(A1872, IMPORTRANGE(""https://docs.google.com/spreadsheets/d/1AVX9GT0dgogEBStecCXMMQ29tWz3gBrtNB8yIromXbY/edit?gid=741673867"", ""out1g!A:B""), 2, FALSE), 0)"),2169.0)</f>
        <v>2169</v>
      </c>
      <c r="D1872" s="2" t="str">
        <f>IFERROR(__xludf.DUMMYFUNCTION("IFERROR(VLOOKUP(A1872, IMPORTRANGE(""https://docs.google.com/spreadsheets/d/1-3Vjw2Cyy-mry5gbC8ypIR3YVGFfEpyFESummAta6sg/edit"", ""Sheet1!B:D""), 2, FALSE), ""Not Found"")"),"ʤi")</f>
        <v>ʤi</v>
      </c>
      <c r="E1872" s="2" t="str">
        <f>IFERROR(__xludf.DUMMYFUNCTION("IFERROR(VLOOKUP(A1872, IMPORTRANGE(""https://docs.google.com/spreadsheets/d/1-3Vjw2Cyy-mry5gbC8ypIR3YVGFfEpyFESummAta6sg/edit"", ""Sheet1!B:D""), 3, FALSE), ""Not Found"")"),"ʤ i ")</f>
        <v>ʤ i </v>
      </c>
    </row>
    <row r="1873">
      <c r="A1873" s="1" t="s">
        <v>1876</v>
      </c>
      <c r="B1873" s="1" t="s">
        <v>5</v>
      </c>
      <c r="C1873" s="2">
        <f>IFERROR(__xludf.DUMMYFUNCTION("IFERROR(VLOOKUP(A1873, IMPORTRANGE(""https://docs.google.com/spreadsheets/d/1AVX9GT0dgogEBStecCXMMQ29tWz3gBrtNB8yIromXbY/edit?gid=741673867"", ""out1g!A:B""), 2, FALSE), 0)"),81.0)</f>
        <v>81</v>
      </c>
      <c r="D1873" s="2" t="str">
        <f>IFERROR(__xludf.DUMMYFUNCTION("IFERROR(VLOOKUP(A1873, IMPORTRANGE(""https://docs.google.com/spreadsheets/d/1-3Vjw2Cyy-mry5gbC8ypIR3YVGFfEpyFESummAta6sg/edit"", ""Sheet1!B:D""), 2, FALSE), ""Not Found"")"),"hən")</f>
        <v>hən</v>
      </c>
      <c r="E1873" s="2" t="str">
        <f>IFERROR(__xludf.DUMMYFUNCTION("IFERROR(VLOOKUP(A1873, IMPORTRANGE(""https://docs.google.com/spreadsheets/d/1-3Vjw2Cyy-mry5gbC8ypIR3YVGFfEpyFESummAta6sg/edit"", ""Sheet1!B:D""), 3, FALSE), ""Not Found"")"),"h ə n ")</f>
        <v>h ə n </v>
      </c>
    </row>
    <row r="1874">
      <c r="A1874" s="1" t="s">
        <v>1877</v>
      </c>
      <c r="B1874" s="1" t="s">
        <v>5</v>
      </c>
      <c r="C1874" s="2">
        <f>IFERROR(__xludf.DUMMYFUNCTION("IFERROR(VLOOKUP(A1874, IMPORTRANGE(""https://docs.google.com/spreadsheets/d/1AVX9GT0dgogEBStecCXMMQ29tWz3gBrtNB8yIromXbY/edit?gid=741673867"", ""out1g!A:B""), 2, FALSE), 0)"),60.0)</f>
        <v>60</v>
      </c>
      <c r="D1874" s="2" t="str">
        <f>IFERROR(__xludf.DUMMYFUNCTION("IFERROR(VLOOKUP(A1874, IMPORTRANGE(""https://docs.google.com/spreadsheets/d/1-3Vjw2Cyy-mry5gbC8ypIR3YVGFfEpyFESummAta6sg/edit"", ""Sheet1!B:D""), 2, FALSE), ""Not Found"")"),"kɑmz")</f>
        <v>kɑmz</v>
      </c>
      <c r="E1874" s="2" t="str">
        <f>IFERROR(__xludf.DUMMYFUNCTION("IFERROR(VLOOKUP(A1874, IMPORTRANGE(""https://docs.google.com/spreadsheets/d/1-3Vjw2Cyy-mry5gbC8ypIR3YVGFfEpyFESummAta6sg/edit"", ""Sheet1!B:D""), 3, FALSE), ""Not Found"")"),"k ɑ m z ")</f>
        <v>k ɑ m z </v>
      </c>
    </row>
    <row r="1875">
      <c r="A1875" s="1" t="s">
        <v>1878</v>
      </c>
      <c r="B1875" s="1" t="s">
        <v>5</v>
      </c>
      <c r="C1875" s="2">
        <f>IFERROR(__xludf.DUMMYFUNCTION("IFERROR(VLOOKUP(A1875, IMPORTRANGE(""https://docs.google.com/spreadsheets/d/1AVX9GT0dgogEBStecCXMMQ29tWz3gBrtNB8yIromXbY/edit?gid=741673867"", ""out1g!A:B""), 2, FALSE), 0)"),71.0)</f>
        <v>71</v>
      </c>
      <c r="D1875" s="2" t="str">
        <f>IFERROR(__xludf.DUMMYFUNCTION("IFERROR(VLOOKUP(A1875, IMPORTRANGE(""https://docs.google.com/spreadsheets/d/1-3Vjw2Cyy-mry5gbC8ypIR3YVGFfEpyFESummAta6sg/edit"", ""Sheet1!B:D""), 2, FALSE), ""Not Found"")"),"brɪtəl")</f>
        <v>brɪtəl</v>
      </c>
      <c r="E1875" s="2" t="str">
        <f>IFERROR(__xludf.DUMMYFUNCTION("IFERROR(VLOOKUP(A1875, IMPORTRANGE(""https://docs.google.com/spreadsheets/d/1-3Vjw2Cyy-mry5gbC8ypIR3YVGFfEpyFESummAta6sg/edit"", ""Sheet1!B:D""), 3, FALSE), ""Not Found"")"),"b r ɪ t ə l ")</f>
        <v>b r ɪ t ə l </v>
      </c>
    </row>
    <row r="1876">
      <c r="A1876" s="1" t="s">
        <v>1879</v>
      </c>
      <c r="B1876" s="1" t="s">
        <v>5</v>
      </c>
      <c r="C1876" s="2">
        <f>IFERROR(__xludf.DUMMYFUNCTION("IFERROR(VLOOKUP(A1876, IMPORTRANGE(""https://docs.google.com/spreadsheets/d/1AVX9GT0dgogEBStecCXMMQ29tWz3gBrtNB8yIromXbY/edit?gid=741673867"", ""out1g!A:B""), 2, FALSE), 0)"),291.0)</f>
        <v>291</v>
      </c>
      <c r="D1876" s="2" t="str">
        <f>IFERROR(__xludf.DUMMYFUNCTION("IFERROR(VLOOKUP(A1876, IMPORTRANGE(""https://docs.google.com/spreadsheets/d/1-3Vjw2Cyy-mry5gbC8ypIR3YVGFfEpyFESummAta6sg/edit"", ""Sheet1!B:D""), 2, FALSE), ""Not Found"")"),"taʊnz")</f>
        <v>taʊnz</v>
      </c>
      <c r="E1876" s="2" t="str">
        <f>IFERROR(__xludf.DUMMYFUNCTION("IFERROR(VLOOKUP(A1876, IMPORTRANGE(""https://docs.google.com/spreadsheets/d/1-3Vjw2Cyy-mry5gbC8ypIR3YVGFfEpyFESummAta6sg/edit"", ""Sheet1!B:D""), 3, FALSE), ""Not Found"")"),"t a ʊ n z ")</f>
        <v>t a ʊ n z </v>
      </c>
    </row>
    <row r="1877">
      <c r="A1877" s="1" t="s">
        <v>1880</v>
      </c>
      <c r="B1877" s="1" t="s">
        <v>5</v>
      </c>
      <c r="C1877" s="2">
        <f>IFERROR(__xludf.DUMMYFUNCTION("IFERROR(VLOOKUP(A1877, IMPORTRANGE(""https://docs.google.com/spreadsheets/d/1AVX9GT0dgogEBStecCXMMQ29tWz3gBrtNB8yIromXbY/edit?gid=741673867"", ""out1g!A:B""), 2, FALSE), 0)"),2451.0)</f>
        <v>2451</v>
      </c>
      <c r="D1877" s="2" t="str">
        <f>IFERROR(__xludf.DUMMYFUNCTION("IFERROR(VLOOKUP(A1877, IMPORTRANGE(""https://docs.google.com/spreadsheets/d/1-3Vjw2Cyy-mry5gbC8ypIR3YVGFfEpyFESummAta6sg/edit"", ""Sheet1!B:D""), 2, FALSE), ""Not Found"")"),"ʧuz")</f>
        <v>ʧuz</v>
      </c>
      <c r="E1877" s="2" t="str">
        <f>IFERROR(__xludf.DUMMYFUNCTION("IFERROR(VLOOKUP(A1877, IMPORTRANGE(""https://docs.google.com/spreadsheets/d/1-3Vjw2Cyy-mry5gbC8ypIR3YVGFfEpyFESummAta6sg/edit"", ""Sheet1!B:D""), 3, FALSE), ""Not Found"")"),"ʧ u z ")</f>
        <v>ʧ u z </v>
      </c>
    </row>
    <row r="1878">
      <c r="A1878" s="1" t="s">
        <v>1881</v>
      </c>
      <c r="B1878" s="1" t="s">
        <v>5</v>
      </c>
      <c r="C1878" s="2">
        <f>IFERROR(__xludf.DUMMYFUNCTION("IFERROR(VLOOKUP(A1878, IMPORTRANGE(""https://docs.google.com/spreadsheets/d/1AVX9GT0dgogEBStecCXMMQ29tWz3gBrtNB8yIromXbY/edit?gid=741673867"", ""out1g!A:B""), 2, FALSE), 0)"),42.0)</f>
        <v>42</v>
      </c>
      <c r="D1878" s="2" t="str">
        <f>IFERROR(__xludf.DUMMYFUNCTION("IFERROR(VLOOKUP(A1878, IMPORTRANGE(""https://docs.google.com/spreadsheets/d/1-3Vjw2Cyy-mry5gbC8ypIR3YVGFfEpyFESummAta6sg/edit"", ""Sheet1!B:D""), 2, FALSE), ""Not Found"")"),"spɪlt")</f>
        <v>spɪlt</v>
      </c>
      <c r="E1878" s="2" t="str">
        <f>IFERROR(__xludf.DUMMYFUNCTION("IFERROR(VLOOKUP(A1878, IMPORTRANGE(""https://docs.google.com/spreadsheets/d/1-3Vjw2Cyy-mry5gbC8ypIR3YVGFfEpyFESummAta6sg/edit"", ""Sheet1!B:D""), 3, FALSE), ""Not Found"")"),"s p ɪ l t ")</f>
        <v>s p ɪ l t </v>
      </c>
    </row>
    <row r="1879">
      <c r="A1879" s="1" t="s">
        <v>1882</v>
      </c>
      <c r="B1879" s="1" t="s">
        <v>5</v>
      </c>
      <c r="C1879" s="2">
        <f>IFERROR(__xludf.DUMMYFUNCTION("IFERROR(VLOOKUP(A1879, IMPORTRANGE(""https://docs.google.com/spreadsheets/d/1AVX9GT0dgogEBStecCXMMQ29tWz3gBrtNB8yIromXbY/edit?gid=741673867"", ""out1g!A:B""), 2, FALSE), 0)"),158.0)</f>
        <v>158</v>
      </c>
      <c r="D1879" s="2" t="str">
        <f>IFERROR(__xludf.DUMMYFUNCTION("IFERROR(VLOOKUP(A1879, IMPORTRANGE(""https://docs.google.com/spreadsheets/d/1-3Vjw2Cyy-mry5gbC8ypIR3YVGFfEpyFESummAta6sg/edit"", ""Sheet1!B:D""), 2, FALSE), ""Not Found"")"),"lɛfti")</f>
        <v>lɛfti</v>
      </c>
      <c r="E1879" s="2" t="str">
        <f>IFERROR(__xludf.DUMMYFUNCTION("IFERROR(VLOOKUP(A1879, IMPORTRANGE(""https://docs.google.com/spreadsheets/d/1-3Vjw2Cyy-mry5gbC8ypIR3YVGFfEpyFESummAta6sg/edit"", ""Sheet1!B:D""), 3, FALSE), ""Not Found"")"),"l ɛ f t i ")</f>
        <v>l ɛ f t i </v>
      </c>
    </row>
    <row r="1880">
      <c r="A1880" s="1" t="s">
        <v>1883</v>
      </c>
      <c r="B1880" s="1" t="s">
        <v>5</v>
      </c>
      <c r="C1880" s="2">
        <f>IFERROR(__xludf.DUMMYFUNCTION("IFERROR(VLOOKUP(A1880, IMPORTRANGE(""https://docs.google.com/spreadsheets/d/1AVX9GT0dgogEBStecCXMMQ29tWz3gBrtNB8yIromXbY/edit?gid=741673867"", ""out1g!A:B""), 2, FALSE), 0)"),131.0)</f>
        <v>131</v>
      </c>
      <c r="D1880" s="2" t="str">
        <f>IFERROR(__xludf.DUMMYFUNCTION("IFERROR(VLOOKUP(A1880, IMPORTRANGE(""https://docs.google.com/spreadsheets/d/1-3Vjw2Cyy-mry5gbC8ypIR3YVGFfEpyFESummAta6sg/edit"", ""Sheet1!B:D""), 2, FALSE), ""Not Found"")"),"tiki")</f>
        <v>tiki</v>
      </c>
      <c r="E1880" s="2" t="str">
        <f>IFERROR(__xludf.DUMMYFUNCTION("IFERROR(VLOOKUP(A1880, IMPORTRANGE(""https://docs.google.com/spreadsheets/d/1-3Vjw2Cyy-mry5gbC8ypIR3YVGFfEpyFESummAta6sg/edit"", ""Sheet1!B:D""), 3, FALSE), ""Not Found"")"),"t i k i ")</f>
        <v>t i k i </v>
      </c>
    </row>
    <row r="1881">
      <c r="A1881" s="1" t="s">
        <v>1884</v>
      </c>
      <c r="B1881" s="1" t="s">
        <v>5</v>
      </c>
      <c r="C1881" s="2">
        <f>IFERROR(__xludf.DUMMYFUNCTION("IFERROR(VLOOKUP(A1881, IMPORTRANGE(""https://docs.google.com/spreadsheets/d/1AVX9GT0dgogEBStecCXMMQ29tWz3gBrtNB8yIromXbY/edit?gid=741673867"", ""out1g!A:B""), 2, FALSE), 0)"),2562.0)</f>
        <v>2562</v>
      </c>
      <c r="D1881" s="2" t="str">
        <f>IFERROR(__xludf.DUMMYFUNCTION("IFERROR(VLOOKUP(A1881, IMPORTRANGE(""https://docs.google.com/spreadsheets/d/1-3Vjw2Cyy-mry5gbC8ypIR3YVGFfEpyFESummAta6sg/edit"", ""Sheet1!B:D""), 2, FALSE), ""Not Found"")"),"st")</f>
        <v>st</v>
      </c>
      <c r="E1881" s="2" t="str">
        <f>IFERROR(__xludf.DUMMYFUNCTION("IFERROR(VLOOKUP(A1881, IMPORTRANGE(""https://docs.google.com/spreadsheets/d/1-3Vjw2Cyy-mry5gbC8ypIR3YVGFfEpyFESummAta6sg/edit"", ""Sheet1!B:D""), 3, FALSE), ""Not Found"")"),"s t ")</f>
        <v>s t </v>
      </c>
    </row>
    <row r="1882">
      <c r="A1882" s="1" t="s">
        <v>1885</v>
      </c>
      <c r="B1882" s="1" t="s">
        <v>5</v>
      </c>
      <c r="C1882" s="2">
        <f>IFERROR(__xludf.DUMMYFUNCTION("IFERROR(VLOOKUP(A1882, IMPORTRANGE(""https://docs.google.com/spreadsheets/d/1AVX9GT0dgogEBStecCXMMQ29tWz3gBrtNB8yIromXbY/edit?gid=741673867"", ""out1g!A:B""), 2, FALSE), 0)"),69.0)</f>
        <v>69</v>
      </c>
      <c r="D1882" s="2" t="str">
        <f>IFERROR(__xludf.DUMMYFUNCTION("IFERROR(VLOOKUP(A1882, IMPORTRANGE(""https://docs.google.com/spreadsheets/d/1-3Vjw2Cyy-mry5gbC8ypIR3YVGFfEpyFESummAta6sg/edit"", ""Sheet1!B:D""), 2, FALSE), ""Not Found"")"),"twɪg")</f>
        <v>twɪg</v>
      </c>
      <c r="E1882" s="2" t="str">
        <f>IFERROR(__xludf.DUMMYFUNCTION("IFERROR(VLOOKUP(A1882, IMPORTRANGE(""https://docs.google.com/spreadsheets/d/1-3Vjw2Cyy-mry5gbC8ypIR3YVGFfEpyFESummAta6sg/edit"", ""Sheet1!B:D""), 3, FALSE), ""Not Found"")"),"t w ɪ g ")</f>
        <v>t w ɪ g </v>
      </c>
    </row>
    <row r="1883">
      <c r="A1883" s="1" t="s">
        <v>1886</v>
      </c>
      <c r="B1883" s="1" t="s">
        <v>5</v>
      </c>
      <c r="C1883" s="2">
        <f>IFERROR(__xludf.DUMMYFUNCTION("IFERROR(VLOOKUP(A1883, IMPORTRANGE(""https://docs.google.com/spreadsheets/d/1AVX9GT0dgogEBStecCXMMQ29tWz3gBrtNB8yIromXbY/edit?gid=741673867"", ""out1g!A:B""), 2, FALSE), 0)"),70.0)</f>
        <v>70</v>
      </c>
      <c r="D1883" s="2" t="str">
        <f>IFERROR(__xludf.DUMMYFUNCTION("IFERROR(VLOOKUP(A1883, IMPORTRANGE(""https://docs.google.com/spreadsheets/d/1-3Vjw2Cyy-mry5gbC8ypIR3YVGFfEpyFESummAta6sg/edit"", ""Sheet1!B:D""), 2, FALSE), ""Not Found"")"),"ʤoʊlt")</f>
        <v>ʤoʊlt</v>
      </c>
      <c r="E1883" s="2" t="str">
        <f>IFERROR(__xludf.DUMMYFUNCTION("IFERROR(VLOOKUP(A1883, IMPORTRANGE(""https://docs.google.com/spreadsheets/d/1-3Vjw2Cyy-mry5gbC8ypIR3YVGFfEpyFESummAta6sg/edit"", ""Sheet1!B:D""), 3, FALSE), ""Not Found"")"),"ʤ o ʊ l t ")</f>
        <v>ʤ o ʊ l t </v>
      </c>
    </row>
    <row r="1884">
      <c r="A1884" s="1" t="s">
        <v>1887</v>
      </c>
      <c r="B1884" s="1" t="s">
        <v>5</v>
      </c>
      <c r="C1884" s="2">
        <f>IFERROR(__xludf.DUMMYFUNCTION("IFERROR(VLOOKUP(A1884, IMPORTRANGE(""https://docs.google.com/spreadsheets/d/1AVX9GT0dgogEBStecCXMMQ29tWz3gBrtNB8yIromXbY/edit?gid=741673867"", ""out1g!A:B""), 2, FALSE), 0)"),12263.0)</f>
        <v>12263</v>
      </c>
      <c r="D1884" s="2" t="str">
        <f>IFERROR(__xludf.DUMMYFUNCTION("IFERROR(VLOOKUP(A1884, IMPORTRANGE(""https://docs.google.com/spreadsheets/d/1-3Vjw2Cyy-mry5gbC8ypIR3YVGFfEpyFESummAta6sg/edit"", ""Sheet1!B:D""), 2, FALSE), ""Not Found"")"),"tekɪŋ")</f>
        <v>tekɪŋ</v>
      </c>
      <c r="E1884" s="2" t="str">
        <f>IFERROR(__xludf.DUMMYFUNCTION("IFERROR(VLOOKUP(A1884, IMPORTRANGE(""https://docs.google.com/spreadsheets/d/1-3Vjw2Cyy-mry5gbC8ypIR3YVGFfEpyFESummAta6sg/edit"", ""Sheet1!B:D""), 3, FALSE), ""Not Found"")"),"t e k ɪ ŋ ")</f>
        <v>t e k ɪ ŋ </v>
      </c>
    </row>
    <row r="1885">
      <c r="A1885" s="1" t="s">
        <v>1888</v>
      </c>
      <c r="B1885" s="1" t="s">
        <v>5</v>
      </c>
      <c r="C1885" s="2">
        <f>IFERROR(__xludf.DUMMYFUNCTION("IFERROR(VLOOKUP(A1885, IMPORTRANGE(""https://docs.google.com/spreadsheets/d/1AVX9GT0dgogEBStecCXMMQ29tWz3gBrtNB8yIromXbY/edit?gid=741673867"", ""out1g!A:B""), 2, FALSE), 0)"),47.0)</f>
        <v>47</v>
      </c>
      <c r="D1885" s="2" t="str">
        <f>IFERROR(__xludf.DUMMYFUNCTION("IFERROR(VLOOKUP(A1885, IMPORTRANGE(""https://docs.google.com/spreadsheets/d/1-3Vjw2Cyy-mry5gbC8ypIR3YVGFfEpyFESummAta6sg/edit"", ""Sheet1!B:D""), 2, FALSE), ""Not Found"")"),"sɔri")</f>
        <v>sɔri</v>
      </c>
      <c r="E1885" s="2" t="str">
        <f>IFERROR(__xludf.DUMMYFUNCTION("IFERROR(VLOOKUP(A1885, IMPORTRANGE(""https://docs.google.com/spreadsheets/d/1-3Vjw2Cyy-mry5gbC8ypIR3YVGFfEpyFESummAta6sg/edit"", ""Sheet1!B:D""), 3, FALSE), ""Not Found"")"),"s ɔ r i ")</f>
        <v>s ɔ r i </v>
      </c>
    </row>
    <row r="1886">
      <c r="A1886" s="1" t="s">
        <v>1889</v>
      </c>
      <c r="B1886" s="1" t="s">
        <v>5</v>
      </c>
      <c r="C1886" s="2">
        <f>IFERROR(__xludf.DUMMYFUNCTION("IFERROR(VLOOKUP(A1886, IMPORTRANGE(""https://docs.google.com/spreadsheets/d/1AVX9GT0dgogEBStecCXMMQ29tWz3gBrtNB8yIromXbY/edit?gid=741673867"", ""out1g!A:B""), 2, FALSE), 0)"),468.0)</f>
        <v>468</v>
      </c>
      <c r="D1886" s="2" t="str">
        <f>IFERROR(__xludf.DUMMYFUNCTION("IFERROR(VLOOKUP(A1886, IMPORTRANGE(""https://docs.google.com/spreadsheets/d/1-3Vjw2Cyy-mry5gbC8ypIR3YVGFfEpyFESummAta6sg/edit"", ""Sheet1!B:D""), 2, FALSE), ""Not Found"")"),"hɔrər")</f>
        <v>hɔrər</v>
      </c>
      <c r="E1886" s="2" t="str">
        <f>IFERROR(__xludf.DUMMYFUNCTION("IFERROR(VLOOKUP(A1886, IMPORTRANGE(""https://docs.google.com/spreadsheets/d/1-3Vjw2Cyy-mry5gbC8ypIR3YVGFfEpyFESummAta6sg/edit"", ""Sheet1!B:D""), 3, FALSE), ""Not Found"")"),"h ɔ r ə r ")</f>
        <v>h ɔ r ə r </v>
      </c>
    </row>
    <row r="1887">
      <c r="A1887" s="1" t="s">
        <v>1890</v>
      </c>
      <c r="B1887" s="1" t="s">
        <v>5</v>
      </c>
      <c r="C1887" s="2">
        <f>IFERROR(__xludf.DUMMYFUNCTION("IFERROR(VLOOKUP(A1887, IMPORTRANGE(""https://docs.google.com/spreadsheets/d/1AVX9GT0dgogEBStecCXMMQ29tWz3gBrtNB8yIromXbY/edit?gid=741673867"", ""out1g!A:B""), 2, FALSE), 0)"),478.0)</f>
        <v>478</v>
      </c>
      <c r="D1887" s="2" t="str">
        <f>IFERROR(__xludf.DUMMYFUNCTION("IFERROR(VLOOKUP(A1887, IMPORTRANGE(""https://docs.google.com/spreadsheets/d/1-3Vjw2Cyy-mry5gbC8ypIR3YVGFfEpyFESummAta6sg/edit"", ""Sheet1!B:D""), 2, FALSE), ""Not Found"")"),"oʊz")</f>
        <v>oʊz</v>
      </c>
      <c r="E1887" s="2" t="str">
        <f>IFERROR(__xludf.DUMMYFUNCTION("IFERROR(VLOOKUP(A1887, IMPORTRANGE(""https://docs.google.com/spreadsheets/d/1-3Vjw2Cyy-mry5gbC8ypIR3YVGFfEpyFESummAta6sg/edit"", ""Sheet1!B:D""), 3, FALSE), ""Not Found"")"),"o ʊ z ")</f>
        <v>o ʊ z </v>
      </c>
    </row>
    <row r="1888">
      <c r="A1888" s="1" t="s">
        <v>1891</v>
      </c>
      <c r="B1888" s="1" t="s">
        <v>5</v>
      </c>
      <c r="C1888" s="2">
        <f>IFERROR(__xludf.DUMMYFUNCTION("IFERROR(VLOOKUP(A1888, IMPORTRANGE(""https://docs.google.com/spreadsheets/d/1AVX9GT0dgogEBStecCXMMQ29tWz3gBrtNB8yIromXbY/edit?gid=741673867"", ""out1g!A:B""), 2, FALSE), 0)"),2037.0)</f>
        <v>2037</v>
      </c>
      <c r="D1888" s="2" t="str">
        <f>IFERROR(__xludf.DUMMYFUNCTION("IFERROR(VLOOKUP(A1888, IMPORTRANGE(""https://docs.google.com/spreadsheets/d/1-3Vjw2Cyy-mry5gbC8ypIR3YVGFfEpyFESummAta6sg/edit"", ""Sheet1!B:D""), 2, FALSE), ""Not Found"")"),"gɛst")</f>
        <v>gɛst</v>
      </c>
      <c r="E1888" s="2" t="str">
        <f>IFERROR(__xludf.DUMMYFUNCTION("IFERROR(VLOOKUP(A1888, IMPORTRANGE(""https://docs.google.com/spreadsheets/d/1-3Vjw2Cyy-mry5gbC8ypIR3YVGFfEpyFESummAta6sg/edit"", ""Sheet1!B:D""), 3, FALSE), ""Not Found"")"),"g ɛ s t ")</f>
        <v>g ɛ s t </v>
      </c>
    </row>
    <row r="1889">
      <c r="A1889" s="1" t="s">
        <v>1892</v>
      </c>
      <c r="B1889" s="1" t="s">
        <v>5</v>
      </c>
      <c r="C1889" s="2">
        <f>IFERROR(__xludf.DUMMYFUNCTION("IFERROR(VLOOKUP(A1889, IMPORTRANGE(""https://docs.google.com/spreadsheets/d/1AVX9GT0dgogEBStecCXMMQ29tWz3gBrtNB8yIromXbY/edit?gid=741673867"", ""out1g!A:B""), 2, FALSE), 0)"),63.0)</f>
        <v>63</v>
      </c>
      <c r="D1889" s="2" t="str">
        <f>IFERROR(__xludf.DUMMYFUNCTION("IFERROR(VLOOKUP(A1889, IMPORTRANGE(""https://docs.google.com/spreadsheets/d/1-3Vjw2Cyy-mry5gbC8ypIR3YVGFfEpyFESummAta6sg/edit"", ""Sheet1!B:D""), 2, FALSE), ""Not Found"")"),"kɛrəl")</f>
        <v>kɛrəl</v>
      </c>
      <c r="E1889" s="2" t="str">
        <f>IFERROR(__xludf.DUMMYFUNCTION("IFERROR(VLOOKUP(A1889, IMPORTRANGE(""https://docs.google.com/spreadsheets/d/1-3Vjw2Cyy-mry5gbC8ypIR3YVGFfEpyFESummAta6sg/edit"", ""Sheet1!B:D""), 3, FALSE), ""Not Found"")"),"k ɛ r ə l ")</f>
        <v>k ɛ r ə l </v>
      </c>
    </row>
    <row r="1890">
      <c r="A1890" s="1" t="s">
        <v>1893</v>
      </c>
      <c r="B1890" s="1" t="s">
        <v>5</v>
      </c>
      <c r="C1890" s="2">
        <f>IFERROR(__xludf.DUMMYFUNCTION("IFERROR(VLOOKUP(A1890, IMPORTRANGE(""https://docs.google.com/spreadsheets/d/1AVX9GT0dgogEBStecCXMMQ29tWz3gBrtNB8yIromXbY/edit?gid=741673867"", ""out1g!A:B""), 2, FALSE), 0)"),181.0)</f>
        <v>181</v>
      </c>
      <c r="D1890" s="2" t="str">
        <f>IFERROR(__xludf.DUMMYFUNCTION("IFERROR(VLOOKUP(A1890, IMPORTRANGE(""https://docs.google.com/spreadsheets/d/1-3Vjw2Cyy-mry5gbC8ypIR3YVGFfEpyFESummAta6sg/edit"", ""Sheet1!B:D""), 2, FALSE), ""Not Found"")"),"gʊdi")</f>
        <v>gʊdi</v>
      </c>
      <c r="E1890" s="2" t="str">
        <f>IFERROR(__xludf.DUMMYFUNCTION("IFERROR(VLOOKUP(A1890, IMPORTRANGE(""https://docs.google.com/spreadsheets/d/1-3Vjw2Cyy-mry5gbC8ypIR3YVGFfEpyFESummAta6sg/edit"", ""Sheet1!B:D""), 3, FALSE), ""Not Found"")"),"g ʊ d i ")</f>
        <v>g ʊ d i </v>
      </c>
    </row>
    <row r="1891">
      <c r="A1891" s="1" t="s">
        <v>1894</v>
      </c>
      <c r="B1891" s="1" t="s">
        <v>5</v>
      </c>
      <c r="C1891" s="2">
        <f>IFERROR(__xludf.DUMMYFUNCTION("IFERROR(VLOOKUP(A1891, IMPORTRANGE(""https://docs.google.com/spreadsheets/d/1AVX9GT0dgogEBStecCXMMQ29tWz3gBrtNB8yIromXbY/edit?gid=741673867"", ""out1g!A:B""), 2, FALSE), 0)"),189.0)</f>
        <v>189</v>
      </c>
      <c r="D1891" s="2" t="str">
        <f>IFERROR(__xludf.DUMMYFUNCTION("IFERROR(VLOOKUP(A1891, IMPORTRANGE(""https://docs.google.com/spreadsheets/d/1-3Vjw2Cyy-mry5gbC8ypIR3YVGFfEpyFESummAta6sg/edit"", ""Sheet1!B:D""), 2, FALSE), ""Not Found"")"),"pɑmz")</f>
        <v>pɑmz</v>
      </c>
      <c r="E1891" s="2" t="str">
        <f>IFERROR(__xludf.DUMMYFUNCTION("IFERROR(VLOOKUP(A1891, IMPORTRANGE(""https://docs.google.com/spreadsheets/d/1-3Vjw2Cyy-mry5gbC8ypIR3YVGFfEpyFESummAta6sg/edit"", ""Sheet1!B:D""), 3, FALSE), ""Not Found"")"),"p ɑ m z ")</f>
        <v>p ɑ m z </v>
      </c>
    </row>
    <row r="1892">
      <c r="A1892" s="1" t="s">
        <v>1895</v>
      </c>
      <c r="B1892" s="1" t="s">
        <v>5</v>
      </c>
      <c r="C1892" s="2">
        <f>IFERROR(__xludf.DUMMYFUNCTION("IFERROR(VLOOKUP(A1892, IMPORTRANGE(""https://docs.google.com/spreadsheets/d/1AVX9GT0dgogEBStecCXMMQ29tWz3gBrtNB8yIromXbY/edit?gid=741673867"", ""out1g!A:B""), 2, FALSE), 0)"),46.0)</f>
        <v>46</v>
      </c>
      <c r="D1892" s="2" t="str">
        <f>IFERROR(__xludf.DUMMYFUNCTION("IFERROR(VLOOKUP(A1892, IMPORTRANGE(""https://docs.google.com/spreadsheets/d/1-3Vjw2Cyy-mry5gbC8ypIR3YVGFfEpyFESummAta6sg/edit"", ""Sheet1!B:D""), 2, FALSE), ""Not Found"")"),"rɑbz")</f>
        <v>rɑbz</v>
      </c>
      <c r="E1892" s="2" t="str">
        <f>IFERROR(__xludf.DUMMYFUNCTION("IFERROR(VLOOKUP(A1892, IMPORTRANGE(""https://docs.google.com/spreadsheets/d/1-3Vjw2Cyy-mry5gbC8ypIR3YVGFfEpyFESummAta6sg/edit"", ""Sheet1!B:D""), 3, FALSE), ""Not Found"")"),"r ɑ b z ")</f>
        <v>r ɑ b z </v>
      </c>
    </row>
    <row r="1893">
      <c r="A1893" s="1" t="s">
        <v>1896</v>
      </c>
      <c r="B1893" s="1" t="s">
        <v>5</v>
      </c>
      <c r="C1893" s="2">
        <f>IFERROR(__xludf.DUMMYFUNCTION("IFERROR(VLOOKUP(A1893, IMPORTRANGE(""https://docs.google.com/spreadsheets/d/1AVX9GT0dgogEBStecCXMMQ29tWz3gBrtNB8yIromXbY/edit?gid=741673867"", ""out1g!A:B""), 2, FALSE), 0)"),338.0)</f>
        <v>338</v>
      </c>
      <c r="D1893" s="2" t="str">
        <f>IFERROR(__xludf.DUMMYFUNCTION("IFERROR(VLOOKUP(A1893, IMPORTRANGE(""https://docs.google.com/spreadsheets/d/1-3Vjw2Cyy-mry5gbC8ypIR3YVGFfEpyFESummAta6sg/edit"", ""Sheet1!B:D""), 2, FALSE), ""Not Found"")"),"fɛðər")</f>
        <v>fɛðər</v>
      </c>
      <c r="E1893" s="2" t="str">
        <f>IFERROR(__xludf.DUMMYFUNCTION("IFERROR(VLOOKUP(A1893, IMPORTRANGE(""https://docs.google.com/spreadsheets/d/1-3Vjw2Cyy-mry5gbC8ypIR3YVGFfEpyFESummAta6sg/edit"", ""Sheet1!B:D""), 3, FALSE), ""Not Found"")"),"f ɛ ð ə r ")</f>
        <v>f ɛ ð ə r </v>
      </c>
    </row>
    <row r="1894">
      <c r="A1894" s="1" t="s">
        <v>1897</v>
      </c>
      <c r="B1894" s="1" t="s">
        <v>5</v>
      </c>
      <c r="C1894" s="2">
        <f>IFERROR(__xludf.DUMMYFUNCTION("IFERROR(VLOOKUP(A1894, IMPORTRANGE(""https://docs.google.com/spreadsheets/d/1AVX9GT0dgogEBStecCXMMQ29tWz3gBrtNB8yIromXbY/edit?gid=741673867"", ""out1g!A:B""), 2, FALSE), 0)"),598.0)</f>
        <v>598</v>
      </c>
      <c r="D1894" s="2" t="str">
        <f>IFERROR(__xludf.DUMMYFUNCTION("IFERROR(VLOOKUP(A1894, IMPORTRANGE(""https://docs.google.com/spreadsheets/d/1-3Vjw2Cyy-mry5gbC8ypIR3YVGFfEpyFESummAta6sg/edit"", ""Sheet1!B:D""), 2, FALSE), ""Not Found"")"),"pɑps")</f>
        <v>pɑps</v>
      </c>
      <c r="E1894" s="2" t="str">
        <f>IFERROR(__xludf.DUMMYFUNCTION("IFERROR(VLOOKUP(A1894, IMPORTRANGE(""https://docs.google.com/spreadsheets/d/1-3Vjw2Cyy-mry5gbC8ypIR3YVGFfEpyFESummAta6sg/edit"", ""Sheet1!B:D""), 3, FALSE), ""Not Found"")"),"p ɑ p s ")</f>
        <v>p ɑ p s </v>
      </c>
    </row>
    <row r="1895">
      <c r="A1895" s="1" t="s">
        <v>1898</v>
      </c>
      <c r="B1895" s="1" t="s">
        <v>5</v>
      </c>
      <c r="C1895" s="2">
        <f>IFERROR(__xludf.DUMMYFUNCTION("IFERROR(VLOOKUP(A1895, IMPORTRANGE(""https://docs.google.com/spreadsheets/d/1AVX9GT0dgogEBStecCXMMQ29tWz3gBrtNB8yIromXbY/edit?gid=741673867"", ""out1g!A:B""), 2, FALSE), 0)"),1115.0)</f>
        <v>1115</v>
      </c>
      <c r="D1895" s="2" t="str">
        <f>IFERROR(__xludf.DUMMYFUNCTION("IFERROR(VLOOKUP(A1895, IMPORTRANGE(""https://docs.google.com/spreadsheets/d/1-3Vjw2Cyy-mry5gbC8ypIR3YVGFfEpyFESummAta6sg/edit"", ""Sheet1!B:D""), 2, FALSE), ""Not Found"")"),"swɛt")</f>
        <v>swɛt</v>
      </c>
      <c r="E1895" s="2" t="str">
        <f>IFERROR(__xludf.DUMMYFUNCTION("IFERROR(VLOOKUP(A1895, IMPORTRANGE(""https://docs.google.com/spreadsheets/d/1-3Vjw2Cyy-mry5gbC8ypIR3YVGFfEpyFESummAta6sg/edit"", ""Sheet1!B:D""), 3, FALSE), ""Not Found"")"),"s w ɛ t ")</f>
        <v>s w ɛ t </v>
      </c>
    </row>
    <row r="1896">
      <c r="A1896" s="1" t="s">
        <v>1899</v>
      </c>
      <c r="B1896" s="1" t="s">
        <v>5</v>
      </c>
      <c r="C1896" s="2">
        <f>IFERROR(__xludf.DUMMYFUNCTION("IFERROR(VLOOKUP(A1896, IMPORTRANGE(""https://docs.google.com/spreadsheets/d/1AVX9GT0dgogEBStecCXMMQ29tWz3gBrtNB8yIromXbY/edit?gid=741673867"", ""out1g!A:B""), 2, FALSE), 0)"),479.0)</f>
        <v>479</v>
      </c>
      <c r="D1896" s="2" t="str">
        <f>IFERROR(__xludf.DUMMYFUNCTION("IFERROR(VLOOKUP(A1896, IMPORTRANGE(""https://docs.google.com/spreadsheets/d/1-3Vjw2Cyy-mry5gbC8ypIR3YVGFfEpyFESummAta6sg/edit"", ""Sheet1!B:D""), 2, FALSE), ""Not Found"")"),"taɪps")</f>
        <v>taɪps</v>
      </c>
      <c r="E1896" s="2" t="str">
        <f>IFERROR(__xludf.DUMMYFUNCTION("IFERROR(VLOOKUP(A1896, IMPORTRANGE(""https://docs.google.com/spreadsheets/d/1-3Vjw2Cyy-mry5gbC8ypIR3YVGFfEpyFESummAta6sg/edit"", ""Sheet1!B:D""), 3, FALSE), ""Not Found"")"),"t a ɪ p s ")</f>
        <v>t a ɪ p s </v>
      </c>
    </row>
    <row r="1897">
      <c r="A1897" s="1" t="s">
        <v>1900</v>
      </c>
      <c r="B1897" s="1" t="s">
        <v>5</v>
      </c>
      <c r="C1897" s="2">
        <f>IFERROR(__xludf.DUMMYFUNCTION("IFERROR(VLOOKUP(A1897, IMPORTRANGE(""https://docs.google.com/spreadsheets/d/1AVX9GT0dgogEBStecCXMMQ29tWz3gBrtNB8yIromXbY/edit?gid=741673867"", ""out1g!A:B""), 2, FALSE), 0)"),1406.0)</f>
        <v>1406</v>
      </c>
      <c r="D1897" s="2" t="str">
        <f>IFERROR(__xludf.DUMMYFUNCTION("IFERROR(VLOOKUP(A1897, IMPORTRANGE(""https://docs.google.com/spreadsheets/d/1-3Vjw2Cyy-mry5gbC8ypIR3YVGFfEpyFESummAta6sg/edit"", ""Sheet1!B:D""), 2, FALSE), ""Not Found"")"),"bəst")</f>
        <v>bəst</v>
      </c>
      <c r="E1897" s="2" t="str">
        <f>IFERROR(__xludf.DUMMYFUNCTION("IFERROR(VLOOKUP(A1897, IMPORTRANGE(""https://docs.google.com/spreadsheets/d/1-3Vjw2Cyy-mry5gbC8ypIR3YVGFfEpyFESummAta6sg/edit"", ""Sheet1!B:D""), 3, FALSE), ""Not Found"")"),"b ə s t ")</f>
        <v>b ə s t </v>
      </c>
    </row>
    <row r="1898">
      <c r="A1898" s="1" t="s">
        <v>1901</v>
      </c>
      <c r="B1898" s="1" t="s">
        <v>5</v>
      </c>
      <c r="C1898" s="2">
        <f>IFERROR(__xludf.DUMMYFUNCTION("IFERROR(VLOOKUP(A1898, IMPORTRANGE(""https://docs.google.com/spreadsheets/d/1AVX9GT0dgogEBStecCXMMQ29tWz3gBrtNB8yIromXbY/edit?gid=741673867"", ""out1g!A:B""), 2, FALSE), 0)"),974.0)</f>
        <v>974</v>
      </c>
      <c r="D1898" s="2" t="str">
        <f>IFERROR(__xludf.DUMMYFUNCTION("IFERROR(VLOOKUP(A1898, IMPORTRANGE(""https://docs.google.com/spreadsheets/d/1-3Vjw2Cyy-mry5gbC8ypIR3YVGFfEpyFESummAta6sg/edit"", ""Sheet1!B:D""), 2, FALSE), ""Not Found"")"),"baʊt")</f>
        <v>baʊt</v>
      </c>
      <c r="E1898" s="2" t="str">
        <f>IFERROR(__xludf.DUMMYFUNCTION("IFERROR(VLOOKUP(A1898, IMPORTRANGE(""https://docs.google.com/spreadsheets/d/1-3Vjw2Cyy-mry5gbC8ypIR3YVGFfEpyFESummAta6sg/edit"", ""Sheet1!B:D""), 3, FALSE), ""Not Found"")"),"b a ʊ t ")</f>
        <v>b a ʊ t </v>
      </c>
    </row>
    <row r="1899">
      <c r="A1899" s="1" t="s">
        <v>1902</v>
      </c>
      <c r="B1899" s="1" t="s">
        <v>5</v>
      </c>
      <c r="C1899" s="2">
        <f>IFERROR(__xludf.DUMMYFUNCTION("IFERROR(VLOOKUP(A1899, IMPORTRANGE(""https://docs.google.com/spreadsheets/d/1AVX9GT0dgogEBStecCXMMQ29tWz3gBrtNB8yIromXbY/edit?gid=741673867"", ""out1g!A:B""), 2, FALSE), 0)"),2722.0)</f>
        <v>2722</v>
      </c>
      <c r="D1899" s="2" t="str">
        <f>IFERROR(__xludf.DUMMYFUNCTION("IFERROR(VLOOKUP(A1899, IMPORTRANGE(""https://docs.google.com/spreadsheets/d/1-3Vjw2Cyy-mry5gbC8ypIR3YVGFfEpyFESummAta6sg/edit"", ""Sheet1!B:D""), 2, FALSE), ""Not Found"")"),"praɪs")</f>
        <v>praɪs</v>
      </c>
      <c r="E1899" s="2" t="str">
        <f>IFERROR(__xludf.DUMMYFUNCTION("IFERROR(VLOOKUP(A1899, IMPORTRANGE(""https://docs.google.com/spreadsheets/d/1-3Vjw2Cyy-mry5gbC8ypIR3YVGFfEpyFESummAta6sg/edit"", ""Sheet1!B:D""), 3, FALSE), ""Not Found"")"),"p r a ɪ s ")</f>
        <v>p r a ɪ s </v>
      </c>
    </row>
    <row r="1900">
      <c r="A1900" s="1" t="s">
        <v>1903</v>
      </c>
      <c r="B1900" s="1" t="s">
        <v>5</v>
      </c>
      <c r="C1900" s="2">
        <f>IFERROR(__xludf.DUMMYFUNCTION("IFERROR(VLOOKUP(A1900, IMPORTRANGE(""https://docs.google.com/spreadsheets/d/1AVX9GT0dgogEBStecCXMMQ29tWz3gBrtNB8yIromXbY/edit?gid=741673867"", ""out1g!A:B""), 2, FALSE), 0)"),14.0)</f>
        <v>14</v>
      </c>
      <c r="D1900" s="2" t="str">
        <f>IFERROR(__xludf.DUMMYFUNCTION("IFERROR(VLOOKUP(A1900, IMPORTRANGE(""https://docs.google.com/spreadsheets/d/1-3Vjw2Cyy-mry5gbC8ypIR3YVGFfEpyFESummAta6sg/edit"", ""Sheet1!B:D""), 2, FALSE), ""Not Found"")"),"reð")</f>
        <v>reð</v>
      </c>
      <c r="E1900" s="2" t="str">
        <f>IFERROR(__xludf.DUMMYFUNCTION("IFERROR(VLOOKUP(A1900, IMPORTRANGE(""https://docs.google.com/spreadsheets/d/1-3Vjw2Cyy-mry5gbC8ypIR3YVGFfEpyFESummAta6sg/edit"", ""Sheet1!B:D""), 3, FALSE), ""Not Found"")"),"r e ð ")</f>
        <v>r e ð </v>
      </c>
    </row>
    <row r="1901">
      <c r="A1901" s="1" t="s">
        <v>1904</v>
      </c>
      <c r="B1901" s="1" t="s">
        <v>5</v>
      </c>
      <c r="C1901" s="2">
        <f>IFERROR(__xludf.DUMMYFUNCTION("IFERROR(VLOOKUP(A1901, IMPORTRANGE(""https://docs.google.com/spreadsheets/d/1AVX9GT0dgogEBStecCXMMQ29tWz3gBrtNB8yIromXbY/edit?gid=741673867"", ""out1g!A:B""), 2, FALSE), 0)"),70.0)</f>
        <v>70</v>
      </c>
      <c r="D1901" s="2" t="str">
        <f>IFERROR(__xludf.DUMMYFUNCTION("IFERROR(VLOOKUP(A1901, IMPORTRANGE(""https://docs.google.com/spreadsheets/d/1-3Vjw2Cyy-mry5gbC8ypIR3YVGFfEpyFESummAta6sg/edit"", ""Sheet1!B:D""), 2, FALSE), ""Not Found"")"),"həmər")</f>
        <v>həmər</v>
      </c>
      <c r="E1901" s="2" t="str">
        <f>IFERROR(__xludf.DUMMYFUNCTION("IFERROR(VLOOKUP(A1901, IMPORTRANGE(""https://docs.google.com/spreadsheets/d/1-3Vjw2Cyy-mry5gbC8ypIR3YVGFfEpyFESummAta6sg/edit"", ""Sheet1!B:D""), 3, FALSE), ""Not Found"")"),"h ə m ə r ")</f>
        <v>h ə m ə r </v>
      </c>
    </row>
    <row r="1902">
      <c r="A1902" s="1" t="s">
        <v>1905</v>
      </c>
      <c r="B1902" s="1" t="s">
        <v>5</v>
      </c>
      <c r="C1902" s="2">
        <f>IFERROR(__xludf.DUMMYFUNCTION("IFERROR(VLOOKUP(A1902, IMPORTRANGE(""https://docs.google.com/spreadsheets/d/1AVX9GT0dgogEBStecCXMMQ29tWz3gBrtNB8yIromXbY/edit?gid=741673867"", ""out1g!A:B""), 2, FALSE), 0)"),87.0)</f>
        <v>87</v>
      </c>
      <c r="D1902" s="2" t="str">
        <f>IFERROR(__xludf.DUMMYFUNCTION("IFERROR(VLOOKUP(A1902, IMPORTRANGE(""https://docs.google.com/spreadsheets/d/1-3Vjw2Cyy-mry5gbC8ypIR3YVGFfEpyFESummAta6sg/edit"", ""Sheet1!B:D""), 2, FALSE), ""Not Found"")"),"həgd")</f>
        <v>həgd</v>
      </c>
      <c r="E1902" s="2" t="str">
        <f>IFERROR(__xludf.DUMMYFUNCTION("IFERROR(VLOOKUP(A1902, IMPORTRANGE(""https://docs.google.com/spreadsheets/d/1-3Vjw2Cyy-mry5gbC8ypIR3YVGFfEpyFESummAta6sg/edit"", ""Sheet1!B:D""), 3, FALSE), ""Not Found"")"),"h ə g d ")</f>
        <v>h ə g d </v>
      </c>
    </row>
    <row r="1903">
      <c r="A1903" s="1" t="s">
        <v>1906</v>
      </c>
      <c r="B1903" s="1" t="s">
        <v>5</v>
      </c>
      <c r="C1903" s="2">
        <f>IFERROR(__xludf.DUMMYFUNCTION("IFERROR(VLOOKUP(A1903, IMPORTRANGE(""https://docs.google.com/spreadsheets/d/1AVX9GT0dgogEBStecCXMMQ29tWz3gBrtNB8yIromXbY/edit?gid=741673867"", ""out1g!A:B""), 2, FALSE), 0)"),270.0)</f>
        <v>270</v>
      </c>
      <c r="D1903" s="2" t="str">
        <f>IFERROR(__xludf.DUMMYFUNCTION("IFERROR(VLOOKUP(A1903, IMPORTRANGE(""https://docs.google.com/spreadsheets/d/1-3Vjw2Cyy-mry5gbC8ypIR3YVGFfEpyFESummAta6sg/edit"", ""Sheet1!B:D""), 2, FALSE), ""Not Found"")"),"noʊvə")</f>
        <v>noʊvə</v>
      </c>
      <c r="E1903" s="2" t="str">
        <f>IFERROR(__xludf.DUMMYFUNCTION("IFERROR(VLOOKUP(A1903, IMPORTRANGE(""https://docs.google.com/spreadsheets/d/1-3Vjw2Cyy-mry5gbC8ypIR3YVGFfEpyFESummAta6sg/edit"", ""Sheet1!B:D""), 3, FALSE), ""Not Found"")"),"n o ʊ v ə ")</f>
        <v>n o ʊ v ə </v>
      </c>
    </row>
    <row r="1904">
      <c r="A1904" s="1" t="s">
        <v>1907</v>
      </c>
      <c r="B1904" s="1" t="s">
        <v>5</v>
      </c>
      <c r="C1904" s="2">
        <f>IFERROR(__xludf.DUMMYFUNCTION("IFERROR(VLOOKUP(A1904, IMPORTRANGE(""https://docs.google.com/spreadsheets/d/1AVX9GT0dgogEBStecCXMMQ29tWz3gBrtNB8yIromXbY/edit?gid=741673867"", ""out1g!A:B""), 2, FALSE), 0)"),535.0)</f>
        <v>535</v>
      </c>
      <c r="D1904" s="2" t="str">
        <f>IFERROR(__xludf.DUMMYFUNCTION("IFERROR(VLOOKUP(A1904, IMPORTRANGE(""https://docs.google.com/spreadsheets/d/1-3Vjw2Cyy-mry5gbC8ypIR3YVGFfEpyFESummAta6sg/edit"", ""Sheet1!B:D""), 2, FALSE), ""Not Found"")"),"mɑrz")</f>
        <v>mɑrz</v>
      </c>
      <c r="E1904" s="2" t="str">
        <f>IFERROR(__xludf.DUMMYFUNCTION("IFERROR(VLOOKUP(A1904, IMPORTRANGE(""https://docs.google.com/spreadsheets/d/1-3Vjw2Cyy-mry5gbC8ypIR3YVGFfEpyFESummAta6sg/edit"", ""Sheet1!B:D""), 3, FALSE), ""Not Found"")"),"m ɑ r z ")</f>
        <v>m ɑ r z </v>
      </c>
    </row>
    <row r="1905">
      <c r="A1905" s="1" t="s">
        <v>1908</v>
      </c>
      <c r="B1905" s="1" t="s">
        <v>5</v>
      </c>
      <c r="C1905" s="2">
        <f>IFERROR(__xludf.DUMMYFUNCTION("IFERROR(VLOOKUP(A1905, IMPORTRANGE(""https://docs.google.com/spreadsheets/d/1AVX9GT0dgogEBStecCXMMQ29tWz3gBrtNB8yIromXbY/edit?gid=741673867"", ""out1g!A:B""), 2, FALSE), 0)"),19.0)</f>
        <v>19</v>
      </c>
      <c r="D1905" s="2" t="str">
        <f>IFERROR(__xludf.DUMMYFUNCTION("IFERROR(VLOOKUP(A1905, IMPORTRANGE(""https://docs.google.com/spreadsheets/d/1-3Vjw2Cyy-mry5gbC8ypIR3YVGFfEpyFESummAta6sg/edit"", ""Sheet1!B:D""), 2, FALSE), ""Not Found"")"),"oʊθs")</f>
        <v>oʊθs</v>
      </c>
      <c r="E1905" s="2" t="str">
        <f>IFERROR(__xludf.DUMMYFUNCTION("IFERROR(VLOOKUP(A1905, IMPORTRANGE(""https://docs.google.com/spreadsheets/d/1-3Vjw2Cyy-mry5gbC8ypIR3YVGFfEpyFESummAta6sg/edit"", ""Sheet1!B:D""), 3, FALSE), ""Not Found"")"),"o ʊ θ s ")</f>
        <v>o ʊ θ s </v>
      </c>
    </row>
    <row r="1906">
      <c r="A1906" s="1" t="s">
        <v>1909</v>
      </c>
      <c r="B1906" s="1" t="s">
        <v>5</v>
      </c>
      <c r="C1906" s="2">
        <f>IFERROR(__xludf.DUMMYFUNCTION("IFERROR(VLOOKUP(A1906, IMPORTRANGE(""https://docs.google.com/spreadsheets/d/1AVX9GT0dgogEBStecCXMMQ29tWz3gBrtNB8yIromXbY/edit?gid=741673867"", ""out1g!A:B""), 2, FALSE), 0)"),76.0)</f>
        <v>76</v>
      </c>
      <c r="D1906" s="2" t="str">
        <f>IFERROR(__xludf.DUMMYFUNCTION("IFERROR(VLOOKUP(A1906, IMPORTRANGE(""https://docs.google.com/spreadsheets/d/1-3Vjw2Cyy-mry5gbC8ypIR3YVGFfEpyFESummAta6sg/edit"", ""Sheet1!B:D""), 2, FALSE), ""Not Found"")"),"gez")</f>
        <v>gez</v>
      </c>
      <c r="E1906" s="2" t="str">
        <f>IFERROR(__xludf.DUMMYFUNCTION("IFERROR(VLOOKUP(A1906, IMPORTRANGE(""https://docs.google.com/spreadsheets/d/1-3Vjw2Cyy-mry5gbC8ypIR3YVGFfEpyFESummAta6sg/edit"", ""Sheet1!B:D""), 3, FALSE), ""Not Found"")"),"g e z ")</f>
        <v>g e z </v>
      </c>
    </row>
    <row r="1907">
      <c r="A1907" s="1" t="s">
        <v>1910</v>
      </c>
      <c r="B1907" s="1" t="s">
        <v>5</v>
      </c>
      <c r="C1907" s="2">
        <f>IFERROR(__xludf.DUMMYFUNCTION("IFERROR(VLOOKUP(A1907, IMPORTRANGE(""https://docs.google.com/spreadsheets/d/1AVX9GT0dgogEBStecCXMMQ29tWz3gBrtNB8yIromXbY/edit?gid=741673867"", ""out1g!A:B""), 2, FALSE), 0)"),5177.0)</f>
        <v>5177</v>
      </c>
      <c r="D1907" s="2" t="str">
        <f>IFERROR(__xludf.DUMMYFUNCTION("IFERROR(VLOOKUP(A1907, IMPORTRANGE(""https://docs.google.com/spreadsheets/d/1-3Vjw2Cyy-mry5gbC8ypIR3YVGFfEpyFESummAta6sg/edit"", ""Sheet1!B:D""), 2, FALSE), ""Not Found"")"),"wənz")</f>
        <v>wənz</v>
      </c>
      <c r="E1907" s="2" t="str">
        <f>IFERROR(__xludf.DUMMYFUNCTION("IFERROR(VLOOKUP(A1907, IMPORTRANGE(""https://docs.google.com/spreadsheets/d/1-3Vjw2Cyy-mry5gbC8ypIR3YVGFfEpyFESummAta6sg/edit"", ""Sheet1!B:D""), 3, FALSE), ""Not Found"")"),"w ə n z ")</f>
        <v>w ə n z </v>
      </c>
    </row>
    <row r="1908">
      <c r="A1908" s="1" t="s">
        <v>1911</v>
      </c>
      <c r="B1908" s="1" t="s">
        <v>5</v>
      </c>
      <c r="C1908" s="2">
        <f>IFERROR(__xludf.DUMMYFUNCTION("IFERROR(VLOOKUP(A1908, IMPORTRANGE(""https://docs.google.com/spreadsheets/d/1AVX9GT0dgogEBStecCXMMQ29tWz3gBrtNB8yIromXbY/edit?gid=741673867"", ""out1g!A:B""), 2, FALSE), 0)"),67.0)</f>
        <v>67</v>
      </c>
      <c r="D1908" s="2" t="str">
        <f>IFERROR(__xludf.DUMMYFUNCTION("IFERROR(VLOOKUP(A1908, IMPORTRANGE(""https://docs.google.com/spreadsheets/d/1-3Vjw2Cyy-mry5gbC8ypIR3YVGFfEpyFESummAta6sg/edit"", ""Sheet1!B:D""), 2, FALSE), ""Not Found"")"),"pɛlət")</f>
        <v>pɛlət</v>
      </c>
      <c r="E1908" s="2" t="str">
        <f>IFERROR(__xludf.DUMMYFUNCTION("IFERROR(VLOOKUP(A1908, IMPORTRANGE(""https://docs.google.com/spreadsheets/d/1-3Vjw2Cyy-mry5gbC8ypIR3YVGFfEpyFESummAta6sg/edit"", ""Sheet1!B:D""), 3, FALSE), ""Not Found"")"),"p ɛ l ə t ")</f>
        <v>p ɛ l ə t </v>
      </c>
    </row>
    <row r="1909">
      <c r="A1909" s="1" t="s">
        <v>1912</v>
      </c>
      <c r="B1909" s="1" t="s">
        <v>5</v>
      </c>
      <c r="C1909" s="2">
        <f>IFERROR(__xludf.DUMMYFUNCTION("IFERROR(VLOOKUP(A1909, IMPORTRANGE(""https://docs.google.com/spreadsheets/d/1AVX9GT0dgogEBStecCXMMQ29tWz3gBrtNB8yIromXbY/edit?gid=741673867"", ""out1g!A:B""), 2, FALSE), 0)"),63.0)</f>
        <v>63</v>
      </c>
      <c r="D1909" s="2" t="str">
        <f>IFERROR(__xludf.DUMMYFUNCTION("IFERROR(VLOOKUP(A1909, IMPORTRANGE(""https://docs.google.com/spreadsheets/d/1-3Vjw2Cyy-mry5gbC8ypIR3YVGFfEpyFESummAta6sg/edit"", ""Sheet1!B:D""), 2, FALSE), ""Not Found"")"),"flɔd")</f>
        <v>flɔd</v>
      </c>
      <c r="E1909" s="2" t="str">
        <f>IFERROR(__xludf.DUMMYFUNCTION("IFERROR(VLOOKUP(A1909, IMPORTRANGE(""https://docs.google.com/spreadsheets/d/1-3Vjw2Cyy-mry5gbC8ypIR3YVGFfEpyFESummAta6sg/edit"", ""Sheet1!B:D""), 3, FALSE), ""Not Found"")"),"f l ɔ d ")</f>
        <v>f l ɔ d </v>
      </c>
    </row>
    <row r="1910">
      <c r="A1910" s="1" t="s">
        <v>1913</v>
      </c>
      <c r="B1910" s="1" t="s">
        <v>5</v>
      </c>
      <c r="C1910" s="2">
        <f>IFERROR(__xludf.DUMMYFUNCTION("IFERROR(VLOOKUP(A1910, IMPORTRANGE(""https://docs.google.com/spreadsheets/d/1AVX9GT0dgogEBStecCXMMQ29tWz3gBrtNB8yIromXbY/edit?gid=741673867"", ""out1g!A:B""), 2, FALSE), 0)"),160.0)</f>
        <v>160</v>
      </c>
      <c r="D1910" s="2" t="str">
        <f>IFERROR(__xludf.DUMMYFUNCTION("IFERROR(VLOOKUP(A1910, IMPORTRANGE(""https://docs.google.com/spreadsheets/d/1-3Vjw2Cyy-mry5gbC8ypIR3YVGFfEpyFESummAta6sg/edit"", ""Sheet1!B:D""), 2, FALSE), ""Not Found"")"),"hɪrə")</f>
        <v>hɪrə</v>
      </c>
      <c r="E1910" s="2" t="str">
        <f>IFERROR(__xludf.DUMMYFUNCTION("IFERROR(VLOOKUP(A1910, IMPORTRANGE(""https://docs.google.com/spreadsheets/d/1-3Vjw2Cyy-mry5gbC8ypIR3YVGFfEpyFESummAta6sg/edit"", ""Sheet1!B:D""), 3, FALSE), ""Not Found"")"),"h ɪ r ə ")</f>
        <v>h ɪ r ə </v>
      </c>
    </row>
    <row r="1911">
      <c r="A1911" s="1" t="s">
        <v>1914</v>
      </c>
      <c r="B1911" s="1" t="s">
        <v>5</v>
      </c>
      <c r="C1911" s="2">
        <f>IFERROR(__xludf.DUMMYFUNCTION("IFERROR(VLOOKUP(A1911, IMPORTRANGE(""https://docs.google.com/spreadsheets/d/1AVX9GT0dgogEBStecCXMMQ29tWz3gBrtNB8yIromXbY/edit?gid=741673867"", ""out1g!A:B""), 2, FALSE), 0)"),82.0)</f>
        <v>82</v>
      </c>
      <c r="D1911" s="2" t="str">
        <f>IFERROR(__xludf.DUMMYFUNCTION("IFERROR(VLOOKUP(A1911, IMPORTRANGE(""https://docs.google.com/spreadsheets/d/1-3Vjw2Cyy-mry5gbC8ypIR3YVGFfEpyFESummAta6sg/edit"", ""Sheet1!B:D""), 2, FALSE), ""Not Found"")"),"fitəs")</f>
        <v>fitəs</v>
      </c>
      <c r="E1911" s="2" t="str">
        <f>IFERROR(__xludf.DUMMYFUNCTION("IFERROR(VLOOKUP(A1911, IMPORTRANGE(""https://docs.google.com/spreadsheets/d/1-3Vjw2Cyy-mry5gbC8ypIR3YVGFfEpyFESummAta6sg/edit"", ""Sheet1!B:D""), 3, FALSE), ""Not Found"")"),"f i t ə s ")</f>
        <v>f i t ə s </v>
      </c>
    </row>
    <row r="1912">
      <c r="A1912" s="1" t="s">
        <v>1915</v>
      </c>
      <c r="B1912" s="1" t="s">
        <v>5</v>
      </c>
      <c r="C1912" s="2">
        <f>IFERROR(__xludf.DUMMYFUNCTION("IFERROR(VLOOKUP(A1912, IMPORTRANGE(""https://docs.google.com/spreadsheets/d/1AVX9GT0dgogEBStecCXMMQ29tWz3gBrtNB8yIromXbY/edit?gid=741673867"", ""out1g!A:B""), 2, FALSE), 0)"),599.0)</f>
        <v>599</v>
      </c>
      <c r="D1912" s="2" t="str">
        <f>IFERROR(__xludf.DUMMYFUNCTION("IFERROR(VLOOKUP(A1912, IMPORTRANGE(""https://docs.google.com/spreadsheets/d/1-3Vjw2Cyy-mry5gbC8ypIR3YVGFfEpyFESummAta6sg/edit"", ""Sheet1!B:D""), 2, FALSE), ""Not Found"")"),"biɪŋz")</f>
        <v>biɪŋz</v>
      </c>
      <c r="E1912" s="2" t="str">
        <f>IFERROR(__xludf.DUMMYFUNCTION("IFERROR(VLOOKUP(A1912, IMPORTRANGE(""https://docs.google.com/spreadsheets/d/1-3Vjw2Cyy-mry5gbC8ypIR3YVGFfEpyFESummAta6sg/edit"", ""Sheet1!B:D""), 3, FALSE), ""Not Found"")"),"b i ɪ ŋ z ")</f>
        <v>b i ɪ ŋ z </v>
      </c>
    </row>
    <row r="1913">
      <c r="A1913" s="1" t="s">
        <v>1916</v>
      </c>
      <c r="B1913" s="1" t="s">
        <v>5</v>
      </c>
      <c r="C1913" s="2">
        <f>IFERROR(__xludf.DUMMYFUNCTION("IFERROR(VLOOKUP(A1913, IMPORTRANGE(""https://docs.google.com/spreadsheets/d/1AVX9GT0dgogEBStecCXMMQ29tWz3gBrtNB8yIromXbY/edit?gid=741673867"", ""out1g!A:B""), 2, FALSE), 0)"),107.0)</f>
        <v>107</v>
      </c>
      <c r="D1913" s="2" t="str">
        <f>IFERROR(__xludf.DUMMYFUNCTION("IFERROR(VLOOKUP(A1913, IMPORTRANGE(""https://docs.google.com/spreadsheets/d/1-3Vjw2Cyy-mry5gbC8ypIR3YVGFfEpyFESummAta6sg/edit"", ""Sheet1!B:D""), 2, FALSE), ""Not Found"")"),"hɑs")</f>
        <v>hɑs</v>
      </c>
      <c r="E1913" s="2" t="str">
        <f>IFERROR(__xludf.DUMMYFUNCTION("IFERROR(VLOOKUP(A1913, IMPORTRANGE(""https://docs.google.com/spreadsheets/d/1-3Vjw2Cyy-mry5gbC8ypIR3YVGFfEpyFESummAta6sg/edit"", ""Sheet1!B:D""), 3, FALSE), ""Not Found"")"),"h ɑ s ")</f>
        <v>h ɑ s </v>
      </c>
    </row>
    <row r="1914">
      <c r="A1914" s="1" t="s">
        <v>1917</v>
      </c>
      <c r="B1914" s="1" t="s">
        <v>5</v>
      </c>
      <c r="C1914" s="2">
        <f>IFERROR(__xludf.DUMMYFUNCTION("IFERROR(VLOOKUP(A1914, IMPORTRANGE(""https://docs.google.com/spreadsheets/d/1AVX9GT0dgogEBStecCXMMQ29tWz3gBrtNB8yIromXbY/edit?gid=741673867"", ""out1g!A:B""), 2, FALSE), 0)"),241.0)</f>
        <v>241</v>
      </c>
      <c r="D1914" s="2" t="str">
        <f>IFERROR(__xludf.DUMMYFUNCTION("IFERROR(VLOOKUP(A1914, IMPORTRANGE(""https://docs.google.com/spreadsheets/d/1-3Vjw2Cyy-mry5gbC8ypIR3YVGFfEpyFESummAta6sg/edit"", ""Sheet1!B:D""), 2, FALSE), ""Not Found"")"),"rəbɪŋ")</f>
        <v>rəbɪŋ</v>
      </c>
      <c r="E1914" s="2" t="str">
        <f>IFERROR(__xludf.DUMMYFUNCTION("IFERROR(VLOOKUP(A1914, IMPORTRANGE(""https://docs.google.com/spreadsheets/d/1-3Vjw2Cyy-mry5gbC8ypIR3YVGFfEpyFESummAta6sg/edit"", ""Sheet1!B:D""), 3, FALSE), ""Not Found"")"),"r ə b ɪ ŋ ")</f>
        <v>r ə b ɪ ŋ </v>
      </c>
    </row>
    <row r="1915">
      <c r="A1915" s="1" t="s">
        <v>1918</v>
      </c>
      <c r="B1915" s="1" t="s">
        <v>5</v>
      </c>
      <c r="C1915" s="2">
        <f>IFERROR(__xludf.DUMMYFUNCTION("IFERROR(VLOOKUP(A1915, IMPORTRANGE(""https://docs.google.com/spreadsheets/d/1AVX9GT0dgogEBStecCXMMQ29tWz3gBrtNB8yIromXbY/edit?gid=741673867"", ""out1g!A:B""), 2, FALSE), 0)"),77.0)</f>
        <v>77</v>
      </c>
      <c r="D1915" s="2" t="str">
        <f>IFERROR(__xludf.DUMMYFUNCTION("IFERROR(VLOOKUP(A1915, IMPORTRANGE(""https://docs.google.com/spreadsheets/d/1-3Vjw2Cyy-mry5gbC8ypIR3YVGFfEpyFESummAta6sg/edit"", ""Sheet1!B:D""), 2, FALSE), ""Not Found"")"),"slæʃt")</f>
        <v>slæʃt</v>
      </c>
      <c r="E1915" s="2" t="str">
        <f>IFERROR(__xludf.DUMMYFUNCTION("IFERROR(VLOOKUP(A1915, IMPORTRANGE(""https://docs.google.com/spreadsheets/d/1-3Vjw2Cyy-mry5gbC8ypIR3YVGFfEpyFESummAta6sg/edit"", ""Sheet1!B:D""), 3, FALSE), ""Not Found"")"),"s l æ ʃ t ")</f>
        <v>s l æ ʃ t </v>
      </c>
    </row>
    <row r="1916">
      <c r="A1916" s="1" t="s">
        <v>1919</v>
      </c>
      <c r="B1916" s="1" t="s">
        <v>5</v>
      </c>
      <c r="C1916" s="2">
        <f>IFERROR(__xludf.DUMMYFUNCTION("IFERROR(VLOOKUP(A1916, IMPORTRANGE(""https://docs.google.com/spreadsheets/d/1AVX9GT0dgogEBStecCXMMQ29tWz3gBrtNB8yIromXbY/edit?gid=741673867"", ""out1g!A:B""), 2, FALSE), 0)"),109.0)</f>
        <v>109</v>
      </c>
      <c r="D1916" s="2" t="str">
        <f>IFERROR(__xludf.DUMMYFUNCTION("IFERROR(VLOOKUP(A1916, IMPORTRANGE(""https://docs.google.com/spreadsheets/d/1-3Vjw2Cyy-mry5gbC8ypIR3YVGFfEpyFESummAta6sg/edit"", ""Sheet1!B:D""), 2, FALSE), ""Not Found"")"),"græn")</f>
        <v>græn</v>
      </c>
      <c r="E1916" s="2" t="str">
        <f>IFERROR(__xludf.DUMMYFUNCTION("IFERROR(VLOOKUP(A1916, IMPORTRANGE(""https://docs.google.com/spreadsheets/d/1-3Vjw2Cyy-mry5gbC8ypIR3YVGFfEpyFESummAta6sg/edit"", ""Sheet1!B:D""), 3, FALSE), ""Not Found"")"),"g r æ n ")</f>
        <v>g r æ n </v>
      </c>
    </row>
    <row r="1917">
      <c r="A1917" s="1" t="s">
        <v>1920</v>
      </c>
      <c r="B1917" s="1" t="s">
        <v>5</v>
      </c>
      <c r="C1917" s="2">
        <f>IFERROR(__xludf.DUMMYFUNCTION("IFERROR(VLOOKUP(A1917, IMPORTRANGE(""https://docs.google.com/spreadsheets/d/1AVX9GT0dgogEBStecCXMMQ29tWz3gBrtNB8yIromXbY/edit?gid=741673867"", ""out1g!A:B""), 2, FALSE), 0)"),231.0)</f>
        <v>231</v>
      </c>
      <c r="D1917" s="2" t="str">
        <f>IFERROR(__xludf.DUMMYFUNCTION("IFERROR(VLOOKUP(A1917, IMPORTRANGE(""https://docs.google.com/spreadsheets/d/1-3Vjw2Cyy-mry5gbC8ypIR3YVGFfEpyFESummAta6sg/edit"", ""Sheet1!B:D""), 2, FALSE), ""Not Found"")"),"mɛtroʊ")</f>
        <v>mɛtroʊ</v>
      </c>
      <c r="E1917" s="2" t="str">
        <f>IFERROR(__xludf.DUMMYFUNCTION("IFERROR(VLOOKUP(A1917, IMPORTRANGE(""https://docs.google.com/spreadsheets/d/1-3Vjw2Cyy-mry5gbC8ypIR3YVGFfEpyFESummAta6sg/edit"", ""Sheet1!B:D""), 3, FALSE), ""Not Found"")"),"m ɛ t r o ʊ ")</f>
        <v>m ɛ t r o ʊ </v>
      </c>
    </row>
    <row r="1918">
      <c r="A1918" s="1" t="s">
        <v>1921</v>
      </c>
      <c r="B1918" s="1" t="s">
        <v>5</v>
      </c>
      <c r="C1918" s="2">
        <f>IFERROR(__xludf.DUMMYFUNCTION("IFERROR(VLOOKUP(A1918, IMPORTRANGE(""https://docs.google.com/spreadsheets/d/1AVX9GT0dgogEBStecCXMMQ29tWz3gBrtNB8yIromXbY/edit?gid=741673867"", ""out1g!A:B""), 2, FALSE), 0)"),80.0)</f>
        <v>80</v>
      </c>
      <c r="D1918" s="2" t="str">
        <f>IFERROR(__xludf.DUMMYFUNCTION("IFERROR(VLOOKUP(A1918, IMPORTRANGE(""https://docs.google.com/spreadsheets/d/1-3Vjw2Cyy-mry5gbC8ypIR3YVGFfEpyFESummAta6sg/edit"", ""Sheet1!B:D""), 2, FALSE), ""Not Found"")"),"kaɪzər")</f>
        <v>kaɪzər</v>
      </c>
      <c r="E1918" s="2" t="str">
        <f>IFERROR(__xludf.DUMMYFUNCTION("IFERROR(VLOOKUP(A1918, IMPORTRANGE(""https://docs.google.com/spreadsheets/d/1-3Vjw2Cyy-mry5gbC8ypIR3YVGFfEpyFESummAta6sg/edit"", ""Sheet1!B:D""), 3, FALSE), ""Not Found"")"),"k a ɪ z ə r ")</f>
        <v>k a ɪ z ə r </v>
      </c>
    </row>
    <row r="1919">
      <c r="A1919" s="1" t="s">
        <v>1922</v>
      </c>
      <c r="B1919" s="1" t="s">
        <v>5</v>
      </c>
      <c r="C1919" s="2">
        <f>IFERROR(__xludf.DUMMYFUNCTION("IFERROR(VLOOKUP(A1919, IMPORTRANGE(""https://docs.google.com/spreadsheets/d/1AVX9GT0dgogEBStecCXMMQ29tWz3gBrtNB8yIromXbY/edit?gid=741673867"", ""out1g!A:B""), 2, FALSE), 0)"),56.0)</f>
        <v>56</v>
      </c>
      <c r="D1919" s="2" t="str">
        <f>IFERROR(__xludf.DUMMYFUNCTION("IFERROR(VLOOKUP(A1919, IMPORTRANGE(""https://docs.google.com/spreadsheets/d/1-3Vjw2Cyy-mry5gbC8ypIR3YVGFfEpyFESummAta6sg/edit"", ""Sheet1!B:D""), 2, FALSE), ""Not Found"")"),"ræns")</f>
        <v>ræns</v>
      </c>
      <c r="E1919" s="2" t="str">
        <f>IFERROR(__xludf.DUMMYFUNCTION("IFERROR(VLOOKUP(A1919, IMPORTRANGE(""https://docs.google.com/spreadsheets/d/1-3Vjw2Cyy-mry5gbC8ypIR3YVGFfEpyFESummAta6sg/edit"", ""Sheet1!B:D""), 3, FALSE), ""Not Found"")"),"r æ n s ")</f>
        <v>r æ n s </v>
      </c>
    </row>
    <row r="1920">
      <c r="A1920" s="1" t="s">
        <v>1923</v>
      </c>
      <c r="B1920" s="1" t="s">
        <v>5</v>
      </c>
      <c r="C1920" s="2">
        <f>IFERROR(__xludf.DUMMYFUNCTION("IFERROR(VLOOKUP(A1920, IMPORTRANGE(""https://docs.google.com/spreadsheets/d/1AVX9GT0dgogEBStecCXMMQ29tWz3gBrtNB8yIromXbY/edit?gid=741673867"", ""out1g!A:B""), 2, FALSE), 0)"),6044.0)</f>
        <v>6044</v>
      </c>
      <c r="D1920" s="2" t="str">
        <f>IFERROR(__xludf.DUMMYFUNCTION("IFERROR(VLOOKUP(A1920, IMPORTRANGE(""https://docs.google.com/spreadsheets/d/1-3Vjw2Cyy-mry5gbC8ypIR3YVGFfEpyFESummAta6sg/edit"", ""Sheet1!B:D""), 2, FALSE), ""Not Found"")"),"fɔl")</f>
        <v>fɔl</v>
      </c>
      <c r="E1920" s="2" t="str">
        <f>IFERROR(__xludf.DUMMYFUNCTION("IFERROR(VLOOKUP(A1920, IMPORTRANGE(""https://docs.google.com/spreadsheets/d/1-3Vjw2Cyy-mry5gbC8ypIR3YVGFfEpyFESummAta6sg/edit"", ""Sheet1!B:D""), 3, FALSE), ""Not Found"")"),"f ɔ l ")</f>
        <v>f ɔ l </v>
      </c>
    </row>
    <row r="1921">
      <c r="A1921" s="1" t="s">
        <v>1924</v>
      </c>
      <c r="B1921" s="1" t="s">
        <v>5</v>
      </c>
      <c r="C1921" s="2">
        <f>IFERROR(__xludf.DUMMYFUNCTION("IFERROR(VLOOKUP(A1921, IMPORTRANGE(""https://docs.google.com/spreadsheets/d/1AVX9GT0dgogEBStecCXMMQ29tWz3gBrtNB8yIromXbY/edit?gid=741673867"", ""out1g!A:B""), 2, FALSE), 0)"),193.0)</f>
        <v>193</v>
      </c>
      <c r="D1921" s="2" t="str">
        <f>IFERROR(__xludf.DUMMYFUNCTION("IFERROR(VLOOKUP(A1921, IMPORTRANGE(""https://docs.google.com/spreadsheets/d/1-3Vjw2Cyy-mry5gbC8ypIR3YVGFfEpyFESummAta6sg/edit"", ""Sheet1!B:D""), 2, FALSE), ""Not Found"")"),"bərkli")</f>
        <v>bərkli</v>
      </c>
      <c r="E1921" s="2" t="str">
        <f>IFERROR(__xludf.DUMMYFUNCTION("IFERROR(VLOOKUP(A1921, IMPORTRANGE(""https://docs.google.com/spreadsheets/d/1-3Vjw2Cyy-mry5gbC8ypIR3YVGFfEpyFESummAta6sg/edit"", ""Sheet1!B:D""), 3, FALSE), ""Not Found"")"),"b ə r k l i ")</f>
        <v>b ə r k l i </v>
      </c>
    </row>
    <row r="1922">
      <c r="A1922" s="1" t="s">
        <v>1925</v>
      </c>
      <c r="B1922" s="1" t="s">
        <v>5</v>
      </c>
      <c r="C1922" s="2">
        <f>IFERROR(__xludf.DUMMYFUNCTION("IFERROR(VLOOKUP(A1922, IMPORTRANGE(""https://docs.google.com/spreadsheets/d/1AVX9GT0dgogEBStecCXMMQ29tWz3gBrtNB8yIromXbY/edit?gid=741673867"", ""out1g!A:B""), 2, FALSE), 0)"),140.0)</f>
        <v>140</v>
      </c>
      <c r="D1922" s="2" t="str">
        <f>IFERROR(__xludf.DUMMYFUNCTION("IFERROR(VLOOKUP(A1922, IMPORTRANGE(""https://docs.google.com/spreadsheets/d/1-3Vjw2Cyy-mry5gbC8ypIR3YVGFfEpyFESummAta6sg/edit"", ""Sheet1!B:D""), 2, FALSE), ""Not Found"")"),"əfɛndər")</f>
        <v>əfɛndər</v>
      </c>
      <c r="E1922" s="2" t="str">
        <f>IFERROR(__xludf.DUMMYFUNCTION("IFERROR(VLOOKUP(A1922, IMPORTRANGE(""https://docs.google.com/spreadsheets/d/1-3Vjw2Cyy-mry5gbC8ypIR3YVGFfEpyFESummAta6sg/edit"", ""Sheet1!B:D""), 3, FALSE), ""Not Found"")"),"ə f ɛ n d ə r ")</f>
        <v>ə f ɛ n d ə r </v>
      </c>
    </row>
    <row r="1923">
      <c r="A1923" s="1" t="s">
        <v>1926</v>
      </c>
      <c r="B1923" s="1" t="s">
        <v>5</v>
      </c>
      <c r="C1923" s="2">
        <f>IFERROR(__xludf.DUMMYFUNCTION("IFERROR(VLOOKUP(A1923, IMPORTRANGE(""https://docs.google.com/spreadsheets/d/1AVX9GT0dgogEBStecCXMMQ29tWz3gBrtNB8yIromXbY/edit?gid=741673867"", ""out1g!A:B""), 2, FALSE), 0)"),269.0)</f>
        <v>269</v>
      </c>
      <c r="D1923" s="2" t="str">
        <f>IFERROR(__xludf.DUMMYFUNCTION("IFERROR(VLOOKUP(A1923, IMPORTRANGE(""https://docs.google.com/spreadsheets/d/1-3Vjw2Cyy-mry5gbC8ypIR3YVGFfEpyFESummAta6sg/edit"", ""Sheet1!B:D""), 2, FALSE), ""Not Found"")"),"grevi")</f>
        <v>grevi</v>
      </c>
      <c r="E1923" s="2" t="str">
        <f>IFERROR(__xludf.DUMMYFUNCTION("IFERROR(VLOOKUP(A1923, IMPORTRANGE(""https://docs.google.com/spreadsheets/d/1-3Vjw2Cyy-mry5gbC8ypIR3YVGFfEpyFESummAta6sg/edit"", ""Sheet1!B:D""), 3, FALSE), ""Not Found"")"),"g r e v i ")</f>
        <v>g r e v i </v>
      </c>
    </row>
    <row r="1924">
      <c r="A1924" s="1" t="s">
        <v>1927</v>
      </c>
      <c r="B1924" s="1" t="s">
        <v>5</v>
      </c>
      <c r="C1924" s="2">
        <f>IFERROR(__xludf.DUMMYFUNCTION("IFERROR(VLOOKUP(A1924, IMPORTRANGE(""https://docs.google.com/spreadsheets/d/1AVX9GT0dgogEBStecCXMMQ29tWz3gBrtNB8yIromXbY/edit?gid=741673867"", ""out1g!A:B""), 2, FALSE), 0)"),352.0)</f>
        <v>352</v>
      </c>
      <c r="D1924" s="2" t="str">
        <f>IFERROR(__xludf.DUMMYFUNCTION("IFERROR(VLOOKUP(A1924, IMPORTRANGE(""https://docs.google.com/spreadsheets/d/1-3Vjw2Cyy-mry5gbC8ypIR3YVGFfEpyFESummAta6sg/edit"", ""Sheet1!B:D""), 2, FALSE), ""Not Found"")"),"mɪθ")</f>
        <v>mɪθ</v>
      </c>
      <c r="E1924" s="2" t="str">
        <f>IFERROR(__xludf.DUMMYFUNCTION("IFERROR(VLOOKUP(A1924, IMPORTRANGE(""https://docs.google.com/spreadsheets/d/1-3Vjw2Cyy-mry5gbC8ypIR3YVGFfEpyFESummAta6sg/edit"", ""Sheet1!B:D""), 3, FALSE), ""Not Found"")"),"m ɪ θ ")</f>
        <v>m ɪ θ </v>
      </c>
    </row>
    <row r="1925">
      <c r="A1925" s="1" t="s">
        <v>1928</v>
      </c>
      <c r="B1925" s="1" t="s">
        <v>5</v>
      </c>
      <c r="C1925" s="2">
        <f>IFERROR(__xludf.DUMMYFUNCTION("IFERROR(VLOOKUP(A1925, IMPORTRANGE(""https://docs.google.com/spreadsheets/d/1AVX9GT0dgogEBStecCXMMQ29tWz3gBrtNB8yIromXbY/edit?gid=741673867"", ""out1g!A:B""), 2, FALSE), 0)"),88.0)</f>
        <v>88</v>
      </c>
      <c r="D1925" s="2" t="str">
        <f>IFERROR(__xludf.DUMMYFUNCTION("IFERROR(VLOOKUP(A1925, IMPORTRANGE(""https://docs.google.com/spreadsheets/d/1-3Vjw2Cyy-mry5gbC8ypIR3YVGFfEpyFESummAta6sg/edit"", ""Sheet1!B:D""), 2, FALSE), ""Not Found"")"),"bɪdər")</f>
        <v>bɪdər</v>
      </c>
      <c r="E1925" s="2" t="str">
        <f>IFERROR(__xludf.DUMMYFUNCTION("IFERROR(VLOOKUP(A1925, IMPORTRANGE(""https://docs.google.com/spreadsheets/d/1-3Vjw2Cyy-mry5gbC8ypIR3YVGFfEpyFESummAta6sg/edit"", ""Sheet1!B:D""), 3, FALSE), ""Not Found"")"),"b ɪ d ə r ")</f>
        <v>b ɪ d ə r </v>
      </c>
    </row>
    <row r="1926">
      <c r="A1926" s="1" t="s">
        <v>1929</v>
      </c>
      <c r="B1926" s="1" t="s">
        <v>5</v>
      </c>
      <c r="C1926" s="2">
        <f>IFERROR(__xludf.DUMMYFUNCTION("IFERROR(VLOOKUP(A1926, IMPORTRANGE(""https://docs.google.com/spreadsheets/d/1AVX9GT0dgogEBStecCXMMQ29tWz3gBrtNB8yIromXbY/edit?gid=741673867"", ""out1g!A:B""), 2, FALSE), 0)"),88.0)</f>
        <v>88</v>
      </c>
      <c r="D1926" s="2" t="str">
        <f>IFERROR(__xludf.DUMMYFUNCTION("IFERROR(VLOOKUP(A1926, IMPORTRANGE(""https://docs.google.com/spreadsheets/d/1-3Vjw2Cyy-mry5gbC8ypIR3YVGFfEpyFESummAta6sg/edit"", ""Sheet1!B:D""), 2, FALSE), ""Not Found"")"),"krɪs")</f>
        <v>krɪs</v>
      </c>
      <c r="E1926" s="2" t="str">
        <f>IFERROR(__xludf.DUMMYFUNCTION("IFERROR(VLOOKUP(A1926, IMPORTRANGE(""https://docs.google.com/spreadsheets/d/1-3Vjw2Cyy-mry5gbC8ypIR3YVGFfEpyFESummAta6sg/edit"", ""Sheet1!B:D""), 3, FALSE), ""Not Found"")"),"k r ɪ s ")</f>
        <v>k r ɪ s </v>
      </c>
    </row>
    <row r="1927">
      <c r="A1927" s="1" t="s">
        <v>1930</v>
      </c>
      <c r="B1927" s="1" t="s">
        <v>5</v>
      </c>
      <c r="C1927" s="2">
        <f>IFERROR(__xludf.DUMMYFUNCTION("IFERROR(VLOOKUP(A1927, IMPORTRANGE(""https://docs.google.com/spreadsheets/d/1AVX9GT0dgogEBStecCXMMQ29tWz3gBrtNB8yIromXbY/edit?gid=741673867"", ""out1g!A:B""), 2, FALSE), 0)"),1410.0)</f>
        <v>1410</v>
      </c>
      <c r="D1927" s="2" t="str">
        <f>IFERROR(__xludf.DUMMYFUNCTION("IFERROR(VLOOKUP(A1927, IMPORTRANGE(""https://docs.google.com/spreadsheets/d/1-3Vjw2Cyy-mry5gbC8ypIR3YVGFfEpyFESummAta6sg/edit"", ""Sheet1!B:D""), 2, FALSE), ""Not Found"")"),"dɔlər")</f>
        <v>dɔlər</v>
      </c>
      <c r="E1927" s="2" t="str">
        <f>IFERROR(__xludf.DUMMYFUNCTION("IFERROR(VLOOKUP(A1927, IMPORTRANGE(""https://docs.google.com/spreadsheets/d/1-3Vjw2Cyy-mry5gbC8ypIR3YVGFfEpyFESummAta6sg/edit"", ""Sheet1!B:D""), 3, FALSE), ""Not Found"")"),"d ɔ l ə r ")</f>
        <v>d ɔ l ə r </v>
      </c>
    </row>
    <row r="1928">
      <c r="A1928" s="1" t="s">
        <v>1931</v>
      </c>
      <c r="B1928" s="1" t="s">
        <v>5</v>
      </c>
      <c r="C1928" s="2">
        <f>IFERROR(__xludf.DUMMYFUNCTION("IFERROR(VLOOKUP(A1928, IMPORTRANGE(""https://docs.google.com/spreadsheets/d/1AVX9GT0dgogEBStecCXMMQ29tWz3gBrtNB8yIromXbY/edit?gid=741673867"", ""out1g!A:B""), 2, FALSE), 0)"),689.0)</f>
        <v>689</v>
      </c>
      <c r="D1928" s="2" t="str">
        <f>IFERROR(__xludf.DUMMYFUNCTION("IFERROR(VLOOKUP(A1928, IMPORTRANGE(""https://docs.google.com/spreadsheets/d/1-3Vjw2Cyy-mry5gbC8ypIR3YVGFfEpyFESummAta6sg/edit"", ""Sheet1!B:D""), 2, FALSE), ""Not Found"")"),"dezi")</f>
        <v>dezi</v>
      </c>
      <c r="E1928" s="2" t="str">
        <f>IFERROR(__xludf.DUMMYFUNCTION("IFERROR(VLOOKUP(A1928, IMPORTRANGE(""https://docs.google.com/spreadsheets/d/1-3Vjw2Cyy-mry5gbC8ypIR3YVGFfEpyFESummAta6sg/edit"", ""Sheet1!B:D""), 3, FALSE), ""Not Found"")"),"d e z i ")</f>
        <v>d e z i </v>
      </c>
    </row>
    <row r="1929">
      <c r="A1929" s="1" t="s">
        <v>1932</v>
      </c>
      <c r="B1929" s="1" t="s">
        <v>5</v>
      </c>
      <c r="C1929" s="2">
        <f>IFERROR(__xludf.DUMMYFUNCTION("IFERROR(VLOOKUP(A1929, IMPORTRANGE(""https://docs.google.com/spreadsheets/d/1AVX9GT0dgogEBStecCXMMQ29tWz3gBrtNB8yIromXbY/edit?gid=741673867"", ""out1g!A:B""), 2, FALSE), 0)"),34002.0)</f>
        <v>34002</v>
      </c>
      <c r="D1929" s="2" t="str">
        <f>IFERROR(__xludf.DUMMYFUNCTION("IFERROR(VLOOKUP(A1929, IMPORTRANGE(""https://docs.google.com/spreadsheets/d/1-3Vjw2Cyy-mry5gbC8ypIR3YVGFfEpyFESummAta6sg/edit"", ""Sheet1!B:D""), 2, FALSE), ""Not Found"")"),"dɪz")</f>
        <v>dɪz</v>
      </c>
      <c r="E1929" s="2" t="str">
        <f>IFERROR(__xludf.DUMMYFUNCTION("IFERROR(VLOOKUP(A1929, IMPORTRANGE(""https://docs.google.com/spreadsheets/d/1-3Vjw2Cyy-mry5gbC8ypIR3YVGFfEpyFESummAta6sg/edit"", ""Sheet1!B:D""), 3, FALSE), ""Not Found"")"),"d ɪ z ")</f>
        <v>d ɪ z </v>
      </c>
    </row>
    <row r="1930">
      <c r="A1930" s="1" t="s">
        <v>1933</v>
      </c>
      <c r="B1930" s="1" t="s">
        <v>5</v>
      </c>
      <c r="C1930" s="2">
        <f>IFERROR(__xludf.DUMMYFUNCTION("IFERROR(VLOOKUP(A1930, IMPORTRANGE(""https://docs.google.com/spreadsheets/d/1AVX9GT0dgogEBStecCXMMQ29tWz3gBrtNB8yIromXbY/edit?gid=741673867"", ""out1g!A:B""), 2, FALSE), 0)"),48.0)</f>
        <v>48</v>
      </c>
      <c r="D1930" s="2" t="str">
        <f>IFERROR(__xludf.DUMMYFUNCTION("IFERROR(VLOOKUP(A1930, IMPORTRANGE(""https://docs.google.com/spreadsheets/d/1-3Vjw2Cyy-mry5gbC8ypIR3YVGFfEpyFESummAta6sg/edit"", ""Sheet1!B:D""), 2, FALSE), ""Not Found"")"),"hɪmz")</f>
        <v>hɪmz</v>
      </c>
      <c r="E1930" s="2" t="str">
        <f>IFERROR(__xludf.DUMMYFUNCTION("IFERROR(VLOOKUP(A1930, IMPORTRANGE(""https://docs.google.com/spreadsheets/d/1-3Vjw2Cyy-mry5gbC8ypIR3YVGFfEpyFESummAta6sg/edit"", ""Sheet1!B:D""), 3, FALSE), ""Not Found"")"),"h ɪ m z ")</f>
        <v>h ɪ m z </v>
      </c>
    </row>
    <row r="1931">
      <c r="A1931" s="1" t="s">
        <v>1934</v>
      </c>
      <c r="B1931" s="1" t="s">
        <v>5</v>
      </c>
      <c r="C1931" s="2">
        <f>IFERROR(__xludf.DUMMYFUNCTION("IFERROR(VLOOKUP(A1931, IMPORTRANGE(""https://docs.google.com/spreadsheets/d/1AVX9GT0dgogEBStecCXMMQ29tWz3gBrtNB8yIromXbY/edit?gid=741673867"", ""out1g!A:B""), 2, FALSE), 0)"),105.0)</f>
        <v>105</v>
      </c>
      <c r="D1931" s="2" t="str">
        <f>IFERROR(__xludf.DUMMYFUNCTION("IFERROR(VLOOKUP(A1931, IMPORTRANGE(""https://docs.google.com/spreadsheets/d/1-3Vjw2Cyy-mry5gbC8ypIR3YVGFfEpyFESummAta6sg/edit"", ""Sheet1!B:D""), 2, FALSE), ""Not Found"")"),"səpɔrts")</f>
        <v>səpɔrts</v>
      </c>
      <c r="E1931" s="2" t="str">
        <f>IFERROR(__xludf.DUMMYFUNCTION("IFERROR(VLOOKUP(A1931, IMPORTRANGE(""https://docs.google.com/spreadsheets/d/1-3Vjw2Cyy-mry5gbC8ypIR3YVGFfEpyFESummAta6sg/edit"", ""Sheet1!B:D""), 3, FALSE), ""Not Found"")"),"s ə p ɔ r t s ")</f>
        <v>s ə p ɔ r t s </v>
      </c>
    </row>
    <row r="1932">
      <c r="A1932" s="1" t="s">
        <v>1935</v>
      </c>
      <c r="B1932" s="1" t="s">
        <v>5</v>
      </c>
      <c r="C1932" s="2">
        <f>IFERROR(__xludf.DUMMYFUNCTION("IFERROR(VLOOKUP(A1932, IMPORTRANGE(""https://docs.google.com/spreadsheets/d/1AVX9GT0dgogEBStecCXMMQ29tWz3gBrtNB8yIromXbY/edit?gid=741673867"", ""out1g!A:B""), 2, FALSE), 0)"),964.0)</f>
        <v>964</v>
      </c>
      <c r="D1932" s="2" t="str">
        <f>IFERROR(__xludf.DUMMYFUNCTION("IFERROR(VLOOKUP(A1932, IMPORTRANGE(""https://docs.google.com/spreadsheets/d/1-3Vjw2Cyy-mry5gbC8ypIR3YVGFfEpyFESummAta6sg/edit"", ""Sheet1!B:D""), 2, FALSE), ""Not Found"")"),"vaɪrəs")</f>
        <v>vaɪrəs</v>
      </c>
      <c r="E1932" s="2" t="str">
        <f>IFERROR(__xludf.DUMMYFUNCTION("IFERROR(VLOOKUP(A1932, IMPORTRANGE(""https://docs.google.com/spreadsheets/d/1-3Vjw2Cyy-mry5gbC8ypIR3YVGFfEpyFESummAta6sg/edit"", ""Sheet1!B:D""), 3, FALSE), ""Not Found"")"),"v a ɪ r ə s ")</f>
        <v>v a ɪ r ə s </v>
      </c>
    </row>
    <row r="1933">
      <c r="A1933" s="1" t="s">
        <v>1936</v>
      </c>
      <c r="B1933" s="1" t="s">
        <v>5</v>
      </c>
      <c r="C1933" s="2">
        <f>IFERROR(__xludf.DUMMYFUNCTION("IFERROR(VLOOKUP(A1933, IMPORTRANGE(""https://docs.google.com/spreadsheets/d/1AVX9GT0dgogEBStecCXMMQ29tWz3gBrtNB8yIromXbY/edit?gid=741673867"", ""out1g!A:B""), 2, FALSE), 0)"),17.0)</f>
        <v>17</v>
      </c>
      <c r="D1933" s="2" t="str">
        <f>IFERROR(__xludf.DUMMYFUNCTION("IFERROR(VLOOKUP(A1933, IMPORTRANGE(""https://docs.google.com/spreadsheets/d/1-3Vjw2Cyy-mry5gbC8ypIR3YVGFfEpyFESummAta6sg/edit"", ""Sheet1!B:D""), 2, FALSE), ""Not Found"")"),"soʊn")</f>
        <v>soʊn</v>
      </c>
      <c r="E1933" s="2" t="str">
        <f>IFERROR(__xludf.DUMMYFUNCTION("IFERROR(VLOOKUP(A1933, IMPORTRANGE(""https://docs.google.com/spreadsheets/d/1-3Vjw2Cyy-mry5gbC8ypIR3YVGFfEpyFESummAta6sg/edit"", ""Sheet1!B:D""), 3, FALSE), ""Not Found"")"),"s o ʊ n ")</f>
        <v>s o ʊ n </v>
      </c>
    </row>
    <row r="1934">
      <c r="A1934" s="1" t="s">
        <v>1937</v>
      </c>
      <c r="B1934" s="1" t="s">
        <v>5</v>
      </c>
      <c r="C1934" s="2">
        <f>IFERROR(__xludf.DUMMYFUNCTION("IFERROR(VLOOKUP(A1934, IMPORTRANGE(""https://docs.google.com/spreadsheets/d/1AVX9GT0dgogEBStecCXMMQ29tWz3gBrtNB8yIromXbY/edit?gid=741673867"", ""out1g!A:B""), 2, FALSE), 0)"),182.0)</f>
        <v>182</v>
      </c>
      <c r="D1934" s="2" t="str">
        <f>IFERROR(__xludf.DUMMYFUNCTION("IFERROR(VLOOKUP(A1934, IMPORTRANGE(""https://docs.google.com/spreadsheets/d/1-3Vjw2Cyy-mry5gbC8ypIR3YVGFfEpyFESummAta6sg/edit"", ""Sheet1!B:D""), 2, FALSE), ""Not Found"")"),"kənu")</f>
        <v>kənu</v>
      </c>
      <c r="E1934" s="2" t="str">
        <f>IFERROR(__xludf.DUMMYFUNCTION("IFERROR(VLOOKUP(A1934, IMPORTRANGE(""https://docs.google.com/spreadsheets/d/1-3Vjw2Cyy-mry5gbC8ypIR3YVGFfEpyFESummAta6sg/edit"", ""Sheet1!B:D""), 3, FALSE), ""Not Found"")"),"k ə n u ")</f>
        <v>k ə n u </v>
      </c>
    </row>
    <row r="1935">
      <c r="A1935" s="1" t="s">
        <v>1938</v>
      </c>
      <c r="B1935" s="1" t="s">
        <v>5</v>
      </c>
      <c r="C1935" s="2">
        <f>IFERROR(__xludf.DUMMYFUNCTION("IFERROR(VLOOKUP(A1935, IMPORTRANGE(""https://docs.google.com/spreadsheets/d/1AVX9GT0dgogEBStecCXMMQ29tWz3gBrtNB8yIromXbY/edit?gid=741673867"", ""out1g!A:B""), 2, FALSE), 0)"),937.0)</f>
        <v>937</v>
      </c>
      <c r="D1935" s="2" t="str">
        <f>IFERROR(__xludf.DUMMYFUNCTION("IFERROR(VLOOKUP(A1935, IMPORTRANGE(""https://docs.google.com/spreadsheets/d/1-3Vjw2Cyy-mry5gbC8ypIR3YVGFfEpyFESummAta6sg/edit"", ""Sheet1!B:D""), 2, FALSE), ""Not Found"")"),"ʃaɪ")</f>
        <v>ʃaɪ</v>
      </c>
      <c r="E1935" s="2" t="str">
        <f>IFERROR(__xludf.DUMMYFUNCTION("IFERROR(VLOOKUP(A1935, IMPORTRANGE(""https://docs.google.com/spreadsheets/d/1-3Vjw2Cyy-mry5gbC8ypIR3YVGFfEpyFESummAta6sg/edit"", ""Sheet1!B:D""), 3, FALSE), ""Not Found"")"),"ʃ a ɪ ")</f>
        <v>ʃ a ɪ </v>
      </c>
    </row>
    <row r="1936">
      <c r="A1936" s="1" t="s">
        <v>1939</v>
      </c>
      <c r="B1936" s="1" t="s">
        <v>5</v>
      </c>
      <c r="C1936" s="2">
        <f>IFERROR(__xludf.DUMMYFUNCTION("IFERROR(VLOOKUP(A1936, IMPORTRANGE(""https://docs.google.com/spreadsheets/d/1AVX9GT0dgogEBStecCXMMQ29tWz3gBrtNB8yIromXbY/edit?gid=741673867"", ""out1g!A:B""), 2, FALSE), 0)"),2318.0)</f>
        <v>2318</v>
      </c>
      <c r="D1936" s="2" t="str">
        <f>IFERROR(__xludf.DUMMYFUNCTION("IFERROR(VLOOKUP(A1936, IMPORTRANGE(""https://docs.google.com/spreadsheets/d/1-3Vjw2Cyy-mry5gbC8ypIR3YVGFfEpyFESummAta6sg/edit"", ""Sheet1!B:D""), 2, FALSE), ""Not Found"")"),"bərd")</f>
        <v>bərd</v>
      </c>
      <c r="E1936" s="2" t="str">
        <f>IFERROR(__xludf.DUMMYFUNCTION("IFERROR(VLOOKUP(A1936, IMPORTRANGE(""https://docs.google.com/spreadsheets/d/1-3Vjw2Cyy-mry5gbC8ypIR3YVGFfEpyFESummAta6sg/edit"", ""Sheet1!B:D""), 3, FALSE), ""Not Found"")"),"b ə r d ")</f>
        <v>b ə r d </v>
      </c>
    </row>
    <row r="1937">
      <c r="A1937" s="1" t="s">
        <v>1940</v>
      </c>
      <c r="B1937" s="1" t="s">
        <v>5</v>
      </c>
      <c r="C1937" s="2">
        <f>IFERROR(__xludf.DUMMYFUNCTION("IFERROR(VLOOKUP(A1937, IMPORTRANGE(""https://docs.google.com/spreadsheets/d/1AVX9GT0dgogEBStecCXMMQ29tWz3gBrtNB8yIromXbY/edit?gid=741673867"", ""out1g!A:B""), 2, FALSE), 0)"),704.0)</f>
        <v>704</v>
      </c>
      <c r="D1937" s="2" t="str">
        <f>IFERROR(__xludf.DUMMYFUNCTION("IFERROR(VLOOKUP(A1937, IMPORTRANGE(""https://docs.google.com/spreadsheets/d/1-3Vjw2Cyy-mry5gbC8ypIR3YVGFfEpyFESummAta6sg/edit"", ""Sheet1!B:D""), 2, FALSE), ""Not Found"")"),"læftər")</f>
        <v>læftər</v>
      </c>
      <c r="E1937" s="2" t="str">
        <f>IFERROR(__xludf.DUMMYFUNCTION("IFERROR(VLOOKUP(A1937, IMPORTRANGE(""https://docs.google.com/spreadsheets/d/1-3Vjw2Cyy-mry5gbC8ypIR3YVGFfEpyFESummAta6sg/edit"", ""Sheet1!B:D""), 3, FALSE), ""Not Found"")"),"l æ f t ə r ")</f>
        <v>l æ f t ə r </v>
      </c>
    </row>
    <row r="1938">
      <c r="A1938" s="1" t="s">
        <v>1941</v>
      </c>
      <c r="B1938" s="1" t="s">
        <v>5</v>
      </c>
      <c r="C1938" s="2">
        <f>IFERROR(__xludf.DUMMYFUNCTION("IFERROR(VLOOKUP(A1938, IMPORTRANGE(""https://docs.google.com/spreadsheets/d/1AVX9GT0dgogEBStecCXMMQ29tWz3gBrtNB8yIromXbY/edit?gid=741673867"", ""out1g!A:B""), 2, FALSE), 0)"),519.0)</f>
        <v>519</v>
      </c>
      <c r="D1938" s="2" t="str">
        <f>IFERROR(__xludf.DUMMYFUNCTION("IFERROR(VLOOKUP(A1938, IMPORTRANGE(""https://docs.google.com/spreadsheets/d/1-3Vjw2Cyy-mry5gbC8ypIR3YVGFfEpyFESummAta6sg/edit"", ""Sheet1!B:D""), 2, FALSE), ""Not Found"")"),"slaɪt")</f>
        <v>slaɪt</v>
      </c>
      <c r="E1938" s="2" t="str">
        <f>IFERROR(__xludf.DUMMYFUNCTION("IFERROR(VLOOKUP(A1938, IMPORTRANGE(""https://docs.google.com/spreadsheets/d/1-3Vjw2Cyy-mry5gbC8ypIR3YVGFfEpyFESummAta6sg/edit"", ""Sheet1!B:D""), 3, FALSE), ""Not Found"")"),"s l a ɪ t ")</f>
        <v>s l a ɪ t </v>
      </c>
    </row>
    <row r="1939">
      <c r="A1939" s="1" t="s">
        <v>1942</v>
      </c>
      <c r="B1939" s="1" t="s">
        <v>5</v>
      </c>
      <c r="C1939" s="2">
        <f>IFERROR(__xludf.DUMMYFUNCTION("IFERROR(VLOOKUP(A1939, IMPORTRANGE(""https://docs.google.com/spreadsheets/d/1AVX9GT0dgogEBStecCXMMQ29tWz3gBrtNB8yIromXbY/edit?gid=741673867"", ""out1g!A:B""), 2, FALSE), 0)"),46.0)</f>
        <v>46</v>
      </c>
      <c r="D1939" s="2" t="str">
        <f>IFERROR(__xludf.DUMMYFUNCTION("IFERROR(VLOOKUP(A1939, IMPORTRANGE(""https://docs.google.com/spreadsheets/d/1-3Vjw2Cyy-mry5gbC8ypIR3YVGFfEpyFESummAta6sg/edit"", ""Sheet1!B:D""), 2, FALSE), ""Not Found"")"),"dæʃt")</f>
        <v>dæʃt</v>
      </c>
      <c r="E1939" s="2" t="str">
        <f>IFERROR(__xludf.DUMMYFUNCTION("IFERROR(VLOOKUP(A1939, IMPORTRANGE(""https://docs.google.com/spreadsheets/d/1-3Vjw2Cyy-mry5gbC8ypIR3YVGFfEpyFESummAta6sg/edit"", ""Sheet1!B:D""), 3, FALSE), ""Not Found"")"),"d æ ʃ t ")</f>
        <v>d æ ʃ t </v>
      </c>
    </row>
    <row r="1940">
      <c r="A1940" s="1" t="s">
        <v>1943</v>
      </c>
      <c r="B1940" s="1" t="s">
        <v>5</v>
      </c>
      <c r="C1940" s="2">
        <f>IFERROR(__xludf.DUMMYFUNCTION("IFERROR(VLOOKUP(A1940, IMPORTRANGE(""https://docs.google.com/spreadsheets/d/1AVX9GT0dgogEBStecCXMMQ29tWz3gBrtNB8yIromXbY/edit?gid=741673867"", ""out1g!A:B""), 2, FALSE), 0)"),89.0)</f>
        <v>89</v>
      </c>
      <c r="D1940" s="2" t="str">
        <f>IFERROR(__xludf.DUMMYFUNCTION("IFERROR(VLOOKUP(A1940, IMPORTRANGE(""https://docs.google.com/spreadsheets/d/1-3Vjw2Cyy-mry5gbC8ypIR3YVGFfEpyFESummAta6sg/edit"", ""Sheet1!B:D""), 2, FALSE), ""Not Found"")"),"fluk")</f>
        <v>fluk</v>
      </c>
      <c r="E1940" s="2" t="str">
        <f>IFERROR(__xludf.DUMMYFUNCTION("IFERROR(VLOOKUP(A1940, IMPORTRANGE(""https://docs.google.com/spreadsheets/d/1-3Vjw2Cyy-mry5gbC8ypIR3YVGFfEpyFESummAta6sg/edit"", ""Sheet1!B:D""), 3, FALSE), ""Not Found"")"),"f l u k ")</f>
        <v>f l u k </v>
      </c>
    </row>
    <row r="1941">
      <c r="A1941" s="1" t="s">
        <v>1944</v>
      </c>
      <c r="B1941" s="1" t="s">
        <v>5</v>
      </c>
      <c r="C1941" s="2">
        <f>IFERROR(__xludf.DUMMYFUNCTION("IFERROR(VLOOKUP(A1941, IMPORTRANGE(""https://docs.google.com/spreadsheets/d/1AVX9GT0dgogEBStecCXMMQ29tWz3gBrtNB8yIromXbY/edit?gid=741673867"", ""out1g!A:B""), 2, FALSE), 0)"),314.0)</f>
        <v>314</v>
      </c>
      <c r="D1941" s="2" t="str">
        <f>IFERROR(__xludf.DUMMYFUNCTION("IFERROR(VLOOKUP(A1941, IMPORTRANGE(""https://docs.google.com/spreadsheets/d/1-3Vjw2Cyy-mry5gbC8ypIR3YVGFfEpyFESummAta6sg/edit"", ""Sheet1!B:D""), 2, FALSE), ""Not Found"")"),"kaʊntəs")</f>
        <v>kaʊntəs</v>
      </c>
      <c r="E1941" s="2" t="str">
        <f>IFERROR(__xludf.DUMMYFUNCTION("IFERROR(VLOOKUP(A1941, IMPORTRANGE(""https://docs.google.com/spreadsheets/d/1-3Vjw2Cyy-mry5gbC8ypIR3YVGFfEpyFESummAta6sg/edit"", ""Sheet1!B:D""), 3, FALSE), ""Not Found"")"),"k a ʊ n t ə s ")</f>
        <v>k a ʊ n t ə s </v>
      </c>
    </row>
    <row r="1942">
      <c r="A1942" s="1" t="s">
        <v>1945</v>
      </c>
      <c r="B1942" s="1" t="s">
        <v>5</v>
      </c>
      <c r="C1942" s="2">
        <f>IFERROR(__xludf.DUMMYFUNCTION("IFERROR(VLOOKUP(A1942, IMPORTRANGE(""https://docs.google.com/spreadsheets/d/1AVX9GT0dgogEBStecCXMMQ29tWz3gBrtNB8yIromXbY/edit?gid=741673867"", ""out1g!A:B""), 2, FALSE), 0)"),281.0)</f>
        <v>281</v>
      </c>
      <c r="D1942" s="2" t="str">
        <f>IFERROR(__xludf.DUMMYFUNCTION("IFERROR(VLOOKUP(A1942, IMPORTRANGE(""https://docs.google.com/spreadsheets/d/1-3Vjw2Cyy-mry5gbC8ypIR3YVGFfEpyFESummAta6sg/edit"", ""Sheet1!B:D""), 2, FALSE), ""Not Found"")"),"sen")</f>
        <v>sen</v>
      </c>
      <c r="E1942" s="2" t="str">
        <f>IFERROR(__xludf.DUMMYFUNCTION("IFERROR(VLOOKUP(A1942, IMPORTRANGE(""https://docs.google.com/spreadsheets/d/1-3Vjw2Cyy-mry5gbC8ypIR3YVGFfEpyFESummAta6sg/edit"", ""Sheet1!B:D""), 3, FALSE), ""Not Found"")"),"s e n ")</f>
        <v>s e n </v>
      </c>
    </row>
    <row r="1943">
      <c r="A1943" s="1" t="s">
        <v>1946</v>
      </c>
      <c r="B1943" s="1" t="s">
        <v>5</v>
      </c>
      <c r="C1943" s="2">
        <f>IFERROR(__xludf.DUMMYFUNCTION("IFERROR(VLOOKUP(A1943, IMPORTRANGE(""https://docs.google.com/spreadsheets/d/1AVX9GT0dgogEBStecCXMMQ29tWz3gBrtNB8yIromXbY/edit?gid=741673867"", ""out1g!A:B""), 2, FALSE), 0)"),132.0)</f>
        <v>132</v>
      </c>
      <c r="D1943" s="2" t="str">
        <f>IFERROR(__xludf.DUMMYFUNCTION("IFERROR(VLOOKUP(A1943, IMPORTRANGE(""https://docs.google.com/spreadsheets/d/1-3Vjw2Cyy-mry5gbC8ypIR3YVGFfEpyFESummAta6sg/edit"", ""Sheet1!B:D""), 2, FALSE), ""Not Found"")"),"sɑbz")</f>
        <v>sɑbz</v>
      </c>
      <c r="E1943" s="2" t="str">
        <f>IFERROR(__xludf.DUMMYFUNCTION("IFERROR(VLOOKUP(A1943, IMPORTRANGE(""https://docs.google.com/spreadsheets/d/1-3Vjw2Cyy-mry5gbC8ypIR3YVGFfEpyFESummAta6sg/edit"", ""Sheet1!B:D""), 3, FALSE), ""Not Found"")"),"s ɑ b z ")</f>
        <v>s ɑ b z </v>
      </c>
    </row>
    <row r="1944">
      <c r="A1944" s="1" t="s">
        <v>1947</v>
      </c>
      <c r="B1944" s="1" t="s">
        <v>5</v>
      </c>
      <c r="C1944" s="2">
        <f>IFERROR(__xludf.DUMMYFUNCTION("IFERROR(VLOOKUP(A1944, IMPORTRANGE(""https://docs.google.com/spreadsheets/d/1AVX9GT0dgogEBStecCXMMQ29tWz3gBrtNB8yIromXbY/edit?gid=741673867"", ""out1g!A:B""), 2, FALSE), 0)"),166.0)</f>
        <v>166</v>
      </c>
      <c r="D1944" s="2" t="str">
        <f>IFERROR(__xludf.DUMMYFUNCTION("IFERROR(VLOOKUP(A1944, IMPORTRANGE(""https://docs.google.com/spreadsheets/d/1-3Vjw2Cyy-mry5gbC8ypIR3YVGFfEpyFESummAta6sg/edit"", ""Sheet1!B:D""), 2, FALSE), ""Not Found"")"),"fɔrʤ")</f>
        <v>fɔrʤ</v>
      </c>
      <c r="E1944" s="2" t="str">
        <f>IFERROR(__xludf.DUMMYFUNCTION("IFERROR(VLOOKUP(A1944, IMPORTRANGE(""https://docs.google.com/spreadsheets/d/1-3Vjw2Cyy-mry5gbC8ypIR3YVGFfEpyFESummAta6sg/edit"", ""Sheet1!B:D""), 3, FALSE), ""Not Found"")"),"f ɔ r ʤ ")</f>
        <v>f ɔ r ʤ </v>
      </c>
    </row>
    <row r="1945">
      <c r="A1945" s="1" t="s">
        <v>1948</v>
      </c>
      <c r="B1945" s="1" t="s">
        <v>5</v>
      </c>
      <c r="C1945" s="2">
        <f>IFERROR(__xludf.DUMMYFUNCTION("IFERROR(VLOOKUP(A1945, IMPORTRANGE(""https://docs.google.com/spreadsheets/d/1AVX9GT0dgogEBStecCXMMQ29tWz3gBrtNB8yIromXbY/edit?gid=741673867"", ""out1g!A:B""), 2, FALSE), 0)"),116.0)</f>
        <v>116</v>
      </c>
      <c r="D1945" s="2" t="str">
        <f>IFERROR(__xludf.DUMMYFUNCTION("IFERROR(VLOOKUP(A1945, IMPORTRANGE(""https://docs.google.com/spreadsheets/d/1-3Vjw2Cyy-mry5gbC8ypIR3YVGFfEpyFESummAta6sg/edit"", ""Sheet1!B:D""), 2, FALSE), ""Not Found"")"),"krɪspi")</f>
        <v>krɪspi</v>
      </c>
      <c r="E1945" s="2" t="str">
        <f>IFERROR(__xludf.DUMMYFUNCTION("IFERROR(VLOOKUP(A1945, IMPORTRANGE(""https://docs.google.com/spreadsheets/d/1-3Vjw2Cyy-mry5gbC8ypIR3YVGFfEpyFESummAta6sg/edit"", ""Sheet1!B:D""), 3, FALSE), ""Not Found"")"),"k r ɪ s p i ")</f>
        <v>k r ɪ s p i </v>
      </c>
    </row>
    <row r="1946">
      <c r="A1946" s="1" t="s">
        <v>1949</v>
      </c>
      <c r="B1946" s="1" t="s">
        <v>5</v>
      </c>
      <c r="C1946" s="2">
        <f>IFERROR(__xludf.DUMMYFUNCTION("IFERROR(VLOOKUP(A1946, IMPORTRANGE(""https://docs.google.com/spreadsheets/d/1AVX9GT0dgogEBStecCXMMQ29tWz3gBrtNB8yIromXbY/edit?gid=741673867"", ""out1g!A:B""), 2, FALSE), 0)"),55.0)</f>
        <v>55</v>
      </c>
      <c r="D1946" s="2" t="str">
        <f>IFERROR(__xludf.DUMMYFUNCTION("IFERROR(VLOOKUP(A1946, IMPORTRANGE(""https://docs.google.com/spreadsheets/d/1-3Vjw2Cyy-mry5gbC8ypIR3YVGFfEpyFESummAta6sg/edit"", ""Sheet1!B:D""), 2, FALSE), ""Not Found"")"),"paʊt")</f>
        <v>paʊt</v>
      </c>
      <c r="E1946" s="2" t="str">
        <f>IFERROR(__xludf.DUMMYFUNCTION("IFERROR(VLOOKUP(A1946, IMPORTRANGE(""https://docs.google.com/spreadsheets/d/1-3Vjw2Cyy-mry5gbC8ypIR3YVGFfEpyFESummAta6sg/edit"", ""Sheet1!B:D""), 3, FALSE), ""Not Found"")"),"p a ʊ t ")</f>
        <v>p a ʊ t </v>
      </c>
    </row>
    <row r="1947">
      <c r="A1947" s="1" t="s">
        <v>1950</v>
      </c>
      <c r="B1947" s="1" t="s">
        <v>5</v>
      </c>
      <c r="C1947" s="2">
        <f>IFERROR(__xludf.DUMMYFUNCTION("IFERROR(VLOOKUP(A1947, IMPORTRANGE(""https://docs.google.com/spreadsheets/d/1AVX9GT0dgogEBStecCXMMQ29tWz3gBrtNB8yIromXbY/edit?gid=741673867"", ""out1g!A:B""), 2, FALSE), 0)"),52.0)</f>
        <v>52</v>
      </c>
      <c r="D1947" s="2" t="str">
        <f>IFERROR(__xludf.DUMMYFUNCTION("IFERROR(VLOOKUP(A1947, IMPORTRANGE(""https://docs.google.com/spreadsheets/d/1-3Vjw2Cyy-mry5gbC8ypIR3YVGFfEpyFESummAta6sg/edit"", ""Sheet1!B:D""), 2, FALSE), ""Not Found"")"),"t")</f>
        <v>t</v>
      </c>
      <c r="E1947" s="2" t="str">
        <f>IFERROR(__xludf.DUMMYFUNCTION("IFERROR(VLOOKUP(A1947, IMPORTRANGE(""https://docs.google.com/spreadsheets/d/1-3Vjw2Cyy-mry5gbC8ypIR3YVGFfEpyFESummAta6sg/edit"", ""Sheet1!B:D""), 3, FALSE), ""Not Found"")"),"t ")</f>
        <v>t </v>
      </c>
    </row>
    <row r="1948">
      <c r="A1948" s="1" t="s">
        <v>1951</v>
      </c>
      <c r="B1948" s="1" t="s">
        <v>5</v>
      </c>
      <c r="C1948" s="2">
        <f>IFERROR(__xludf.DUMMYFUNCTION("IFERROR(VLOOKUP(A1948, IMPORTRANGE(""https://docs.google.com/spreadsheets/d/1AVX9GT0dgogEBStecCXMMQ29tWz3gBrtNB8yIromXbY/edit?gid=741673867"", ""out1g!A:B""), 2, FALSE), 0)"),714.0)</f>
        <v>714</v>
      </c>
      <c r="D1948" s="2" t="str">
        <f>IFERROR(__xludf.DUMMYFUNCTION("IFERROR(VLOOKUP(A1948, IMPORTRANGE(""https://docs.google.com/spreadsheets/d/1-3Vjw2Cyy-mry5gbC8ypIR3YVGFfEpyFESummAta6sg/edit"", ""Sheet1!B:D""), 2, FALSE), ""Not Found"")"),"skulz")</f>
        <v>skulz</v>
      </c>
      <c r="E1948" s="2" t="str">
        <f>IFERROR(__xludf.DUMMYFUNCTION("IFERROR(VLOOKUP(A1948, IMPORTRANGE(""https://docs.google.com/spreadsheets/d/1-3Vjw2Cyy-mry5gbC8ypIR3YVGFfEpyFESummAta6sg/edit"", ""Sheet1!B:D""), 3, FALSE), ""Not Found"")"),"s k u l z ")</f>
        <v>s k u l z </v>
      </c>
    </row>
    <row r="1949">
      <c r="A1949" s="1" t="s">
        <v>1952</v>
      </c>
      <c r="B1949" s="1" t="s">
        <v>5</v>
      </c>
      <c r="C1949" s="2">
        <f>IFERROR(__xludf.DUMMYFUNCTION("IFERROR(VLOOKUP(A1949, IMPORTRANGE(""https://docs.google.com/spreadsheets/d/1AVX9GT0dgogEBStecCXMMQ29tWz3gBrtNB8yIromXbY/edit?gid=741673867"", ""out1g!A:B""), 2, FALSE), 0)"),39.0)</f>
        <v>39</v>
      </c>
      <c r="D1949" s="2" t="str">
        <f>IFERROR(__xludf.DUMMYFUNCTION("IFERROR(VLOOKUP(A1949, IMPORTRANGE(""https://docs.google.com/spreadsheets/d/1-3Vjw2Cyy-mry5gbC8ypIR3YVGFfEpyFESummAta6sg/edit"", ""Sheet1!B:D""), 2, FALSE), ""Not Found"")"),"renɪŋ")</f>
        <v>renɪŋ</v>
      </c>
      <c r="E1949" s="2" t="str">
        <f>IFERROR(__xludf.DUMMYFUNCTION("IFERROR(VLOOKUP(A1949, IMPORTRANGE(""https://docs.google.com/spreadsheets/d/1-3Vjw2Cyy-mry5gbC8ypIR3YVGFfEpyFESummAta6sg/edit"", ""Sheet1!B:D""), 3, FALSE), ""Not Found"")"),"r e n ɪ ŋ ")</f>
        <v>r e n ɪ ŋ </v>
      </c>
    </row>
    <row r="1950">
      <c r="A1950" s="1" t="s">
        <v>1953</v>
      </c>
      <c r="B1950" s="1" t="s">
        <v>5</v>
      </c>
      <c r="C1950" s="2">
        <f>IFERROR(__xludf.DUMMYFUNCTION("IFERROR(VLOOKUP(A1950, IMPORTRANGE(""https://docs.google.com/spreadsheets/d/1AVX9GT0dgogEBStecCXMMQ29tWz3gBrtNB8yIromXbY/edit?gid=741673867"", ""out1g!A:B""), 2, FALSE), 0)"),948.0)</f>
        <v>948</v>
      </c>
      <c r="D1950" s="2" t="str">
        <f>IFERROR(__xludf.DUMMYFUNCTION("IFERROR(VLOOKUP(A1950, IMPORTRANGE(""https://docs.google.com/spreadsheets/d/1-3Vjw2Cyy-mry5gbC8ypIR3YVGFfEpyFESummAta6sg/edit"", ""Sheet1!B:D""), 2, FALSE), ""Not Found"")"),"koʊk")</f>
        <v>koʊk</v>
      </c>
      <c r="E1950" s="2" t="str">
        <f>IFERROR(__xludf.DUMMYFUNCTION("IFERROR(VLOOKUP(A1950, IMPORTRANGE(""https://docs.google.com/spreadsheets/d/1-3Vjw2Cyy-mry5gbC8ypIR3YVGFfEpyFESummAta6sg/edit"", ""Sheet1!B:D""), 3, FALSE), ""Not Found"")"),"k o ʊ k ")</f>
        <v>k o ʊ k </v>
      </c>
    </row>
    <row r="1951">
      <c r="A1951" s="1" t="s">
        <v>1954</v>
      </c>
      <c r="B1951" s="1" t="s">
        <v>5</v>
      </c>
      <c r="C1951" s="2">
        <f>IFERROR(__xludf.DUMMYFUNCTION("IFERROR(VLOOKUP(A1951, IMPORTRANGE(""https://docs.google.com/spreadsheets/d/1AVX9GT0dgogEBStecCXMMQ29tWz3gBrtNB8yIromXbY/edit?gid=741673867"", ""out1g!A:B""), 2, FALSE), 0)"),632.0)</f>
        <v>632</v>
      </c>
      <c r="D1951" s="2" t="str">
        <f>IFERROR(__xludf.DUMMYFUNCTION("IFERROR(VLOOKUP(A1951, IMPORTRANGE(""https://docs.google.com/spreadsheets/d/1-3Vjw2Cyy-mry5gbC8ypIR3YVGFfEpyFESummAta6sg/edit"", ""Sheet1!B:D""), 2, FALSE), ""Not Found"")"),"tɔs")</f>
        <v>tɔs</v>
      </c>
      <c r="E1951" s="2" t="str">
        <f>IFERROR(__xludf.DUMMYFUNCTION("IFERROR(VLOOKUP(A1951, IMPORTRANGE(""https://docs.google.com/spreadsheets/d/1-3Vjw2Cyy-mry5gbC8ypIR3YVGFfEpyFESummAta6sg/edit"", ""Sheet1!B:D""), 3, FALSE), ""Not Found"")"),"t ɔ s ")</f>
        <v>t ɔ s </v>
      </c>
    </row>
    <row r="1952">
      <c r="A1952" s="1" t="s">
        <v>1955</v>
      </c>
      <c r="B1952" s="1" t="s">
        <v>5</v>
      </c>
      <c r="C1952" s="2">
        <f>IFERROR(__xludf.DUMMYFUNCTION("IFERROR(VLOOKUP(A1952, IMPORTRANGE(""https://docs.google.com/spreadsheets/d/1AVX9GT0dgogEBStecCXMMQ29tWz3gBrtNB8yIromXbY/edit?gid=741673867"", ""out1g!A:B""), 2, FALSE), 0)"),10873.0)</f>
        <v>10873</v>
      </c>
      <c r="D1952" s="2" t="str">
        <f>IFERROR(__xludf.DUMMYFUNCTION("IFERROR(VLOOKUP(A1952, IMPORTRANGE(""https://docs.google.com/spreadsheets/d/1-3Vjw2Cyy-mry5gbC8ypIR3YVGFfEpyFESummAta6sg/edit"", ""Sheet1!B:D""), 2, FALSE), ""Not Found"")"),"gən")</f>
        <v>gən</v>
      </c>
      <c r="E1952" s="2" t="str">
        <f>IFERROR(__xludf.DUMMYFUNCTION("IFERROR(VLOOKUP(A1952, IMPORTRANGE(""https://docs.google.com/spreadsheets/d/1-3Vjw2Cyy-mry5gbC8ypIR3YVGFfEpyFESummAta6sg/edit"", ""Sheet1!B:D""), 3, FALSE), ""Not Found"")"),"g ə n ")</f>
        <v>g ə n </v>
      </c>
    </row>
    <row r="1953">
      <c r="A1953" s="1" t="s">
        <v>1956</v>
      </c>
      <c r="B1953" s="1" t="s">
        <v>5</v>
      </c>
      <c r="C1953" s="2">
        <f>IFERROR(__xludf.DUMMYFUNCTION("IFERROR(VLOOKUP(A1953, IMPORTRANGE(""https://docs.google.com/spreadsheets/d/1AVX9GT0dgogEBStecCXMMQ29tWz3gBrtNB8yIromXbY/edit?gid=741673867"", ""out1g!A:B""), 2, FALSE), 0)"),98.0)</f>
        <v>98</v>
      </c>
      <c r="D1953" s="2" t="str">
        <f>IFERROR(__xludf.DUMMYFUNCTION("IFERROR(VLOOKUP(A1953, IMPORTRANGE(""https://docs.google.com/spreadsheets/d/1-3Vjw2Cyy-mry5gbC8ypIR3YVGFfEpyFESummAta6sg/edit"", ""Sheet1!B:D""), 2, FALSE), ""Not Found"")"),"ʧɪlz")</f>
        <v>ʧɪlz</v>
      </c>
      <c r="E1953" s="2" t="str">
        <f>IFERROR(__xludf.DUMMYFUNCTION("IFERROR(VLOOKUP(A1953, IMPORTRANGE(""https://docs.google.com/spreadsheets/d/1-3Vjw2Cyy-mry5gbC8ypIR3YVGFfEpyFESummAta6sg/edit"", ""Sheet1!B:D""), 3, FALSE), ""Not Found"")"),"ʧ ɪ l z ")</f>
        <v>ʧ ɪ l z </v>
      </c>
    </row>
    <row r="1954">
      <c r="A1954" s="1" t="s">
        <v>1957</v>
      </c>
      <c r="B1954" s="1" t="s">
        <v>5</v>
      </c>
      <c r="C1954" s="2">
        <f>IFERROR(__xludf.DUMMYFUNCTION("IFERROR(VLOOKUP(A1954, IMPORTRANGE(""https://docs.google.com/spreadsheets/d/1AVX9GT0dgogEBStecCXMMQ29tWz3gBrtNB8yIromXbY/edit?gid=741673867"", ""out1g!A:B""), 2, FALSE), 0)"),436.0)</f>
        <v>436</v>
      </c>
      <c r="D1954" s="2" t="str">
        <f>IFERROR(__xludf.DUMMYFUNCTION("IFERROR(VLOOKUP(A1954, IMPORTRANGE(""https://docs.google.com/spreadsheets/d/1-3Vjw2Cyy-mry5gbC8ypIR3YVGFfEpyFESummAta6sg/edit"", ""Sheet1!B:D""), 2, FALSE), ""Not Found"")"),"red")</f>
        <v>red</v>
      </c>
      <c r="E1954" s="2" t="str">
        <f>IFERROR(__xludf.DUMMYFUNCTION("IFERROR(VLOOKUP(A1954, IMPORTRANGE(""https://docs.google.com/spreadsheets/d/1-3Vjw2Cyy-mry5gbC8ypIR3YVGFfEpyFESummAta6sg/edit"", ""Sheet1!B:D""), 3, FALSE), ""Not Found"")"),"r e d ")</f>
        <v>r e d </v>
      </c>
    </row>
    <row r="1955">
      <c r="A1955" s="1" t="s">
        <v>1958</v>
      </c>
      <c r="B1955" s="1" t="s">
        <v>5</v>
      </c>
      <c r="C1955" s="2">
        <f>IFERROR(__xludf.DUMMYFUNCTION("IFERROR(VLOOKUP(A1955, IMPORTRANGE(""https://docs.google.com/spreadsheets/d/1AVX9GT0dgogEBStecCXMMQ29tWz3gBrtNB8yIromXbY/edit?gid=741673867"", ""out1g!A:B""), 2, FALSE), 0)"),6244.0)</f>
        <v>6244</v>
      </c>
      <c r="D1955" s="2" t="str">
        <f>IFERROR(__xludf.DUMMYFUNCTION("IFERROR(VLOOKUP(A1955, IMPORTRANGE(""https://docs.google.com/spreadsheets/d/1-3Vjw2Cyy-mry5gbC8ypIR3YVGFfEpyFESummAta6sg/edit"", ""Sheet1!B:D""), 2, FALSE), ""Not Found"")"),"stret")</f>
        <v>stret</v>
      </c>
      <c r="E1955" s="2" t="str">
        <f>IFERROR(__xludf.DUMMYFUNCTION("IFERROR(VLOOKUP(A1955, IMPORTRANGE(""https://docs.google.com/spreadsheets/d/1-3Vjw2Cyy-mry5gbC8ypIR3YVGFfEpyFESummAta6sg/edit"", ""Sheet1!B:D""), 3, FALSE), ""Not Found"")"),"s t r e t ")</f>
        <v>s t r e t </v>
      </c>
    </row>
    <row r="1956">
      <c r="A1956" s="1" t="s">
        <v>1959</v>
      </c>
      <c r="B1956" s="1" t="s">
        <v>5</v>
      </c>
      <c r="C1956" s="2">
        <f>IFERROR(__xludf.DUMMYFUNCTION("IFERROR(VLOOKUP(A1956, IMPORTRANGE(""https://docs.google.com/spreadsheets/d/1AVX9GT0dgogEBStecCXMMQ29tWz3gBrtNB8yIromXbY/edit?gid=741673867"", ""out1g!A:B""), 2, FALSE), 0)"),263.0)</f>
        <v>263</v>
      </c>
      <c r="D1956" s="2" t="str">
        <f>IFERROR(__xludf.DUMMYFUNCTION("IFERROR(VLOOKUP(A1956, IMPORTRANGE(""https://docs.google.com/spreadsheets/d/1-3Vjw2Cyy-mry5gbC8ypIR3YVGFfEpyFESummAta6sg/edit"", ""Sheet1!B:D""), 2, FALSE), ""Not Found"")"),"væle")</f>
        <v>væle</v>
      </c>
      <c r="E1956" s="2" t="str">
        <f>IFERROR(__xludf.DUMMYFUNCTION("IFERROR(VLOOKUP(A1956, IMPORTRANGE(""https://docs.google.com/spreadsheets/d/1-3Vjw2Cyy-mry5gbC8ypIR3YVGFfEpyFESummAta6sg/edit"", ""Sheet1!B:D""), 3, FALSE), ""Not Found"")"),"v æ l e ")</f>
        <v>v æ l e </v>
      </c>
    </row>
    <row r="1957">
      <c r="A1957" s="1" t="s">
        <v>1960</v>
      </c>
      <c r="B1957" s="1" t="s">
        <v>5</v>
      </c>
      <c r="C1957" s="2">
        <f>IFERROR(__xludf.DUMMYFUNCTION("IFERROR(VLOOKUP(A1957, IMPORTRANGE(""https://docs.google.com/spreadsheets/d/1AVX9GT0dgogEBStecCXMMQ29tWz3gBrtNB8yIromXbY/edit?gid=741673867"", ""out1g!A:B""), 2, FALSE), 0)"),302.0)</f>
        <v>302</v>
      </c>
      <c r="D1957" s="2" t="str">
        <f>IFERROR(__xludf.DUMMYFUNCTION("IFERROR(VLOOKUP(A1957, IMPORTRANGE(""https://docs.google.com/spreadsheets/d/1-3Vjw2Cyy-mry5gbC8ypIR3YVGFfEpyFESummAta6sg/edit"", ""Sheet1!B:D""), 2, FALSE), ""Not Found"")"),"slæk")</f>
        <v>slæk</v>
      </c>
      <c r="E1957" s="2" t="str">
        <f>IFERROR(__xludf.DUMMYFUNCTION("IFERROR(VLOOKUP(A1957, IMPORTRANGE(""https://docs.google.com/spreadsheets/d/1-3Vjw2Cyy-mry5gbC8ypIR3YVGFfEpyFESummAta6sg/edit"", ""Sheet1!B:D""), 3, FALSE), ""Not Found"")"),"s l æ k ")</f>
        <v>s l æ k </v>
      </c>
    </row>
    <row r="1958">
      <c r="A1958" s="1" t="s">
        <v>1961</v>
      </c>
      <c r="B1958" s="1" t="s">
        <v>5</v>
      </c>
      <c r="C1958" s="2">
        <f>IFERROR(__xludf.DUMMYFUNCTION("IFERROR(VLOOKUP(A1958, IMPORTRANGE(""https://docs.google.com/spreadsheets/d/1AVX9GT0dgogEBStecCXMMQ29tWz3gBrtNB8yIromXbY/edit?gid=741673867"", ""out1g!A:B""), 2, FALSE), 0)"),1334.0)</f>
        <v>1334</v>
      </c>
      <c r="D1958" s="2" t="str">
        <f>IFERROR(__xludf.DUMMYFUNCTION("IFERROR(VLOOKUP(A1958, IMPORTRANGE(""https://docs.google.com/spreadsheets/d/1-3Vjw2Cyy-mry5gbC8ypIR3YVGFfEpyFESummAta6sg/edit"", ""Sheet1!B:D""), 2, FALSE), ""Not Found"")"),"ʧɪk")</f>
        <v>ʧɪk</v>
      </c>
      <c r="E1958" s="2" t="str">
        <f>IFERROR(__xludf.DUMMYFUNCTION("IFERROR(VLOOKUP(A1958, IMPORTRANGE(""https://docs.google.com/spreadsheets/d/1-3Vjw2Cyy-mry5gbC8ypIR3YVGFfEpyFESummAta6sg/edit"", ""Sheet1!B:D""), 3, FALSE), ""Not Found"")"),"ʧ ɪ k ")</f>
        <v>ʧ ɪ k </v>
      </c>
    </row>
    <row r="1959">
      <c r="A1959" s="1" t="s">
        <v>1962</v>
      </c>
      <c r="B1959" s="1" t="s">
        <v>5</v>
      </c>
      <c r="C1959" s="2">
        <f>IFERROR(__xludf.DUMMYFUNCTION("IFERROR(VLOOKUP(A1959, IMPORTRANGE(""https://docs.google.com/spreadsheets/d/1AVX9GT0dgogEBStecCXMMQ29tWz3gBrtNB8yIromXbY/edit?gid=741673867"", ""out1g!A:B""), 2, FALSE), 0)"),75.0)</f>
        <v>75</v>
      </c>
      <c r="D1959" s="2" t="str">
        <f>IFERROR(__xludf.DUMMYFUNCTION("IFERROR(VLOOKUP(A1959, IMPORTRANGE(""https://docs.google.com/spreadsheets/d/1-3Vjw2Cyy-mry5gbC8ypIR3YVGFfEpyFESummAta6sg/edit"", ""Sheet1!B:D""), 2, FALSE), ""Not Found"")"),"æb")</f>
        <v>æb</v>
      </c>
      <c r="E1959" s="2" t="str">
        <f>IFERROR(__xludf.DUMMYFUNCTION("IFERROR(VLOOKUP(A1959, IMPORTRANGE(""https://docs.google.com/spreadsheets/d/1-3Vjw2Cyy-mry5gbC8ypIR3YVGFfEpyFESummAta6sg/edit"", ""Sheet1!B:D""), 3, FALSE), ""Not Found"")"),"æ b ")</f>
        <v>æ b </v>
      </c>
    </row>
    <row r="1960">
      <c r="A1960" s="1" t="s">
        <v>1963</v>
      </c>
      <c r="B1960" s="1" t="s">
        <v>5</v>
      </c>
      <c r="C1960" s="2">
        <f>IFERROR(__xludf.DUMMYFUNCTION("IFERROR(VLOOKUP(A1960, IMPORTRANGE(""https://docs.google.com/spreadsheets/d/1AVX9GT0dgogEBStecCXMMQ29tWz3gBrtNB8yIromXbY/edit?gid=741673867"", ""out1g!A:B""), 2, FALSE), 0)"),17.0)</f>
        <v>17</v>
      </c>
      <c r="D1960" s="2" t="str">
        <f>IFERROR(__xludf.DUMMYFUNCTION("IFERROR(VLOOKUP(A1960, IMPORTRANGE(""https://docs.google.com/spreadsheets/d/1-3Vjw2Cyy-mry5gbC8ypIR3YVGFfEpyFESummAta6sg/edit"", ""Sheet1!B:D""), 2, FALSE), ""Not Found"")"),"rɪvət")</f>
        <v>rɪvət</v>
      </c>
      <c r="E1960" s="2" t="str">
        <f>IFERROR(__xludf.DUMMYFUNCTION("IFERROR(VLOOKUP(A1960, IMPORTRANGE(""https://docs.google.com/spreadsheets/d/1-3Vjw2Cyy-mry5gbC8ypIR3YVGFfEpyFESummAta6sg/edit"", ""Sheet1!B:D""), 3, FALSE), ""Not Found"")"),"r ɪ v ə t ")</f>
        <v>r ɪ v ə t </v>
      </c>
    </row>
    <row r="1961">
      <c r="A1961" s="1" t="s">
        <v>1964</v>
      </c>
      <c r="B1961" s="1" t="s">
        <v>5</v>
      </c>
      <c r="C1961" s="2">
        <f>IFERROR(__xludf.DUMMYFUNCTION("IFERROR(VLOOKUP(A1961, IMPORTRANGE(""https://docs.google.com/spreadsheets/d/1AVX9GT0dgogEBStecCXMMQ29tWz3gBrtNB8yIromXbY/edit?gid=741673867"", ""out1g!A:B""), 2, FALSE), 0)"),173.0)</f>
        <v>173</v>
      </c>
      <c r="D1961" s="2" t="str">
        <f>IFERROR(__xludf.DUMMYFUNCTION("IFERROR(VLOOKUP(A1961, IMPORTRANGE(""https://docs.google.com/spreadsheets/d/1-3Vjw2Cyy-mry5gbC8ypIR3YVGFfEpyFESummAta6sg/edit"", ""Sheet1!B:D""), 2, FALSE), ""Not Found"")"),"mɛrət")</f>
        <v>mɛrət</v>
      </c>
      <c r="E1961" s="2" t="str">
        <f>IFERROR(__xludf.DUMMYFUNCTION("IFERROR(VLOOKUP(A1961, IMPORTRANGE(""https://docs.google.com/spreadsheets/d/1-3Vjw2Cyy-mry5gbC8ypIR3YVGFfEpyFESummAta6sg/edit"", ""Sheet1!B:D""), 3, FALSE), ""Not Found"")"),"m ɛ r ə t ")</f>
        <v>m ɛ r ə t </v>
      </c>
    </row>
    <row r="1962">
      <c r="A1962" s="1" t="s">
        <v>1965</v>
      </c>
      <c r="B1962" s="1" t="s">
        <v>5</v>
      </c>
      <c r="C1962" s="2">
        <f>IFERROR(__xludf.DUMMYFUNCTION("IFERROR(VLOOKUP(A1962, IMPORTRANGE(""https://docs.google.com/spreadsheets/d/1AVX9GT0dgogEBStecCXMMQ29tWz3gBrtNB8yIromXbY/edit?gid=741673867"", ""out1g!A:B""), 2, FALSE), 0)"),149.0)</f>
        <v>149</v>
      </c>
      <c r="D1962" s="2" t="str">
        <f>IFERROR(__xludf.DUMMYFUNCTION("IFERROR(VLOOKUP(A1962, IMPORTRANGE(""https://docs.google.com/spreadsheets/d/1-3Vjw2Cyy-mry5gbC8ypIR3YVGFfEpyFESummAta6sg/edit"", ""Sheet1!B:D""), 2, FALSE), ""Not Found"")"),"klɛm")</f>
        <v>klɛm</v>
      </c>
      <c r="E1962" s="2" t="str">
        <f>IFERROR(__xludf.DUMMYFUNCTION("IFERROR(VLOOKUP(A1962, IMPORTRANGE(""https://docs.google.com/spreadsheets/d/1-3Vjw2Cyy-mry5gbC8ypIR3YVGFfEpyFESummAta6sg/edit"", ""Sheet1!B:D""), 3, FALSE), ""Not Found"")"),"k l ɛ m ")</f>
        <v>k l ɛ m </v>
      </c>
    </row>
    <row r="1963">
      <c r="A1963" s="1" t="s">
        <v>1966</v>
      </c>
      <c r="B1963" s="1" t="s">
        <v>5</v>
      </c>
      <c r="C1963" s="2">
        <f>IFERROR(__xludf.DUMMYFUNCTION("IFERROR(VLOOKUP(A1963, IMPORTRANGE(""https://docs.google.com/spreadsheets/d/1AVX9GT0dgogEBStecCXMMQ29tWz3gBrtNB8yIromXbY/edit?gid=741673867"", ""out1g!A:B""), 2, FALSE), 0)"),87.0)</f>
        <v>87</v>
      </c>
      <c r="D1963" s="2" t="str">
        <f>IFERROR(__xludf.DUMMYFUNCTION("IFERROR(VLOOKUP(A1963, IMPORTRANGE(""https://docs.google.com/spreadsheets/d/1-3Vjw2Cyy-mry5gbC8ypIR3YVGFfEpyFESummAta6sg/edit"", ""Sheet1!B:D""), 2, FALSE), ""Not Found"")"),"skɛrs")</f>
        <v>skɛrs</v>
      </c>
      <c r="E1963" s="2" t="str">
        <f>IFERROR(__xludf.DUMMYFUNCTION("IFERROR(VLOOKUP(A1963, IMPORTRANGE(""https://docs.google.com/spreadsheets/d/1-3Vjw2Cyy-mry5gbC8ypIR3YVGFfEpyFESummAta6sg/edit"", ""Sheet1!B:D""), 3, FALSE), ""Not Found"")"),"s k ɛ r s ")</f>
        <v>s k ɛ r s </v>
      </c>
    </row>
    <row r="1964">
      <c r="A1964" s="1" t="s">
        <v>1967</v>
      </c>
      <c r="B1964" s="1" t="s">
        <v>5</v>
      </c>
      <c r="C1964" s="2">
        <f>IFERROR(__xludf.DUMMYFUNCTION("IFERROR(VLOOKUP(A1964, IMPORTRANGE(""https://docs.google.com/spreadsheets/d/1AVX9GT0dgogEBStecCXMMQ29tWz3gBrtNB8yIromXbY/edit?gid=741673867"", ""out1g!A:B""), 2, FALSE), 0)"),73.0)</f>
        <v>73</v>
      </c>
      <c r="D1964" s="2" t="str">
        <f>IFERROR(__xludf.DUMMYFUNCTION("IFERROR(VLOOKUP(A1964, IMPORTRANGE(""https://docs.google.com/spreadsheets/d/1-3Vjw2Cyy-mry5gbC8ypIR3YVGFfEpyFESummAta6sg/edit"", ""Sheet1!B:D""), 2, FALSE), ""Not Found"")"),"braɪbz")</f>
        <v>braɪbz</v>
      </c>
      <c r="E1964" s="2" t="str">
        <f>IFERROR(__xludf.DUMMYFUNCTION("IFERROR(VLOOKUP(A1964, IMPORTRANGE(""https://docs.google.com/spreadsheets/d/1-3Vjw2Cyy-mry5gbC8ypIR3YVGFfEpyFESummAta6sg/edit"", ""Sheet1!B:D""), 3, FALSE), ""Not Found"")"),"b r a ɪ b z ")</f>
        <v>b r a ɪ b z </v>
      </c>
    </row>
    <row r="1965">
      <c r="A1965" s="1" t="s">
        <v>1968</v>
      </c>
      <c r="B1965" s="1" t="s">
        <v>5</v>
      </c>
      <c r="C1965" s="2">
        <f>IFERROR(__xludf.DUMMYFUNCTION("IFERROR(VLOOKUP(A1965, IMPORTRANGE(""https://docs.google.com/spreadsheets/d/1AVX9GT0dgogEBStecCXMMQ29tWz3gBrtNB8yIromXbY/edit?gid=741673867"", ""out1g!A:B""), 2, FALSE), 0)"),48.0)</f>
        <v>48</v>
      </c>
      <c r="D1965" s="2" t="str">
        <f>IFERROR(__xludf.DUMMYFUNCTION("IFERROR(VLOOKUP(A1965, IMPORTRANGE(""https://docs.google.com/spreadsheets/d/1-3Vjw2Cyy-mry5gbC8ypIR3YVGFfEpyFESummAta6sg/edit"", ""Sheet1!B:D""), 2, FALSE), ""Not Found"")"),"bɛrət")</f>
        <v>bɛrət</v>
      </c>
      <c r="E1965" s="2" t="str">
        <f>IFERROR(__xludf.DUMMYFUNCTION("IFERROR(VLOOKUP(A1965, IMPORTRANGE(""https://docs.google.com/spreadsheets/d/1-3Vjw2Cyy-mry5gbC8ypIR3YVGFfEpyFESummAta6sg/edit"", ""Sheet1!B:D""), 3, FALSE), ""Not Found"")"),"b ɛ r ə t ")</f>
        <v>b ɛ r ə t </v>
      </c>
    </row>
    <row r="1966">
      <c r="A1966" s="1" t="s">
        <v>1969</v>
      </c>
      <c r="B1966" s="1" t="s">
        <v>5</v>
      </c>
      <c r="C1966" s="2">
        <f>IFERROR(__xludf.DUMMYFUNCTION("IFERROR(VLOOKUP(A1966, IMPORTRANGE(""https://docs.google.com/spreadsheets/d/1AVX9GT0dgogEBStecCXMMQ29tWz3gBrtNB8yIromXbY/edit?gid=741673867"", ""out1g!A:B""), 2, FALSE), 0)"),3534.0)</f>
        <v>3534</v>
      </c>
      <c r="D1966" s="2" t="str">
        <f>IFERROR(__xludf.DUMMYFUNCTION("IFERROR(VLOOKUP(A1966, IMPORTRANGE(""https://docs.google.com/spreadsheets/d/1-3Vjw2Cyy-mry5gbC8ypIR3YVGFfEpyFESummAta6sg/edit"", ""Sheet1!B:D""), 2, FALSE), ""Not Found"")"),"pɪkt")</f>
        <v>pɪkt</v>
      </c>
      <c r="E1966" s="2" t="str">
        <f>IFERROR(__xludf.DUMMYFUNCTION("IFERROR(VLOOKUP(A1966, IMPORTRANGE(""https://docs.google.com/spreadsheets/d/1-3Vjw2Cyy-mry5gbC8ypIR3YVGFfEpyFESummAta6sg/edit"", ""Sheet1!B:D""), 3, FALSE), ""Not Found"")"),"p ɪ k t ")</f>
        <v>p ɪ k t </v>
      </c>
    </row>
    <row r="1967">
      <c r="A1967" s="1" t="s">
        <v>1970</v>
      </c>
      <c r="B1967" s="1" t="s">
        <v>5</v>
      </c>
      <c r="C1967" s="2">
        <f>IFERROR(__xludf.DUMMYFUNCTION("IFERROR(VLOOKUP(A1967, IMPORTRANGE(""https://docs.google.com/spreadsheets/d/1AVX9GT0dgogEBStecCXMMQ29tWz3gBrtNB8yIromXbY/edit?gid=741673867"", ""out1g!A:B""), 2, FALSE), 0)"),1741.0)</f>
        <v>1741</v>
      </c>
      <c r="D1967" s="2" t="str">
        <f>IFERROR(__xludf.DUMMYFUNCTION("IFERROR(VLOOKUP(A1967, IMPORTRANGE(""https://docs.google.com/spreadsheets/d/1-3Vjw2Cyy-mry5gbC8ypIR3YVGFfEpyFESummAta6sg/edit"", ""Sheet1!B:D""), 2, FALSE), ""Not Found"")"),"lɪft")</f>
        <v>lɪft</v>
      </c>
      <c r="E1967" s="2" t="str">
        <f>IFERROR(__xludf.DUMMYFUNCTION("IFERROR(VLOOKUP(A1967, IMPORTRANGE(""https://docs.google.com/spreadsheets/d/1-3Vjw2Cyy-mry5gbC8ypIR3YVGFfEpyFESummAta6sg/edit"", ""Sheet1!B:D""), 3, FALSE), ""Not Found"")"),"l ɪ f t ")</f>
        <v>l ɪ f t </v>
      </c>
    </row>
    <row r="1968">
      <c r="A1968" s="1" t="s">
        <v>1971</v>
      </c>
      <c r="B1968" s="1" t="s">
        <v>5</v>
      </c>
      <c r="C1968" s="2">
        <f>IFERROR(__xludf.DUMMYFUNCTION("IFERROR(VLOOKUP(A1968, IMPORTRANGE(""https://docs.google.com/spreadsheets/d/1AVX9GT0dgogEBStecCXMMQ29tWz3gBrtNB8yIromXbY/edit?gid=741673867"", ""out1g!A:B""), 2, FALSE), 0)"),11536.0)</f>
        <v>11536</v>
      </c>
      <c r="D1968" s="2" t="str">
        <f>IFERROR(__xludf.DUMMYFUNCTION("IFERROR(VLOOKUP(A1968, IMPORTRANGE(""https://docs.google.com/spreadsheets/d/1-3Vjw2Cyy-mry5gbC8ypIR3YVGFfEpyFESummAta6sg/edit"", ""Sheet1!B:D""), 2, FALSE), ""Not Found"")"),"stænd")</f>
        <v>stænd</v>
      </c>
      <c r="E1968" s="2" t="str">
        <f>IFERROR(__xludf.DUMMYFUNCTION("IFERROR(VLOOKUP(A1968, IMPORTRANGE(""https://docs.google.com/spreadsheets/d/1-3Vjw2Cyy-mry5gbC8ypIR3YVGFfEpyFESummAta6sg/edit"", ""Sheet1!B:D""), 3, FALSE), ""Not Found"")"),"s t æ n d ")</f>
        <v>s t æ n d </v>
      </c>
    </row>
    <row r="1969">
      <c r="A1969" s="1" t="s">
        <v>1972</v>
      </c>
      <c r="B1969" s="1" t="s">
        <v>5</v>
      </c>
      <c r="C1969" s="2">
        <f>IFERROR(__xludf.DUMMYFUNCTION("IFERROR(VLOOKUP(A1969, IMPORTRANGE(""https://docs.google.com/spreadsheets/d/1AVX9GT0dgogEBStecCXMMQ29tWz3gBrtNB8yIromXbY/edit?gid=741673867"", ""out1g!A:B""), 2, FALSE), 0)"),531.0)</f>
        <v>531</v>
      </c>
      <c r="D1969" s="2" t="str">
        <f>IFERROR(__xludf.DUMMYFUNCTION("IFERROR(VLOOKUP(A1969, IMPORTRANGE(""https://docs.google.com/spreadsheets/d/1-3Vjw2Cyy-mry5gbC8ypIR3YVGFfEpyFESummAta6sg/edit"", ""Sheet1!B:D""), 2, FALSE), ""Not Found"")"),"kræʃt")</f>
        <v>kræʃt</v>
      </c>
      <c r="E1969" s="2" t="str">
        <f>IFERROR(__xludf.DUMMYFUNCTION("IFERROR(VLOOKUP(A1969, IMPORTRANGE(""https://docs.google.com/spreadsheets/d/1-3Vjw2Cyy-mry5gbC8ypIR3YVGFfEpyFESummAta6sg/edit"", ""Sheet1!B:D""), 3, FALSE), ""Not Found"")"),"k r æ ʃ t ")</f>
        <v>k r æ ʃ t </v>
      </c>
    </row>
    <row r="1970">
      <c r="A1970" s="1" t="s">
        <v>1973</v>
      </c>
      <c r="B1970" s="1" t="s">
        <v>5</v>
      </c>
      <c r="C1970" s="2">
        <f>IFERROR(__xludf.DUMMYFUNCTION("IFERROR(VLOOKUP(A1970, IMPORTRANGE(""https://docs.google.com/spreadsheets/d/1AVX9GT0dgogEBStecCXMMQ29tWz3gBrtNB8yIromXbY/edit?gid=741673867"", ""out1g!A:B""), 2, FALSE), 0)"),14.0)</f>
        <v>14</v>
      </c>
      <c r="D1970" s="2" t="str">
        <f>IFERROR(__xludf.DUMMYFUNCTION("IFERROR(VLOOKUP(A1970, IMPORTRANGE(""https://docs.google.com/spreadsheets/d/1-3Vjw2Cyy-mry5gbC8ypIR3YVGFfEpyFESummAta6sg/edit"", ""Sheet1!B:D""), 2, FALSE), ""Not Found"")"),"aɪoʊ")</f>
        <v>aɪoʊ</v>
      </c>
      <c r="E1970" s="2" t="str">
        <f>IFERROR(__xludf.DUMMYFUNCTION("IFERROR(VLOOKUP(A1970, IMPORTRANGE(""https://docs.google.com/spreadsheets/d/1-3Vjw2Cyy-mry5gbC8ypIR3YVGFfEpyFESummAta6sg/edit"", ""Sheet1!B:D""), 3, FALSE), ""Not Found"")"),"a ɪ o ʊ ")</f>
        <v>a ɪ o ʊ </v>
      </c>
    </row>
    <row r="1971">
      <c r="A1971" s="1" t="s">
        <v>1974</v>
      </c>
      <c r="B1971" s="1" t="s">
        <v>5</v>
      </c>
      <c r="C1971" s="2">
        <f>IFERROR(__xludf.DUMMYFUNCTION("IFERROR(VLOOKUP(A1971, IMPORTRANGE(""https://docs.google.com/spreadsheets/d/1AVX9GT0dgogEBStecCXMMQ29tWz3gBrtNB8yIromXbY/edit?gid=741673867"", ""out1g!A:B""), 2, FALSE), 0)"),350.0)</f>
        <v>350</v>
      </c>
      <c r="D1971" s="2" t="str">
        <f>IFERROR(__xludf.DUMMYFUNCTION("IFERROR(VLOOKUP(A1971, IMPORTRANGE(""https://docs.google.com/spreadsheets/d/1-3Vjw2Cyy-mry5gbC8ypIR3YVGFfEpyFESummAta6sg/edit"", ""Sheet1!B:D""), 2, FALSE), ""Not Found"")"),"mɛsi")</f>
        <v>mɛsi</v>
      </c>
      <c r="E1971" s="2" t="str">
        <f>IFERROR(__xludf.DUMMYFUNCTION("IFERROR(VLOOKUP(A1971, IMPORTRANGE(""https://docs.google.com/spreadsheets/d/1-3Vjw2Cyy-mry5gbC8ypIR3YVGFfEpyFESummAta6sg/edit"", ""Sheet1!B:D""), 3, FALSE), ""Not Found"")"),"m ɛ s i ")</f>
        <v>m ɛ s i </v>
      </c>
    </row>
    <row r="1972">
      <c r="A1972" s="1" t="s">
        <v>1975</v>
      </c>
      <c r="B1972" s="1" t="s">
        <v>5</v>
      </c>
      <c r="C1972" s="2">
        <f>IFERROR(__xludf.DUMMYFUNCTION("IFERROR(VLOOKUP(A1972, IMPORTRANGE(""https://docs.google.com/spreadsheets/d/1AVX9GT0dgogEBStecCXMMQ29tWz3gBrtNB8yIromXbY/edit?gid=741673867"", ""out1g!A:B""), 2, FALSE), 0)"),62.0)</f>
        <v>62</v>
      </c>
      <c r="D1972" s="2" t="str">
        <f>IFERROR(__xludf.DUMMYFUNCTION("IFERROR(VLOOKUP(A1972, IMPORTRANGE(""https://docs.google.com/spreadsheets/d/1-3Vjw2Cyy-mry5gbC8ypIR3YVGFfEpyFESummAta6sg/edit"", ""Sheet1!B:D""), 2, FALSE), ""Not Found"")"),"briðər")</f>
        <v>briðər</v>
      </c>
      <c r="E1972" s="2" t="str">
        <f>IFERROR(__xludf.DUMMYFUNCTION("IFERROR(VLOOKUP(A1972, IMPORTRANGE(""https://docs.google.com/spreadsheets/d/1-3Vjw2Cyy-mry5gbC8ypIR3YVGFfEpyFESummAta6sg/edit"", ""Sheet1!B:D""), 3, FALSE), ""Not Found"")"),"b r i ð ə r ")</f>
        <v>b r i ð ə r </v>
      </c>
    </row>
    <row r="1973">
      <c r="A1973" s="1" t="s">
        <v>1976</v>
      </c>
      <c r="B1973" s="1" t="s">
        <v>5</v>
      </c>
      <c r="C1973" s="2">
        <f>IFERROR(__xludf.DUMMYFUNCTION("IFERROR(VLOOKUP(A1973, IMPORTRANGE(""https://docs.google.com/spreadsheets/d/1AVX9GT0dgogEBStecCXMMQ29tWz3gBrtNB8yIromXbY/edit?gid=741673867"", ""out1g!A:B""), 2, FALSE), 0)"),47.0)</f>
        <v>47</v>
      </c>
      <c r="D1973" s="2" t="str">
        <f>IFERROR(__xludf.DUMMYFUNCTION("IFERROR(VLOOKUP(A1973, IMPORTRANGE(""https://docs.google.com/spreadsheets/d/1-3Vjw2Cyy-mry5gbC8ypIR3YVGFfEpyFESummAta6sg/edit"", ""Sheet1!B:D""), 2, FALSE), ""Not Found"")"),"himən")</f>
        <v>himən</v>
      </c>
      <c r="E1973" s="2" t="str">
        <f>IFERROR(__xludf.DUMMYFUNCTION("IFERROR(VLOOKUP(A1973, IMPORTRANGE(""https://docs.google.com/spreadsheets/d/1-3Vjw2Cyy-mry5gbC8ypIR3YVGFfEpyFESummAta6sg/edit"", ""Sheet1!B:D""), 3, FALSE), ""Not Found"")"),"h i m ə n ")</f>
        <v>h i m ə n </v>
      </c>
    </row>
    <row r="1974">
      <c r="A1974" s="1" t="s">
        <v>1977</v>
      </c>
      <c r="B1974" s="1" t="s">
        <v>5</v>
      </c>
      <c r="C1974" s="2">
        <f>IFERROR(__xludf.DUMMYFUNCTION("IFERROR(VLOOKUP(A1974, IMPORTRANGE(""https://docs.google.com/spreadsheets/d/1AVX9GT0dgogEBStecCXMMQ29tWz3gBrtNB8yIromXbY/edit?gid=741673867"", ""out1g!A:B""), 2, FALSE), 0)"),1276.0)</f>
        <v>1276</v>
      </c>
      <c r="D1974" s="2" t="str">
        <f>IFERROR(__xludf.DUMMYFUNCTION("IFERROR(VLOOKUP(A1974, IMPORTRANGE(""https://docs.google.com/spreadsheets/d/1-3Vjw2Cyy-mry5gbC8ypIR3YVGFfEpyFESummAta6sg/edit"", ""Sheet1!B:D""), 2, FALSE), ""Not Found"")"),"ʤæki")</f>
        <v>ʤæki</v>
      </c>
      <c r="E1974" s="2" t="str">
        <f>IFERROR(__xludf.DUMMYFUNCTION("IFERROR(VLOOKUP(A1974, IMPORTRANGE(""https://docs.google.com/spreadsheets/d/1-3Vjw2Cyy-mry5gbC8ypIR3YVGFfEpyFESummAta6sg/edit"", ""Sheet1!B:D""), 3, FALSE), ""Not Found"")"),"ʤ æ k i ")</f>
        <v>ʤ æ k i </v>
      </c>
    </row>
    <row r="1975">
      <c r="A1975" s="1" t="s">
        <v>1978</v>
      </c>
      <c r="B1975" s="1" t="s">
        <v>5</v>
      </c>
      <c r="C1975" s="2">
        <f>IFERROR(__xludf.DUMMYFUNCTION("IFERROR(VLOOKUP(A1975, IMPORTRANGE(""https://docs.google.com/spreadsheets/d/1AVX9GT0dgogEBStecCXMMQ29tWz3gBrtNB8yIromXbY/edit?gid=741673867"", ""out1g!A:B""), 2, FALSE), 0)"),30502.0)</f>
        <v>30502</v>
      </c>
      <c r="D1975" s="2" t="str">
        <f>IFERROR(__xludf.DUMMYFUNCTION("IFERROR(VLOOKUP(A1975, IMPORTRANGE(""https://docs.google.com/spreadsheets/d/1-3Vjw2Cyy-mry5gbC8ypIR3YVGFfEpyFESummAta6sg/edit"", ""Sheet1!B:D""), 2, FALSE), ""Not Found"")"),"faɪn")</f>
        <v>faɪn</v>
      </c>
      <c r="E1975" s="2" t="str">
        <f>IFERROR(__xludf.DUMMYFUNCTION("IFERROR(VLOOKUP(A1975, IMPORTRANGE(""https://docs.google.com/spreadsheets/d/1-3Vjw2Cyy-mry5gbC8ypIR3YVGFfEpyFESummAta6sg/edit"", ""Sheet1!B:D""), 3, FALSE), ""Not Found"")"),"f a ɪ n ")</f>
        <v>f a ɪ n </v>
      </c>
    </row>
    <row r="1976">
      <c r="A1976" s="1" t="s">
        <v>1979</v>
      </c>
      <c r="B1976" s="1" t="s">
        <v>5</v>
      </c>
      <c r="C1976" s="2">
        <f>IFERROR(__xludf.DUMMYFUNCTION("IFERROR(VLOOKUP(A1976, IMPORTRANGE(""https://docs.google.com/spreadsheets/d/1AVX9GT0dgogEBStecCXMMQ29tWz3gBrtNB8yIromXbY/edit?gid=741673867"", ""out1g!A:B""), 2, FALSE), 0)"),106.0)</f>
        <v>106</v>
      </c>
      <c r="D1976" s="2" t="str">
        <f>IFERROR(__xludf.DUMMYFUNCTION("IFERROR(VLOOKUP(A1976, IMPORTRANGE(""https://docs.google.com/spreadsheets/d/1-3Vjw2Cyy-mry5gbC8ypIR3YVGFfEpyFESummAta6sg/edit"", ""Sheet1!B:D""), 2, FALSE), ""Not Found"")"),"welz")</f>
        <v>welz</v>
      </c>
      <c r="E1976" s="2" t="str">
        <f>IFERROR(__xludf.DUMMYFUNCTION("IFERROR(VLOOKUP(A1976, IMPORTRANGE(""https://docs.google.com/spreadsheets/d/1-3Vjw2Cyy-mry5gbC8ypIR3YVGFfEpyFESummAta6sg/edit"", ""Sheet1!B:D""), 3, FALSE), ""Not Found"")"),"w e l z ")</f>
        <v>w e l z </v>
      </c>
    </row>
    <row r="1977">
      <c r="A1977" s="1" t="s">
        <v>1980</v>
      </c>
      <c r="B1977" s="1" t="s">
        <v>5</v>
      </c>
      <c r="C1977" s="2">
        <f>IFERROR(__xludf.DUMMYFUNCTION("IFERROR(VLOOKUP(A1977, IMPORTRANGE(""https://docs.google.com/spreadsheets/d/1AVX9GT0dgogEBStecCXMMQ29tWz3gBrtNB8yIromXbY/edit?gid=741673867"", ""out1g!A:B""), 2, FALSE), 0)"),344.0)</f>
        <v>344</v>
      </c>
      <c r="D1977" s="2" t="str">
        <f>IFERROR(__xludf.DUMMYFUNCTION("IFERROR(VLOOKUP(A1977, IMPORTRANGE(""https://docs.google.com/spreadsheets/d/1-3Vjw2Cyy-mry5gbC8ypIR3YVGFfEpyFESummAta6sg/edit"", ""Sheet1!B:D""), 2, FALSE), ""Not Found"")"),"θɛft")</f>
        <v>θɛft</v>
      </c>
      <c r="E1977" s="2" t="str">
        <f>IFERROR(__xludf.DUMMYFUNCTION("IFERROR(VLOOKUP(A1977, IMPORTRANGE(""https://docs.google.com/spreadsheets/d/1-3Vjw2Cyy-mry5gbC8ypIR3YVGFfEpyFESummAta6sg/edit"", ""Sheet1!B:D""), 3, FALSE), ""Not Found"")"),"θ ɛ f t ")</f>
        <v>θ ɛ f t </v>
      </c>
    </row>
    <row r="1978">
      <c r="A1978" s="1" t="s">
        <v>1981</v>
      </c>
      <c r="B1978" s="1" t="s">
        <v>5</v>
      </c>
      <c r="C1978" s="2">
        <f>IFERROR(__xludf.DUMMYFUNCTION("IFERROR(VLOOKUP(A1978, IMPORTRANGE(""https://docs.google.com/spreadsheets/d/1AVX9GT0dgogEBStecCXMMQ29tWz3gBrtNB8yIromXbY/edit?gid=741673867"", ""out1g!A:B""), 2, FALSE), 0)"),101.0)</f>
        <v>101</v>
      </c>
      <c r="D1978" s="2" t="str">
        <f>IFERROR(__xludf.DUMMYFUNCTION("IFERROR(VLOOKUP(A1978, IMPORTRANGE(""https://docs.google.com/spreadsheets/d/1-3Vjw2Cyy-mry5gbC8ypIR3YVGFfEpyFESummAta6sg/edit"", ""Sheet1!B:D""), 2, FALSE), ""Not Found"")"),"ɛməri")</f>
        <v>ɛməri</v>
      </c>
      <c r="E1978" s="2" t="str">
        <f>IFERROR(__xludf.DUMMYFUNCTION("IFERROR(VLOOKUP(A1978, IMPORTRANGE(""https://docs.google.com/spreadsheets/d/1-3Vjw2Cyy-mry5gbC8ypIR3YVGFfEpyFESummAta6sg/edit"", ""Sheet1!B:D""), 3, FALSE), ""Not Found"")"),"ɛ m ə r i ")</f>
        <v>ɛ m ə r i </v>
      </c>
    </row>
    <row r="1979">
      <c r="A1979" s="1" t="s">
        <v>1982</v>
      </c>
      <c r="B1979" s="1" t="s">
        <v>5</v>
      </c>
      <c r="C1979" s="2">
        <f>IFERROR(__xludf.DUMMYFUNCTION("IFERROR(VLOOKUP(A1979, IMPORTRANGE(""https://docs.google.com/spreadsheets/d/1AVX9GT0dgogEBStecCXMMQ29tWz3gBrtNB8yIromXbY/edit?gid=741673867"", ""out1g!A:B""), 2, FALSE), 0)"),56.0)</f>
        <v>56</v>
      </c>
      <c r="D1979" s="2" t="str">
        <f>IFERROR(__xludf.DUMMYFUNCTION("IFERROR(VLOOKUP(A1979, IMPORTRANGE(""https://docs.google.com/spreadsheets/d/1-3Vjw2Cyy-mry5gbC8ypIR3YVGFfEpyFESummAta6sg/edit"", ""Sheet1!B:D""), 2, FALSE), ""Not Found"")"),"gəl")</f>
        <v>gəl</v>
      </c>
      <c r="E1979" s="2" t="str">
        <f>IFERROR(__xludf.DUMMYFUNCTION("IFERROR(VLOOKUP(A1979, IMPORTRANGE(""https://docs.google.com/spreadsheets/d/1-3Vjw2Cyy-mry5gbC8ypIR3YVGFfEpyFESummAta6sg/edit"", ""Sheet1!B:D""), 3, FALSE), ""Not Found"")"),"g ə l ")</f>
        <v>g ə l </v>
      </c>
    </row>
    <row r="1980">
      <c r="A1980" s="1" t="s">
        <v>1983</v>
      </c>
      <c r="B1980" s="1" t="s">
        <v>5</v>
      </c>
      <c r="C1980" s="2">
        <f>IFERROR(__xludf.DUMMYFUNCTION("IFERROR(VLOOKUP(A1980, IMPORTRANGE(""https://docs.google.com/spreadsheets/d/1AVX9GT0dgogEBStecCXMMQ29tWz3gBrtNB8yIromXbY/edit?gid=741673867"", ""out1g!A:B""), 2, FALSE), 0)"),1529.0)</f>
        <v>1529</v>
      </c>
      <c r="D1980" s="2" t="str">
        <f>IFERROR(__xludf.DUMMYFUNCTION("IFERROR(VLOOKUP(A1980, IMPORTRANGE(""https://docs.google.com/spreadsheets/d/1-3Vjw2Cyy-mry5gbC8ypIR3YVGFfEpyFESummAta6sg/edit"", ""Sheet1!B:D""), 2, FALSE), ""Not Found"")"),"sɛksi")</f>
        <v>sɛksi</v>
      </c>
      <c r="E1980" s="2" t="str">
        <f>IFERROR(__xludf.DUMMYFUNCTION("IFERROR(VLOOKUP(A1980, IMPORTRANGE(""https://docs.google.com/spreadsheets/d/1-3Vjw2Cyy-mry5gbC8ypIR3YVGFfEpyFESummAta6sg/edit"", ""Sheet1!B:D""), 3, FALSE), ""Not Found"")"),"s ɛ k s i ")</f>
        <v>s ɛ k s i </v>
      </c>
    </row>
    <row r="1981">
      <c r="A1981" s="1" t="s">
        <v>1984</v>
      </c>
      <c r="B1981" s="1" t="s">
        <v>5</v>
      </c>
      <c r="C1981" s="2">
        <f>IFERROR(__xludf.DUMMYFUNCTION("IFERROR(VLOOKUP(A1981, IMPORTRANGE(""https://docs.google.com/spreadsheets/d/1AVX9GT0dgogEBStecCXMMQ29tWz3gBrtNB8yIromXbY/edit?gid=741673867"", ""out1g!A:B""), 2, FALSE), 0)"),6183.0)</f>
        <v>6183</v>
      </c>
      <c r="D1981" s="2" t="str">
        <f>IFERROR(__xludf.DUMMYFUNCTION("IFERROR(VLOOKUP(A1981, IMPORTRANGE(""https://docs.google.com/spreadsheets/d/1-3Vjw2Cyy-mry5gbC8ypIR3YVGFfEpyFESummAta6sg/edit"", ""Sheet1!B:D""), 2, FALSE), ""Not Found"")"),"klin")</f>
        <v>klin</v>
      </c>
      <c r="E1981" s="2" t="str">
        <f>IFERROR(__xludf.DUMMYFUNCTION("IFERROR(VLOOKUP(A1981, IMPORTRANGE(""https://docs.google.com/spreadsheets/d/1-3Vjw2Cyy-mry5gbC8ypIR3YVGFfEpyFESummAta6sg/edit"", ""Sheet1!B:D""), 3, FALSE), ""Not Found"")"),"k l i n ")</f>
        <v>k l i n </v>
      </c>
    </row>
    <row r="1982">
      <c r="A1982" s="1" t="s">
        <v>1985</v>
      </c>
      <c r="B1982" s="1" t="s">
        <v>5</v>
      </c>
      <c r="C1982" s="2">
        <f>IFERROR(__xludf.DUMMYFUNCTION("IFERROR(VLOOKUP(A1982, IMPORTRANGE(""https://docs.google.com/spreadsheets/d/1AVX9GT0dgogEBStecCXMMQ29tWz3gBrtNB8yIromXbY/edit?gid=741673867"", ""out1g!A:B""), 2, FALSE), 0)"),175.0)</f>
        <v>175</v>
      </c>
      <c r="D1982" s="2" t="str">
        <f>IFERROR(__xludf.DUMMYFUNCTION("IFERROR(VLOOKUP(A1982, IMPORTRANGE(""https://docs.google.com/spreadsheets/d/1-3Vjw2Cyy-mry5gbC8ypIR3YVGFfEpyFESummAta6sg/edit"", ""Sheet1!B:D""), 2, FALSE), ""Not Found"")"),"betə")</f>
        <v>betə</v>
      </c>
      <c r="E1982" s="2" t="str">
        <f>IFERROR(__xludf.DUMMYFUNCTION("IFERROR(VLOOKUP(A1982, IMPORTRANGE(""https://docs.google.com/spreadsheets/d/1-3Vjw2Cyy-mry5gbC8ypIR3YVGFfEpyFESummAta6sg/edit"", ""Sheet1!B:D""), 3, FALSE), ""Not Found"")"),"b e t ə ")</f>
        <v>b e t ə </v>
      </c>
    </row>
    <row r="1983">
      <c r="A1983" s="1" t="s">
        <v>1986</v>
      </c>
      <c r="B1983" s="1" t="s">
        <v>5</v>
      </c>
      <c r="C1983" s="2">
        <f>IFERROR(__xludf.DUMMYFUNCTION("IFERROR(VLOOKUP(A1983, IMPORTRANGE(""https://docs.google.com/spreadsheets/d/1AVX9GT0dgogEBStecCXMMQ29tWz3gBrtNB8yIromXbY/edit?gid=741673867"", ""out1g!A:B""), 2, FALSE), 0)"),417.0)</f>
        <v>417</v>
      </c>
      <c r="D1983" s="2" t="str">
        <f>IFERROR(__xludf.DUMMYFUNCTION("IFERROR(VLOOKUP(A1983, IMPORTRANGE(""https://docs.google.com/spreadsheets/d/1-3Vjw2Cyy-mry5gbC8ypIR3YVGFfEpyFESummAta6sg/edit"", ""Sheet1!B:D""), 2, FALSE), ""Not Found"")"),"didz")</f>
        <v>didz</v>
      </c>
      <c r="E1983" s="2" t="str">
        <f>IFERROR(__xludf.DUMMYFUNCTION("IFERROR(VLOOKUP(A1983, IMPORTRANGE(""https://docs.google.com/spreadsheets/d/1-3Vjw2Cyy-mry5gbC8ypIR3YVGFfEpyFESummAta6sg/edit"", ""Sheet1!B:D""), 3, FALSE), ""Not Found"")"),"d i d z ")</f>
        <v>d i d z </v>
      </c>
    </row>
    <row r="1984">
      <c r="A1984" s="1" t="s">
        <v>1987</v>
      </c>
      <c r="B1984" s="1" t="s">
        <v>5</v>
      </c>
      <c r="C1984" s="2">
        <f>IFERROR(__xludf.DUMMYFUNCTION("IFERROR(VLOOKUP(A1984, IMPORTRANGE(""https://docs.google.com/spreadsheets/d/1AVX9GT0dgogEBStecCXMMQ29tWz3gBrtNB8yIromXbY/edit?gid=741673867"", ""out1g!A:B""), 2, FALSE), 0)"),301.0)</f>
        <v>301</v>
      </c>
      <c r="D1984" s="2" t="str">
        <f>IFERROR(__xludf.DUMMYFUNCTION("IFERROR(VLOOKUP(A1984, IMPORTRANGE(""https://docs.google.com/spreadsheets/d/1-3Vjw2Cyy-mry5gbC8ypIR3YVGFfEpyFESummAta6sg/edit"", ""Sheet1!B:D""), 2, FALSE), ""Not Found"")"),"laɪtən")</f>
        <v>laɪtən</v>
      </c>
      <c r="E1984" s="2" t="str">
        <f>IFERROR(__xludf.DUMMYFUNCTION("IFERROR(VLOOKUP(A1984, IMPORTRANGE(""https://docs.google.com/spreadsheets/d/1-3Vjw2Cyy-mry5gbC8ypIR3YVGFfEpyFESummAta6sg/edit"", ""Sheet1!B:D""), 3, FALSE), ""Not Found"")"),"l a ɪ t ə n ")</f>
        <v>l a ɪ t ə n </v>
      </c>
    </row>
    <row r="1985">
      <c r="A1985" s="1" t="s">
        <v>1988</v>
      </c>
      <c r="B1985" s="1" t="s">
        <v>5</v>
      </c>
      <c r="C1985" s="2">
        <f>IFERROR(__xludf.DUMMYFUNCTION("IFERROR(VLOOKUP(A1985, IMPORTRANGE(""https://docs.google.com/spreadsheets/d/1AVX9GT0dgogEBStecCXMMQ29tWz3gBrtNB8yIromXbY/edit?gid=741673867"", ""out1g!A:B""), 2, FALSE), 0)"),51.0)</f>
        <v>51</v>
      </c>
      <c r="D1985" s="2" t="str">
        <f>IFERROR(__xludf.DUMMYFUNCTION("IFERROR(VLOOKUP(A1985, IMPORTRANGE(""https://docs.google.com/spreadsheets/d/1-3Vjw2Cyy-mry5gbC8ypIR3YVGFfEpyFESummAta6sg/edit"", ""Sheet1!B:D""), 2, FALSE), ""Not Found"")"),"dɑks")</f>
        <v>dɑks</v>
      </c>
      <c r="E1985" s="2" t="str">
        <f>IFERROR(__xludf.DUMMYFUNCTION("IFERROR(VLOOKUP(A1985, IMPORTRANGE(""https://docs.google.com/spreadsheets/d/1-3Vjw2Cyy-mry5gbC8ypIR3YVGFfEpyFESummAta6sg/edit"", ""Sheet1!B:D""), 3, FALSE), ""Not Found"")"),"d ɑ k s ")</f>
        <v>d ɑ k s </v>
      </c>
    </row>
    <row r="1986">
      <c r="A1986" s="1" t="s">
        <v>1989</v>
      </c>
      <c r="B1986" s="1" t="s">
        <v>5</v>
      </c>
      <c r="C1986" s="2">
        <f>IFERROR(__xludf.DUMMYFUNCTION("IFERROR(VLOOKUP(A1986, IMPORTRANGE(""https://docs.google.com/spreadsheets/d/1AVX9GT0dgogEBStecCXMMQ29tWz3gBrtNB8yIromXbY/edit?gid=741673867"", ""out1g!A:B""), 2, FALSE), 0)"),250.0)</f>
        <v>250</v>
      </c>
      <c r="D1986" s="2" t="str">
        <f>IFERROR(__xludf.DUMMYFUNCTION("IFERROR(VLOOKUP(A1986, IMPORTRANGE(""https://docs.google.com/spreadsheets/d/1-3Vjw2Cyy-mry5gbC8ypIR3YVGFfEpyFESummAta6sg/edit"", ""Sheet1!B:D""), 2, FALSE), ""Not Found"")"),"wizəl")</f>
        <v>wizəl</v>
      </c>
      <c r="E1986" s="2" t="str">
        <f>IFERROR(__xludf.DUMMYFUNCTION("IFERROR(VLOOKUP(A1986, IMPORTRANGE(""https://docs.google.com/spreadsheets/d/1-3Vjw2Cyy-mry5gbC8ypIR3YVGFfEpyFESummAta6sg/edit"", ""Sheet1!B:D""), 3, FALSE), ""Not Found"")"),"w i z ə l ")</f>
        <v>w i z ə l </v>
      </c>
    </row>
    <row r="1987">
      <c r="A1987" s="1" t="s">
        <v>1990</v>
      </c>
      <c r="B1987" s="1" t="s">
        <v>5</v>
      </c>
      <c r="C1987" s="2">
        <f>IFERROR(__xludf.DUMMYFUNCTION("IFERROR(VLOOKUP(A1987, IMPORTRANGE(""https://docs.google.com/spreadsheets/d/1AVX9GT0dgogEBStecCXMMQ29tWz3gBrtNB8yIromXbY/edit?gid=741673867"", ""out1g!A:B""), 2, FALSE), 0)"),94.0)</f>
        <v>94</v>
      </c>
      <c r="D1987" s="2" t="str">
        <f>IFERROR(__xludf.DUMMYFUNCTION("IFERROR(VLOOKUP(A1987, IMPORTRANGE(""https://docs.google.com/spreadsheets/d/1-3Vjw2Cyy-mry5gbC8ypIR3YVGFfEpyFESummAta6sg/edit"", ""Sheet1!B:D""), 2, FALSE), ""Not Found"")"),"slɪd")</f>
        <v>slɪd</v>
      </c>
      <c r="E1987" s="2" t="str">
        <f>IFERROR(__xludf.DUMMYFUNCTION("IFERROR(VLOOKUP(A1987, IMPORTRANGE(""https://docs.google.com/spreadsheets/d/1-3Vjw2Cyy-mry5gbC8ypIR3YVGFfEpyFESummAta6sg/edit"", ""Sheet1!B:D""), 3, FALSE), ""Not Found"")"),"s l ɪ d ")</f>
        <v>s l ɪ d </v>
      </c>
    </row>
    <row r="1988">
      <c r="A1988" s="1" t="s">
        <v>1991</v>
      </c>
      <c r="B1988" s="1" t="s">
        <v>5</v>
      </c>
      <c r="C1988" s="2">
        <f>IFERROR(__xludf.DUMMYFUNCTION("IFERROR(VLOOKUP(A1988, IMPORTRANGE(""https://docs.google.com/spreadsheets/d/1AVX9GT0dgogEBStecCXMMQ29tWz3gBrtNB8yIromXbY/edit?gid=741673867"", ""out1g!A:B""), 2, FALSE), 0)"),11.0)</f>
        <v>11</v>
      </c>
      <c r="D1988" s="2" t="str">
        <f>IFERROR(__xludf.DUMMYFUNCTION("IFERROR(VLOOKUP(A1988, IMPORTRANGE(""https://docs.google.com/spreadsheets/d/1-3Vjw2Cyy-mry5gbC8ypIR3YVGFfEpyFESummAta6sg/edit"", ""Sheet1!B:D""), 2, FALSE), ""Not Found"")"),"græmz")</f>
        <v>græmz</v>
      </c>
      <c r="E1988" s="2" t="str">
        <f>IFERROR(__xludf.DUMMYFUNCTION("IFERROR(VLOOKUP(A1988, IMPORTRANGE(""https://docs.google.com/spreadsheets/d/1-3Vjw2Cyy-mry5gbC8ypIR3YVGFfEpyFESummAta6sg/edit"", ""Sheet1!B:D""), 3, FALSE), ""Not Found"")"),"g r æ m z ")</f>
        <v>g r æ m z </v>
      </c>
    </row>
    <row r="1989">
      <c r="A1989" s="1" t="s">
        <v>1992</v>
      </c>
      <c r="B1989" s="1" t="s">
        <v>5</v>
      </c>
      <c r="C1989" s="2">
        <f>IFERROR(__xludf.DUMMYFUNCTION("IFERROR(VLOOKUP(A1989, IMPORTRANGE(""https://docs.google.com/spreadsheets/d/1AVX9GT0dgogEBStecCXMMQ29tWz3gBrtNB8yIromXbY/edit?gid=741673867"", ""out1g!A:B""), 2, FALSE), 0)"),1047.0)</f>
        <v>1047</v>
      </c>
      <c r="D1989" s="2" t="str">
        <f>IFERROR(__xludf.DUMMYFUNCTION("IFERROR(VLOOKUP(A1989, IMPORTRANGE(""https://docs.google.com/spreadsheets/d/1-3Vjw2Cyy-mry5gbC8ypIR3YVGFfEpyFESummAta6sg/edit"", ""Sheet1!B:D""), 2, FALSE), ""Not Found"")"),"θroʊn")</f>
        <v>θroʊn</v>
      </c>
      <c r="E1989" s="2" t="str">
        <f>IFERROR(__xludf.DUMMYFUNCTION("IFERROR(VLOOKUP(A1989, IMPORTRANGE(""https://docs.google.com/spreadsheets/d/1-3Vjw2Cyy-mry5gbC8ypIR3YVGFfEpyFESummAta6sg/edit"", ""Sheet1!B:D""), 3, FALSE), ""Not Found"")"),"θ r o ʊ n ")</f>
        <v>θ r o ʊ n </v>
      </c>
    </row>
    <row r="1990">
      <c r="A1990" s="1" t="s">
        <v>1993</v>
      </c>
      <c r="B1990" s="1" t="s">
        <v>5</v>
      </c>
      <c r="C1990" s="2">
        <f>IFERROR(__xludf.DUMMYFUNCTION("IFERROR(VLOOKUP(A1990, IMPORTRANGE(""https://docs.google.com/spreadsheets/d/1AVX9GT0dgogEBStecCXMMQ29tWz3gBrtNB8yIromXbY/edit?gid=741673867"", ""out1g!A:B""), 2, FALSE), 0)"),172.0)</f>
        <v>172</v>
      </c>
      <c r="D1990" s="2" t="str">
        <f>IFERROR(__xludf.DUMMYFUNCTION("IFERROR(VLOOKUP(A1990, IMPORTRANGE(""https://docs.google.com/spreadsheets/d/1-3Vjw2Cyy-mry5gbC8ypIR3YVGFfEpyFESummAta6sg/edit"", ""Sheet1!B:D""), 2, FALSE), ""Not Found"")"),"roʊdz")</f>
        <v>roʊdz</v>
      </c>
      <c r="E1990" s="2" t="str">
        <f>IFERROR(__xludf.DUMMYFUNCTION("IFERROR(VLOOKUP(A1990, IMPORTRANGE(""https://docs.google.com/spreadsheets/d/1-3Vjw2Cyy-mry5gbC8ypIR3YVGFfEpyFESummAta6sg/edit"", ""Sheet1!B:D""), 3, FALSE), ""Not Found"")"),"r o ʊ d z ")</f>
        <v>r o ʊ d z </v>
      </c>
    </row>
    <row r="1991">
      <c r="A1991" s="1" t="s">
        <v>1994</v>
      </c>
      <c r="B1991" s="1" t="s">
        <v>5</v>
      </c>
      <c r="C1991" s="2">
        <f>IFERROR(__xludf.DUMMYFUNCTION("IFERROR(VLOOKUP(A1991, IMPORTRANGE(""https://docs.google.com/spreadsheets/d/1AVX9GT0dgogEBStecCXMMQ29tWz3gBrtNB8yIromXbY/edit?gid=741673867"", ""out1g!A:B""), 2, FALSE), 0)"),1301.0)</f>
        <v>1301</v>
      </c>
      <c r="D1991" s="2" t="str">
        <f>IFERROR(__xludf.DUMMYFUNCTION("IFERROR(VLOOKUP(A1991, IMPORTRANGE(""https://docs.google.com/spreadsheets/d/1-3Vjw2Cyy-mry5gbC8ypIR3YVGFfEpyFESummAta6sg/edit"", ""Sheet1!B:D""), 2, FALSE), ""Not Found"")"),"fɔlz")</f>
        <v>fɔlz</v>
      </c>
      <c r="E1991" s="2" t="str">
        <f>IFERROR(__xludf.DUMMYFUNCTION("IFERROR(VLOOKUP(A1991, IMPORTRANGE(""https://docs.google.com/spreadsheets/d/1-3Vjw2Cyy-mry5gbC8ypIR3YVGFfEpyFESummAta6sg/edit"", ""Sheet1!B:D""), 3, FALSE), ""Not Found"")"),"f ɔ l z ")</f>
        <v>f ɔ l z </v>
      </c>
    </row>
    <row r="1992">
      <c r="A1992" s="1" t="s">
        <v>1995</v>
      </c>
      <c r="B1992" s="1" t="s">
        <v>5</v>
      </c>
      <c r="C1992" s="2">
        <f>IFERROR(__xludf.DUMMYFUNCTION("IFERROR(VLOOKUP(A1992, IMPORTRANGE(""https://docs.google.com/spreadsheets/d/1AVX9GT0dgogEBStecCXMMQ29tWz3gBrtNB8yIromXbY/edit?gid=741673867"", ""out1g!A:B""), 2, FALSE), 0)"),10.0)</f>
        <v>10</v>
      </c>
      <c r="D1992" s="2" t="str">
        <f>IFERROR(__xludf.DUMMYFUNCTION("IFERROR(VLOOKUP(A1992, IMPORTRANGE(""https://docs.google.com/spreadsheets/d/1-3Vjw2Cyy-mry5gbC8ypIR3YVGFfEpyFESummAta6sg/edit"", ""Sheet1!B:D""), 2, FALSE), ""Not Found"")"),"bɛtərz")</f>
        <v>bɛtərz</v>
      </c>
      <c r="E1992" s="2" t="str">
        <f>IFERROR(__xludf.DUMMYFUNCTION("IFERROR(VLOOKUP(A1992, IMPORTRANGE(""https://docs.google.com/spreadsheets/d/1-3Vjw2Cyy-mry5gbC8ypIR3YVGFfEpyFESummAta6sg/edit"", ""Sheet1!B:D""), 3, FALSE), ""Not Found"")"),"b ɛ t ə r z ")</f>
        <v>b ɛ t ə r z </v>
      </c>
    </row>
    <row r="1993">
      <c r="A1993" s="1" t="s">
        <v>1996</v>
      </c>
      <c r="B1993" s="1" t="s">
        <v>5</v>
      </c>
      <c r="C1993" s="2">
        <f>IFERROR(__xludf.DUMMYFUNCTION("IFERROR(VLOOKUP(A1993, IMPORTRANGE(""https://docs.google.com/spreadsheets/d/1AVX9GT0dgogEBStecCXMMQ29tWz3gBrtNB8yIromXbY/edit?gid=741673867"", ""out1g!A:B""), 2, FALSE), 0)"),188.0)</f>
        <v>188</v>
      </c>
      <c r="D1993" s="2" t="str">
        <f>IFERROR(__xludf.DUMMYFUNCTION("IFERROR(VLOOKUP(A1993, IMPORTRANGE(""https://docs.google.com/spreadsheets/d/1-3Vjw2Cyy-mry5gbC8ypIR3YVGFfEpyFESummAta6sg/edit"", ""Sheet1!B:D""), 2, FALSE), ""Not Found"")"),"skælp")</f>
        <v>skælp</v>
      </c>
      <c r="E1993" s="2" t="str">
        <f>IFERROR(__xludf.DUMMYFUNCTION("IFERROR(VLOOKUP(A1993, IMPORTRANGE(""https://docs.google.com/spreadsheets/d/1-3Vjw2Cyy-mry5gbC8ypIR3YVGFfEpyFESummAta6sg/edit"", ""Sheet1!B:D""), 3, FALSE), ""Not Found"")"),"s k æ l p ")</f>
        <v>s k æ l p </v>
      </c>
    </row>
    <row r="1994">
      <c r="A1994" s="1" t="s">
        <v>1997</v>
      </c>
      <c r="B1994" s="1" t="s">
        <v>5</v>
      </c>
      <c r="C1994" s="2">
        <f>IFERROR(__xludf.DUMMYFUNCTION("IFERROR(VLOOKUP(A1994, IMPORTRANGE(""https://docs.google.com/spreadsheets/d/1AVX9GT0dgogEBStecCXMMQ29tWz3gBrtNB8yIromXbY/edit?gid=741673867"", ""out1g!A:B""), 2, FALSE), 0)"),93.0)</f>
        <v>93</v>
      </c>
      <c r="D1994" s="2" t="str">
        <f>IFERROR(__xludf.DUMMYFUNCTION("IFERROR(VLOOKUP(A1994, IMPORTRANGE(""https://docs.google.com/spreadsheets/d/1-3Vjw2Cyy-mry5gbC8ypIR3YVGFfEpyFESummAta6sg/edit"", ""Sheet1!B:D""), 2, FALSE), ""Not Found"")"),"rivz")</f>
        <v>rivz</v>
      </c>
      <c r="E1994" s="2" t="str">
        <f>IFERROR(__xludf.DUMMYFUNCTION("IFERROR(VLOOKUP(A1994, IMPORTRANGE(""https://docs.google.com/spreadsheets/d/1-3Vjw2Cyy-mry5gbC8ypIR3YVGFfEpyFESummAta6sg/edit"", ""Sheet1!B:D""), 3, FALSE), ""Not Found"")"),"r i v z ")</f>
        <v>r i v z </v>
      </c>
    </row>
    <row r="1995">
      <c r="A1995" s="1" t="s">
        <v>1998</v>
      </c>
      <c r="B1995" s="1" t="s">
        <v>5</v>
      </c>
      <c r="C1995" s="2">
        <f>IFERROR(__xludf.DUMMYFUNCTION("IFERROR(VLOOKUP(A1995, IMPORTRANGE(""https://docs.google.com/spreadsheets/d/1AVX9GT0dgogEBStecCXMMQ29tWz3gBrtNB8yIromXbY/edit?gid=741673867"", ""out1g!A:B""), 2, FALSE), 0)"),128.0)</f>
        <v>128</v>
      </c>
      <c r="D1995" s="2" t="str">
        <f>IFERROR(__xludf.DUMMYFUNCTION("IFERROR(VLOOKUP(A1995, IMPORTRANGE(""https://docs.google.com/spreadsheets/d/1-3Vjw2Cyy-mry5gbC8ypIR3YVGFfEpyFESummAta6sg/edit"", ""Sheet1!B:D""), 2, FALSE), ""Not Found"")"),"pede")</f>
        <v>pede</v>
      </c>
      <c r="E1995" s="2" t="str">
        <f>IFERROR(__xludf.DUMMYFUNCTION("IFERROR(VLOOKUP(A1995, IMPORTRANGE(""https://docs.google.com/spreadsheets/d/1-3Vjw2Cyy-mry5gbC8ypIR3YVGFfEpyFESummAta6sg/edit"", ""Sheet1!B:D""), 3, FALSE), ""Not Found"")"),"p e d e ")</f>
        <v>p e d e </v>
      </c>
    </row>
    <row r="1996">
      <c r="A1996" s="1" t="s">
        <v>1999</v>
      </c>
      <c r="B1996" s="1" t="s">
        <v>5</v>
      </c>
      <c r="C1996" s="2">
        <f>IFERROR(__xludf.DUMMYFUNCTION("IFERROR(VLOOKUP(A1996, IMPORTRANGE(""https://docs.google.com/spreadsheets/d/1AVX9GT0dgogEBStecCXMMQ29tWz3gBrtNB8yIromXbY/edit?gid=741673867"", ""out1g!A:B""), 2, FALSE), 0)"),2716.0)</f>
        <v>2716</v>
      </c>
      <c r="D1996" s="2" t="str">
        <f>IFERROR(__xludf.DUMMYFUNCTION("IFERROR(VLOOKUP(A1996, IMPORTRANGE(""https://docs.google.com/spreadsheets/d/1-3Vjw2Cyy-mry5gbC8ypIR3YVGFfEpyFESummAta6sg/edit"", ""Sheet1!B:D""), 2, FALSE), ""Not Found"")"),"west")</f>
        <v>west</v>
      </c>
      <c r="E1996" s="2" t="str">
        <f>IFERROR(__xludf.DUMMYFUNCTION("IFERROR(VLOOKUP(A1996, IMPORTRANGE(""https://docs.google.com/spreadsheets/d/1-3Vjw2Cyy-mry5gbC8ypIR3YVGFfEpyFESummAta6sg/edit"", ""Sheet1!B:D""), 3, FALSE), ""Not Found"")"),"w e s t ")</f>
        <v>w e s t </v>
      </c>
    </row>
    <row r="1997">
      <c r="A1997" s="1" t="s">
        <v>2000</v>
      </c>
      <c r="B1997" s="1" t="s">
        <v>5</v>
      </c>
      <c r="C1997" s="2">
        <f>IFERROR(__xludf.DUMMYFUNCTION("IFERROR(VLOOKUP(A1997, IMPORTRANGE(""https://docs.google.com/spreadsheets/d/1AVX9GT0dgogEBStecCXMMQ29tWz3gBrtNB8yIromXbY/edit?gid=741673867"", ""out1g!A:B""), 2, FALSE), 0)"),141.0)</f>
        <v>141</v>
      </c>
      <c r="D1997" s="2" t="str">
        <f>IFERROR(__xludf.DUMMYFUNCTION("IFERROR(VLOOKUP(A1997, IMPORTRANGE(""https://docs.google.com/spreadsheets/d/1-3Vjw2Cyy-mry5gbC8ypIR3YVGFfEpyFESummAta6sg/edit"", ""Sheet1!B:D""), 2, FALSE), ""Not Found"")"),"aɪdəl")</f>
        <v>aɪdəl</v>
      </c>
      <c r="E1997" s="2" t="str">
        <f>IFERROR(__xludf.DUMMYFUNCTION("IFERROR(VLOOKUP(A1997, IMPORTRANGE(""https://docs.google.com/spreadsheets/d/1-3Vjw2Cyy-mry5gbC8ypIR3YVGFfEpyFESummAta6sg/edit"", ""Sheet1!B:D""), 3, FALSE), ""Not Found"")"),"a ɪ d ə l ")</f>
        <v>a ɪ d ə l </v>
      </c>
    </row>
    <row r="1998">
      <c r="A1998" s="1" t="s">
        <v>2001</v>
      </c>
      <c r="B1998" s="1" t="s">
        <v>5</v>
      </c>
      <c r="C1998" s="2">
        <f>IFERROR(__xludf.DUMMYFUNCTION("IFERROR(VLOOKUP(A1998, IMPORTRANGE(""https://docs.google.com/spreadsheets/d/1AVX9GT0dgogEBStecCXMMQ29tWz3gBrtNB8yIromXbY/edit?gid=741673867"", ""out1g!A:B""), 2, FALSE), 0)"),713.0)</f>
        <v>713</v>
      </c>
      <c r="D1998" s="2" t="str">
        <f>IFERROR(__xludf.DUMMYFUNCTION("IFERROR(VLOOKUP(A1998, IMPORTRANGE(""https://docs.google.com/spreadsheets/d/1-3Vjw2Cyy-mry5gbC8ypIR3YVGFfEpyFESummAta6sg/edit"", ""Sheet1!B:D""), 2, FALSE), ""Not Found"")"),"kev")</f>
        <v>kev</v>
      </c>
      <c r="E1998" s="2" t="str">
        <f>IFERROR(__xludf.DUMMYFUNCTION("IFERROR(VLOOKUP(A1998, IMPORTRANGE(""https://docs.google.com/spreadsheets/d/1-3Vjw2Cyy-mry5gbC8ypIR3YVGFfEpyFESummAta6sg/edit"", ""Sheet1!B:D""), 3, FALSE), ""Not Found"")"),"k e v ")</f>
        <v>k e v </v>
      </c>
    </row>
    <row r="1999">
      <c r="A1999" s="1" t="s">
        <v>2002</v>
      </c>
      <c r="B1999" s="1" t="s">
        <v>5</v>
      </c>
      <c r="C1999" s="2">
        <f>IFERROR(__xludf.DUMMYFUNCTION("IFERROR(VLOOKUP(A1999, IMPORTRANGE(""https://docs.google.com/spreadsheets/d/1AVX9GT0dgogEBStecCXMMQ29tWz3gBrtNB8yIromXbY/edit?gid=741673867"", ""out1g!A:B""), 2, FALSE), 0)"),48.0)</f>
        <v>48</v>
      </c>
      <c r="D1999" s="2" t="str">
        <f>IFERROR(__xludf.DUMMYFUNCTION("IFERROR(VLOOKUP(A1999, IMPORTRANGE(""https://docs.google.com/spreadsheets/d/1-3Vjw2Cyy-mry5gbC8ypIR3YVGFfEpyFESummAta6sg/edit"", ""Sheet1!B:D""), 2, FALSE), ""Not Found"")"),"memi")</f>
        <v>memi</v>
      </c>
      <c r="E1999" s="2" t="str">
        <f>IFERROR(__xludf.DUMMYFUNCTION("IFERROR(VLOOKUP(A1999, IMPORTRANGE(""https://docs.google.com/spreadsheets/d/1-3Vjw2Cyy-mry5gbC8ypIR3YVGFfEpyFESummAta6sg/edit"", ""Sheet1!B:D""), 3, FALSE), ""Not Found"")"),"m e m i ")</f>
        <v>m e m i </v>
      </c>
    </row>
    <row r="2000">
      <c r="A2000" s="1" t="s">
        <v>2003</v>
      </c>
      <c r="B2000" s="1" t="s">
        <v>5</v>
      </c>
      <c r="C2000" s="2">
        <f>IFERROR(__xludf.DUMMYFUNCTION("IFERROR(VLOOKUP(A2000, IMPORTRANGE(""https://docs.google.com/spreadsheets/d/1AVX9GT0dgogEBStecCXMMQ29tWz3gBrtNB8yIromXbY/edit?gid=741673867"", ""out1g!A:B""), 2, FALSE), 0)"),75.0)</f>
        <v>75</v>
      </c>
      <c r="D2000" s="2" t="str">
        <f>IFERROR(__xludf.DUMMYFUNCTION("IFERROR(VLOOKUP(A2000, IMPORTRANGE(""https://docs.google.com/spreadsheets/d/1-3Vjw2Cyy-mry5gbC8ypIR3YVGFfEpyFESummAta6sg/edit"", ""Sheet1!B:D""), 2, FALSE), ""Not Found"")"),"bɔrg")</f>
        <v>bɔrg</v>
      </c>
      <c r="E2000" s="2" t="str">
        <f>IFERROR(__xludf.DUMMYFUNCTION("IFERROR(VLOOKUP(A2000, IMPORTRANGE(""https://docs.google.com/spreadsheets/d/1-3Vjw2Cyy-mry5gbC8ypIR3YVGFfEpyFESummAta6sg/edit"", ""Sheet1!B:D""), 3, FALSE), ""Not Found"")"),"b ɔ r g ")</f>
        <v>b ɔ r g </v>
      </c>
    </row>
    <row r="2001">
      <c r="A2001" s="1" t="s">
        <v>2004</v>
      </c>
      <c r="B2001" s="1" t="s">
        <v>5</v>
      </c>
      <c r="C2001" s="2">
        <f>IFERROR(__xludf.DUMMYFUNCTION("IFERROR(VLOOKUP(A2001, IMPORTRANGE(""https://docs.google.com/spreadsheets/d/1AVX9GT0dgogEBStecCXMMQ29tWz3gBrtNB8yIromXbY/edit?gid=741673867"", ""out1g!A:B""), 2, FALSE), 0)"),16341.0)</f>
        <v>16341</v>
      </c>
      <c r="D2001" s="2" t="str">
        <f>IFERROR(__xludf.DUMMYFUNCTION("IFERROR(VLOOKUP(A2001, IMPORTRANGE(""https://docs.google.com/spreadsheets/d/1-3Vjw2Cyy-mry5gbC8ypIR3YVGFfEpyFESummAta6sg/edit"", ""Sheet1!B:D""), 2, FALSE), ""Not Found"")"),"oʊpən")</f>
        <v>oʊpən</v>
      </c>
      <c r="E2001" s="2" t="str">
        <f>IFERROR(__xludf.DUMMYFUNCTION("IFERROR(VLOOKUP(A2001, IMPORTRANGE(""https://docs.google.com/spreadsheets/d/1-3Vjw2Cyy-mry5gbC8ypIR3YVGFfEpyFESummAta6sg/edit"", ""Sheet1!B:D""), 3, FALSE), ""Not Found"")"),"o ʊ p ə n ")</f>
        <v>o ʊ p ə n </v>
      </c>
    </row>
    <row r="2002">
      <c r="A2002" s="1" t="s">
        <v>2005</v>
      </c>
      <c r="B2002" s="1" t="s">
        <v>5</v>
      </c>
      <c r="C2002" s="2">
        <f>IFERROR(__xludf.DUMMYFUNCTION("IFERROR(VLOOKUP(A2002, IMPORTRANGE(""https://docs.google.com/spreadsheets/d/1AVX9GT0dgogEBStecCXMMQ29tWz3gBrtNB8yIromXbY/edit?gid=741673867"", ""out1g!A:B""), 2, FALSE), 0)"),287.0)</f>
        <v>287</v>
      </c>
      <c r="D2002" s="2" t="str">
        <f>IFERROR(__xludf.DUMMYFUNCTION("IFERROR(VLOOKUP(A2002, IMPORTRANGE(""https://docs.google.com/spreadsheets/d/1-3Vjw2Cyy-mry5gbC8ypIR3YVGFfEpyFESummAta6sg/edit"", ""Sheet1!B:D""), 2, FALSE), ""Not Found"")"),"raɪli")</f>
        <v>raɪli</v>
      </c>
      <c r="E2002" s="2" t="str">
        <f>IFERROR(__xludf.DUMMYFUNCTION("IFERROR(VLOOKUP(A2002, IMPORTRANGE(""https://docs.google.com/spreadsheets/d/1-3Vjw2Cyy-mry5gbC8ypIR3YVGFfEpyFESummAta6sg/edit"", ""Sheet1!B:D""), 3, FALSE), ""Not Found"")"),"r a ɪ l i ")</f>
        <v>r a ɪ l i </v>
      </c>
    </row>
    <row r="2003">
      <c r="A2003" s="1" t="s">
        <v>2006</v>
      </c>
      <c r="B2003" s="1" t="s">
        <v>5</v>
      </c>
      <c r="C2003" s="2">
        <f>IFERROR(__xludf.DUMMYFUNCTION("IFERROR(VLOOKUP(A2003, IMPORTRANGE(""https://docs.google.com/spreadsheets/d/1AVX9GT0dgogEBStecCXMMQ29tWz3gBrtNB8yIromXbY/edit?gid=741673867"", ""out1g!A:B""), 2, FALSE), 0)"),109.0)</f>
        <v>109</v>
      </c>
      <c r="D2003" s="2" t="str">
        <f>IFERROR(__xludf.DUMMYFUNCTION("IFERROR(VLOOKUP(A2003, IMPORTRANGE(""https://docs.google.com/spreadsheets/d/1-3Vjw2Cyy-mry5gbC8ypIR3YVGFfEpyFESummAta6sg/edit"", ""Sheet1!B:D""), 2, FALSE), ""Not Found"")"),"blaɪndz")</f>
        <v>blaɪndz</v>
      </c>
      <c r="E2003" s="2" t="str">
        <f>IFERROR(__xludf.DUMMYFUNCTION("IFERROR(VLOOKUP(A2003, IMPORTRANGE(""https://docs.google.com/spreadsheets/d/1-3Vjw2Cyy-mry5gbC8ypIR3YVGFfEpyFESummAta6sg/edit"", ""Sheet1!B:D""), 3, FALSE), ""Not Found"")"),"b l a ɪ n d z ")</f>
        <v>b l a ɪ n d z </v>
      </c>
    </row>
    <row r="2004">
      <c r="A2004" s="1" t="s">
        <v>2007</v>
      </c>
      <c r="B2004" s="1" t="s">
        <v>5</v>
      </c>
      <c r="C2004" s="2">
        <f>IFERROR(__xludf.DUMMYFUNCTION("IFERROR(VLOOKUP(A2004, IMPORTRANGE(""https://docs.google.com/spreadsheets/d/1AVX9GT0dgogEBStecCXMMQ29tWz3gBrtNB8yIromXbY/edit?gid=741673867"", ""out1g!A:B""), 2, FALSE), 0)"),182.0)</f>
        <v>182</v>
      </c>
      <c r="D2004" s="2" t="str">
        <f>IFERROR(__xludf.DUMMYFUNCTION("IFERROR(VLOOKUP(A2004, IMPORTRANGE(""https://docs.google.com/spreadsheets/d/1-3Vjw2Cyy-mry5gbC8ypIR3YVGFfEpyFESummAta6sg/edit"", ""Sheet1!B:D""), 2, FALSE), ""Not Found"")"),"dəkɔɪ")</f>
        <v>dəkɔɪ</v>
      </c>
      <c r="E2004" s="2" t="str">
        <f>IFERROR(__xludf.DUMMYFUNCTION("IFERROR(VLOOKUP(A2004, IMPORTRANGE(""https://docs.google.com/spreadsheets/d/1-3Vjw2Cyy-mry5gbC8ypIR3YVGFfEpyFESummAta6sg/edit"", ""Sheet1!B:D""), 3, FALSE), ""Not Found"")"),"d ə k ɔ ɪ ")</f>
        <v>d ə k ɔ ɪ </v>
      </c>
    </row>
    <row r="2005">
      <c r="A2005" s="1" t="s">
        <v>2008</v>
      </c>
      <c r="B2005" s="1" t="s">
        <v>5</v>
      </c>
      <c r="C2005" s="2">
        <f>IFERROR(__xludf.DUMMYFUNCTION("IFERROR(VLOOKUP(A2005, IMPORTRANGE(""https://docs.google.com/spreadsheets/d/1AVX9GT0dgogEBStecCXMMQ29tWz3gBrtNB8yIromXbY/edit?gid=741673867"", ""out1g!A:B""), 2, FALSE), 0)"),188.0)</f>
        <v>188</v>
      </c>
      <c r="D2005" s="2" t="str">
        <f>IFERROR(__xludf.DUMMYFUNCTION("IFERROR(VLOOKUP(A2005, IMPORTRANGE(""https://docs.google.com/spreadsheets/d/1-3Vjw2Cyy-mry5gbC8ypIR3YVGFfEpyFESummAta6sg/edit"", ""Sheet1!B:D""), 2, FALSE), ""Not Found"")"),"di")</f>
        <v>di</v>
      </c>
      <c r="E2005" s="2" t="str">
        <f>IFERROR(__xludf.DUMMYFUNCTION("IFERROR(VLOOKUP(A2005, IMPORTRANGE(""https://docs.google.com/spreadsheets/d/1-3Vjw2Cyy-mry5gbC8ypIR3YVGFfEpyFESummAta6sg/edit"", ""Sheet1!B:D""), 3, FALSE), ""Not Found"")"),"d i ")</f>
        <v>d i </v>
      </c>
    </row>
    <row r="2006">
      <c r="A2006" s="1" t="s">
        <v>2009</v>
      </c>
      <c r="B2006" s="1" t="s">
        <v>5</v>
      </c>
      <c r="C2006" s="2">
        <f>IFERROR(__xludf.DUMMYFUNCTION("IFERROR(VLOOKUP(A2006, IMPORTRANGE(""https://docs.google.com/spreadsheets/d/1AVX9GT0dgogEBStecCXMMQ29tWz3gBrtNB8yIromXbY/edit?gid=741673867"", ""out1g!A:B""), 2, FALSE), 0)"),208.0)</f>
        <v>208</v>
      </c>
      <c r="D2006" s="2" t="str">
        <f>IFERROR(__xludf.DUMMYFUNCTION("IFERROR(VLOOKUP(A2006, IMPORTRANGE(""https://docs.google.com/spreadsheets/d/1-3Vjw2Cyy-mry5gbC8ypIR3YVGFfEpyFESummAta6sg/edit"", ""Sheet1!B:D""), 2, FALSE), ""Not Found"")"),"doʊnər")</f>
        <v>doʊnər</v>
      </c>
      <c r="E2006" s="2" t="str">
        <f>IFERROR(__xludf.DUMMYFUNCTION("IFERROR(VLOOKUP(A2006, IMPORTRANGE(""https://docs.google.com/spreadsheets/d/1-3Vjw2Cyy-mry5gbC8ypIR3YVGFfEpyFESummAta6sg/edit"", ""Sheet1!B:D""), 3, FALSE), ""Not Found"")"),"d o ʊ n ə r ")</f>
        <v>d o ʊ n ə r </v>
      </c>
    </row>
    <row r="2007">
      <c r="A2007" s="1" t="s">
        <v>2010</v>
      </c>
      <c r="B2007" s="1" t="s">
        <v>5</v>
      </c>
      <c r="C2007" s="2">
        <f>IFERROR(__xludf.DUMMYFUNCTION("IFERROR(VLOOKUP(A2007, IMPORTRANGE(""https://docs.google.com/spreadsheets/d/1AVX9GT0dgogEBStecCXMMQ29tWz3gBrtNB8yIromXbY/edit?gid=741673867"", ""out1g!A:B""), 2, FALSE), 0)"),187.0)</f>
        <v>187</v>
      </c>
      <c r="D2007" s="2" t="str">
        <f>IFERROR(__xludf.DUMMYFUNCTION("IFERROR(VLOOKUP(A2007, IMPORTRANGE(""https://docs.google.com/spreadsheets/d/1-3Vjw2Cyy-mry5gbC8ypIR3YVGFfEpyFESummAta6sg/edit"", ""Sheet1!B:D""), 2, FALSE), ""Not Found"")"),"lɪmp")</f>
        <v>lɪmp</v>
      </c>
      <c r="E2007" s="2" t="str">
        <f>IFERROR(__xludf.DUMMYFUNCTION("IFERROR(VLOOKUP(A2007, IMPORTRANGE(""https://docs.google.com/spreadsheets/d/1-3Vjw2Cyy-mry5gbC8ypIR3YVGFfEpyFESummAta6sg/edit"", ""Sheet1!B:D""), 3, FALSE), ""Not Found"")"),"l ɪ m p ")</f>
        <v>l ɪ m p </v>
      </c>
    </row>
    <row r="2008">
      <c r="A2008" s="1" t="s">
        <v>2011</v>
      </c>
      <c r="B2008" s="1" t="s">
        <v>5</v>
      </c>
      <c r="C2008" s="2">
        <f>IFERROR(__xludf.DUMMYFUNCTION("IFERROR(VLOOKUP(A2008, IMPORTRANGE(""https://docs.google.com/spreadsheets/d/1AVX9GT0dgogEBStecCXMMQ29tWz3gBrtNB8yIromXbY/edit?gid=741673867"", ""out1g!A:B""), 2, FALSE), 0)"),114.0)</f>
        <v>114</v>
      </c>
      <c r="D2008" s="2" t="str">
        <f>IFERROR(__xludf.DUMMYFUNCTION("IFERROR(VLOOKUP(A2008, IMPORTRANGE(""https://docs.google.com/spreadsheets/d/1-3Vjw2Cyy-mry5gbC8ypIR3YVGFfEpyFESummAta6sg/edit"", ""Sheet1!B:D""), 2, FALSE), ""Not Found"")"),"strəŋ")</f>
        <v>strəŋ</v>
      </c>
      <c r="E2008" s="2" t="str">
        <f>IFERROR(__xludf.DUMMYFUNCTION("IFERROR(VLOOKUP(A2008, IMPORTRANGE(""https://docs.google.com/spreadsheets/d/1-3Vjw2Cyy-mry5gbC8ypIR3YVGFfEpyFESummAta6sg/edit"", ""Sheet1!B:D""), 3, FALSE), ""Not Found"")"),"s t r ə ŋ ")</f>
        <v>s t r ə ŋ </v>
      </c>
    </row>
    <row r="2009">
      <c r="A2009" s="1" t="s">
        <v>2012</v>
      </c>
      <c r="B2009" s="1" t="s">
        <v>5</v>
      </c>
      <c r="C2009" s="2">
        <f>IFERROR(__xludf.DUMMYFUNCTION("IFERROR(VLOOKUP(A2009, IMPORTRANGE(""https://docs.google.com/spreadsheets/d/1AVX9GT0dgogEBStecCXMMQ29tWz3gBrtNB8yIromXbY/edit?gid=741673867"", ""out1g!A:B""), 2, FALSE), 0)"),3345.0)</f>
        <v>3345</v>
      </c>
      <c r="D2009" s="2" t="str">
        <f>IFERROR(__xludf.DUMMYFUNCTION("IFERROR(VLOOKUP(A2009, IMPORTRANGE(""https://docs.google.com/spreadsheets/d/1-3Vjw2Cyy-mry5gbC8ypIR3YVGFfEpyFESummAta6sg/edit"", ""Sheet1!B:D""), 2, FALSE), ""Not Found"")"),"pi")</f>
        <v>pi</v>
      </c>
      <c r="E2009" s="2" t="str">
        <f>IFERROR(__xludf.DUMMYFUNCTION("IFERROR(VLOOKUP(A2009, IMPORTRANGE(""https://docs.google.com/spreadsheets/d/1-3Vjw2Cyy-mry5gbC8ypIR3YVGFfEpyFESummAta6sg/edit"", ""Sheet1!B:D""), 3, FALSE), ""Not Found"")"),"p i ")</f>
        <v>p i </v>
      </c>
    </row>
    <row r="2010">
      <c r="A2010" s="1" t="s">
        <v>2013</v>
      </c>
      <c r="B2010" s="1" t="s">
        <v>5</v>
      </c>
      <c r="C2010" s="2">
        <f>IFERROR(__xludf.DUMMYFUNCTION("IFERROR(VLOOKUP(A2010, IMPORTRANGE(""https://docs.google.com/spreadsheets/d/1AVX9GT0dgogEBStecCXMMQ29tWz3gBrtNB8yIromXbY/edit?gid=741673867"", ""out1g!A:B""), 2, FALSE), 0)"),16603.0)</f>
        <v>16603</v>
      </c>
      <c r="D2010" s="2" t="str">
        <f>IFERROR(__xludf.DUMMYFUNCTION("IFERROR(VLOOKUP(A2010, IMPORTRANGE(""https://docs.google.com/spreadsheets/d/1-3Vjw2Cyy-mry5gbC8ypIR3YVGFfEpyFESummAta6sg/edit"", ""Sheet1!B:D""), 2, FALSE), ""Not Found"")"),"fəkɪŋ")</f>
        <v>fəkɪŋ</v>
      </c>
      <c r="E2010" s="2" t="str">
        <f>IFERROR(__xludf.DUMMYFUNCTION("IFERROR(VLOOKUP(A2010, IMPORTRANGE(""https://docs.google.com/spreadsheets/d/1-3Vjw2Cyy-mry5gbC8ypIR3YVGFfEpyFESummAta6sg/edit"", ""Sheet1!B:D""), 3, FALSE), ""Not Found"")"),"f ə k ɪ ŋ ")</f>
        <v>f ə k ɪ ŋ </v>
      </c>
    </row>
    <row r="2011">
      <c r="A2011" s="1" t="s">
        <v>2014</v>
      </c>
      <c r="B2011" s="1" t="s">
        <v>5</v>
      </c>
      <c r="C2011" s="2">
        <f>IFERROR(__xludf.DUMMYFUNCTION("IFERROR(VLOOKUP(A2011, IMPORTRANGE(""https://docs.google.com/spreadsheets/d/1AVX9GT0dgogEBStecCXMMQ29tWz3gBrtNB8yIromXbY/edit?gid=741673867"", ""out1g!A:B""), 2, FALSE), 0)"),65.0)</f>
        <v>65</v>
      </c>
      <c r="D2011" s="2" t="str">
        <f>IFERROR(__xludf.DUMMYFUNCTION("IFERROR(VLOOKUP(A2011, IMPORTRANGE(""https://docs.google.com/spreadsheets/d/1-3Vjw2Cyy-mry5gbC8ypIR3YVGFfEpyFESummAta6sg/edit"", ""Sheet1!B:D""), 2, FALSE), ""Not Found"")"),"sɪri")</f>
        <v>sɪri</v>
      </c>
      <c r="E2011" s="2" t="str">
        <f>IFERROR(__xludf.DUMMYFUNCTION("IFERROR(VLOOKUP(A2011, IMPORTRANGE(""https://docs.google.com/spreadsheets/d/1-3Vjw2Cyy-mry5gbC8ypIR3YVGFfEpyFESummAta6sg/edit"", ""Sheet1!B:D""), 3, FALSE), ""Not Found"")"),"s ɪ r i ")</f>
        <v>s ɪ r i </v>
      </c>
    </row>
    <row r="2012">
      <c r="A2012" s="1" t="s">
        <v>2015</v>
      </c>
      <c r="B2012" s="1" t="s">
        <v>5</v>
      </c>
      <c r="C2012" s="2">
        <f>IFERROR(__xludf.DUMMYFUNCTION("IFERROR(VLOOKUP(A2012, IMPORTRANGE(""https://docs.google.com/spreadsheets/d/1AVX9GT0dgogEBStecCXMMQ29tWz3gBrtNB8yIromXbY/edit?gid=741673867"", ""out1g!A:B""), 2, FALSE), 0)"),164.0)</f>
        <v>164</v>
      </c>
      <c r="D2012" s="2" t="str">
        <f>IFERROR(__xludf.DUMMYFUNCTION("IFERROR(VLOOKUP(A2012, IMPORTRANGE(""https://docs.google.com/spreadsheets/d/1-3Vjw2Cyy-mry5gbC8ypIR3YVGFfEpyFESummAta6sg/edit"", ""Sheet1!B:D""), 2, FALSE), ""Not Found"")"),"risɛt")</f>
        <v>risɛt</v>
      </c>
      <c r="E2012" s="2" t="str">
        <f>IFERROR(__xludf.DUMMYFUNCTION("IFERROR(VLOOKUP(A2012, IMPORTRANGE(""https://docs.google.com/spreadsheets/d/1-3Vjw2Cyy-mry5gbC8ypIR3YVGFfEpyFESummAta6sg/edit"", ""Sheet1!B:D""), 3, FALSE), ""Not Found"")"),"r i s ɛ t ")</f>
        <v>r i s ɛ t </v>
      </c>
    </row>
    <row r="2013">
      <c r="A2013" s="1" t="s">
        <v>2016</v>
      </c>
      <c r="B2013" s="1" t="s">
        <v>5</v>
      </c>
      <c r="C2013" s="2">
        <f>IFERROR(__xludf.DUMMYFUNCTION("IFERROR(VLOOKUP(A2013, IMPORTRANGE(""https://docs.google.com/spreadsheets/d/1AVX9GT0dgogEBStecCXMMQ29tWz3gBrtNB8yIromXbY/edit?gid=741673867"", ""out1g!A:B""), 2, FALSE), 0)"),57.0)</f>
        <v>57</v>
      </c>
      <c r="D2013" s="2" t="str">
        <f>IFERROR(__xludf.DUMMYFUNCTION("IFERROR(VLOOKUP(A2013, IMPORTRANGE(""https://docs.google.com/spreadsheets/d/1-3Vjw2Cyy-mry5gbC8ypIR3YVGFfEpyFESummAta6sg/edit"", ""Sheet1!B:D""), 2, FALSE), ""Not Found"")"),"boʊku")</f>
        <v>boʊku</v>
      </c>
      <c r="E2013" s="2" t="str">
        <f>IFERROR(__xludf.DUMMYFUNCTION("IFERROR(VLOOKUP(A2013, IMPORTRANGE(""https://docs.google.com/spreadsheets/d/1-3Vjw2Cyy-mry5gbC8ypIR3YVGFfEpyFESummAta6sg/edit"", ""Sheet1!B:D""), 3, FALSE), ""Not Found"")"),"b o ʊ k u ")</f>
        <v>b o ʊ k u </v>
      </c>
    </row>
    <row r="2014">
      <c r="A2014" s="1" t="s">
        <v>2017</v>
      </c>
      <c r="B2014" s="1" t="s">
        <v>5</v>
      </c>
      <c r="C2014" s="2">
        <f>IFERROR(__xludf.DUMMYFUNCTION("IFERROR(VLOOKUP(A2014, IMPORTRANGE(""https://docs.google.com/spreadsheets/d/1AVX9GT0dgogEBStecCXMMQ29tWz3gBrtNB8yIromXbY/edit?gid=741673867"", ""out1g!A:B""), 2, FALSE), 0)"),19.0)</f>
        <v>19</v>
      </c>
      <c r="D2014" s="2" t="str">
        <f>IFERROR(__xludf.DUMMYFUNCTION("IFERROR(VLOOKUP(A2014, IMPORTRANGE(""https://docs.google.com/spreadsheets/d/1-3Vjw2Cyy-mry5gbC8ypIR3YVGFfEpyFESummAta6sg/edit"", ""Sheet1!B:D""), 2, FALSE), ""Not Found"")"),"θɪnɪŋ")</f>
        <v>θɪnɪŋ</v>
      </c>
      <c r="E2014" s="2" t="str">
        <f>IFERROR(__xludf.DUMMYFUNCTION("IFERROR(VLOOKUP(A2014, IMPORTRANGE(""https://docs.google.com/spreadsheets/d/1-3Vjw2Cyy-mry5gbC8ypIR3YVGFfEpyFESummAta6sg/edit"", ""Sheet1!B:D""), 3, FALSE), ""Not Found"")"),"θ ɪ n ɪ ŋ ")</f>
        <v>θ ɪ n ɪ ŋ </v>
      </c>
    </row>
    <row r="2015">
      <c r="A2015" s="1" t="s">
        <v>2018</v>
      </c>
      <c r="B2015" s="1" t="s">
        <v>5</v>
      </c>
      <c r="C2015" s="2">
        <f>IFERROR(__xludf.DUMMYFUNCTION("IFERROR(VLOOKUP(A2015, IMPORTRANGE(""https://docs.google.com/spreadsheets/d/1AVX9GT0dgogEBStecCXMMQ29tWz3gBrtNB8yIromXbY/edit?gid=741673867"", ""out1g!A:B""), 2, FALSE), 0)"),32198.0)</f>
        <v>32198</v>
      </c>
      <c r="D2015" s="2" t="str">
        <f>IFERROR(__xludf.DUMMYFUNCTION("IFERROR(VLOOKUP(A2015, IMPORTRANGE(""https://docs.google.com/spreadsheets/d/1-3Vjw2Cyy-mry5gbC8ypIR3YVGFfEpyFESummAta6sg/edit"", ""Sheet1!B:D""), 2, FALSE), ""Not Found"")"),"gaɪz")</f>
        <v>gaɪz</v>
      </c>
      <c r="E2015" s="2" t="str">
        <f>IFERROR(__xludf.DUMMYFUNCTION("IFERROR(VLOOKUP(A2015, IMPORTRANGE(""https://docs.google.com/spreadsheets/d/1-3Vjw2Cyy-mry5gbC8ypIR3YVGFfEpyFESummAta6sg/edit"", ""Sheet1!B:D""), 3, FALSE), ""Not Found"")"),"g a ɪ z ")</f>
        <v>g a ɪ z </v>
      </c>
    </row>
    <row r="2016">
      <c r="A2016" s="1" t="s">
        <v>2019</v>
      </c>
      <c r="B2016" s="1" t="s">
        <v>5</v>
      </c>
      <c r="C2016" s="2">
        <f>IFERROR(__xludf.DUMMYFUNCTION("IFERROR(VLOOKUP(A2016, IMPORTRANGE(""https://docs.google.com/spreadsheets/d/1AVX9GT0dgogEBStecCXMMQ29tWz3gBrtNB8yIromXbY/edit?gid=741673867"", ""out1g!A:B""), 2, FALSE), 0)"),1472.0)</f>
        <v>1472</v>
      </c>
      <c r="D2016" s="2" t="str">
        <f>IFERROR(__xludf.DUMMYFUNCTION("IFERROR(VLOOKUP(A2016, IMPORTRANGE(""https://docs.google.com/spreadsheets/d/1-3Vjw2Cyy-mry5gbC8ypIR3YVGFfEpyFESummAta6sg/edit"", ""Sheet1!B:D""), 2, FALSE), ""Not Found"")"),"droʊv")</f>
        <v>droʊv</v>
      </c>
      <c r="E2016" s="2" t="str">
        <f>IFERROR(__xludf.DUMMYFUNCTION("IFERROR(VLOOKUP(A2016, IMPORTRANGE(""https://docs.google.com/spreadsheets/d/1-3Vjw2Cyy-mry5gbC8ypIR3YVGFfEpyFESummAta6sg/edit"", ""Sheet1!B:D""), 3, FALSE), ""Not Found"")"),"d r o ʊ v ")</f>
        <v>d r o ʊ v </v>
      </c>
    </row>
    <row r="2017">
      <c r="A2017" s="1" t="s">
        <v>2020</v>
      </c>
      <c r="B2017" s="1" t="s">
        <v>5</v>
      </c>
      <c r="C2017" s="2">
        <f>IFERROR(__xludf.DUMMYFUNCTION("IFERROR(VLOOKUP(A2017, IMPORTRANGE(""https://docs.google.com/spreadsheets/d/1AVX9GT0dgogEBStecCXMMQ29tWz3gBrtNB8yIromXbY/edit?gid=741673867"", ""out1g!A:B""), 2, FALSE), 0)"),1020.0)</f>
        <v>1020</v>
      </c>
      <c r="D2017" s="2" t="str">
        <f>IFERROR(__xludf.DUMMYFUNCTION("IFERROR(VLOOKUP(A2017, IMPORTRANGE(""https://docs.google.com/spreadsheets/d/1-3Vjw2Cyy-mry5gbC8ypIR3YVGFfEpyFESummAta6sg/edit"", ""Sheet1!B:D""), 2, FALSE), ""Not Found"")"),"hɪts")</f>
        <v>hɪts</v>
      </c>
      <c r="E2017" s="2" t="str">
        <f>IFERROR(__xludf.DUMMYFUNCTION("IFERROR(VLOOKUP(A2017, IMPORTRANGE(""https://docs.google.com/spreadsheets/d/1-3Vjw2Cyy-mry5gbC8ypIR3YVGFfEpyFESummAta6sg/edit"", ""Sheet1!B:D""), 3, FALSE), ""Not Found"")"),"h ɪ t s ")</f>
        <v>h ɪ t s </v>
      </c>
    </row>
    <row r="2018">
      <c r="A2018" s="1" t="s">
        <v>2021</v>
      </c>
      <c r="B2018" s="1" t="s">
        <v>5</v>
      </c>
      <c r="C2018" s="2">
        <f>IFERROR(__xludf.DUMMYFUNCTION("IFERROR(VLOOKUP(A2018, IMPORTRANGE(""https://docs.google.com/spreadsheets/d/1AVX9GT0dgogEBStecCXMMQ29tWz3gBrtNB8yIromXbY/edit?gid=741673867"", ""out1g!A:B""), 2, FALSE), 0)"),48.0)</f>
        <v>48</v>
      </c>
      <c r="D2018" s="2" t="str">
        <f>IFERROR(__xludf.DUMMYFUNCTION("IFERROR(VLOOKUP(A2018, IMPORTRANGE(""https://docs.google.com/spreadsheets/d/1-3Vjw2Cyy-mry5gbC8ypIR3YVGFfEpyFESummAta6sg/edit"", ""Sheet1!B:D""), 2, FALSE), ""Not Found"")"),"brɪt")</f>
        <v>brɪt</v>
      </c>
      <c r="E2018" s="2" t="str">
        <f>IFERROR(__xludf.DUMMYFUNCTION("IFERROR(VLOOKUP(A2018, IMPORTRANGE(""https://docs.google.com/spreadsheets/d/1-3Vjw2Cyy-mry5gbC8ypIR3YVGFfEpyFESummAta6sg/edit"", ""Sheet1!B:D""), 3, FALSE), ""Not Found"")"),"b r ɪ t ")</f>
        <v>b r ɪ t </v>
      </c>
    </row>
    <row r="2019">
      <c r="A2019" s="1" t="s">
        <v>2022</v>
      </c>
      <c r="B2019" s="1" t="s">
        <v>5</v>
      </c>
      <c r="C2019" s="2">
        <f>IFERROR(__xludf.DUMMYFUNCTION("IFERROR(VLOOKUP(A2019, IMPORTRANGE(""https://docs.google.com/spreadsheets/d/1AVX9GT0dgogEBStecCXMMQ29tWz3gBrtNB8yIromXbY/edit?gid=741673867"", ""out1g!A:B""), 2, FALSE), 0)"),95.0)</f>
        <v>95</v>
      </c>
      <c r="D2019" s="2" t="str">
        <f>IFERROR(__xludf.DUMMYFUNCTION("IFERROR(VLOOKUP(A2019, IMPORTRANGE(""https://docs.google.com/spreadsheets/d/1-3Vjw2Cyy-mry5gbC8ypIR3YVGFfEpyFESummAta6sg/edit"", ""Sheet1!B:D""), 2, FALSE), ""Not Found"")"),"raɪts")</f>
        <v>raɪts</v>
      </c>
      <c r="E2019" s="2" t="str">
        <f>IFERROR(__xludf.DUMMYFUNCTION("IFERROR(VLOOKUP(A2019, IMPORTRANGE(""https://docs.google.com/spreadsheets/d/1-3Vjw2Cyy-mry5gbC8ypIR3YVGFfEpyFESummAta6sg/edit"", ""Sheet1!B:D""), 3, FALSE), ""Not Found"")"),"r a ɪ t s ")</f>
        <v>r a ɪ t s </v>
      </c>
    </row>
    <row r="2020">
      <c r="A2020" s="1" t="s">
        <v>2023</v>
      </c>
      <c r="B2020" s="1" t="s">
        <v>5</v>
      </c>
      <c r="C2020" s="2">
        <f>IFERROR(__xludf.DUMMYFUNCTION("IFERROR(VLOOKUP(A2020, IMPORTRANGE(""https://docs.google.com/spreadsheets/d/1AVX9GT0dgogEBStecCXMMQ29tWz3gBrtNB8yIromXbY/edit?gid=741673867"", ""out1g!A:B""), 2, FALSE), 0)"),1488.0)</f>
        <v>1488</v>
      </c>
      <c r="D2020" s="2" t="str">
        <f>IFERROR(__xludf.DUMMYFUNCTION("IFERROR(VLOOKUP(A2020, IMPORTRANGE(""https://docs.google.com/spreadsheets/d/1-3Vjw2Cyy-mry5gbC8ypIR3YVGFfEpyFESummAta6sg/edit"", ""Sheet1!B:D""), 2, FALSE), ""Not Found"")"),"θroʊɪŋ")</f>
        <v>θroʊɪŋ</v>
      </c>
      <c r="E2020" s="2" t="str">
        <f>IFERROR(__xludf.DUMMYFUNCTION("IFERROR(VLOOKUP(A2020, IMPORTRANGE(""https://docs.google.com/spreadsheets/d/1-3Vjw2Cyy-mry5gbC8ypIR3YVGFfEpyFESummAta6sg/edit"", ""Sheet1!B:D""), 3, FALSE), ""Not Found"")"),"θ r o ʊ ɪ ŋ ")</f>
        <v>θ r o ʊ ɪ ŋ </v>
      </c>
    </row>
    <row r="2021">
      <c r="A2021" s="1" t="s">
        <v>2024</v>
      </c>
      <c r="B2021" s="1" t="s">
        <v>5</v>
      </c>
      <c r="C2021" s="2">
        <f>IFERROR(__xludf.DUMMYFUNCTION("IFERROR(VLOOKUP(A2021, IMPORTRANGE(""https://docs.google.com/spreadsheets/d/1AVX9GT0dgogEBStecCXMMQ29tWz3gBrtNB8yIromXbY/edit?gid=741673867"", ""out1g!A:B""), 2, FALSE), 0)"),95.0)</f>
        <v>95</v>
      </c>
      <c r="D2021" s="2" t="str">
        <f>IFERROR(__xludf.DUMMYFUNCTION("IFERROR(VLOOKUP(A2021, IMPORTRANGE(""https://docs.google.com/spreadsheets/d/1-3Vjw2Cyy-mry5gbC8ypIR3YVGFfEpyFESummAta6sg/edit"", ""Sheet1!B:D""), 2, FALSE), ""Not Found"")"),"bɪʧɪŋ")</f>
        <v>bɪʧɪŋ</v>
      </c>
      <c r="E2021" s="2" t="str">
        <f>IFERROR(__xludf.DUMMYFUNCTION("IFERROR(VLOOKUP(A2021, IMPORTRANGE(""https://docs.google.com/spreadsheets/d/1-3Vjw2Cyy-mry5gbC8ypIR3YVGFfEpyFESummAta6sg/edit"", ""Sheet1!B:D""), 3, FALSE), ""Not Found"")"),"b ɪ ʧ ɪ ŋ ")</f>
        <v>b ɪ ʧ ɪ ŋ </v>
      </c>
    </row>
    <row r="2022">
      <c r="A2022" s="1" t="s">
        <v>2025</v>
      </c>
      <c r="B2022" s="1" t="s">
        <v>5</v>
      </c>
      <c r="C2022" s="2">
        <f>IFERROR(__xludf.DUMMYFUNCTION("IFERROR(VLOOKUP(A2022, IMPORTRANGE(""https://docs.google.com/spreadsheets/d/1AVX9GT0dgogEBStecCXMMQ29tWz3gBrtNB8yIromXbY/edit?gid=741673867"", ""out1g!A:B""), 2, FALSE), 0)"),8786.0)</f>
        <v>8786</v>
      </c>
      <c r="D2022" s="2" t="str">
        <f>IFERROR(__xludf.DUMMYFUNCTION("IFERROR(VLOOKUP(A2022, IMPORTRANGE(""https://docs.google.com/spreadsheets/d/1-3Vjw2Cyy-mry5gbC8ypIR3YVGFfEpyFESummAta6sg/edit"", ""Sheet1!B:D""), 2, FALSE), ""Not Found"")"),"brɔt")</f>
        <v>brɔt</v>
      </c>
      <c r="E2022" s="2" t="str">
        <f>IFERROR(__xludf.DUMMYFUNCTION("IFERROR(VLOOKUP(A2022, IMPORTRANGE(""https://docs.google.com/spreadsheets/d/1-3Vjw2Cyy-mry5gbC8ypIR3YVGFfEpyFESummAta6sg/edit"", ""Sheet1!B:D""), 3, FALSE), ""Not Found"")"),"b r ɔ t ")</f>
        <v>b r ɔ t </v>
      </c>
    </row>
    <row r="2023">
      <c r="A2023" s="1" t="s">
        <v>2026</v>
      </c>
      <c r="B2023" s="1" t="s">
        <v>5</v>
      </c>
      <c r="C2023" s="2">
        <f>IFERROR(__xludf.DUMMYFUNCTION("IFERROR(VLOOKUP(A2023, IMPORTRANGE(""https://docs.google.com/spreadsheets/d/1AVX9GT0dgogEBStecCXMMQ29tWz3gBrtNB8yIromXbY/edit?gid=741673867"", ""out1g!A:B""), 2, FALSE), 0)"),674.0)</f>
        <v>674</v>
      </c>
      <c r="D2023" s="2" t="str">
        <f>IFERROR(__xludf.DUMMYFUNCTION("IFERROR(VLOOKUP(A2023, IMPORTRANGE(""https://docs.google.com/spreadsheets/d/1-3Vjw2Cyy-mry5gbC8ypIR3YVGFfEpyFESummAta6sg/edit"", ""Sheet1!B:D""), 2, FALSE), ""Not Found"")"),"ʃɛl")</f>
        <v>ʃɛl</v>
      </c>
      <c r="E2023" s="2" t="str">
        <f>IFERROR(__xludf.DUMMYFUNCTION("IFERROR(VLOOKUP(A2023, IMPORTRANGE(""https://docs.google.com/spreadsheets/d/1-3Vjw2Cyy-mry5gbC8ypIR3YVGFfEpyFESummAta6sg/edit"", ""Sheet1!B:D""), 3, FALSE), ""Not Found"")"),"ʃ ɛ l ")</f>
        <v>ʃ ɛ l </v>
      </c>
    </row>
    <row r="2024">
      <c r="A2024" s="1" t="s">
        <v>2027</v>
      </c>
      <c r="B2024" s="1" t="s">
        <v>5</v>
      </c>
      <c r="C2024" s="2">
        <f>IFERROR(__xludf.DUMMYFUNCTION("IFERROR(VLOOKUP(A2024, IMPORTRANGE(""https://docs.google.com/spreadsheets/d/1AVX9GT0dgogEBStecCXMMQ29tWz3gBrtNB8yIromXbY/edit?gid=741673867"", ""out1g!A:B""), 2, FALSE), 0)"),77.0)</f>
        <v>77</v>
      </c>
      <c r="D2024" s="2" t="str">
        <f>IFERROR(__xludf.DUMMYFUNCTION("IFERROR(VLOOKUP(A2024, IMPORTRANGE(""https://docs.google.com/spreadsheets/d/1-3Vjw2Cyy-mry5gbC8ypIR3YVGFfEpyFESummAta6sg/edit"", ""Sheet1!B:D""), 2, FALSE), ""Not Found"")"),"genz")</f>
        <v>genz</v>
      </c>
      <c r="E2024" s="2" t="str">
        <f>IFERROR(__xludf.DUMMYFUNCTION("IFERROR(VLOOKUP(A2024, IMPORTRANGE(""https://docs.google.com/spreadsheets/d/1-3Vjw2Cyy-mry5gbC8ypIR3YVGFfEpyFESummAta6sg/edit"", ""Sheet1!B:D""), 3, FALSE), ""Not Found"")"),"g e n z ")</f>
        <v>g e n z </v>
      </c>
    </row>
    <row r="2025">
      <c r="A2025" s="1" t="s">
        <v>2028</v>
      </c>
      <c r="B2025" s="1" t="s">
        <v>5</v>
      </c>
      <c r="C2025" s="2">
        <f>IFERROR(__xludf.DUMMYFUNCTION("IFERROR(VLOOKUP(A2025, IMPORTRANGE(""https://docs.google.com/spreadsheets/d/1AVX9GT0dgogEBStecCXMMQ29tWz3gBrtNB8yIromXbY/edit?gid=741673867"", ""out1g!A:B""), 2, FALSE), 0)"),75.0)</f>
        <v>75</v>
      </c>
      <c r="D2025" s="2" t="str">
        <f>IFERROR(__xludf.DUMMYFUNCTION("IFERROR(VLOOKUP(A2025, IMPORTRANGE(""https://docs.google.com/spreadsheets/d/1-3Vjw2Cyy-mry5gbC8ypIR3YVGFfEpyFESummAta6sg/edit"", ""Sheet1!B:D""), 2, FALSE), ""Not Found"")"),"pləmp")</f>
        <v>pləmp</v>
      </c>
      <c r="E2025" s="2" t="str">
        <f>IFERROR(__xludf.DUMMYFUNCTION("IFERROR(VLOOKUP(A2025, IMPORTRANGE(""https://docs.google.com/spreadsheets/d/1-3Vjw2Cyy-mry5gbC8ypIR3YVGFfEpyFESummAta6sg/edit"", ""Sheet1!B:D""), 3, FALSE), ""Not Found"")"),"p l ə m p ")</f>
        <v>p l ə m p </v>
      </c>
    </row>
    <row r="2026">
      <c r="A2026" s="1" t="s">
        <v>2029</v>
      </c>
      <c r="B2026" s="1" t="s">
        <v>5</v>
      </c>
      <c r="C2026" s="2">
        <f>IFERROR(__xludf.DUMMYFUNCTION("IFERROR(VLOOKUP(A2026, IMPORTRANGE(""https://docs.google.com/spreadsheets/d/1AVX9GT0dgogEBStecCXMMQ29tWz3gBrtNB8yIromXbY/edit?gid=741673867"", ""out1g!A:B""), 2, FALSE), 0)"),141.0)</f>
        <v>141</v>
      </c>
      <c r="D2026" s="2" t="str">
        <f>IFERROR(__xludf.DUMMYFUNCTION("IFERROR(VLOOKUP(A2026, IMPORTRANGE(""https://docs.google.com/spreadsheets/d/1-3Vjw2Cyy-mry5gbC8ypIR3YVGFfEpyFESummAta6sg/edit"", ""Sheet1!B:D""), 2, FALSE), ""Not Found"")"),"wækoʊ")</f>
        <v>wækoʊ</v>
      </c>
      <c r="E2026" s="2" t="str">
        <f>IFERROR(__xludf.DUMMYFUNCTION("IFERROR(VLOOKUP(A2026, IMPORTRANGE(""https://docs.google.com/spreadsheets/d/1-3Vjw2Cyy-mry5gbC8ypIR3YVGFfEpyFESummAta6sg/edit"", ""Sheet1!B:D""), 3, FALSE), ""Not Found"")"),"w æ k o ʊ ")</f>
        <v>w æ k o ʊ </v>
      </c>
    </row>
    <row r="2027">
      <c r="A2027" s="1" t="s">
        <v>2030</v>
      </c>
      <c r="B2027" s="1" t="s">
        <v>5</v>
      </c>
      <c r="C2027" s="2">
        <f>IFERROR(__xludf.DUMMYFUNCTION("IFERROR(VLOOKUP(A2027, IMPORTRANGE(""https://docs.google.com/spreadsheets/d/1AVX9GT0dgogEBStecCXMMQ29tWz3gBrtNB8yIromXbY/edit?gid=741673867"", ""out1g!A:B""), 2, FALSE), 0)"),924.0)</f>
        <v>924</v>
      </c>
      <c r="D2027" s="2" t="str">
        <f>IFERROR(__xludf.DUMMYFUNCTION("IFERROR(VLOOKUP(A2027, IMPORTRANGE(""https://docs.google.com/spreadsheets/d/1-3Vjw2Cyy-mry5gbC8ypIR3YVGFfEpyFESummAta6sg/edit"", ""Sheet1!B:D""), 2, FALSE), ""Not Found"")"),"nun")</f>
        <v>nun</v>
      </c>
      <c r="E2027" s="2" t="str">
        <f>IFERROR(__xludf.DUMMYFUNCTION("IFERROR(VLOOKUP(A2027, IMPORTRANGE(""https://docs.google.com/spreadsheets/d/1-3Vjw2Cyy-mry5gbC8ypIR3YVGFfEpyFESummAta6sg/edit"", ""Sheet1!B:D""), 3, FALSE), ""Not Found"")"),"n u n ")</f>
        <v>n u n </v>
      </c>
    </row>
    <row r="2028">
      <c r="A2028" s="1" t="s">
        <v>2031</v>
      </c>
      <c r="B2028" s="1" t="s">
        <v>5</v>
      </c>
      <c r="C2028" s="2">
        <f>IFERROR(__xludf.DUMMYFUNCTION("IFERROR(VLOOKUP(A2028, IMPORTRANGE(""https://docs.google.com/spreadsheets/d/1AVX9GT0dgogEBStecCXMMQ29tWz3gBrtNB8yIromXbY/edit?gid=741673867"", ""out1g!A:B""), 2, FALSE), 0)"),394.0)</f>
        <v>394</v>
      </c>
      <c r="D2028" s="2" t="str">
        <f>IFERROR(__xludf.DUMMYFUNCTION("IFERROR(VLOOKUP(A2028, IMPORTRANGE(""https://docs.google.com/spreadsheets/d/1-3Vjw2Cyy-mry5gbC8ypIR3YVGFfEpyFESummAta6sg/edit"", ""Sheet1!B:D""), 2, FALSE), ""Not Found"")"),"beli")</f>
        <v>beli</v>
      </c>
      <c r="E2028" s="2" t="str">
        <f>IFERROR(__xludf.DUMMYFUNCTION("IFERROR(VLOOKUP(A2028, IMPORTRANGE(""https://docs.google.com/spreadsheets/d/1-3Vjw2Cyy-mry5gbC8ypIR3YVGFfEpyFESummAta6sg/edit"", ""Sheet1!B:D""), 3, FALSE), ""Not Found"")"),"b e l i ")</f>
        <v>b e l i </v>
      </c>
    </row>
    <row r="2029">
      <c r="A2029" s="1" t="s">
        <v>2032</v>
      </c>
      <c r="B2029" s="1" t="s">
        <v>5</v>
      </c>
      <c r="C2029" s="2">
        <f>IFERROR(__xludf.DUMMYFUNCTION("IFERROR(VLOOKUP(A2029, IMPORTRANGE(""https://docs.google.com/spreadsheets/d/1AVX9GT0dgogEBStecCXMMQ29tWz3gBrtNB8yIromXbY/edit?gid=741673867"", ""out1g!A:B""), 2, FALSE), 0)"),51.0)</f>
        <v>51</v>
      </c>
      <c r="D2029" s="2" t="str">
        <f>IFERROR(__xludf.DUMMYFUNCTION("IFERROR(VLOOKUP(A2029, IMPORTRANGE(""https://docs.google.com/spreadsheets/d/1-3Vjw2Cyy-mry5gbC8ypIR3YVGFfEpyFESummAta6sg/edit"", ""Sheet1!B:D""), 2, FALSE), ""Not Found"")"),"kɑpət")</f>
        <v>kɑpət</v>
      </c>
      <c r="E2029" s="2" t="str">
        <f>IFERROR(__xludf.DUMMYFUNCTION("IFERROR(VLOOKUP(A2029, IMPORTRANGE(""https://docs.google.com/spreadsheets/d/1-3Vjw2Cyy-mry5gbC8ypIR3YVGFfEpyFESummAta6sg/edit"", ""Sheet1!B:D""), 3, FALSE), ""Not Found"")"),"k ɑ p ə t ")</f>
        <v>k ɑ p ə t </v>
      </c>
    </row>
    <row r="2030">
      <c r="A2030" s="1" t="s">
        <v>2033</v>
      </c>
      <c r="B2030" s="1" t="s">
        <v>5</v>
      </c>
      <c r="C2030" s="2">
        <f>IFERROR(__xludf.DUMMYFUNCTION("IFERROR(VLOOKUP(A2030, IMPORTRANGE(""https://docs.google.com/spreadsheets/d/1AVX9GT0dgogEBStecCXMMQ29tWz3gBrtNB8yIromXbY/edit?gid=741673867"", ""out1g!A:B""), 2, FALSE), 0)"),86.0)</f>
        <v>86</v>
      </c>
      <c r="D2030" s="2" t="str">
        <f>IFERROR(__xludf.DUMMYFUNCTION("IFERROR(VLOOKUP(A2030, IMPORTRANGE(""https://docs.google.com/spreadsheets/d/1-3Vjw2Cyy-mry5gbC8ypIR3YVGFfEpyFESummAta6sg/edit"", ""Sheet1!B:D""), 2, FALSE), ""Not Found"")"),"tresɪŋ")</f>
        <v>tresɪŋ</v>
      </c>
      <c r="E2030" s="2" t="str">
        <f>IFERROR(__xludf.DUMMYFUNCTION("IFERROR(VLOOKUP(A2030, IMPORTRANGE(""https://docs.google.com/spreadsheets/d/1-3Vjw2Cyy-mry5gbC8ypIR3YVGFfEpyFESummAta6sg/edit"", ""Sheet1!B:D""), 3, FALSE), ""Not Found"")"),"t r e s ɪ ŋ ")</f>
        <v>t r e s ɪ ŋ </v>
      </c>
    </row>
    <row r="2031">
      <c r="A2031" s="1" t="s">
        <v>2034</v>
      </c>
      <c r="B2031" s="1" t="s">
        <v>5</v>
      </c>
      <c r="C2031" s="2">
        <f>IFERROR(__xludf.DUMMYFUNCTION("IFERROR(VLOOKUP(A2031, IMPORTRANGE(""https://docs.google.com/spreadsheets/d/1AVX9GT0dgogEBStecCXMMQ29tWz3gBrtNB8yIromXbY/edit?gid=741673867"", ""out1g!A:B""), 2, FALSE), 0)"),91.0)</f>
        <v>91</v>
      </c>
      <c r="D2031" s="2" t="str">
        <f>IFERROR(__xludf.DUMMYFUNCTION("IFERROR(VLOOKUP(A2031, IMPORTRANGE(""https://docs.google.com/spreadsheets/d/1-3Vjw2Cyy-mry5gbC8ypIR3YVGFfEpyFESummAta6sg/edit"", ""Sheet1!B:D""), 2, FALSE), ""Not Found"")"),"paɪlz")</f>
        <v>paɪlz</v>
      </c>
      <c r="E2031" s="2" t="str">
        <f>IFERROR(__xludf.DUMMYFUNCTION("IFERROR(VLOOKUP(A2031, IMPORTRANGE(""https://docs.google.com/spreadsheets/d/1-3Vjw2Cyy-mry5gbC8ypIR3YVGFfEpyFESummAta6sg/edit"", ""Sheet1!B:D""), 3, FALSE), ""Not Found"")"),"p a ɪ l z ")</f>
        <v>p a ɪ l z </v>
      </c>
    </row>
    <row r="2032">
      <c r="A2032" s="1" t="s">
        <v>2035</v>
      </c>
      <c r="B2032" s="1" t="s">
        <v>5</v>
      </c>
      <c r="C2032" s="2">
        <f>IFERROR(__xludf.DUMMYFUNCTION("IFERROR(VLOOKUP(A2032, IMPORTRANGE(""https://docs.google.com/spreadsheets/d/1AVX9GT0dgogEBStecCXMMQ29tWz3gBrtNB8yIromXbY/edit?gid=741673867"", ""out1g!A:B""), 2, FALSE), 0)"),2234.0)</f>
        <v>2234</v>
      </c>
      <c r="D2032" s="2" t="str">
        <f>IFERROR(__xludf.DUMMYFUNCTION("IFERROR(VLOOKUP(A2032, IMPORTRANGE(""https://docs.google.com/spreadsheets/d/1-3Vjw2Cyy-mry5gbC8ypIR3YVGFfEpyFESummAta6sg/edit"", ""Sheet1!B:D""), 2, FALSE), ""Not Found"")"),"laɪd")</f>
        <v>laɪd</v>
      </c>
      <c r="E2032" s="2" t="str">
        <f>IFERROR(__xludf.DUMMYFUNCTION("IFERROR(VLOOKUP(A2032, IMPORTRANGE(""https://docs.google.com/spreadsheets/d/1-3Vjw2Cyy-mry5gbC8ypIR3YVGFfEpyFESummAta6sg/edit"", ""Sheet1!B:D""), 3, FALSE), ""Not Found"")"),"l a ɪ d ")</f>
        <v>l a ɪ d </v>
      </c>
    </row>
    <row r="2033">
      <c r="A2033" s="1" t="s">
        <v>2036</v>
      </c>
      <c r="B2033" s="1" t="s">
        <v>5</v>
      </c>
      <c r="C2033" s="2">
        <f>IFERROR(__xludf.DUMMYFUNCTION("IFERROR(VLOOKUP(A2033, IMPORTRANGE(""https://docs.google.com/spreadsheets/d/1AVX9GT0dgogEBStecCXMMQ29tWz3gBrtNB8yIromXbY/edit?gid=741673867"", ""out1g!A:B""), 2, FALSE), 0)"),388.0)</f>
        <v>388</v>
      </c>
      <c r="D2033" s="2" t="str">
        <f>IFERROR(__xludf.DUMMYFUNCTION("IFERROR(VLOOKUP(A2033, IMPORTRANGE(""https://docs.google.com/spreadsheets/d/1-3Vjw2Cyy-mry5gbC8ypIR3YVGFfEpyFESummAta6sg/edit"", ""Sheet1!B:D""), 2, FALSE), ""Not Found"")"),"spaɪt")</f>
        <v>spaɪt</v>
      </c>
      <c r="E2033" s="2" t="str">
        <f>IFERROR(__xludf.DUMMYFUNCTION("IFERROR(VLOOKUP(A2033, IMPORTRANGE(""https://docs.google.com/spreadsheets/d/1-3Vjw2Cyy-mry5gbC8ypIR3YVGFfEpyFESummAta6sg/edit"", ""Sheet1!B:D""), 3, FALSE), ""Not Found"")"),"s p a ɪ t ")</f>
        <v>s p a ɪ t </v>
      </c>
    </row>
    <row r="2034">
      <c r="A2034" s="1" t="s">
        <v>2037</v>
      </c>
      <c r="B2034" s="1" t="s">
        <v>5</v>
      </c>
      <c r="C2034" s="2">
        <f>IFERROR(__xludf.DUMMYFUNCTION("IFERROR(VLOOKUP(A2034, IMPORTRANGE(""https://docs.google.com/spreadsheets/d/1AVX9GT0dgogEBStecCXMMQ29tWz3gBrtNB8yIromXbY/edit?gid=741673867"", ""out1g!A:B""), 2, FALSE), 0)"),62.0)</f>
        <v>62</v>
      </c>
      <c r="D2034" s="2" t="str">
        <f>IFERROR(__xludf.DUMMYFUNCTION("IFERROR(VLOOKUP(A2034, IMPORTRANGE(""https://docs.google.com/spreadsheets/d/1-3Vjw2Cyy-mry5gbC8ypIR3YVGFfEpyFESummAta6sg/edit"", ""Sheet1!B:D""), 2, FALSE), ""Not Found"")"),"ælps")</f>
        <v>ælps</v>
      </c>
      <c r="E2034" s="2" t="str">
        <f>IFERROR(__xludf.DUMMYFUNCTION("IFERROR(VLOOKUP(A2034, IMPORTRANGE(""https://docs.google.com/spreadsheets/d/1-3Vjw2Cyy-mry5gbC8ypIR3YVGFfEpyFESummAta6sg/edit"", ""Sheet1!B:D""), 3, FALSE), ""Not Found"")"),"æ l p s ")</f>
        <v>æ l p s </v>
      </c>
    </row>
    <row r="2035">
      <c r="A2035" s="1" t="s">
        <v>2038</v>
      </c>
      <c r="B2035" s="1" t="s">
        <v>5</v>
      </c>
      <c r="C2035" s="2">
        <f>IFERROR(__xludf.DUMMYFUNCTION("IFERROR(VLOOKUP(A2035, IMPORTRANGE(""https://docs.google.com/spreadsheets/d/1AVX9GT0dgogEBStecCXMMQ29tWz3gBrtNB8yIromXbY/edit?gid=741673867"", ""out1g!A:B""), 2, FALSE), 0)"),52.0)</f>
        <v>52</v>
      </c>
      <c r="D2035" s="2" t="str">
        <f>IFERROR(__xludf.DUMMYFUNCTION("IFERROR(VLOOKUP(A2035, IMPORTRANGE(""https://docs.google.com/spreadsheets/d/1-3Vjw2Cyy-mry5gbC8ypIR3YVGFfEpyFESummAta6sg/edit"", ""Sheet1!B:D""), 2, FALSE), ""Not Found"")"),"ʃe")</f>
        <v>ʃe</v>
      </c>
      <c r="E2035" s="2" t="str">
        <f>IFERROR(__xludf.DUMMYFUNCTION("IFERROR(VLOOKUP(A2035, IMPORTRANGE(""https://docs.google.com/spreadsheets/d/1-3Vjw2Cyy-mry5gbC8ypIR3YVGFfEpyFESummAta6sg/edit"", ""Sheet1!B:D""), 3, FALSE), ""Not Found"")"),"ʃ e ")</f>
        <v>ʃ e </v>
      </c>
    </row>
    <row r="2036">
      <c r="A2036" s="1" t="s">
        <v>2039</v>
      </c>
      <c r="B2036" s="1" t="s">
        <v>5</v>
      </c>
      <c r="C2036" s="2">
        <f>IFERROR(__xludf.DUMMYFUNCTION("IFERROR(VLOOKUP(A2036, IMPORTRANGE(""https://docs.google.com/spreadsheets/d/1AVX9GT0dgogEBStecCXMMQ29tWz3gBrtNB8yIromXbY/edit?gid=741673867"", ""out1g!A:B""), 2, FALSE), 0)"),274.0)</f>
        <v>274</v>
      </c>
      <c r="D2036" s="2" t="str">
        <f>IFERROR(__xludf.DUMMYFUNCTION("IFERROR(VLOOKUP(A2036, IMPORTRANGE(""https://docs.google.com/spreadsheets/d/1-3Vjw2Cyy-mry5gbC8ypIR3YVGFfEpyFESummAta6sg/edit"", ""Sheet1!B:D""), 2, FALSE), ""Not Found"")"),"æmoʊ")</f>
        <v>æmoʊ</v>
      </c>
      <c r="E2036" s="2" t="str">
        <f>IFERROR(__xludf.DUMMYFUNCTION("IFERROR(VLOOKUP(A2036, IMPORTRANGE(""https://docs.google.com/spreadsheets/d/1-3Vjw2Cyy-mry5gbC8ypIR3YVGFfEpyFESummAta6sg/edit"", ""Sheet1!B:D""), 3, FALSE), ""Not Found"")"),"æ m o ʊ ")</f>
        <v>æ m o ʊ </v>
      </c>
    </row>
    <row r="2037">
      <c r="A2037" s="1" t="s">
        <v>2040</v>
      </c>
      <c r="B2037" s="1" t="s">
        <v>5</v>
      </c>
      <c r="C2037" s="2">
        <f>IFERROR(__xludf.DUMMYFUNCTION("IFERROR(VLOOKUP(A2037, IMPORTRANGE(""https://docs.google.com/spreadsheets/d/1AVX9GT0dgogEBStecCXMMQ29tWz3gBrtNB8yIromXbY/edit?gid=741673867"", ""out1g!A:B""), 2, FALSE), 0)"),134.0)</f>
        <v>134</v>
      </c>
      <c r="D2037" s="2" t="str">
        <f>IFERROR(__xludf.DUMMYFUNCTION("IFERROR(VLOOKUP(A2037, IMPORTRANGE(""https://docs.google.com/spreadsheets/d/1-3Vjw2Cyy-mry5gbC8ypIR3YVGFfEpyFESummAta6sg/edit"", ""Sheet1!B:D""), 2, FALSE), ""Not Found"")"),"ɔ")</f>
        <v>ɔ</v>
      </c>
      <c r="E2037" s="2" t="str">
        <f>IFERROR(__xludf.DUMMYFUNCTION("IFERROR(VLOOKUP(A2037, IMPORTRANGE(""https://docs.google.com/spreadsheets/d/1-3Vjw2Cyy-mry5gbC8ypIR3YVGFfEpyFESummAta6sg/edit"", ""Sheet1!B:D""), 3, FALSE), ""Not Found"")"),"ɔ ")</f>
        <v>ɔ </v>
      </c>
    </row>
    <row r="2038">
      <c r="A2038" s="1" t="s">
        <v>2041</v>
      </c>
      <c r="B2038" s="1" t="s">
        <v>5</v>
      </c>
      <c r="C2038" s="2">
        <f>IFERROR(__xludf.DUMMYFUNCTION("IFERROR(VLOOKUP(A2038, IMPORTRANGE(""https://docs.google.com/spreadsheets/d/1AVX9GT0dgogEBStecCXMMQ29tWz3gBrtNB8yIromXbY/edit?gid=741673867"", ""out1g!A:B""), 2, FALSE), 0)"),116.0)</f>
        <v>116</v>
      </c>
      <c r="D2038" s="2" t="str">
        <f>IFERROR(__xludf.DUMMYFUNCTION("IFERROR(VLOOKUP(A2038, IMPORTRANGE(""https://docs.google.com/spreadsheets/d/1-3Vjw2Cyy-mry5gbC8ypIR3YVGFfEpyFESummAta6sg/edit"", ""Sheet1!B:D""), 2, FALSE), ""Not Found"")"),"lɑrz")</f>
        <v>lɑrz</v>
      </c>
      <c r="E2038" s="2" t="str">
        <f>IFERROR(__xludf.DUMMYFUNCTION("IFERROR(VLOOKUP(A2038, IMPORTRANGE(""https://docs.google.com/spreadsheets/d/1-3Vjw2Cyy-mry5gbC8ypIR3YVGFfEpyFESummAta6sg/edit"", ""Sheet1!B:D""), 3, FALSE), ""Not Found"")"),"l ɑ r z ")</f>
        <v>l ɑ r z </v>
      </c>
    </row>
    <row r="2039">
      <c r="A2039" s="1" t="s">
        <v>2042</v>
      </c>
      <c r="B2039" s="1" t="s">
        <v>5</v>
      </c>
      <c r="C2039" s="2">
        <f>IFERROR(__xludf.DUMMYFUNCTION("IFERROR(VLOOKUP(A2039, IMPORTRANGE(""https://docs.google.com/spreadsheets/d/1AVX9GT0dgogEBStecCXMMQ29tWz3gBrtNB8yIromXbY/edit?gid=741673867"", ""out1g!A:B""), 2, FALSE), 0)"),261.0)</f>
        <v>261</v>
      </c>
      <c r="D2039" s="2" t="str">
        <f>IFERROR(__xludf.DUMMYFUNCTION("IFERROR(VLOOKUP(A2039, IMPORTRANGE(""https://docs.google.com/spreadsheets/d/1-3Vjw2Cyy-mry5gbC8ypIR3YVGFfEpyFESummAta6sg/edit"", ""Sheet1!B:D""), 2, FALSE), ""Not Found"")"),"felz")</f>
        <v>felz</v>
      </c>
      <c r="E2039" s="2" t="str">
        <f>IFERROR(__xludf.DUMMYFUNCTION("IFERROR(VLOOKUP(A2039, IMPORTRANGE(""https://docs.google.com/spreadsheets/d/1-3Vjw2Cyy-mry5gbC8ypIR3YVGFfEpyFESummAta6sg/edit"", ""Sheet1!B:D""), 3, FALSE), ""Not Found"")"),"f e l z ")</f>
        <v>f e l z </v>
      </c>
    </row>
    <row r="2040">
      <c r="A2040" s="1" t="s">
        <v>2043</v>
      </c>
      <c r="B2040" s="1" t="s">
        <v>5</v>
      </c>
      <c r="C2040" s="2">
        <f>IFERROR(__xludf.DUMMYFUNCTION("IFERROR(VLOOKUP(A2040, IMPORTRANGE(""https://docs.google.com/spreadsheets/d/1AVX9GT0dgogEBStecCXMMQ29tWz3gBrtNB8yIromXbY/edit?gid=741673867"", ""out1g!A:B""), 2, FALSE), 0)"),79.0)</f>
        <v>79</v>
      </c>
      <c r="D2040" s="2" t="str">
        <f>IFERROR(__xludf.DUMMYFUNCTION("IFERROR(VLOOKUP(A2040, IMPORTRANGE(""https://docs.google.com/spreadsheets/d/1-3Vjw2Cyy-mry5gbC8ypIR3YVGFfEpyFESummAta6sg/edit"", ""Sheet1!B:D""), 2, FALSE), ""Not Found"")"),"hɛʤ")</f>
        <v>hɛʤ</v>
      </c>
      <c r="E2040" s="2" t="str">
        <f>IFERROR(__xludf.DUMMYFUNCTION("IFERROR(VLOOKUP(A2040, IMPORTRANGE(""https://docs.google.com/spreadsheets/d/1-3Vjw2Cyy-mry5gbC8ypIR3YVGFfEpyFESummAta6sg/edit"", ""Sheet1!B:D""), 3, FALSE), ""Not Found"")"),"h ɛ ʤ ")</f>
        <v>h ɛ ʤ </v>
      </c>
    </row>
    <row r="2041">
      <c r="A2041" s="1" t="s">
        <v>2044</v>
      </c>
      <c r="B2041" s="1" t="s">
        <v>5</v>
      </c>
      <c r="C2041" s="2">
        <f>IFERROR(__xludf.DUMMYFUNCTION("IFERROR(VLOOKUP(A2041, IMPORTRANGE(""https://docs.google.com/spreadsheets/d/1AVX9GT0dgogEBStecCXMMQ29tWz3gBrtNB8yIromXbY/edit?gid=741673867"", ""out1g!A:B""), 2, FALSE), 0)"),201.0)</f>
        <v>201</v>
      </c>
      <c r="D2041" s="2" t="str">
        <f>IFERROR(__xludf.DUMMYFUNCTION("IFERROR(VLOOKUP(A2041, IMPORTRANGE(""https://docs.google.com/spreadsheets/d/1-3Vjw2Cyy-mry5gbC8ypIR3YVGFfEpyFESummAta6sg/edit"", ""Sheet1!B:D""), 2, FALSE), ""Not Found"")"),"greps")</f>
        <v>greps</v>
      </c>
      <c r="E2041" s="2" t="str">
        <f>IFERROR(__xludf.DUMMYFUNCTION("IFERROR(VLOOKUP(A2041, IMPORTRANGE(""https://docs.google.com/spreadsheets/d/1-3Vjw2Cyy-mry5gbC8ypIR3YVGFfEpyFESummAta6sg/edit"", ""Sheet1!B:D""), 3, FALSE), ""Not Found"")"),"g r e p s ")</f>
        <v>g r e p s </v>
      </c>
    </row>
    <row r="2042">
      <c r="A2042" s="1" t="s">
        <v>2045</v>
      </c>
      <c r="B2042" s="1" t="s">
        <v>5</v>
      </c>
      <c r="C2042" s="2">
        <f>IFERROR(__xludf.DUMMYFUNCTION("IFERROR(VLOOKUP(A2042, IMPORTRANGE(""https://docs.google.com/spreadsheets/d/1AVX9GT0dgogEBStecCXMMQ29tWz3gBrtNB8yIromXbY/edit?gid=741673867"", ""out1g!A:B""), 2, FALSE), 0)"),174.0)</f>
        <v>174</v>
      </c>
      <c r="D2042" s="2" t="str">
        <f>IFERROR(__xludf.DUMMYFUNCTION("IFERROR(VLOOKUP(A2042, IMPORTRANGE(""https://docs.google.com/spreadsheets/d/1-3Vjw2Cyy-mry5gbC8ypIR3YVGFfEpyFESummAta6sg/edit"", ""Sheet1!B:D""), 2, FALSE), ""Not Found"")"),"dɪsiv")</f>
        <v>dɪsiv</v>
      </c>
      <c r="E2042" s="2" t="str">
        <f>IFERROR(__xludf.DUMMYFUNCTION("IFERROR(VLOOKUP(A2042, IMPORTRANGE(""https://docs.google.com/spreadsheets/d/1-3Vjw2Cyy-mry5gbC8ypIR3YVGFfEpyFESummAta6sg/edit"", ""Sheet1!B:D""), 3, FALSE), ""Not Found"")"),"d ɪ s i v ")</f>
        <v>d ɪ s i v </v>
      </c>
    </row>
    <row r="2043">
      <c r="A2043" s="1" t="s">
        <v>2046</v>
      </c>
      <c r="B2043" s="1" t="s">
        <v>5</v>
      </c>
      <c r="C2043" s="2">
        <f>IFERROR(__xludf.DUMMYFUNCTION("IFERROR(VLOOKUP(A2043, IMPORTRANGE(""https://docs.google.com/spreadsheets/d/1AVX9GT0dgogEBStecCXMMQ29tWz3gBrtNB8yIromXbY/edit?gid=741673867"", ""out1g!A:B""), 2, FALSE), 0)"),70775.0)</f>
        <v>70775</v>
      </c>
      <c r="D2043" s="2" t="str">
        <f>IFERROR(__xludf.DUMMYFUNCTION("IFERROR(VLOOKUP(A2043, IMPORTRANGE(""https://docs.google.com/spreadsheets/d/1-3Vjw2Cyy-mry5gbC8ypIR3YVGFfEpyFESummAta6sg/edit"", ""Sheet1!B:D""), 2, FALSE), ""Not Found"")"),"mek")</f>
        <v>mek</v>
      </c>
      <c r="E2043" s="2" t="str">
        <f>IFERROR(__xludf.DUMMYFUNCTION("IFERROR(VLOOKUP(A2043, IMPORTRANGE(""https://docs.google.com/spreadsheets/d/1-3Vjw2Cyy-mry5gbC8ypIR3YVGFfEpyFESummAta6sg/edit"", ""Sheet1!B:D""), 3, FALSE), ""Not Found"")"),"m e k ")</f>
        <v>m e k </v>
      </c>
    </row>
    <row r="2044">
      <c r="A2044" s="1" t="s">
        <v>2047</v>
      </c>
      <c r="B2044" s="1" t="s">
        <v>5</v>
      </c>
      <c r="C2044" s="2">
        <f>IFERROR(__xludf.DUMMYFUNCTION("IFERROR(VLOOKUP(A2044, IMPORTRANGE(""https://docs.google.com/spreadsheets/d/1AVX9GT0dgogEBStecCXMMQ29tWz3gBrtNB8yIromXbY/edit?gid=741673867"", ""out1g!A:B""), 2, FALSE), 0)"),1353.0)</f>
        <v>1353</v>
      </c>
      <c r="D2044" s="2" t="str">
        <f>IFERROR(__xludf.DUMMYFUNCTION("IFERROR(VLOOKUP(A2044, IMPORTRANGE(""https://docs.google.com/spreadsheets/d/1-3Vjw2Cyy-mry5gbC8ypIR3YVGFfEpyFESummAta6sg/edit"", ""Sheet1!B:D""), 2, FALSE), ""Not Found"")"),"wɔʧt")</f>
        <v>wɔʧt</v>
      </c>
      <c r="E2044" s="2" t="str">
        <f>IFERROR(__xludf.DUMMYFUNCTION("IFERROR(VLOOKUP(A2044, IMPORTRANGE(""https://docs.google.com/spreadsheets/d/1-3Vjw2Cyy-mry5gbC8ypIR3YVGFfEpyFESummAta6sg/edit"", ""Sheet1!B:D""), 3, FALSE), ""Not Found"")"),"w ɔ ʧ t ")</f>
        <v>w ɔ ʧ t </v>
      </c>
    </row>
    <row r="2045">
      <c r="A2045" s="1" t="s">
        <v>2048</v>
      </c>
      <c r="B2045" s="1" t="s">
        <v>5</v>
      </c>
      <c r="C2045" s="2">
        <f>IFERROR(__xludf.DUMMYFUNCTION("IFERROR(VLOOKUP(A2045, IMPORTRANGE(""https://docs.google.com/spreadsheets/d/1AVX9GT0dgogEBStecCXMMQ29tWz3gBrtNB8yIromXbY/edit?gid=741673867"", ""out1g!A:B""), 2, FALSE), 0)"),46.0)</f>
        <v>46</v>
      </c>
      <c r="D2045" s="2" t="str">
        <f>IFERROR(__xludf.DUMMYFUNCTION("IFERROR(VLOOKUP(A2045, IMPORTRANGE(""https://docs.google.com/spreadsheets/d/1-3Vjw2Cyy-mry5gbC8ypIR3YVGFfEpyFESummAta6sg/edit"", ""Sheet1!B:D""), 2, FALSE), ""Not Found"")"),"grɑgi")</f>
        <v>grɑgi</v>
      </c>
      <c r="E2045" s="2" t="str">
        <f>IFERROR(__xludf.DUMMYFUNCTION("IFERROR(VLOOKUP(A2045, IMPORTRANGE(""https://docs.google.com/spreadsheets/d/1-3Vjw2Cyy-mry5gbC8ypIR3YVGFfEpyFESummAta6sg/edit"", ""Sheet1!B:D""), 3, FALSE), ""Not Found"")"),"g r ɑ g i ")</f>
        <v>g r ɑ g i </v>
      </c>
    </row>
    <row r="2046">
      <c r="A2046" s="1" t="s">
        <v>2049</v>
      </c>
      <c r="B2046" s="1" t="s">
        <v>5</v>
      </c>
      <c r="C2046" s="2">
        <f>IFERROR(__xludf.DUMMYFUNCTION("IFERROR(VLOOKUP(A2046, IMPORTRANGE(""https://docs.google.com/spreadsheets/d/1AVX9GT0dgogEBStecCXMMQ29tWz3gBrtNB8yIromXbY/edit?gid=741673867"", ""out1g!A:B""), 2, FALSE), 0)"),183.0)</f>
        <v>183</v>
      </c>
      <c r="D2046" s="2" t="str">
        <f>IFERROR(__xludf.DUMMYFUNCTION("IFERROR(VLOOKUP(A2046, IMPORTRANGE(""https://docs.google.com/spreadsheets/d/1-3Vjw2Cyy-mry5gbC8ypIR3YVGFfEpyFESummAta6sg/edit"", ""Sheet1!B:D""), 2, FALSE), ""Not Found"")"),"eʤɪd")</f>
        <v>eʤɪd</v>
      </c>
      <c r="E2046" s="2" t="str">
        <f>IFERROR(__xludf.DUMMYFUNCTION("IFERROR(VLOOKUP(A2046, IMPORTRANGE(""https://docs.google.com/spreadsheets/d/1-3Vjw2Cyy-mry5gbC8ypIR3YVGFfEpyFESummAta6sg/edit"", ""Sheet1!B:D""), 3, FALSE), ""Not Found"")"),"e ʤ ɪ d ")</f>
        <v>e ʤ ɪ d </v>
      </c>
    </row>
    <row r="2047">
      <c r="A2047" s="1" t="s">
        <v>2050</v>
      </c>
      <c r="B2047" s="1" t="s">
        <v>5</v>
      </c>
      <c r="C2047" s="2">
        <f>IFERROR(__xludf.DUMMYFUNCTION("IFERROR(VLOOKUP(A2047, IMPORTRANGE(""https://docs.google.com/spreadsheets/d/1AVX9GT0dgogEBStecCXMMQ29tWz3gBrtNB8yIromXbY/edit?gid=741673867"", ""out1g!A:B""), 2, FALSE), 0)"),912.0)</f>
        <v>912</v>
      </c>
      <c r="D2047" s="2" t="str">
        <f>IFERROR(__xludf.DUMMYFUNCTION("IFERROR(VLOOKUP(A2047, IMPORTRANGE(""https://docs.google.com/spreadsheets/d/1-3Vjw2Cyy-mry5gbC8ypIR3YVGFfEpyFESummAta6sg/edit"", ""Sheet1!B:D""), 2, FALSE), ""Not Found"")"),"tənəl")</f>
        <v>tənəl</v>
      </c>
      <c r="E2047" s="2" t="str">
        <f>IFERROR(__xludf.DUMMYFUNCTION("IFERROR(VLOOKUP(A2047, IMPORTRANGE(""https://docs.google.com/spreadsheets/d/1-3Vjw2Cyy-mry5gbC8ypIR3YVGFfEpyFESummAta6sg/edit"", ""Sheet1!B:D""), 3, FALSE), ""Not Found"")"),"t ə n ə l ")</f>
        <v>t ə n ə l </v>
      </c>
    </row>
    <row r="2048">
      <c r="A2048" s="1" t="s">
        <v>2051</v>
      </c>
      <c r="B2048" s="1" t="s">
        <v>5</v>
      </c>
      <c r="C2048" s="2">
        <f>IFERROR(__xludf.DUMMYFUNCTION("IFERROR(VLOOKUP(A2048, IMPORTRANGE(""https://docs.google.com/spreadsheets/d/1AVX9GT0dgogEBStecCXMMQ29tWz3gBrtNB8yIromXbY/edit?gid=741673867"", ""out1g!A:B""), 2, FALSE), 0)"),118.0)</f>
        <v>118</v>
      </c>
      <c r="D2048" s="2" t="str">
        <f>IFERROR(__xludf.DUMMYFUNCTION("IFERROR(VLOOKUP(A2048, IMPORTRANGE(""https://docs.google.com/spreadsheets/d/1-3Vjw2Cyy-mry5gbC8ypIR3YVGFfEpyFESummAta6sg/edit"", ""Sheet1!B:D""), 2, FALSE), ""Not Found"")"),"kɛrəl")</f>
        <v>kɛrəl</v>
      </c>
      <c r="E2048" s="2" t="str">
        <f>IFERROR(__xludf.DUMMYFUNCTION("IFERROR(VLOOKUP(A2048, IMPORTRANGE(""https://docs.google.com/spreadsheets/d/1-3Vjw2Cyy-mry5gbC8ypIR3YVGFfEpyFESummAta6sg/edit"", ""Sheet1!B:D""), 3, FALSE), ""Not Found"")"),"k ɛ r ə l ")</f>
        <v>k ɛ r ə l </v>
      </c>
    </row>
    <row r="2049">
      <c r="A2049" s="1" t="s">
        <v>2052</v>
      </c>
      <c r="B2049" s="1" t="s">
        <v>5</v>
      </c>
      <c r="C2049" s="2">
        <f>IFERROR(__xludf.DUMMYFUNCTION("IFERROR(VLOOKUP(A2049, IMPORTRANGE(""https://docs.google.com/spreadsheets/d/1AVX9GT0dgogEBStecCXMMQ29tWz3gBrtNB8yIromXbY/edit?gid=741673867"", ""out1g!A:B""), 2, FALSE), 0)"),55.0)</f>
        <v>55</v>
      </c>
      <c r="D2049" s="2" t="str">
        <f>IFERROR(__xludf.DUMMYFUNCTION("IFERROR(VLOOKUP(A2049, IMPORTRANGE(""https://docs.google.com/spreadsheets/d/1-3Vjw2Cyy-mry5gbC8ypIR3YVGFfEpyFESummAta6sg/edit"", ""Sheet1!B:D""), 2, FALSE), ""Not Found"")"),"gebəl")</f>
        <v>gebəl</v>
      </c>
      <c r="E2049" s="2" t="str">
        <f>IFERROR(__xludf.DUMMYFUNCTION("IFERROR(VLOOKUP(A2049, IMPORTRANGE(""https://docs.google.com/spreadsheets/d/1-3Vjw2Cyy-mry5gbC8ypIR3YVGFfEpyFESummAta6sg/edit"", ""Sheet1!B:D""), 3, FALSE), ""Not Found"")"),"g e b ə l ")</f>
        <v>g e b ə l </v>
      </c>
    </row>
    <row r="2050">
      <c r="A2050" s="1" t="s">
        <v>2053</v>
      </c>
      <c r="B2050" s="1" t="s">
        <v>5</v>
      </c>
      <c r="C2050" s="2">
        <f>IFERROR(__xludf.DUMMYFUNCTION("IFERROR(VLOOKUP(A2050, IMPORTRANGE(""https://docs.google.com/spreadsheets/d/1AVX9GT0dgogEBStecCXMMQ29tWz3gBrtNB8yIromXbY/edit?gid=741673867"", ""out1g!A:B""), 2, FALSE), 0)"),112.0)</f>
        <v>112</v>
      </c>
      <c r="D2050" s="2" t="str">
        <f>IFERROR(__xludf.DUMMYFUNCTION("IFERROR(VLOOKUP(A2050, IMPORTRANGE(""https://docs.google.com/spreadsheets/d/1-3Vjw2Cyy-mry5gbC8ypIR3YVGFfEpyFESummAta6sg/edit"", ""Sheet1!B:D""), 2, FALSE), ""Not Found"")"),"dərbi")</f>
        <v>dərbi</v>
      </c>
      <c r="E2050" s="2" t="str">
        <f>IFERROR(__xludf.DUMMYFUNCTION("IFERROR(VLOOKUP(A2050, IMPORTRANGE(""https://docs.google.com/spreadsheets/d/1-3Vjw2Cyy-mry5gbC8ypIR3YVGFfEpyFESummAta6sg/edit"", ""Sheet1!B:D""), 3, FALSE), ""Not Found"")"),"d ə r b i ")</f>
        <v>d ə r b i </v>
      </c>
    </row>
    <row r="2051">
      <c r="A2051" s="1" t="s">
        <v>2054</v>
      </c>
      <c r="B2051" s="1" t="s">
        <v>5</v>
      </c>
      <c r="C2051" s="2">
        <f>IFERROR(__xludf.DUMMYFUNCTION("IFERROR(VLOOKUP(A2051, IMPORTRANGE(""https://docs.google.com/spreadsheets/d/1AVX9GT0dgogEBStecCXMMQ29tWz3gBrtNB8yIromXbY/edit?gid=741673867"", ""out1g!A:B""), 2, FALSE), 0)"),354742.0)</f>
        <v>354742</v>
      </c>
      <c r="D2051" s="2" t="str">
        <f>IFERROR(__xludf.DUMMYFUNCTION("IFERROR(VLOOKUP(A2051, IMPORTRANGE(""https://docs.google.com/spreadsheets/d/1-3Vjw2Cyy-mry5gbC8ypIR3YVGFfEpyFESummAta6sg/edit"", ""Sheet1!B:D""), 2, FALSE), ""Not Found"")"),"ɔn")</f>
        <v>ɔn</v>
      </c>
      <c r="E2051" s="2" t="str">
        <f>IFERROR(__xludf.DUMMYFUNCTION("IFERROR(VLOOKUP(A2051, IMPORTRANGE(""https://docs.google.com/spreadsheets/d/1-3Vjw2Cyy-mry5gbC8ypIR3YVGFfEpyFESummAta6sg/edit"", ""Sheet1!B:D""), 3, FALSE), ""Not Found"")"),"ɔ n ")</f>
        <v>ɔ n </v>
      </c>
    </row>
    <row r="2052">
      <c r="A2052" s="1" t="s">
        <v>2055</v>
      </c>
      <c r="B2052" s="1" t="s">
        <v>5</v>
      </c>
      <c r="C2052" s="2">
        <f>IFERROR(__xludf.DUMMYFUNCTION("IFERROR(VLOOKUP(A2052, IMPORTRANGE(""https://docs.google.com/spreadsheets/d/1AVX9GT0dgogEBStecCXMMQ29tWz3gBrtNB8yIromXbY/edit?gid=741673867"", ""out1g!A:B""), 2, FALSE), 0)"),83.0)</f>
        <v>83</v>
      </c>
      <c r="D2052" s="2" t="str">
        <f>IFERROR(__xludf.DUMMYFUNCTION("IFERROR(VLOOKUP(A2052, IMPORTRANGE(""https://docs.google.com/spreadsheets/d/1-3Vjw2Cyy-mry5gbC8ypIR3YVGFfEpyFESummAta6sg/edit"", ""Sheet1!B:D""), 2, FALSE), ""Not Found"")"),"swɪftli")</f>
        <v>swɪftli</v>
      </c>
      <c r="E2052" s="2" t="str">
        <f>IFERROR(__xludf.DUMMYFUNCTION("IFERROR(VLOOKUP(A2052, IMPORTRANGE(""https://docs.google.com/spreadsheets/d/1-3Vjw2Cyy-mry5gbC8ypIR3YVGFfEpyFESummAta6sg/edit"", ""Sheet1!B:D""), 3, FALSE), ""Not Found"")"),"s w ɪ f t l i ")</f>
        <v>s w ɪ f t l i </v>
      </c>
    </row>
    <row r="2053">
      <c r="A2053" s="1" t="s">
        <v>2056</v>
      </c>
      <c r="B2053" s="1" t="s">
        <v>5</v>
      </c>
      <c r="C2053" s="2">
        <f>IFERROR(__xludf.DUMMYFUNCTION("IFERROR(VLOOKUP(A2053, IMPORTRANGE(""https://docs.google.com/spreadsheets/d/1AVX9GT0dgogEBStecCXMMQ29tWz3gBrtNB8yIromXbY/edit?gid=741673867"", ""out1g!A:B""), 2, FALSE), 0)"),219.0)</f>
        <v>219</v>
      </c>
      <c r="D2053" s="2" t="str">
        <f>IFERROR(__xludf.DUMMYFUNCTION("IFERROR(VLOOKUP(A2053, IMPORTRANGE(""https://docs.google.com/spreadsheets/d/1-3Vjw2Cyy-mry5gbC8ypIR3YVGFfEpyFESummAta6sg/edit"", ""Sheet1!B:D""), 2, FALSE), ""Not Found"")"),"mɪn")</f>
        <v>mɪn</v>
      </c>
      <c r="E2053" s="2" t="str">
        <f>IFERROR(__xludf.DUMMYFUNCTION("IFERROR(VLOOKUP(A2053, IMPORTRANGE(""https://docs.google.com/spreadsheets/d/1-3Vjw2Cyy-mry5gbC8ypIR3YVGFfEpyFESummAta6sg/edit"", ""Sheet1!B:D""), 3, FALSE), ""Not Found"")"),"m ɪ n ")</f>
        <v>m ɪ n </v>
      </c>
    </row>
    <row r="2054">
      <c r="A2054" s="1" t="s">
        <v>2057</v>
      </c>
      <c r="B2054" s="1" t="s">
        <v>5</v>
      </c>
      <c r="C2054" s="2">
        <f>IFERROR(__xludf.DUMMYFUNCTION("IFERROR(VLOOKUP(A2054, IMPORTRANGE(""https://docs.google.com/spreadsheets/d/1AVX9GT0dgogEBStecCXMMQ29tWz3gBrtNB8yIromXbY/edit?gid=741673867"", ""out1g!A:B""), 2, FALSE), 0)"),6467.0)</f>
        <v>6467</v>
      </c>
      <c r="D2054" s="2" t="str">
        <f>IFERROR(__xludf.DUMMYFUNCTION("IFERROR(VLOOKUP(A2054, IMPORTRANGE(""https://docs.google.com/spreadsheets/d/1-3Vjw2Cyy-mry5gbC8ypIR3YVGFfEpyFESummAta6sg/edit"", ""Sheet1!B:D""), 2, FALSE), ""Not Found"")"),"raɪt")</f>
        <v>raɪt</v>
      </c>
      <c r="E2054" s="2" t="str">
        <f>IFERROR(__xludf.DUMMYFUNCTION("IFERROR(VLOOKUP(A2054, IMPORTRANGE(""https://docs.google.com/spreadsheets/d/1-3Vjw2Cyy-mry5gbC8ypIR3YVGFfEpyFESummAta6sg/edit"", ""Sheet1!B:D""), 3, FALSE), ""Not Found"")"),"r a ɪ t ")</f>
        <v>r a ɪ t </v>
      </c>
    </row>
    <row r="2055">
      <c r="A2055" s="1" t="s">
        <v>2058</v>
      </c>
      <c r="B2055" s="1" t="s">
        <v>5</v>
      </c>
      <c r="C2055" s="2">
        <f>IFERROR(__xludf.DUMMYFUNCTION("IFERROR(VLOOKUP(A2055, IMPORTRANGE(""https://docs.google.com/spreadsheets/d/1AVX9GT0dgogEBStecCXMMQ29tWz3gBrtNB8yIromXbY/edit?gid=741673867"", ""out1g!A:B""), 2, FALSE), 0)"),173.0)</f>
        <v>173</v>
      </c>
      <c r="D2055" s="2" t="str">
        <f>IFERROR(__xludf.DUMMYFUNCTION("IFERROR(VLOOKUP(A2055, IMPORTRANGE(""https://docs.google.com/spreadsheets/d/1-3Vjw2Cyy-mry5gbC8ypIR3YVGFfEpyFESummAta6sg/edit"", ""Sheet1!B:D""), 2, FALSE), ""Not Found"")"),"tɛrəs")</f>
        <v>tɛrəs</v>
      </c>
      <c r="E2055" s="2" t="str">
        <f>IFERROR(__xludf.DUMMYFUNCTION("IFERROR(VLOOKUP(A2055, IMPORTRANGE(""https://docs.google.com/spreadsheets/d/1-3Vjw2Cyy-mry5gbC8ypIR3YVGFfEpyFESummAta6sg/edit"", ""Sheet1!B:D""), 3, FALSE), ""Not Found"")"),"t ɛ r ə s ")</f>
        <v>t ɛ r ə s </v>
      </c>
    </row>
    <row r="2056">
      <c r="A2056" s="1" t="s">
        <v>2059</v>
      </c>
      <c r="B2056" s="1" t="s">
        <v>5</v>
      </c>
      <c r="C2056" s="2">
        <f>IFERROR(__xludf.DUMMYFUNCTION("IFERROR(VLOOKUP(A2056, IMPORTRANGE(""https://docs.google.com/spreadsheets/d/1AVX9GT0dgogEBStecCXMMQ29tWz3gBrtNB8yIromXbY/edit?gid=741673867"", ""out1g!A:B""), 2, FALSE), 0)"),483.0)</f>
        <v>483</v>
      </c>
      <c r="D2056" s="2" t="str">
        <f>IFERROR(__xludf.DUMMYFUNCTION("IFERROR(VLOOKUP(A2056, IMPORTRANGE(""https://docs.google.com/spreadsheets/d/1-3Vjw2Cyy-mry5gbC8ypIR3YVGFfEpyFESummAta6sg/edit"", ""Sheet1!B:D""), 2, FALSE), ""Not Found"")"),"sɛnt")</f>
        <v>sɛnt</v>
      </c>
      <c r="E2056" s="2" t="str">
        <f>IFERROR(__xludf.DUMMYFUNCTION("IFERROR(VLOOKUP(A2056, IMPORTRANGE(""https://docs.google.com/spreadsheets/d/1-3Vjw2Cyy-mry5gbC8ypIR3YVGFfEpyFESummAta6sg/edit"", ""Sheet1!B:D""), 3, FALSE), ""Not Found"")"),"s ɛ n t ")</f>
        <v>s ɛ n t </v>
      </c>
    </row>
    <row r="2057">
      <c r="A2057" s="1" t="s">
        <v>2060</v>
      </c>
      <c r="B2057" s="1" t="s">
        <v>5</v>
      </c>
      <c r="C2057" s="2">
        <f>IFERROR(__xludf.DUMMYFUNCTION("IFERROR(VLOOKUP(A2057, IMPORTRANGE(""https://docs.google.com/spreadsheets/d/1AVX9GT0dgogEBStecCXMMQ29tWz3gBrtNB8yIromXbY/edit?gid=741673867"", ""out1g!A:B""), 2, FALSE), 0)"),238.0)</f>
        <v>238</v>
      </c>
      <c r="D2057" s="2" t="str">
        <f>IFERROR(__xludf.DUMMYFUNCTION("IFERROR(VLOOKUP(A2057, IMPORTRANGE(""https://docs.google.com/spreadsheets/d/1-3Vjw2Cyy-mry5gbC8ypIR3YVGFfEpyFESummAta6sg/edit"", ""Sheet1!B:D""), 2, FALSE), ""Not Found"")"),"saɪts")</f>
        <v>saɪts</v>
      </c>
      <c r="E2057" s="2" t="str">
        <f>IFERROR(__xludf.DUMMYFUNCTION("IFERROR(VLOOKUP(A2057, IMPORTRANGE(""https://docs.google.com/spreadsheets/d/1-3Vjw2Cyy-mry5gbC8ypIR3YVGFfEpyFESummAta6sg/edit"", ""Sheet1!B:D""), 3, FALSE), ""Not Found"")"),"s a ɪ t s ")</f>
        <v>s a ɪ t s </v>
      </c>
    </row>
    <row r="2058">
      <c r="A2058" s="1" t="s">
        <v>2061</v>
      </c>
      <c r="B2058" s="1" t="s">
        <v>5</v>
      </c>
      <c r="C2058" s="2">
        <f>IFERROR(__xludf.DUMMYFUNCTION("IFERROR(VLOOKUP(A2058, IMPORTRANGE(""https://docs.google.com/spreadsheets/d/1AVX9GT0dgogEBStecCXMMQ29tWz3gBrtNB8yIromXbY/edit?gid=741673867"", ""out1g!A:B""), 2, FALSE), 0)"),94.0)</f>
        <v>94</v>
      </c>
      <c r="D2058" s="2" t="str">
        <f>IFERROR(__xludf.DUMMYFUNCTION("IFERROR(VLOOKUP(A2058, IMPORTRANGE(""https://docs.google.com/spreadsheets/d/1-3Vjw2Cyy-mry5gbC8ypIR3YVGFfEpyFESummAta6sg/edit"", ""Sheet1!B:D""), 2, FALSE), ""Not Found"")"),"pɑtəri")</f>
        <v>pɑtəri</v>
      </c>
      <c r="E2058" s="2" t="str">
        <f>IFERROR(__xludf.DUMMYFUNCTION("IFERROR(VLOOKUP(A2058, IMPORTRANGE(""https://docs.google.com/spreadsheets/d/1-3Vjw2Cyy-mry5gbC8ypIR3YVGFfEpyFESummAta6sg/edit"", ""Sheet1!B:D""), 3, FALSE), ""Not Found"")"),"p ɑ t ə r i ")</f>
        <v>p ɑ t ə r i </v>
      </c>
    </row>
    <row r="2059">
      <c r="A2059" s="1" t="s">
        <v>2062</v>
      </c>
      <c r="B2059" s="1" t="s">
        <v>5</v>
      </c>
      <c r="C2059" s="2">
        <f>IFERROR(__xludf.DUMMYFUNCTION("IFERROR(VLOOKUP(A2059, IMPORTRANGE(""https://docs.google.com/spreadsheets/d/1AVX9GT0dgogEBStecCXMMQ29tWz3gBrtNB8yIromXbY/edit?gid=741673867"", ""out1g!A:B""), 2, FALSE), 0)"),11.0)</f>
        <v>11</v>
      </c>
      <c r="D2059" s="2" t="str">
        <f>IFERROR(__xludf.DUMMYFUNCTION("IFERROR(VLOOKUP(A2059, IMPORTRANGE(""https://docs.google.com/spreadsheets/d/1-3Vjw2Cyy-mry5gbC8ypIR3YVGFfEpyFESummAta6sg/edit"", ""Sheet1!B:D""), 2, FALSE), ""Not Found"")"),"eməl")</f>
        <v>eməl</v>
      </c>
      <c r="E2059" s="2" t="str">
        <f>IFERROR(__xludf.DUMMYFUNCTION("IFERROR(VLOOKUP(A2059, IMPORTRANGE(""https://docs.google.com/spreadsheets/d/1-3Vjw2Cyy-mry5gbC8ypIR3YVGFfEpyFESummAta6sg/edit"", ""Sheet1!B:D""), 3, FALSE), ""Not Found"")"),"e m ə l ")</f>
        <v>e m ə l </v>
      </c>
    </row>
    <row r="2060">
      <c r="A2060" s="1" t="s">
        <v>2063</v>
      </c>
      <c r="B2060" s="1" t="s">
        <v>5</v>
      </c>
      <c r="C2060" s="2">
        <f>IFERROR(__xludf.DUMMYFUNCTION("IFERROR(VLOOKUP(A2060, IMPORTRANGE(""https://docs.google.com/spreadsheets/d/1AVX9GT0dgogEBStecCXMMQ29tWz3gBrtNB8yIromXbY/edit?gid=741673867"", ""out1g!A:B""), 2, FALSE), 0)"),360.0)</f>
        <v>360</v>
      </c>
      <c r="D2060" s="2" t="str">
        <f>IFERROR(__xludf.DUMMYFUNCTION("IFERROR(VLOOKUP(A2060, IMPORTRANGE(""https://docs.google.com/spreadsheets/d/1-3Vjw2Cyy-mry5gbC8ypIR3YVGFfEpyFESummAta6sg/edit"", ""Sheet1!B:D""), 2, FALSE), ""Not Found"")"),"hərd")</f>
        <v>hərd</v>
      </c>
      <c r="E2060" s="2" t="str">
        <f>IFERROR(__xludf.DUMMYFUNCTION("IFERROR(VLOOKUP(A2060, IMPORTRANGE(""https://docs.google.com/spreadsheets/d/1-3Vjw2Cyy-mry5gbC8ypIR3YVGFfEpyFESummAta6sg/edit"", ""Sheet1!B:D""), 3, FALSE), ""Not Found"")"),"h ə r d ")</f>
        <v>h ə r d </v>
      </c>
    </row>
    <row r="2061">
      <c r="A2061" s="1" t="s">
        <v>2064</v>
      </c>
      <c r="B2061" s="1" t="s">
        <v>5</v>
      </c>
      <c r="C2061" s="2">
        <f>IFERROR(__xludf.DUMMYFUNCTION("IFERROR(VLOOKUP(A2061, IMPORTRANGE(""https://docs.google.com/spreadsheets/d/1AVX9GT0dgogEBStecCXMMQ29tWz3gBrtNB8yIromXbY/edit?gid=741673867"", ""out1g!A:B""), 2, FALSE), 0)"),82.0)</f>
        <v>82</v>
      </c>
      <c r="D2061" s="2" t="str">
        <f>IFERROR(__xludf.DUMMYFUNCTION("IFERROR(VLOOKUP(A2061, IMPORTRANGE(""https://docs.google.com/spreadsheets/d/1-3Vjw2Cyy-mry5gbC8ypIR3YVGFfEpyFESummAta6sg/edit"", ""Sheet1!B:D""), 2, FALSE), ""Not Found"")"),"dɑʤɪŋ")</f>
        <v>dɑʤɪŋ</v>
      </c>
      <c r="E2061" s="2" t="str">
        <f>IFERROR(__xludf.DUMMYFUNCTION("IFERROR(VLOOKUP(A2061, IMPORTRANGE(""https://docs.google.com/spreadsheets/d/1-3Vjw2Cyy-mry5gbC8ypIR3YVGFfEpyFESummAta6sg/edit"", ""Sheet1!B:D""), 3, FALSE), ""Not Found"")"),"d ɑ ʤ ɪ ŋ ")</f>
        <v>d ɑ ʤ ɪ ŋ </v>
      </c>
    </row>
    <row r="2062">
      <c r="A2062" s="1" t="s">
        <v>2065</v>
      </c>
      <c r="B2062" s="1" t="s">
        <v>5</v>
      </c>
      <c r="C2062" s="2">
        <f>IFERROR(__xludf.DUMMYFUNCTION("IFERROR(VLOOKUP(A2062, IMPORTRANGE(""https://docs.google.com/spreadsheets/d/1AVX9GT0dgogEBStecCXMMQ29tWz3gBrtNB8yIromXbY/edit?gid=741673867"", ""out1g!A:B""), 2, FALSE), 0)"),93341.0)</f>
        <v>93341</v>
      </c>
      <c r="D2062" s="2" t="str">
        <f>IFERROR(__xludf.DUMMYFUNCTION("IFERROR(VLOOKUP(A2062, IMPORTRANGE(""https://docs.google.com/spreadsheets/d/1-3Vjw2Cyy-mry5gbC8ypIR3YVGFfEpyFESummAta6sg/edit"", ""Sheet1!B:D""), 2, FALSE), ""Not Found"")"),"wɛr")</f>
        <v>wɛr</v>
      </c>
      <c r="E2062" s="2" t="str">
        <f>IFERROR(__xludf.DUMMYFUNCTION("IFERROR(VLOOKUP(A2062, IMPORTRANGE(""https://docs.google.com/spreadsheets/d/1-3Vjw2Cyy-mry5gbC8ypIR3YVGFfEpyFESummAta6sg/edit"", ""Sheet1!B:D""), 3, FALSE), ""Not Found"")"),"w ɛ r ")</f>
        <v>w ɛ r </v>
      </c>
    </row>
    <row r="2063">
      <c r="A2063" s="1" t="s">
        <v>2066</v>
      </c>
      <c r="B2063" s="1" t="s">
        <v>5</v>
      </c>
      <c r="C2063" s="2">
        <f>IFERROR(__xludf.DUMMYFUNCTION("IFERROR(VLOOKUP(A2063, IMPORTRANGE(""https://docs.google.com/spreadsheets/d/1AVX9GT0dgogEBStecCXMMQ29tWz3gBrtNB8yIromXbY/edit?gid=741673867"", ""out1g!A:B""), 2, FALSE), 0)"),192.0)</f>
        <v>192</v>
      </c>
      <c r="D2063" s="2" t="str">
        <f>IFERROR(__xludf.DUMMYFUNCTION("IFERROR(VLOOKUP(A2063, IMPORTRANGE(""https://docs.google.com/spreadsheets/d/1-3Vjw2Cyy-mry5gbC8ypIR3YVGFfEpyFESummAta6sg/edit"", ""Sheet1!B:D""), 2, FALSE), ""Not Found"")"),"pɪʧɪŋ")</f>
        <v>pɪʧɪŋ</v>
      </c>
      <c r="E2063" s="2" t="str">
        <f>IFERROR(__xludf.DUMMYFUNCTION("IFERROR(VLOOKUP(A2063, IMPORTRANGE(""https://docs.google.com/spreadsheets/d/1-3Vjw2Cyy-mry5gbC8ypIR3YVGFfEpyFESummAta6sg/edit"", ""Sheet1!B:D""), 3, FALSE), ""Not Found"")"),"p ɪ ʧ ɪ ŋ ")</f>
        <v>p ɪ ʧ ɪ ŋ </v>
      </c>
    </row>
    <row r="2064">
      <c r="A2064" s="1" t="s">
        <v>2067</v>
      </c>
      <c r="B2064" s="1" t="s">
        <v>5</v>
      </c>
      <c r="C2064" s="2">
        <f>IFERROR(__xludf.DUMMYFUNCTION("IFERROR(VLOOKUP(A2064, IMPORTRANGE(""https://docs.google.com/spreadsheets/d/1AVX9GT0dgogEBStecCXMMQ29tWz3gBrtNB8yIromXbY/edit?gid=741673867"", ""out1g!A:B""), 2, FALSE), 0)"),71.0)</f>
        <v>71</v>
      </c>
      <c r="D2064" s="2" t="str">
        <f>IFERROR(__xludf.DUMMYFUNCTION("IFERROR(VLOOKUP(A2064, IMPORTRANGE(""https://docs.google.com/spreadsheets/d/1-3Vjw2Cyy-mry5gbC8ypIR3YVGFfEpyFESummAta6sg/edit"", ""Sheet1!B:D""), 2, FALSE), ""Not Found"")"),"oʊgər")</f>
        <v>oʊgər</v>
      </c>
      <c r="E2064" s="2" t="str">
        <f>IFERROR(__xludf.DUMMYFUNCTION("IFERROR(VLOOKUP(A2064, IMPORTRANGE(""https://docs.google.com/spreadsheets/d/1-3Vjw2Cyy-mry5gbC8ypIR3YVGFfEpyFESummAta6sg/edit"", ""Sheet1!B:D""), 3, FALSE), ""Not Found"")"),"o ʊ g ə r ")</f>
        <v>o ʊ g ə r </v>
      </c>
    </row>
    <row r="2065">
      <c r="A2065" s="1" t="s">
        <v>2068</v>
      </c>
      <c r="B2065" s="1" t="s">
        <v>5</v>
      </c>
      <c r="C2065" s="2">
        <f>IFERROR(__xludf.DUMMYFUNCTION("IFERROR(VLOOKUP(A2065, IMPORTRANGE(""https://docs.google.com/spreadsheets/d/1AVX9GT0dgogEBStecCXMMQ29tWz3gBrtNB8yIromXbY/edit?gid=741673867"", ""out1g!A:B""), 2, FALSE), 0)"),76.0)</f>
        <v>76</v>
      </c>
      <c r="D2065" s="2" t="str">
        <f>IFERROR(__xludf.DUMMYFUNCTION("IFERROR(VLOOKUP(A2065, IMPORTRANGE(""https://docs.google.com/spreadsheets/d/1-3Vjw2Cyy-mry5gbC8ypIR3YVGFfEpyFESummAta6sg/edit"", ""Sheet1!B:D""), 2, FALSE), ""Not Found"")"),"ərθli")</f>
        <v>ərθli</v>
      </c>
      <c r="E2065" s="2" t="str">
        <f>IFERROR(__xludf.DUMMYFUNCTION("IFERROR(VLOOKUP(A2065, IMPORTRANGE(""https://docs.google.com/spreadsheets/d/1-3Vjw2Cyy-mry5gbC8ypIR3YVGFfEpyFESummAta6sg/edit"", ""Sheet1!B:D""), 3, FALSE), ""Not Found"")"),"ə r θ l i ")</f>
        <v>ə r θ l i </v>
      </c>
    </row>
    <row r="2066">
      <c r="A2066" s="1" t="s">
        <v>2069</v>
      </c>
      <c r="B2066" s="1" t="s">
        <v>5</v>
      </c>
      <c r="C2066" s="2">
        <f>IFERROR(__xludf.DUMMYFUNCTION("IFERROR(VLOOKUP(A2066, IMPORTRANGE(""https://docs.google.com/spreadsheets/d/1AVX9GT0dgogEBStecCXMMQ29tWz3gBrtNB8yIromXbY/edit?gid=741673867"", ""out1g!A:B""), 2, FALSE), 0)"),266.0)</f>
        <v>266</v>
      </c>
      <c r="D2066" s="2" t="str">
        <f>IFERROR(__xludf.DUMMYFUNCTION("IFERROR(VLOOKUP(A2066, IMPORTRANGE(""https://docs.google.com/spreadsheets/d/1-3Vjw2Cyy-mry5gbC8ypIR3YVGFfEpyFESummAta6sg/edit"", ""Sheet1!B:D""), 2, FALSE), ""Not Found"")"),"wevɪŋ")</f>
        <v>wevɪŋ</v>
      </c>
      <c r="E2066" s="2" t="str">
        <f>IFERROR(__xludf.DUMMYFUNCTION("IFERROR(VLOOKUP(A2066, IMPORTRANGE(""https://docs.google.com/spreadsheets/d/1-3Vjw2Cyy-mry5gbC8ypIR3YVGFfEpyFESummAta6sg/edit"", ""Sheet1!B:D""), 3, FALSE), ""Not Found"")"),"w e v ɪ ŋ ")</f>
        <v>w e v ɪ ŋ </v>
      </c>
    </row>
    <row r="2067">
      <c r="A2067" s="1" t="s">
        <v>2070</v>
      </c>
      <c r="B2067" s="1" t="s">
        <v>5</v>
      </c>
      <c r="C2067" s="2">
        <f>IFERROR(__xludf.DUMMYFUNCTION("IFERROR(VLOOKUP(A2067, IMPORTRANGE(""https://docs.google.com/spreadsheets/d/1AVX9GT0dgogEBStecCXMMQ29tWz3gBrtNB8yIromXbY/edit?gid=741673867"", ""out1g!A:B""), 2, FALSE), 0)"),272.0)</f>
        <v>272</v>
      </c>
      <c r="D2067" s="2" t="str">
        <f>IFERROR(__xludf.DUMMYFUNCTION("IFERROR(VLOOKUP(A2067, IMPORTRANGE(""https://docs.google.com/spreadsheets/d/1-3Vjw2Cyy-mry5gbC8ypIR3YVGFfEpyFESummAta6sg/edit"", ""Sheet1!B:D""), 2, FALSE), ""Not Found"")"),"rɛkt")</f>
        <v>rɛkt</v>
      </c>
      <c r="E2067" s="2" t="str">
        <f>IFERROR(__xludf.DUMMYFUNCTION("IFERROR(VLOOKUP(A2067, IMPORTRANGE(""https://docs.google.com/spreadsheets/d/1-3Vjw2Cyy-mry5gbC8ypIR3YVGFfEpyFESummAta6sg/edit"", ""Sheet1!B:D""), 3, FALSE), ""Not Found"")"),"r ɛ k t ")</f>
        <v>r ɛ k t </v>
      </c>
    </row>
    <row r="2068">
      <c r="A2068" s="1" t="s">
        <v>2071</v>
      </c>
      <c r="B2068" s="1" t="s">
        <v>5</v>
      </c>
      <c r="C2068" s="2">
        <f>IFERROR(__xludf.DUMMYFUNCTION("IFERROR(VLOOKUP(A2068, IMPORTRANGE(""https://docs.google.com/spreadsheets/d/1AVX9GT0dgogEBStecCXMMQ29tWz3gBrtNB8yIromXbY/edit?gid=741673867"", ""out1g!A:B""), 2, FALSE), 0)"),56.0)</f>
        <v>56</v>
      </c>
      <c r="D2068" s="2" t="str">
        <f>IFERROR(__xludf.DUMMYFUNCTION("IFERROR(VLOOKUP(A2068, IMPORTRANGE(""https://docs.google.com/spreadsheets/d/1-3Vjw2Cyy-mry5gbC8ypIR3YVGFfEpyFESummAta6sg/edit"", ""Sheet1!B:D""), 2, FALSE), ""Not Found"")"),"slæks")</f>
        <v>slæks</v>
      </c>
      <c r="E2068" s="2" t="str">
        <f>IFERROR(__xludf.DUMMYFUNCTION("IFERROR(VLOOKUP(A2068, IMPORTRANGE(""https://docs.google.com/spreadsheets/d/1-3Vjw2Cyy-mry5gbC8ypIR3YVGFfEpyFESummAta6sg/edit"", ""Sheet1!B:D""), 3, FALSE), ""Not Found"")"),"s l æ k s ")</f>
        <v>s l æ k s </v>
      </c>
    </row>
    <row r="2069">
      <c r="A2069" s="1" t="s">
        <v>2072</v>
      </c>
      <c r="B2069" s="1" t="s">
        <v>5</v>
      </c>
      <c r="C2069" s="2">
        <f>IFERROR(__xludf.DUMMYFUNCTION("IFERROR(VLOOKUP(A2069, IMPORTRANGE(""https://docs.google.com/spreadsheets/d/1AVX9GT0dgogEBStecCXMMQ29tWz3gBrtNB8yIromXbY/edit?gid=741673867"", ""out1g!A:B""), 2, FALSE), 0)"),180.0)</f>
        <v>180</v>
      </c>
      <c r="D2069" s="2" t="str">
        <f>IFERROR(__xludf.DUMMYFUNCTION("IFERROR(VLOOKUP(A2069, IMPORTRANGE(""https://docs.google.com/spreadsheets/d/1-3Vjw2Cyy-mry5gbC8ypIR3YVGFfEpyFESummAta6sg/edit"", ""Sheet1!B:D""), 2, FALSE), ""Not Found"")"),"viə")</f>
        <v>viə</v>
      </c>
      <c r="E2069" s="2" t="str">
        <f>IFERROR(__xludf.DUMMYFUNCTION("IFERROR(VLOOKUP(A2069, IMPORTRANGE(""https://docs.google.com/spreadsheets/d/1-3Vjw2Cyy-mry5gbC8ypIR3YVGFfEpyFESummAta6sg/edit"", ""Sheet1!B:D""), 3, FALSE), ""Not Found"")"),"v i ə ")</f>
        <v>v i ə </v>
      </c>
    </row>
    <row r="2070">
      <c r="A2070" s="1" t="s">
        <v>2073</v>
      </c>
      <c r="B2070" s="1" t="s">
        <v>5</v>
      </c>
      <c r="C2070" s="2">
        <f>IFERROR(__xludf.DUMMYFUNCTION("IFERROR(VLOOKUP(A2070, IMPORTRANGE(""https://docs.google.com/spreadsheets/d/1AVX9GT0dgogEBStecCXMMQ29tWz3gBrtNB8yIromXbY/edit?gid=741673867"", ""out1g!A:B""), 2, FALSE), 0)"),48.0)</f>
        <v>48</v>
      </c>
      <c r="D2070" s="2" t="str">
        <f>IFERROR(__xludf.DUMMYFUNCTION("IFERROR(VLOOKUP(A2070, IMPORTRANGE(""https://docs.google.com/spreadsheets/d/1-3Vjw2Cyy-mry5gbC8ypIR3YVGFfEpyFESummAta6sg/edit"", ""Sheet1!B:D""), 2, FALSE), ""Not Found"")"),"tɑpt")</f>
        <v>tɑpt</v>
      </c>
      <c r="E2070" s="2" t="str">
        <f>IFERROR(__xludf.DUMMYFUNCTION("IFERROR(VLOOKUP(A2070, IMPORTRANGE(""https://docs.google.com/spreadsheets/d/1-3Vjw2Cyy-mry5gbC8ypIR3YVGFfEpyFESummAta6sg/edit"", ""Sheet1!B:D""), 3, FALSE), ""Not Found"")"),"t ɑ p t ")</f>
        <v>t ɑ p t </v>
      </c>
    </row>
    <row r="2071">
      <c r="A2071" s="1" t="s">
        <v>2074</v>
      </c>
      <c r="B2071" s="1" t="s">
        <v>5</v>
      </c>
      <c r="C2071" s="2">
        <f>IFERROR(__xludf.DUMMYFUNCTION("IFERROR(VLOOKUP(A2071, IMPORTRANGE(""https://docs.google.com/spreadsheets/d/1AVX9GT0dgogEBStecCXMMQ29tWz3gBrtNB8yIromXbY/edit?gid=741673867"", ""out1g!A:B""), 2, FALSE), 0)"),349.0)</f>
        <v>349</v>
      </c>
      <c r="D2071" s="2" t="str">
        <f>IFERROR(__xludf.DUMMYFUNCTION("IFERROR(VLOOKUP(A2071, IMPORTRANGE(""https://docs.google.com/spreadsheets/d/1-3Vjw2Cyy-mry5gbC8ypIR3YVGFfEpyFESummAta6sg/edit"", ""Sheet1!B:D""), 2, FALSE), ""Not Found"")"),"məg")</f>
        <v>məg</v>
      </c>
      <c r="E2071" s="2" t="str">
        <f>IFERROR(__xludf.DUMMYFUNCTION("IFERROR(VLOOKUP(A2071, IMPORTRANGE(""https://docs.google.com/spreadsheets/d/1-3Vjw2Cyy-mry5gbC8ypIR3YVGFfEpyFESummAta6sg/edit"", ""Sheet1!B:D""), 3, FALSE), ""Not Found"")"),"m ə g ")</f>
        <v>m ə g </v>
      </c>
    </row>
    <row r="2072">
      <c r="A2072" s="1" t="s">
        <v>2075</v>
      </c>
      <c r="B2072" s="1" t="s">
        <v>5</v>
      </c>
      <c r="C2072" s="2">
        <f>IFERROR(__xludf.DUMMYFUNCTION("IFERROR(VLOOKUP(A2072, IMPORTRANGE(""https://docs.google.com/spreadsheets/d/1AVX9GT0dgogEBStecCXMMQ29tWz3gBrtNB8yIromXbY/edit?gid=741673867"", ""out1g!A:B""), 2, FALSE), 0)"),219.0)</f>
        <v>219</v>
      </c>
      <c r="D2072" s="2" t="str">
        <f>IFERROR(__xludf.DUMMYFUNCTION("IFERROR(VLOOKUP(A2072, IMPORTRANGE(""https://docs.google.com/spreadsheets/d/1-3Vjw2Cyy-mry5gbC8ypIR3YVGFfEpyFESummAta6sg/edit"", ""Sheet1!B:D""), 2, FALSE), ""Not Found"")"),"moʊld")</f>
        <v>moʊld</v>
      </c>
      <c r="E2072" s="2" t="str">
        <f>IFERROR(__xludf.DUMMYFUNCTION("IFERROR(VLOOKUP(A2072, IMPORTRANGE(""https://docs.google.com/spreadsheets/d/1-3Vjw2Cyy-mry5gbC8ypIR3YVGFfEpyFESummAta6sg/edit"", ""Sheet1!B:D""), 3, FALSE), ""Not Found"")"),"m o ʊ l d ")</f>
        <v>m o ʊ l d </v>
      </c>
    </row>
    <row r="2073">
      <c r="A2073" s="1" t="s">
        <v>2076</v>
      </c>
      <c r="B2073" s="1" t="s">
        <v>5</v>
      </c>
      <c r="C2073" s="2">
        <f>IFERROR(__xludf.DUMMYFUNCTION("IFERROR(VLOOKUP(A2073, IMPORTRANGE(""https://docs.google.com/spreadsheets/d/1AVX9GT0dgogEBStecCXMMQ29tWz3gBrtNB8yIromXbY/edit?gid=741673867"", ""out1g!A:B""), 2, FALSE), 0)"),144.0)</f>
        <v>144</v>
      </c>
      <c r="D2073" s="2" t="str">
        <f>IFERROR(__xludf.DUMMYFUNCTION("IFERROR(VLOOKUP(A2073, IMPORTRANGE(""https://docs.google.com/spreadsheets/d/1-3Vjw2Cyy-mry5gbC8ypIR3YVGFfEpyFESummAta6sg/edit"", ""Sheet1!B:D""), 2, FALSE), ""Not Found"")"),"nuərk")</f>
        <v>nuərk</v>
      </c>
      <c r="E2073" s="2" t="str">
        <f>IFERROR(__xludf.DUMMYFUNCTION("IFERROR(VLOOKUP(A2073, IMPORTRANGE(""https://docs.google.com/spreadsheets/d/1-3Vjw2Cyy-mry5gbC8ypIR3YVGFfEpyFESummAta6sg/edit"", ""Sheet1!B:D""), 3, FALSE), ""Not Found"")"),"n u ə r k ")</f>
        <v>n u ə r k </v>
      </c>
    </row>
    <row r="2074">
      <c r="A2074" s="1" t="s">
        <v>2077</v>
      </c>
      <c r="B2074" s="1" t="s">
        <v>5</v>
      </c>
      <c r="C2074" s="2">
        <f>IFERROR(__xludf.DUMMYFUNCTION("IFERROR(VLOOKUP(A2074, IMPORTRANGE(""https://docs.google.com/spreadsheets/d/1AVX9GT0dgogEBStecCXMMQ29tWz3gBrtNB8yIromXbY/edit?gid=741673867"", ""out1g!A:B""), 2, FALSE), 0)"),62.0)</f>
        <v>62</v>
      </c>
      <c r="D2074" s="2" t="str">
        <f>IFERROR(__xludf.DUMMYFUNCTION("IFERROR(VLOOKUP(A2074, IMPORTRANGE(""https://docs.google.com/spreadsheets/d/1-3Vjw2Cyy-mry5gbC8ypIR3YVGFfEpyFESummAta6sg/edit"", ""Sheet1!B:D""), 2, FALSE), ""Not Found"")"),"fɔɪl")</f>
        <v>fɔɪl</v>
      </c>
      <c r="E2074" s="2" t="str">
        <f>IFERROR(__xludf.DUMMYFUNCTION("IFERROR(VLOOKUP(A2074, IMPORTRANGE(""https://docs.google.com/spreadsheets/d/1-3Vjw2Cyy-mry5gbC8ypIR3YVGFfEpyFESummAta6sg/edit"", ""Sheet1!B:D""), 3, FALSE), ""Not Found"")"),"f ɔ ɪ l ")</f>
        <v>f ɔ ɪ l </v>
      </c>
    </row>
    <row r="2075">
      <c r="A2075" s="1" t="s">
        <v>2078</v>
      </c>
      <c r="B2075" s="1" t="s">
        <v>5</v>
      </c>
      <c r="C2075" s="2">
        <f>IFERROR(__xludf.DUMMYFUNCTION("IFERROR(VLOOKUP(A2075, IMPORTRANGE(""https://docs.google.com/spreadsheets/d/1AVX9GT0dgogEBStecCXMMQ29tWz3gBrtNB8yIromXbY/edit?gid=741673867"", ""out1g!A:B""), 2, FALSE), 0)"),79.0)</f>
        <v>79</v>
      </c>
      <c r="D2075" s="2" t="str">
        <f>IFERROR(__xludf.DUMMYFUNCTION("IFERROR(VLOOKUP(A2075, IMPORTRANGE(""https://docs.google.com/spreadsheets/d/1-3Vjw2Cyy-mry5gbC8ypIR3YVGFfEpyFESummAta6sg/edit"", ""Sheet1!B:D""), 2, FALSE), ""Not Found"")"),"fɑrli")</f>
        <v>fɑrli</v>
      </c>
      <c r="E2075" s="2" t="str">
        <f>IFERROR(__xludf.DUMMYFUNCTION("IFERROR(VLOOKUP(A2075, IMPORTRANGE(""https://docs.google.com/spreadsheets/d/1-3Vjw2Cyy-mry5gbC8ypIR3YVGFfEpyFESummAta6sg/edit"", ""Sheet1!B:D""), 3, FALSE), ""Not Found"")"),"f ɑ r l i ")</f>
        <v>f ɑ r l i </v>
      </c>
    </row>
    <row r="2076">
      <c r="A2076" s="1" t="s">
        <v>2079</v>
      </c>
      <c r="B2076" s="1" t="s">
        <v>5</v>
      </c>
      <c r="C2076" s="2">
        <f>IFERROR(__xludf.DUMMYFUNCTION("IFERROR(VLOOKUP(A2076, IMPORTRANGE(""https://docs.google.com/spreadsheets/d/1AVX9GT0dgogEBStecCXMMQ29tWz3gBrtNB8yIromXbY/edit?gid=741673867"", ""out1g!A:B""), 2, FALSE), 0)"),178.0)</f>
        <v>178</v>
      </c>
      <c r="D2076" s="2" t="str">
        <f>IFERROR(__xludf.DUMMYFUNCTION("IFERROR(VLOOKUP(A2076, IMPORTRANGE(""https://docs.google.com/spreadsheets/d/1-3Vjw2Cyy-mry5gbC8ypIR3YVGFfEpyFESummAta6sg/edit"", ""Sheet1!B:D""), 2, FALSE), ""Not Found"")"),"tæli")</f>
        <v>tæli</v>
      </c>
      <c r="E2076" s="2" t="str">
        <f>IFERROR(__xludf.DUMMYFUNCTION("IFERROR(VLOOKUP(A2076, IMPORTRANGE(""https://docs.google.com/spreadsheets/d/1-3Vjw2Cyy-mry5gbC8ypIR3YVGFfEpyFESummAta6sg/edit"", ""Sheet1!B:D""), 3, FALSE), ""Not Found"")"),"t æ l i ")</f>
        <v>t æ l i </v>
      </c>
    </row>
    <row r="2077">
      <c r="A2077" s="1" t="s">
        <v>2080</v>
      </c>
      <c r="B2077" s="1" t="s">
        <v>5</v>
      </c>
      <c r="C2077" s="2">
        <f>IFERROR(__xludf.DUMMYFUNCTION("IFERROR(VLOOKUP(A2077, IMPORTRANGE(""https://docs.google.com/spreadsheets/d/1AVX9GT0dgogEBStecCXMMQ29tWz3gBrtNB8yIromXbY/edit?gid=741673867"", ""out1g!A:B""), 2, FALSE), 0)"),324.0)</f>
        <v>324</v>
      </c>
      <c r="D2077" s="2" t="str">
        <f>IFERROR(__xludf.DUMMYFUNCTION("IFERROR(VLOOKUP(A2077, IMPORTRANGE(""https://docs.google.com/spreadsheets/d/1-3Vjw2Cyy-mry5gbC8ypIR3YVGFfEpyFESummAta6sg/edit"", ""Sheet1!B:D""), 2, FALSE), ""Not Found"")"),"ʧæp")</f>
        <v>ʧæp</v>
      </c>
      <c r="E2077" s="2" t="str">
        <f>IFERROR(__xludf.DUMMYFUNCTION("IFERROR(VLOOKUP(A2077, IMPORTRANGE(""https://docs.google.com/spreadsheets/d/1-3Vjw2Cyy-mry5gbC8ypIR3YVGFfEpyFESummAta6sg/edit"", ""Sheet1!B:D""), 3, FALSE), ""Not Found"")"),"ʧ æ p ")</f>
        <v>ʧ æ p </v>
      </c>
    </row>
    <row r="2078">
      <c r="A2078" s="1" t="s">
        <v>2081</v>
      </c>
      <c r="B2078" s="1" t="s">
        <v>5</v>
      </c>
      <c r="C2078" s="2">
        <f>IFERROR(__xludf.DUMMYFUNCTION("IFERROR(VLOOKUP(A2078, IMPORTRANGE(""https://docs.google.com/spreadsheets/d/1AVX9GT0dgogEBStecCXMMQ29tWz3gBrtNB8yIromXbY/edit?gid=741673867"", ""out1g!A:B""), 2, FALSE), 0)"),10.0)</f>
        <v>10</v>
      </c>
      <c r="D2078" s="2" t="str">
        <f>IFERROR(__xludf.DUMMYFUNCTION("IFERROR(VLOOKUP(A2078, IMPORTRANGE(""https://docs.google.com/spreadsheets/d/1-3Vjw2Cyy-mry5gbC8ypIR3YVGFfEpyFESummAta6sg/edit"", ""Sheet1!B:D""), 2, FALSE), ""Not Found"")"),"zɛlət")</f>
        <v>zɛlət</v>
      </c>
      <c r="E2078" s="2" t="str">
        <f>IFERROR(__xludf.DUMMYFUNCTION("IFERROR(VLOOKUP(A2078, IMPORTRANGE(""https://docs.google.com/spreadsheets/d/1-3Vjw2Cyy-mry5gbC8ypIR3YVGFfEpyFESummAta6sg/edit"", ""Sheet1!B:D""), 3, FALSE), ""Not Found"")"),"z ɛ l ə t ")</f>
        <v>z ɛ l ə t </v>
      </c>
    </row>
    <row r="2079">
      <c r="A2079" s="1" t="s">
        <v>2082</v>
      </c>
      <c r="B2079" s="1" t="s">
        <v>5</v>
      </c>
      <c r="C2079" s="2">
        <f>IFERROR(__xludf.DUMMYFUNCTION("IFERROR(VLOOKUP(A2079, IMPORTRANGE(""https://docs.google.com/spreadsheets/d/1AVX9GT0dgogEBStecCXMMQ29tWz3gBrtNB8yIromXbY/edit?gid=741673867"", ""out1g!A:B""), 2, FALSE), 0)"),112.0)</f>
        <v>112</v>
      </c>
      <c r="D2079" s="2" t="str">
        <f>IFERROR(__xludf.DUMMYFUNCTION("IFERROR(VLOOKUP(A2079, IMPORTRANGE(""https://docs.google.com/spreadsheets/d/1-3Vjw2Cyy-mry5gbC8ypIR3YVGFfEpyFESummAta6sg/edit"", ""Sheet1!B:D""), 2, FALSE), ""Not Found"")"),"liks")</f>
        <v>liks</v>
      </c>
      <c r="E2079" s="2" t="str">
        <f>IFERROR(__xludf.DUMMYFUNCTION("IFERROR(VLOOKUP(A2079, IMPORTRANGE(""https://docs.google.com/spreadsheets/d/1-3Vjw2Cyy-mry5gbC8ypIR3YVGFfEpyFESummAta6sg/edit"", ""Sheet1!B:D""), 3, FALSE), ""Not Found"")"),"l i k s ")</f>
        <v>l i k s </v>
      </c>
    </row>
    <row r="2080">
      <c r="A2080" s="1" t="s">
        <v>2083</v>
      </c>
      <c r="B2080" s="1" t="s">
        <v>5</v>
      </c>
      <c r="C2080" s="2">
        <f>IFERROR(__xludf.DUMMYFUNCTION("IFERROR(VLOOKUP(A2080, IMPORTRANGE(""https://docs.google.com/spreadsheets/d/1AVX9GT0dgogEBStecCXMMQ29tWz3gBrtNB8yIromXbY/edit?gid=741673867"", ""out1g!A:B""), 2, FALSE), 0)"),22273.0)</f>
        <v>22273</v>
      </c>
      <c r="D2080" s="2" t="str">
        <f>IFERROR(__xludf.DUMMYFUNCTION("IFERROR(VLOOKUP(A2080, IMPORTRANGE(""https://docs.google.com/spreadsheets/d/1-3Vjw2Cyy-mry5gbC8ypIR3YVGFfEpyFESummAta6sg/edit"", ""Sheet1!B:D""), 2, FALSE), ""Not Found"")"),"hoʊld")</f>
        <v>hoʊld</v>
      </c>
      <c r="E2080" s="2" t="str">
        <f>IFERROR(__xludf.DUMMYFUNCTION("IFERROR(VLOOKUP(A2080, IMPORTRANGE(""https://docs.google.com/spreadsheets/d/1-3Vjw2Cyy-mry5gbC8ypIR3YVGFfEpyFESummAta6sg/edit"", ""Sheet1!B:D""), 3, FALSE), ""Not Found"")"),"h o ʊ l d ")</f>
        <v>h o ʊ l d </v>
      </c>
    </row>
    <row r="2081">
      <c r="A2081" s="1" t="s">
        <v>2084</v>
      </c>
      <c r="B2081" s="1" t="s">
        <v>5</v>
      </c>
      <c r="C2081" s="2">
        <f>IFERROR(__xludf.DUMMYFUNCTION("IFERROR(VLOOKUP(A2081, IMPORTRANGE(""https://docs.google.com/spreadsheets/d/1AVX9GT0dgogEBStecCXMMQ29tWz3gBrtNB8yIromXbY/edit?gid=741673867"", ""out1g!A:B""), 2, FALSE), 0)"),47.0)</f>
        <v>47</v>
      </c>
      <c r="D2081" s="2" t="str">
        <f>IFERROR(__xludf.DUMMYFUNCTION("IFERROR(VLOOKUP(A2081, IMPORTRANGE(""https://docs.google.com/spreadsheets/d/1-3Vjw2Cyy-mry5gbC8ypIR3YVGFfEpyFESummAta6sg/edit"", ""Sheet1!B:D""), 2, FALSE), ""Not Found"")"),"swɑv")</f>
        <v>swɑv</v>
      </c>
      <c r="E2081" s="2" t="str">
        <f>IFERROR(__xludf.DUMMYFUNCTION("IFERROR(VLOOKUP(A2081, IMPORTRANGE(""https://docs.google.com/spreadsheets/d/1-3Vjw2Cyy-mry5gbC8ypIR3YVGFfEpyFESummAta6sg/edit"", ""Sheet1!B:D""), 3, FALSE), ""Not Found"")"),"s w ɑ v ")</f>
        <v>s w ɑ v </v>
      </c>
    </row>
    <row r="2082">
      <c r="A2082" s="1" t="s">
        <v>2085</v>
      </c>
      <c r="B2082" s="1" t="s">
        <v>5</v>
      </c>
      <c r="C2082" s="2">
        <f>IFERROR(__xludf.DUMMYFUNCTION("IFERROR(VLOOKUP(A2082, IMPORTRANGE(""https://docs.google.com/spreadsheets/d/1AVX9GT0dgogEBStecCXMMQ29tWz3gBrtNB8yIromXbY/edit?gid=741673867"", ""out1g!A:B""), 2, FALSE), 0)"),224.0)</f>
        <v>224</v>
      </c>
      <c r="D2082" s="2" t="str">
        <f>IFERROR(__xludf.DUMMYFUNCTION("IFERROR(VLOOKUP(A2082, IMPORTRANGE(""https://docs.google.com/spreadsheets/d/1-3Vjw2Cyy-mry5gbC8ypIR3YVGFfEpyFESummAta6sg/edit"", ""Sheet1!B:D""), 2, FALSE), ""Not Found"")"),"flɛd")</f>
        <v>flɛd</v>
      </c>
      <c r="E2082" s="2" t="str">
        <f>IFERROR(__xludf.DUMMYFUNCTION("IFERROR(VLOOKUP(A2082, IMPORTRANGE(""https://docs.google.com/spreadsheets/d/1-3Vjw2Cyy-mry5gbC8ypIR3YVGFfEpyFESummAta6sg/edit"", ""Sheet1!B:D""), 3, FALSE), ""Not Found"")"),"f l ɛ d ")</f>
        <v>f l ɛ d </v>
      </c>
    </row>
    <row r="2083">
      <c r="A2083" s="1" t="s">
        <v>2086</v>
      </c>
      <c r="B2083" s="1" t="s">
        <v>5</v>
      </c>
      <c r="C2083" s="2">
        <f>IFERROR(__xludf.DUMMYFUNCTION("IFERROR(VLOOKUP(A2083, IMPORTRANGE(""https://docs.google.com/spreadsheets/d/1AVX9GT0dgogEBStecCXMMQ29tWz3gBrtNB8yIromXbY/edit?gid=741673867"", ""out1g!A:B""), 2, FALSE), 0)"),3727.0)</f>
        <v>3727</v>
      </c>
      <c r="D2083" s="2" t="str">
        <f>IFERROR(__xludf.DUMMYFUNCTION("IFERROR(VLOOKUP(A2083, IMPORTRANGE(""https://docs.google.com/spreadsheets/d/1-3Vjw2Cyy-mry5gbC8ypIR3YVGFfEpyFESummAta6sg/edit"", ""Sheet1!B:D""), 2, FALSE), ""Not Found"")"),"ʤoʊi")</f>
        <v>ʤoʊi</v>
      </c>
      <c r="E2083" s="2" t="str">
        <f>IFERROR(__xludf.DUMMYFUNCTION("IFERROR(VLOOKUP(A2083, IMPORTRANGE(""https://docs.google.com/spreadsheets/d/1-3Vjw2Cyy-mry5gbC8ypIR3YVGFfEpyFESummAta6sg/edit"", ""Sheet1!B:D""), 3, FALSE), ""Not Found"")"),"ʤ o ʊ i ")</f>
        <v>ʤ o ʊ i </v>
      </c>
    </row>
    <row r="2084">
      <c r="A2084" s="1" t="s">
        <v>2087</v>
      </c>
      <c r="B2084" s="1" t="s">
        <v>5</v>
      </c>
      <c r="C2084" s="2">
        <f>IFERROR(__xludf.DUMMYFUNCTION("IFERROR(VLOOKUP(A2084, IMPORTRANGE(""https://docs.google.com/spreadsheets/d/1AVX9GT0dgogEBStecCXMMQ29tWz3gBrtNB8yIromXbY/edit?gid=741673867"", ""out1g!A:B""), 2, FALSE), 0)"),75.0)</f>
        <v>75</v>
      </c>
      <c r="D2084" s="2" t="str">
        <f>IFERROR(__xludf.DUMMYFUNCTION("IFERROR(VLOOKUP(A2084, IMPORTRANGE(""https://docs.google.com/spreadsheets/d/1-3Vjw2Cyy-mry5gbC8ypIR3YVGFfEpyFESummAta6sg/edit"", ""Sheet1!B:D""), 2, FALSE), ""Not Found"")"),"relɪŋ")</f>
        <v>relɪŋ</v>
      </c>
      <c r="E2084" s="2" t="str">
        <f>IFERROR(__xludf.DUMMYFUNCTION("IFERROR(VLOOKUP(A2084, IMPORTRANGE(""https://docs.google.com/spreadsheets/d/1-3Vjw2Cyy-mry5gbC8ypIR3YVGFfEpyFESummAta6sg/edit"", ""Sheet1!B:D""), 3, FALSE), ""Not Found"")"),"r e l ɪ ŋ ")</f>
        <v>r e l ɪ ŋ </v>
      </c>
    </row>
    <row r="2085">
      <c r="A2085" s="1" t="s">
        <v>2088</v>
      </c>
      <c r="B2085" s="1" t="s">
        <v>5</v>
      </c>
      <c r="C2085" s="2">
        <f>IFERROR(__xludf.DUMMYFUNCTION("IFERROR(VLOOKUP(A2085, IMPORTRANGE(""https://docs.google.com/spreadsheets/d/1AVX9GT0dgogEBStecCXMMQ29tWz3gBrtNB8yIromXbY/edit?gid=741673867"", ""out1g!A:B""), 2, FALSE), 0)"),2580.0)</f>
        <v>2580</v>
      </c>
      <c r="D2085" s="2" t="str">
        <f>IFERROR(__xludf.DUMMYFUNCTION("IFERROR(VLOOKUP(A2085, IMPORTRANGE(""https://docs.google.com/spreadsheets/d/1-3Vjw2Cyy-mry5gbC8ypIR3YVGFfEpyFESummAta6sg/edit"", ""Sheet1!B:D""), 2, FALSE), ""Not Found"")"),"lioʊ")</f>
        <v>lioʊ</v>
      </c>
      <c r="E2085" s="2" t="str">
        <f>IFERROR(__xludf.DUMMYFUNCTION("IFERROR(VLOOKUP(A2085, IMPORTRANGE(""https://docs.google.com/spreadsheets/d/1-3Vjw2Cyy-mry5gbC8ypIR3YVGFfEpyFESummAta6sg/edit"", ""Sheet1!B:D""), 3, FALSE), ""Not Found"")"),"l i o ʊ ")</f>
        <v>l i o ʊ </v>
      </c>
    </row>
    <row r="2086">
      <c r="A2086" s="1" t="s">
        <v>2089</v>
      </c>
      <c r="B2086" s="1" t="s">
        <v>5</v>
      </c>
      <c r="C2086" s="2">
        <f>IFERROR(__xludf.DUMMYFUNCTION("IFERROR(VLOOKUP(A2086, IMPORTRANGE(""https://docs.google.com/spreadsheets/d/1AVX9GT0dgogEBStecCXMMQ29tWz3gBrtNB8yIromXbY/edit?gid=741673867"", ""out1g!A:B""), 2, FALSE), 0)"),232.0)</f>
        <v>232</v>
      </c>
      <c r="D2086" s="2" t="str">
        <f>IFERROR(__xludf.DUMMYFUNCTION("IFERROR(VLOOKUP(A2086, IMPORTRANGE(""https://docs.google.com/spreadsheets/d/1-3Vjw2Cyy-mry5gbC8ypIR3YVGFfEpyFESummAta6sg/edit"", ""Sheet1!B:D""), 2, FALSE), ""Not Found"")"),"ʧɑpt")</f>
        <v>ʧɑpt</v>
      </c>
      <c r="E2086" s="2" t="str">
        <f>IFERROR(__xludf.DUMMYFUNCTION("IFERROR(VLOOKUP(A2086, IMPORTRANGE(""https://docs.google.com/spreadsheets/d/1-3Vjw2Cyy-mry5gbC8ypIR3YVGFfEpyFESummAta6sg/edit"", ""Sheet1!B:D""), 3, FALSE), ""Not Found"")"),"ʧ ɑ p t ")</f>
        <v>ʧ ɑ p t </v>
      </c>
    </row>
    <row r="2087">
      <c r="A2087" s="1" t="s">
        <v>2090</v>
      </c>
      <c r="B2087" s="1" t="s">
        <v>5</v>
      </c>
      <c r="C2087" s="2">
        <f>IFERROR(__xludf.DUMMYFUNCTION("IFERROR(VLOOKUP(A2087, IMPORTRANGE(""https://docs.google.com/spreadsheets/d/1AVX9GT0dgogEBStecCXMMQ29tWz3gBrtNB8yIromXbY/edit?gid=741673867"", ""out1g!A:B""), 2, FALSE), 0)"),224.0)</f>
        <v>224</v>
      </c>
      <c r="D2087" s="2" t="str">
        <f>IFERROR(__xludf.DUMMYFUNCTION("IFERROR(VLOOKUP(A2087, IMPORTRANGE(""https://docs.google.com/spreadsheets/d/1-3Vjw2Cyy-mry5gbC8ypIR3YVGFfEpyFESummAta6sg/edit"", ""Sheet1!B:D""), 2, FALSE), ""Not Found"")"),"mæʃ")</f>
        <v>mæʃ</v>
      </c>
      <c r="E2087" s="2" t="str">
        <f>IFERROR(__xludf.DUMMYFUNCTION("IFERROR(VLOOKUP(A2087, IMPORTRANGE(""https://docs.google.com/spreadsheets/d/1-3Vjw2Cyy-mry5gbC8ypIR3YVGFfEpyFESummAta6sg/edit"", ""Sheet1!B:D""), 3, FALSE), ""Not Found"")"),"m æ ʃ ")</f>
        <v>m æ ʃ </v>
      </c>
    </row>
    <row r="2088">
      <c r="A2088" s="1" t="s">
        <v>2091</v>
      </c>
      <c r="B2088" s="1" t="s">
        <v>5</v>
      </c>
      <c r="C2088" s="2">
        <f>IFERROR(__xludf.DUMMYFUNCTION("IFERROR(VLOOKUP(A2088, IMPORTRANGE(""https://docs.google.com/spreadsheets/d/1AVX9GT0dgogEBStecCXMMQ29tWz3gBrtNB8yIromXbY/edit?gid=741673867"", ""out1g!A:B""), 2, FALSE), 0)"),1490.0)</f>
        <v>1490</v>
      </c>
      <c r="D2088" s="2" t="str">
        <f>IFERROR(__xludf.DUMMYFUNCTION("IFERROR(VLOOKUP(A2088, IMPORTRANGE(""https://docs.google.com/spreadsheets/d/1-3Vjw2Cyy-mry5gbC8ypIR3YVGFfEpyFESummAta6sg/edit"", ""Sheet1!B:D""), 2, FALSE), ""Not Found"")"),"loʊd")</f>
        <v>loʊd</v>
      </c>
      <c r="E2088" s="2" t="str">
        <f>IFERROR(__xludf.DUMMYFUNCTION("IFERROR(VLOOKUP(A2088, IMPORTRANGE(""https://docs.google.com/spreadsheets/d/1-3Vjw2Cyy-mry5gbC8ypIR3YVGFfEpyFESummAta6sg/edit"", ""Sheet1!B:D""), 3, FALSE), ""Not Found"")"),"l o ʊ d ")</f>
        <v>l o ʊ d </v>
      </c>
    </row>
    <row r="2089">
      <c r="A2089" s="1" t="s">
        <v>2092</v>
      </c>
      <c r="B2089" s="1" t="s">
        <v>5</v>
      </c>
      <c r="C2089" s="2">
        <f>IFERROR(__xludf.DUMMYFUNCTION("IFERROR(VLOOKUP(A2089, IMPORTRANGE(""https://docs.google.com/spreadsheets/d/1AVX9GT0dgogEBStecCXMMQ29tWz3gBrtNB8yIromXbY/edit?gid=741673867"", ""out1g!A:B""), 2, FALSE), 0)"),68.0)</f>
        <v>68</v>
      </c>
      <c r="D2089" s="2" t="str">
        <f>IFERROR(__xludf.DUMMYFUNCTION("IFERROR(VLOOKUP(A2089, IMPORTRANGE(""https://docs.google.com/spreadsheets/d/1-3Vjw2Cyy-mry5gbC8ypIR3YVGFfEpyFESummAta6sg/edit"", ""Sheet1!B:D""), 2, FALSE), ""Not Found"")"),"hæst")</f>
        <v>hæst</v>
      </c>
      <c r="E2089" s="2" t="str">
        <f>IFERROR(__xludf.DUMMYFUNCTION("IFERROR(VLOOKUP(A2089, IMPORTRANGE(""https://docs.google.com/spreadsheets/d/1-3Vjw2Cyy-mry5gbC8ypIR3YVGFfEpyFESummAta6sg/edit"", ""Sheet1!B:D""), 3, FALSE), ""Not Found"")"),"h æ s t ")</f>
        <v>h æ s t </v>
      </c>
    </row>
    <row r="2090">
      <c r="A2090" s="1" t="s">
        <v>2093</v>
      </c>
      <c r="B2090" s="1" t="s">
        <v>5</v>
      </c>
      <c r="C2090" s="2">
        <f>IFERROR(__xludf.DUMMYFUNCTION("IFERROR(VLOOKUP(A2090, IMPORTRANGE(""https://docs.google.com/spreadsheets/d/1AVX9GT0dgogEBStecCXMMQ29tWz3gBrtNB8yIromXbY/edit?gid=741673867"", ""out1g!A:B""), 2, FALSE), 0)"),55.0)</f>
        <v>55</v>
      </c>
      <c r="D2090" s="2" t="str">
        <f>IFERROR(__xludf.DUMMYFUNCTION("IFERROR(VLOOKUP(A2090, IMPORTRANGE(""https://docs.google.com/spreadsheets/d/1-3Vjw2Cyy-mry5gbC8ypIR3YVGFfEpyFESummAta6sg/edit"", ""Sheet1!B:D""), 2, FALSE), ""Not Found"")"),"koʊmd")</f>
        <v>koʊmd</v>
      </c>
      <c r="E2090" s="2" t="str">
        <f>IFERROR(__xludf.DUMMYFUNCTION("IFERROR(VLOOKUP(A2090, IMPORTRANGE(""https://docs.google.com/spreadsheets/d/1-3Vjw2Cyy-mry5gbC8ypIR3YVGFfEpyFESummAta6sg/edit"", ""Sheet1!B:D""), 3, FALSE), ""Not Found"")"),"k o ʊ m d ")</f>
        <v>k o ʊ m d </v>
      </c>
    </row>
    <row r="2091">
      <c r="A2091" s="1" t="s">
        <v>2094</v>
      </c>
      <c r="B2091" s="1" t="s">
        <v>5</v>
      </c>
      <c r="C2091" s="2">
        <f>IFERROR(__xludf.DUMMYFUNCTION("IFERROR(VLOOKUP(A2091, IMPORTRANGE(""https://docs.google.com/spreadsheets/d/1AVX9GT0dgogEBStecCXMMQ29tWz3gBrtNB8yIromXbY/edit?gid=741673867"", ""out1g!A:B""), 2, FALSE), 0)"),17536.0)</f>
        <v>17536</v>
      </c>
      <c r="D2091" s="2" t="str">
        <f>IFERROR(__xludf.DUMMYFUNCTION("IFERROR(VLOOKUP(A2091, IMPORTRANGE(""https://docs.google.com/spreadsheets/d/1-3Vjw2Cyy-mry5gbC8ypIR3YVGFfEpyFESummAta6sg/edit"", ""Sheet1!B:D""), 2, FALSE), ""Not Found"")"),"juz")</f>
        <v>juz</v>
      </c>
      <c r="E2091" s="2" t="str">
        <f>IFERROR(__xludf.DUMMYFUNCTION("IFERROR(VLOOKUP(A2091, IMPORTRANGE(""https://docs.google.com/spreadsheets/d/1-3Vjw2Cyy-mry5gbC8ypIR3YVGFfEpyFESummAta6sg/edit"", ""Sheet1!B:D""), 3, FALSE), ""Not Found"")"),"j u z ")</f>
        <v>j u z </v>
      </c>
    </row>
    <row r="2092">
      <c r="A2092" s="1" t="s">
        <v>2095</v>
      </c>
      <c r="B2092" s="1" t="s">
        <v>5</v>
      </c>
      <c r="C2092" s="2">
        <f>IFERROR(__xludf.DUMMYFUNCTION("IFERROR(VLOOKUP(A2092, IMPORTRANGE(""https://docs.google.com/spreadsheets/d/1AVX9GT0dgogEBStecCXMMQ29tWz3gBrtNB8yIromXbY/edit?gid=741673867"", ""out1g!A:B""), 2, FALSE), 0)"),50.0)</f>
        <v>50</v>
      </c>
      <c r="D2092" s="2" t="str">
        <f>IFERROR(__xludf.DUMMYFUNCTION("IFERROR(VLOOKUP(A2092, IMPORTRANGE(""https://docs.google.com/spreadsheets/d/1-3Vjw2Cyy-mry5gbC8ypIR3YVGFfEpyFESummAta6sg/edit"", ""Sheet1!B:D""), 2, FALSE), ""Not Found"")"),"glim")</f>
        <v>glim</v>
      </c>
      <c r="E2092" s="2" t="str">
        <f>IFERROR(__xludf.DUMMYFUNCTION("IFERROR(VLOOKUP(A2092, IMPORTRANGE(""https://docs.google.com/spreadsheets/d/1-3Vjw2Cyy-mry5gbC8ypIR3YVGFfEpyFESummAta6sg/edit"", ""Sheet1!B:D""), 3, FALSE), ""Not Found"")"),"g l i m ")</f>
        <v>g l i m </v>
      </c>
    </row>
    <row r="2093">
      <c r="A2093" s="1" t="s">
        <v>2096</v>
      </c>
      <c r="B2093" s="1" t="s">
        <v>5</v>
      </c>
      <c r="C2093" s="2">
        <f>IFERROR(__xludf.DUMMYFUNCTION("IFERROR(VLOOKUP(A2093, IMPORTRANGE(""https://docs.google.com/spreadsheets/d/1AVX9GT0dgogEBStecCXMMQ29tWz3gBrtNB8yIromXbY/edit?gid=741673867"", ""out1g!A:B""), 2, FALSE), 0)"),234.0)</f>
        <v>234</v>
      </c>
      <c r="D2093" s="2" t="str">
        <f>IFERROR(__xludf.DUMMYFUNCTION("IFERROR(VLOOKUP(A2093, IMPORTRANGE(""https://docs.google.com/spreadsheets/d/1-3Vjw2Cyy-mry5gbC8ypIR3YVGFfEpyFESummAta6sg/edit"", ""Sheet1!B:D""), 2, FALSE), ""Not Found"")"),"bəgɪŋ")</f>
        <v>bəgɪŋ</v>
      </c>
      <c r="E2093" s="2" t="str">
        <f>IFERROR(__xludf.DUMMYFUNCTION("IFERROR(VLOOKUP(A2093, IMPORTRANGE(""https://docs.google.com/spreadsheets/d/1-3Vjw2Cyy-mry5gbC8ypIR3YVGFfEpyFESummAta6sg/edit"", ""Sheet1!B:D""), 3, FALSE), ""Not Found"")"),"b ə g ɪ ŋ ")</f>
        <v>b ə g ɪ ŋ </v>
      </c>
    </row>
    <row r="2094">
      <c r="A2094" s="1" t="s">
        <v>2097</v>
      </c>
      <c r="B2094" s="1" t="s">
        <v>5</v>
      </c>
      <c r="C2094" s="2">
        <f>IFERROR(__xludf.DUMMYFUNCTION("IFERROR(VLOOKUP(A2094, IMPORTRANGE(""https://docs.google.com/spreadsheets/d/1AVX9GT0dgogEBStecCXMMQ29tWz3gBrtNB8yIromXbY/edit?gid=741673867"", ""out1g!A:B""), 2, FALSE), 0)"),693.0)</f>
        <v>693</v>
      </c>
      <c r="D2094" s="2" t="str">
        <f>IFERROR(__xludf.DUMMYFUNCTION("IFERROR(VLOOKUP(A2094, IMPORTRANGE(""https://docs.google.com/spreadsheets/d/1-3Vjw2Cyy-mry5gbC8ypIR3YVGFfEpyFESummAta6sg/edit"", ""Sheet1!B:D""), 2, FALSE), ""Not Found"")"),"lɛðər")</f>
        <v>lɛðər</v>
      </c>
      <c r="E2094" s="2" t="str">
        <f>IFERROR(__xludf.DUMMYFUNCTION("IFERROR(VLOOKUP(A2094, IMPORTRANGE(""https://docs.google.com/spreadsheets/d/1-3Vjw2Cyy-mry5gbC8ypIR3YVGFfEpyFESummAta6sg/edit"", ""Sheet1!B:D""), 3, FALSE), ""Not Found"")"),"l ɛ ð ə r ")</f>
        <v>l ɛ ð ə r </v>
      </c>
    </row>
    <row r="2095">
      <c r="A2095" s="1" t="s">
        <v>2098</v>
      </c>
      <c r="B2095" s="1" t="s">
        <v>5</v>
      </c>
      <c r="C2095" s="2">
        <f>IFERROR(__xludf.DUMMYFUNCTION("IFERROR(VLOOKUP(A2095, IMPORTRANGE(""https://docs.google.com/spreadsheets/d/1AVX9GT0dgogEBStecCXMMQ29tWz3gBrtNB8yIromXbY/edit?gid=741673867"", ""out1g!A:B""), 2, FALSE), 0)"),277.0)</f>
        <v>277</v>
      </c>
      <c r="D2095" s="2" t="str">
        <f>IFERROR(__xludf.DUMMYFUNCTION("IFERROR(VLOOKUP(A2095, IMPORTRANGE(""https://docs.google.com/spreadsheets/d/1-3Vjw2Cyy-mry5gbC8ypIR3YVGFfEpyFESummAta6sg/edit"", ""Sheet1!B:D""), 2, FALSE), ""Not Found"")"),"hi")</f>
        <v>hi</v>
      </c>
      <c r="E2095" s="2" t="str">
        <f>IFERROR(__xludf.DUMMYFUNCTION("IFERROR(VLOOKUP(A2095, IMPORTRANGE(""https://docs.google.com/spreadsheets/d/1-3Vjw2Cyy-mry5gbC8ypIR3YVGFfEpyFESummAta6sg/edit"", ""Sheet1!B:D""), 3, FALSE), ""Not Found"")"),"h i ")</f>
        <v>h i </v>
      </c>
    </row>
    <row r="2096">
      <c r="A2096" s="1" t="s">
        <v>2099</v>
      </c>
      <c r="B2096" s="1" t="s">
        <v>5</v>
      </c>
      <c r="C2096" s="2">
        <f>IFERROR(__xludf.DUMMYFUNCTION("IFERROR(VLOOKUP(A2096, IMPORTRANGE(""https://docs.google.com/spreadsheets/d/1AVX9GT0dgogEBStecCXMMQ29tWz3gBrtNB8yIromXbY/edit?gid=741673867"", ""out1g!A:B""), 2, FALSE), 0)"),3273.0)</f>
        <v>3273</v>
      </c>
      <c r="D2096" s="2" t="str">
        <f>IFERROR(__xludf.DUMMYFUNCTION("IFERROR(VLOOKUP(A2096, IMPORTRANGE(""https://docs.google.com/spreadsheets/d/1-3Vjw2Cyy-mry5gbC8ypIR3YVGFfEpyFESummAta6sg/edit"", ""Sheet1!B:D""), 2, FALSE), ""Not Found"")"),"hæt")</f>
        <v>hæt</v>
      </c>
      <c r="E2096" s="2" t="str">
        <f>IFERROR(__xludf.DUMMYFUNCTION("IFERROR(VLOOKUP(A2096, IMPORTRANGE(""https://docs.google.com/spreadsheets/d/1-3Vjw2Cyy-mry5gbC8ypIR3YVGFfEpyFESummAta6sg/edit"", ""Sheet1!B:D""), 3, FALSE), ""Not Found"")"),"h æ t ")</f>
        <v>h æ t </v>
      </c>
    </row>
    <row r="2097">
      <c r="A2097" s="1" t="s">
        <v>2100</v>
      </c>
      <c r="B2097" s="1" t="s">
        <v>5</v>
      </c>
      <c r="C2097" s="2">
        <f>IFERROR(__xludf.DUMMYFUNCTION("IFERROR(VLOOKUP(A2097, IMPORTRANGE(""https://docs.google.com/spreadsheets/d/1AVX9GT0dgogEBStecCXMMQ29tWz3gBrtNB8yIromXbY/edit?gid=741673867"", ""out1g!A:B""), 2, FALSE), 0)"),61.0)</f>
        <v>61</v>
      </c>
      <c r="D2097" s="2" t="str">
        <f>IFERROR(__xludf.DUMMYFUNCTION("IFERROR(VLOOKUP(A2097, IMPORTRANGE(""https://docs.google.com/spreadsheets/d/1-3Vjw2Cyy-mry5gbC8ypIR3YVGFfEpyFESummAta6sg/edit"", ""Sheet1!B:D""), 2, FALSE), ""Not Found"")"),"lərnər")</f>
        <v>lərnər</v>
      </c>
      <c r="E2097" s="2" t="str">
        <f>IFERROR(__xludf.DUMMYFUNCTION("IFERROR(VLOOKUP(A2097, IMPORTRANGE(""https://docs.google.com/spreadsheets/d/1-3Vjw2Cyy-mry5gbC8ypIR3YVGFfEpyFESummAta6sg/edit"", ""Sheet1!B:D""), 3, FALSE), ""Not Found"")"),"l ə r n ə r ")</f>
        <v>l ə r n ə r </v>
      </c>
    </row>
    <row r="2098">
      <c r="A2098" s="1" t="s">
        <v>2101</v>
      </c>
      <c r="B2098" s="1" t="s">
        <v>5</v>
      </c>
      <c r="C2098" s="2">
        <f>IFERROR(__xludf.DUMMYFUNCTION("IFERROR(VLOOKUP(A2098, IMPORTRANGE(""https://docs.google.com/spreadsheets/d/1AVX9GT0dgogEBStecCXMMQ29tWz3gBrtNB8yIromXbY/edit?gid=741673867"", ""out1g!A:B""), 2, FALSE), 0)"),1362.0)</f>
        <v>1362</v>
      </c>
      <c r="D2098" s="2" t="str">
        <f>IFERROR(__xludf.DUMMYFUNCTION("IFERROR(VLOOKUP(A2098, IMPORTRANGE(""https://docs.google.com/spreadsheets/d/1-3Vjw2Cyy-mry5gbC8ypIR3YVGFfEpyFESummAta6sg/edit"", ""Sheet1!B:D""), 2, FALSE), ""Not Found"")"),"əwek")</f>
        <v>əwek</v>
      </c>
      <c r="E2098" s="2" t="str">
        <f>IFERROR(__xludf.DUMMYFUNCTION("IFERROR(VLOOKUP(A2098, IMPORTRANGE(""https://docs.google.com/spreadsheets/d/1-3Vjw2Cyy-mry5gbC8ypIR3YVGFfEpyFESummAta6sg/edit"", ""Sheet1!B:D""), 3, FALSE), ""Not Found"")"),"ə w e k ")</f>
        <v>ə w e k </v>
      </c>
    </row>
    <row r="2099">
      <c r="A2099" s="1" t="s">
        <v>2102</v>
      </c>
      <c r="B2099" s="1" t="s">
        <v>5</v>
      </c>
      <c r="C2099" s="2">
        <f>IFERROR(__xludf.DUMMYFUNCTION("IFERROR(VLOOKUP(A2099, IMPORTRANGE(""https://docs.google.com/spreadsheets/d/1AVX9GT0dgogEBStecCXMMQ29tWz3gBrtNB8yIromXbY/edit?gid=741673867"", ""out1g!A:B""), 2, FALSE), 0)"),332.0)</f>
        <v>332</v>
      </c>
      <c r="D2099" s="2" t="str">
        <f>IFERROR(__xludf.DUMMYFUNCTION("IFERROR(VLOOKUP(A2099, IMPORTRANGE(""https://docs.google.com/spreadsheets/d/1-3Vjw2Cyy-mry5gbC8ypIR3YVGFfEpyFESummAta6sg/edit"", ""Sheet1!B:D""), 2, FALSE), ""Not Found"")"),"ven")</f>
        <v>ven</v>
      </c>
      <c r="E2099" s="2" t="str">
        <f>IFERROR(__xludf.DUMMYFUNCTION("IFERROR(VLOOKUP(A2099, IMPORTRANGE(""https://docs.google.com/spreadsheets/d/1-3Vjw2Cyy-mry5gbC8ypIR3YVGFfEpyFESummAta6sg/edit"", ""Sheet1!B:D""), 3, FALSE), ""Not Found"")"),"v e n ")</f>
        <v>v e n </v>
      </c>
    </row>
    <row r="2100">
      <c r="A2100" s="1" t="s">
        <v>2103</v>
      </c>
      <c r="B2100" s="1" t="s">
        <v>5</v>
      </c>
      <c r="C2100" s="2">
        <f>IFERROR(__xludf.DUMMYFUNCTION("IFERROR(VLOOKUP(A2100, IMPORTRANGE(""https://docs.google.com/spreadsheets/d/1AVX9GT0dgogEBStecCXMMQ29tWz3gBrtNB8yIromXbY/edit?gid=741673867"", ""out1g!A:B""), 2, FALSE), 0)"),53.0)</f>
        <v>53</v>
      </c>
      <c r="D2100" s="2" t="str">
        <f>IFERROR(__xludf.DUMMYFUNCTION("IFERROR(VLOOKUP(A2100, IMPORTRANGE(""https://docs.google.com/spreadsheets/d/1-3Vjw2Cyy-mry5gbC8ypIR3YVGFfEpyFESummAta6sg/edit"", ""Sheet1!B:D""), 2, FALSE), ""Not Found"")"),"brɪsk")</f>
        <v>brɪsk</v>
      </c>
      <c r="E2100" s="2" t="str">
        <f>IFERROR(__xludf.DUMMYFUNCTION("IFERROR(VLOOKUP(A2100, IMPORTRANGE(""https://docs.google.com/spreadsheets/d/1-3Vjw2Cyy-mry5gbC8ypIR3YVGFfEpyFESummAta6sg/edit"", ""Sheet1!B:D""), 3, FALSE), ""Not Found"")"),"b r ɪ s k ")</f>
        <v>b r ɪ s k </v>
      </c>
    </row>
    <row r="2101">
      <c r="A2101" s="1" t="s">
        <v>2104</v>
      </c>
      <c r="B2101" s="1" t="s">
        <v>5</v>
      </c>
      <c r="C2101" s="2">
        <f>IFERROR(__xludf.DUMMYFUNCTION("IFERROR(VLOOKUP(A2101, IMPORTRANGE(""https://docs.google.com/spreadsheets/d/1AVX9GT0dgogEBStecCXMMQ29tWz3gBrtNB8yIromXbY/edit?gid=741673867"", ""out1g!A:B""), 2, FALSE), 0)"),5514.0)</f>
        <v>5514</v>
      </c>
      <c r="D2101" s="2" t="str">
        <f>IFERROR(__xludf.DUMMYFUNCTION("IFERROR(VLOOKUP(A2101, IMPORTRANGE(""https://docs.google.com/spreadsheets/d/1-3Vjw2Cyy-mry5gbC8ypIR3YVGFfEpyFESummAta6sg/edit"", ""Sheet1!B:D""), 2, FALSE), ""Not Found"")"),"pæs")</f>
        <v>pæs</v>
      </c>
      <c r="E2101" s="2" t="str">
        <f>IFERROR(__xludf.DUMMYFUNCTION("IFERROR(VLOOKUP(A2101, IMPORTRANGE(""https://docs.google.com/spreadsheets/d/1-3Vjw2Cyy-mry5gbC8ypIR3YVGFfEpyFESummAta6sg/edit"", ""Sheet1!B:D""), 3, FALSE), ""Not Found"")"),"p æ s ")</f>
        <v>p æ s </v>
      </c>
    </row>
    <row r="2102">
      <c r="A2102" s="1" t="s">
        <v>2105</v>
      </c>
      <c r="B2102" s="1" t="s">
        <v>5</v>
      </c>
      <c r="C2102" s="2">
        <f>IFERROR(__xludf.DUMMYFUNCTION("IFERROR(VLOOKUP(A2102, IMPORTRANGE(""https://docs.google.com/spreadsheets/d/1AVX9GT0dgogEBStecCXMMQ29tWz3gBrtNB8yIromXbY/edit?gid=741673867"", ""out1g!A:B""), 2, FALSE), 0)"),640.0)</f>
        <v>640</v>
      </c>
      <c r="D2102" s="2" t="str">
        <f>IFERROR(__xludf.DUMMYFUNCTION("IFERROR(VLOOKUP(A2102, IMPORTRANGE(""https://docs.google.com/spreadsheets/d/1-3Vjw2Cyy-mry5gbC8ypIR3YVGFfEpyFESummAta6sg/edit"", ""Sheet1!B:D""), 2, FALSE), ""Not Found"")"),"sɑkər")</f>
        <v>sɑkər</v>
      </c>
      <c r="E2102" s="2" t="str">
        <f>IFERROR(__xludf.DUMMYFUNCTION("IFERROR(VLOOKUP(A2102, IMPORTRANGE(""https://docs.google.com/spreadsheets/d/1-3Vjw2Cyy-mry5gbC8ypIR3YVGFfEpyFESummAta6sg/edit"", ""Sheet1!B:D""), 3, FALSE), ""Not Found"")"),"s ɑ k ə r ")</f>
        <v>s ɑ k ə r </v>
      </c>
    </row>
    <row r="2103">
      <c r="A2103" s="1" t="s">
        <v>2106</v>
      </c>
      <c r="B2103" s="1" t="s">
        <v>5</v>
      </c>
      <c r="C2103" s="2">
        <f>IFERROR(__xludf.DUMMYFUNCTION("IFERROR(VLOOKUP(A2103, IMPORTRANGE(""https://docs.google.com/spreadsheets/d/1AVX9GT0dgogEBStecCXMMQ29tWz3gBrtNB8yIromXbY/edit?gid=741673867"", ""out1g!A:B""), 2, FALSE), 0)"),837.0)</f>
        <v>837</v>
      </c>
      <c r="D2103" s="2" t="str">
        <f>IFERROR(__xludf.DUMMYFUNCTION("IFERROR(VLOOKUP(A2103, IMPORTRANGE(""https://docs.google.com/spreadsheets/d/1-3Vjw2Cyy-mry5gbC8ypIR3YVGFfEpyFESummAta6sg/edit"", ""Sheet1!B:D""), 2, FALSE), ""Not Found"")"),"hɑn")</f>
        <v>hɑn</v>
      </c>
      <c r="E2103" s="2" t="str">
        <f>IFERROR(__xludf.DUMMYFUNCTION("IFERROR(VLOOKUP(A2103, IMPORTRANGE(""https://docs.google.com/spreadsheets/d/1-3Vjw2Cyy-mry5gbC8ypIR3YVGFfEpyFESummAta6sg/edit"", ""Sheet1!B:D""), 3, FALSE), ""Not Found"")"),"h ɑ n ")</f>
        <v>h ɑ n </v>
      </c>
    </row>
    <row r="2104">
      <c r="A2104" s="1" t="s">
        <v>2107</v>
      </c>
      <c r="B2104" s="1" t="s">
        <v>5</v>
      </c>
      <c r="C2104" s="2">
        <f>IFERROR(__xludf.DUMMYFUNCTION("IFERROR(VLOOKUP(A2104, IMPORTRANGE(""https://docs.google.com/spreadsheets/d/1AVX9GT0dgogEBStecCXMMQ29tWz3gBrtNB8yIromXbY/edit?gid=741673867"", ""out1g!A:B""), 2, FALSE), 0)"),57.0)</f>
        <v>57</v>
      </c>
      <c r="D2104" s="2" t="str">
        <f>IFERROR(__xludf.DUMMYFUNCTION("IFERROR(VLOOKUP(A2104, IMPORTRANGE(""https://docs.google.com/spreadsheets/d/1-3Vjw2Cyy-mry5gbC8ypIR3YVGFfEpyFESummAta6sg/edit"", ""Sheet1!B:D""), 2, FALSE), ""Not Found"")"),"oʊki")</f>
        <v>oʊki</v>
      </c>
      <c r="E2104" s="2" t="str">
        <f>IFERROR(__xludf.DUMMYFUNCTION("IFERROR(VLOOKUP(A2104, IMPORTRANGE(""https://docs.google.com/spreadsheets/d/1-3Vjw2Cyy-mry5gbC8ypIR3YVGFfEpyFESummAta6sg/edit"", ""Sheet1!B:D""), 3, FALSE), ""Not Found"")"),"o ʊ k i ")</f>
        <v>o ʊ k i </v>
      </c>
    </row>
    <row r="2105">
      <c r="A2105" s="1" t="s">
        <v>2108</v>
      </c>
      <c r="B2105" s="1" t="s">
        <v>5</v>
      </c>
      <c r="C2105" s="2">
        <f>IFERROR(__xludf.DUMMYFUNCTION("IFERROR(VLOOKUP(A2105, IMPORTRANGE(""https://docs.google.com/spreadsheets/d/1AVX9GT0dgogEBStecCXMMQ29tWz3gBrtNB8yIromXbY/edit?gid=741673867"", ""out1g!A:B""), 2, FALSE), 0)"),379.0)</f>
        <v>379</v>
      </c>
      <c r="D2105" s="2" t="str">
        <f>IFERROR(__xludf.DUMMYFUNCTION("IFERROR(VLOOKUP(A2105, IMPORTRANGE(""https://docs.google.com/spreadsheets/d/1-3Vjw2Cyy-mry5gbC8ypIR3YVGFfEpyFESummAta6sg/edit"", ""Sheet1!B:D""), 2, FALSE), ""Not Found"")"),"oʊl")</f>
        <v>oʊl</v>
      </c>
      <c r="E2105" s="2" t="str">
        <f>IFERROR(__xludf.DUMMYFUNCTION("IFERROR(VLOOKUP(A2105, IMPORTRANGE(""https://docs.google.com/spreadsheets/d/1-3Vjw2Cyy-mry5gbC8ypIR3YVGFfEpyFESummAta6sg/edit"", ""Sheet1!B:D""), 3, FALSE), ""Not Found"")"),"o ʊ l ")</f>
        <v>o ʊ l </v>
      </c>
    </row>
    <row r="2106">
      <c r="A2106" s="1" t="s">
        <v>2109</v>
      </c>
      <c r="B2106" s="1" t="s">
        <v>5</v>
      </c>
      <c r="C2106" s="2">
        <f>IFERROR(__xludf.DUMMYFUNCTION("IFERROR(VLOOKUP(A2106, IMPORTRANGE(""https://docs.google.com/spreadsheets/d/1AVX9GT0dgogEBStecCXMMQ29tWz3gBrtNB8yIromXbY/edit?gid=741673867"", ""out1g!A:B""), 2, FALSE), 0)"),92.0)</f>
        <v>92</v>
      </c>
      <c r="D2106" s="2" t="str">
        <f>IFERROR(__xludf.DUMMYFUNCTION("IFERROR(VLOOKUP(A2106, IMPORTRANGE(""https://docs.google.com/spreadsheets/d/1-3Vjw2Cyy-mry5gbC8ypIR3YVGFfEpyFESummAta6sg/edit"", ""Sheet1!B:D""), 2, FALSE), ""Not Found"")"),"kiloʊz")</f>
        <v>kiloʊz</v>
      </c>
      <c r="E2106" s="2" t="str">
        <f>IFERROR(__xludf.DUMMYFUNCTION("IFERROR(VLOOKUP(A2106, IMPORTRANGE(""https://docs.google.com/spreadsheets/d/1-3Vjw2Cyy-mry5gbC8ypIR3YVGFfEpyFESummAta6sg/edit"", ""Sheet1!B:D""), 3, FALSE), ""Not Found"")"),"k i l o ʊ z ")</f>
        <v>k i l o ʊ z </v>
      </c>
    </row>
    <row r="2107">
      <c r="A2107" s="1" t="s">
        <v>2110</v>
      </c>
      <c r="B2107" s="1" t="s">
        <v>5</v>
      </c>
      <c r="C2107" s="2">
        <f>IFERROR(__xludf.DUMMYFUNCTION("IFERROR(VLOOKUP(A2107, IMPORTRANGE(""https://docs.google.com/spreadsheets/d/1AVX9GT0dgogEBStecCXMMQ29tWz3gBrtNB8yIromXbY/edit?gid=741673867"", ""out1g!A:B""), 2, FALSE), 0)"),808.0)</f>
        <v>808</v>
      </c>
      <c r="D2107" s="2" t="str">
        <f>IFERROR(__xludf.DUMMYFUNCTION("IFERROR(VLOOKUP(A2107, IMPORTRANGE(""https://docs.google.com/spreadsheets/d/1-3Vjw2Cyy-mry5gbC8ypIR3YVGFfEpyFESummAta6sg/edit"", ""Sheet1!B:D""), 2, FALSE), ""Not Found"")"),"wɔkər")</f>
        <v>wɔkər</v>
      </c>
      <c r="E2107" s="2" t="str">
        <f>IFERROR(__xludf.DUMMYFUNCTION("IFERROR(VLOOKUP(A2107, IMPORTRANGE(""https://docs.google.com/spreadsheets/d/1-3Vjw2Cyy-mry5gbC8ypIR3YVGFfEpyFESummAta6sg/edit"", ""Sheet1!B:D""), 3, FALSE), ""Not Found"")"),"w ɔ k ə r ")</f>
        <v>w ɔ k ə r </v>
      </c>
    </row>
    <row r="2108">
      <c r="A2108" s="1" t="s">
        <v>2111</v>
      </c>
      <c r="B2108" s="1" t="s">
        <v>5</v>
      </c>
      <c r="C2108" s="2">
        <f>IFERROR(__xludf.DUMMYFUNCTION("IFERROR(VLOOKUP(A2108, IMPORTRANGE(""https://docs.google.com/spreadsheets/d/1AVX9GT0dgogEBStecCXMMQ29tWz3gBrtNB8yIromXbY/edit?gid=741673867"", ""out1g!A:B""), 2, FALSE), 0)"),55.0)</f>
        <v>55</v>
      </c>
      <c r="D2108" s="2" t="str">
        <f>IFERROR(__xludf.DUMMYFUNCTION("IFERROR(VLOOKUP(A2108, IMPORTRANGE(""https://docs.google.com/spreadsheets/d/1-3Vjw2Cyy-mry5gbC8ypIR3YVGFfEpyFESummAta6sg/edit"", ""Sheet1!B:D""), 2, FALSE), ""Not Found"")"),"tæt")</f>
        <v>tæt</v>
      </c>
      <c r="E2108" s="2" t="str">
        <f>IFERROR(__xludf.DUMMYFUNCTION("IFERROR(VLOOKUP(A2108, IMPORTRANGE(""https://docs.google.com/spreadsheets/d/1-3Vjw2Cyy-mry5gbC8ypIR3YVGFfEpyFESummAta6sg/edit"", ""Sheet1!B:D""), 3, FALSE), ""Not Found"")"),"t æ t ")</f>
        <v>t æ t </v>
      </c>
    </row>
    <row r="2109">
      <c r="A2109" s="1" t="s">
        <v>2112</v>
      </c>
      <c r="B2109" s="1" t="s">
        <v>5</v>
      </c>
      <c r="C2109" s="2">
        <f>IFERROR(__xludf.DUMMYFUNCTION("IFERROR(VLOOKUP(A2109, IMPORTRANGE(""https://docs.google.com/spreadsheets/d/1AVX9GT0dgogEBStecCXMMQ29tWz3gBrtNB8yIromXbY/edit?gid=741673867"", ""out1g!A:B""), 2, FALSE), 0)"),141.0)</f>
        <v>141</v>
      </c>
      <c r="D2109" s="2" t="str">
        <f>IFERROR(__xludf.DUMMYFUNCTION("IFERROR(VLOOKUP(A2109, IMPORTRANGE(""https://docs.google.com/spreadsheets/d/1-3Vjw2Cyy-mry5gbC8ypIR3YVGFfEpyFESummAta6sg/edit"", ""Sheet1!B:D""), 2, FALSE), ""Not Found"")"),"medz")</f>
        <v>medz</v>
      </c>
      <c r="E2109" s="2" t="str">
        <f>IFERROR(__xludf.DUMMYFUNCTION("IFERROR(VLOOKUP(A2109, IMPORTRANGE(""https://docs.google.com/spreadsheets/d/1-3Vjw2Cyy-mry5gbC8ypIR3YVGFfEpyFESummAta6sg/edit"", ""Sheet1!B:D""), 3, FALSE), ""Not Found"")"),"m e d z ")</f>
        <v>m e d z </v>
      </c>
    </row>
    <row r="2110">
      <c r="A2110" s="1" t="s">
        <v>2113</v>
      </c>
      <c r="B2110" s="1" t="s">
        <v>5</v>
      </c>
      <c r="C2110" s="2">
        <f>IFERROR(__xludf.DUMMYFUNCTION("IFERROR(VLOOKUP(A2110, IMPORTRANGE(""https://docs.google.com/spreadsheets/d/1AVX9GT0dgogEBStecCXMMQ29tWz3gBrtNB8yIromXbY/edit?gid=741673867"", ""out1g!A:B""), 2, FALSE), 0)"),106.0)</f>
        <v>106</v>
      </c>
      <c r="D2110" s="2" t="str">
        <f>IFERROR(__xludf.DUMMYFUNCTION("IFERROR(VLOOKUP(A2110, IMPORTRANGE(""https://docs.google.com/spreadsheets/d/1-3Vjw2Cyy-mry5gbC8ypIR3YVGFfEpyFESummAta6sg/edit"", ""Sheet1!B:D""), 2, FALSE), ""Not Found"")"),"ægi")</f>
        <v>ægi</v>
      </c>
      <c r="E2110" s="2" t="str">
        <f>IFERROR(__xludf.DUMMYFUNCTION("IFERROR(VLOOKUP(A2110, IMPORTRANGE(""https://docs.google.com/spreadsheets/d/1-3Vjw2Cyy-mry5gbC8ypIR3YVGFfEpyFESummAta6sg/edit"", ""Sheet1!B:D""), 3, FALSE), ""Not Found"")"),"æ g i ")</f>
        <v>æ g i </v>
      </c>
    </row>
    <row r="2111">
      <c r="A2111" s="1" t="s">
        <v>2114</v>
      </c>
      <c r="B2111" s="1" t="s">
        <v>5</v>
      </c>
      <c r="C2111" s="2">
        <f>IFERROR(__xludf.DUMMYFUNCTION("IFERROR(VLOOKUP(A2111, IMPORTRANGE(""https://docs.google.com/spreadsheets/d/1AVX9GT0dgogEBStecCXMMQ29tWz3gBrtNB8yIromXbY/edit?gid=741673867"", ""out1g!A:B""), 2, FALSE), 0)"),248.0)</f>
        <v>248</v>
      </c>
      <c r="D2111" s="2" t="str">
        <f>IFERROR(__xludf.DUMMYFUNCTION("IFERROR(VLOOKUP(A2111, IMPORTRANGE(""https://docs.google.com/spreadsheets/d/1-3Vjw2Cyy-mry5gbC8ypIR3YVGFfEpyFESummAta6sg/edit"", ""Sheet1!B:D""), 2, FALSE), ""Not Found"")"),"sud")</f>
        <v>sud</v>
      </c>
      <c r="E2111" s="2" t="str">
        <f>IFERROR(__xludf.DUMMYFUNCTION("IFERROR(VLOOKUP(A2111, IMPORTRANGE(""https://docs.google.com/spreadsheets/d/1-3Vjw2Cyy-mry5gbC8ypIR3YVGFfEpyFESummAta6sg/edit"", ""Sheet1!B:D""), 3, FALSE), ""Not Found"")"),"s u d ")</f>
        <v>s u d </v>
      </c>
    </row>
    <row r="2112">
      <c r="A2112" s="1" t="s">
        <v>2115</v>
      </c>
      <c r="B2112" s="1" t="s">
        <v>5</v>
      </c>
      <c r="C2112" s="2">
        <f>IFERROR(__xludf.DUMMYFUNCTION("IFERROR(VLOOKUP(A2112, IMPORTRANGE(""https://docs.google.com/spreadsheets/d/1AVX9GT0dgogEBStecCXMMQ29tWz3gBrtNB8yIromXbY/edit?gid=741673867"", ""out1g!A:B""), 2, FALSE), 0)"),542.0)</f>
        <v>542</v>
      </c>
      <c r="D2112" s="2" t="str">
        <f>IFERROR(__xludf.DUMMYFUNCTION("IFERROR(VLOOKUP(A2112, IMPORTRANGE(""https://docs.google.com/spreadsheets/d/1-3Vjw2Cyy-mry5gbC8ypIR3YVGFfEpyFESummAta6sg/edit"", ""Sheet1!B:D""), 2, FALSE), ""Not Found"")"),"drɔn")</f>
        <v>drɔn</v>
      </c>
      <c r="E2112" s="2" t="str">
        <f>IFERROR(__xludf.DUMMYFUNCTION("IFERROR(VLOOKUP(A2112, IMPORTRANGE(""https://docs.google.com/spreadsheets/d/1-3Vjw2Cyy-mry5gbC8ypIR3YVGFfEpyFESummAta6sg/edit"", ""Sheet1!B:D""), 3, FALSE), ""Not Found"")"),"d r ɔ n ")</f>
        <v>d r ɔ n </v>
      </c>
    </row>
    <row r="2113">
      <c r="A2113" s="1" t="s">
        <v>2116</v>
      </c>
      <c r="B2113" s="1" t="s">
        <v>5</v>
      </c>
      <c r="C2113" s="2">
        <f>IFERROR(__xludf.DUMMYFUNCTION("IFERROR(VLOOKUP(A2113, IMPORTRANGE(""https://docs.google.com/spreadsheets/d/1AVX9GT0dgogEBStecCXMMQ29tWz3gBrtNB8yIromXbY/edit?gid=741673867"", ""out1g!A:B""), 2, FALSE), 0)"),119.0)</f>
        <v>119</v>
      </c>
      <c r="D2113" s="2" t="str">
        <f>IFERROR(__xludf.DUMMYFUNCTION("IFERROR(VLOOKUP(A2113, IMPORTRANGE(""https://docs.google.com/spreadsheets/d/1-3Vjw2Cyy-mry5gbC8ypIR3YVGFfEpyFESummAta6sg/edit"", ""Sheet1!B:D""), 2, FALSE), ""Not Found"")"),"haɪ")</f>
        <v>haɪ</v>
      </c>
      <c r="E2113" s="2" t="str">
        <f>IFERROR(__xludf.DUMMYFUNCTION("IFERROR(VLOOKUP(A2113, IMPORTRANGE(""https://docs.google.com/spreadsheets/d/1-3Vjw2Cyy-mry5gbC8ypIR3YVGFfEpyFESummAta6sg/edit"", ""Sheet1!B:D""), 3, FALSE), ""Not Found"")"),"h a ɪ ")</f>
        <v>h a ɪ </v>
      </c>
    </row>
    <row r="2114">
      <c r="A2114" s="1" t="s">
        <v>2117</v>
      </c>
      <c r="B2114" s="1" t="s">
        <v>5</v>
      </c>
      <c r="C2114" s="2">
        <f>IFERROR(__xludf.DUMMYFUNCTION("IFERROR(VLOOKUP(A2114, IMPORTRANGE(""https://docs.google.com/spreadsheets/d/1AVX9GT0dgogEBStecCXMMQ29tWz3gBrtNB8yIromXbY/edit?gid=741673867"", ""out1g!A:B""), 2, FALSE), 0)"),6532.0)</f>
        <v>6532</v>
      </c>
      <c r="D2114" s="2" t="str">
        <f>IFERROR(__xludf.DUMMYFUNCTION("IFERROR(VLOOKUP(A2114, IMPORTRANGE(""https://docs.google.com/spreadsheets/d/1-3Vjw2Cyy-mry5gbC8ypIR3YVGFfEpyFESummAta6sg/edit"", ""Sheet1!B:D""), 2, FALSE), ""Not Found"")"),"ʤoʊ")</f>
        <v>ʤoʊ</v>
      </c>
      <c r="E2114" s="2" t="str">
        <f>IFERROR(__xludf.DUMMYFUNCTION("IFERROR(VLOOKUP(A2114, IMPORTRANGE(""https://docs.google.com/spreadsheets/d/1-3Vjw2Cyy-mry5gbC8ypIR3YVGFfEpyFESummAta6sg/edit"", ""Sheet1!B:D""), 3, FALSE), ""Not Found"")"),"ʤ o ʊ ")</f>
        <v>ʤ o ʊ </v>
      </c>
    </row>
    <row r="2115">
      <c r="A2115" s="1" t="s">
        <v>2118</v>
      </c>
      <c r="B2115" s="1" t="s">
        <v>5</v>
      </c>
      <c r="C2115" s="2">
        <f>IFERROR(__xludf.DUMMYFUNCTION("IFERROR(VLOOKUP(A2115, IMPORTRANGE(""https://docs.google.com/spreadsheets/d/1AVX9GT0dgogEBStecCXMMQ29tWz3gBrtNB8yIromXbY/edit?gid=741673867"", ""out1g!A:B""), 2, FALSE), 0)"),11.0)</f>
        <v>11</v>
      </c>
      <c r="D2115" s="2" t="str">
        <f>IFERROR(__xludf.DUMMYFUNCTION("IFERROR(VLOOKUP(A2115, IMPORTRANGE(""https://docs.google.com/spreadsheets/d/1-3Vjw2Cyy-mry5gbC8ypIR3YVGFfEpyFESummAta6sg/edit"", ""Sheet1!B:D""), 2, FALSE), ""Not Found"")"),"ɑrəz")</f>
        <v>ɑrəz</v>
      </c>
      <c r="E2115" s="2" t="str">
        <f>IFERROR(__xludf.DUMMYFUNCTION("IFERROR(VLOOKUP(A2115, IMPORTRANGE(""https://docs.google.com/spreadsheets/d/1-3Vjw2Cyy-mry5gbC8ypIR3YVGFfEpyFESummAta6sg/edit"", ""Sheet1!B:D""), 3, FALSE), ""Not Found"")"),"ɑ r ə z ")</f>
        <v>ɑ r ə z </v>
      </c>
    </row>
    <row r="2116">
      <c r="A2116" s="1" t="s">
        <v>2119</v>
      </c>
      <c r="B2116" s="1" t="s">
        <v>5</v>
      </c>
      <c r="C2116" s="2">
        <f>IFERROR(__xludf.DUMMYFUNCTION("IFERROR(VLOOKUP(A2116, IMPORTRANGE(""https://docs.google.com/spreadsheets/d/1AVX9GT0dgogEBStecCXMMQ29tWz3gBrtNB8yIromXbY/edit?gid=741673867"", ""out1g!A:B""), 2, FALSE), 0)"),285.0)</f>
        <v>285</v>
      </c>
      <c r="D2116" s="2" t="str">
        <f>IFERROR(__xludf.DUMMYFUNCTION("IFERROR(VLOOKUP(A2116, IMPORTRANGE(""https://docs.google.com/spreadsheets/d/1-3Vjw2Cyy-mry5gbC8ypIR3YVGFfEpyFESummAta6sg/edit"", ""Sheet1!B:D""), 2, FALSE), ""Not Found"")"),"pup")</f>
        <v>pup</v>
      </c>
      <c r="E2116" s="2" t="str">
        <f>IFERROR(__xludf.DUMMYFUNCTION("IFERROR(VLOOKUP(A2116, IMPORTRANGE(""https://docs.google.com/spreadsheets/d/1-3Vjw2Cyy-mry5gbC8ypIR3YVGFfEpyFESummAta6sg/edit"", ""Sheet1!B:D""), 3, FALSE), ""Not Found"")"),"p u p ")</f>
        <v>p u p </v>
      </c>
    </row>
    <row r="2117">
      <c r="A2117" s="1" t="s">
        <v>2120</v>
      </c>
      <c r="B2117" s="1" t="s">
        <v>5</v>
      </c>
      <c r="C2117" s="2">
        <f>IFERROR(__xludf.DUMMYFUNCTION("IFERROR(VLOOKUP(A2117, IMPORTRANGE(""https://docs.google.com/spreadsheets/d/1AVX9GT0dgogEBStecCXMMQ29tWz3gBrtNB8yIromXbY/edit?gid=741673867"", ""out1g!A:B""), 2, FALSE), 0)"),231.0)</f>
        <v>231</v>
      </c>
      <c r="D2117" s="2" t="str">
        <f>IFERROR(__xludf.DUMMYFUNCTION("IFERROR(VLOOKUP(A2117, IMPORTRANGE(""https://docs.google.com/spreadsheets/d/1-3Vjw2Cyy-mry5gbC8ypIR3YVGFfEpyFESummAta6sg/edit"", ""Sheet1!B:D""), 2, FALSE), ""Not Found"")"),"ʤæspər")</f>
        <v>ʤæspər</v>
      </c>
      <c r="E2117" s="2" t="str">
        <f>IFERROR(__xludf.DUMMYFUNCTION("IFERROR(VLOOKUP(A2117, IMPORTRANGE(""https://docs.google.com/spreadsheets/d/1-3Vjw2Cyy-mry5gbC8ypIR3YVGFfEpyFESummAta6sg/edit"", ""Sheet1!B:D""), 3, FALSE), ""Not Found"")"),"ʤ æ s p ə r ")</f>
        <v>ʤ æ s p ə r </v>
      </c>
    </row>
    <row r="2118">
      <c r="A2118" s="1" t="s">
        <v>2121</v>
      </c>
      <c r="B2118" s="1" t="s">
        <v>5</v>
      </c>
      <c r="C2118" s="2">
        <f>IFERROR(__xludf.DUMMYFUNCTION("IFERROR(VLOOKUP(A2118, IMPORTRANGE(""https://docs.google.com/spreadsheets/d/1AVX9GT0dgogEBStecCXMMQ29tWz3gBrtNB8yIromXbY/edit?gid=741673867"", ""out1g!A:B""), 2, FALSE), 0)"),293.0)</f>
        <v>293</v>
      </c>
      <c r="D2118" s="2" t="str">
        <f>IFERROR(__xludf.DUMMYFUNCTION("IFERROR(VLOOKUP(A2118, IMPORTRANGE(""https://docs.google.com/spreadsheets/d/1-3Vjw2Cyy-mry5gbC8ypIR3YVGFfEpyFESummAta6sg/edit"", ""Sheet1!B:D""), 2, FALSE), ""Not Found"")"),"hʊre")</f>
        <v>hʊre</v>
      </c>
      <c r="E2118" s="2" t="str">
        <f>IFERROR(__xludf.DUMMYFUNCTION("IFERROR(VLOOKUP(A2118, IMPORTRANGE(""https://docs.google.com/spreadsheets/d/1-3Vjw2Cyy-mry5gbC8ypIR3YVGFfEpyFESummAta6sg/edit"", ""Sheet1!B:D""), 3, FALSE), ""Not Found"")"),"h ʊ r e ")</f>
        <v>h ʊ r e </v>
      </c>
    </row>
    <row r="2119">
      <c r="A2119" s="1" t="s">
        <v>2122</v>
      </c>
      <c r="B2119" s="1" t="s">
        <v>5</v>
      </c>
      <c r="C2119" s="2">
        <f>IFERROR(__xludf.DUMMYFUNCTION("IFERROR(VLOOKUP(A2119, IMPORTRANGE(""https://docs.google.com/spreadsheets/d/1AVX9GT0dgogEBStecCXMMQ29tWz3gBrtNB8yIromXbY/edit?gid=741673867"", ""out1g!A:B""), 2, FALSE), 0)"),219.0)</f>
        <v>219</v>
      </c>
      <c r="D2119" s="2" t="str">
        <f>IFERROR(__xludf.DUMMYFUNCTION("IFERROR(VLOOKUP(A2119, IMPORTRANGE(""https://docs.google.com/spreadsheets/d/1-3Vjw2Cyy-mry5gbC8ypIR3YVGFfEpyFESummAta6sg/edit"", ""Sheet1!B:D""), 2, FALSE), ""Not Found"")"),"ʤusi")</f>
        <v>ʤusi</v>
      </c>
      <c r="E2119" s="2" t="str">
        <f>IFERROR(__xludf.DUMMYFUNCTION("IFERROR(VLOOKUP(A2119, IMPORTRANGE(""https://docs.google.com/spreadsheets/d/1-3Vjw2Cyy-mry5gbC8ypIR3YVGFfEpyFESummAta6sg/edit"", ""Sheet1!B:D""), 3, FALSE), ""Not Found"")"),"ʤ u s i ")</f>
        <v>ʤ u s i </v>
      </c>
    </row>
    <row r="2120">
      <c r="A2120" s="1" t="s">
        <v>2123</v>
      </c>
      <c r="B2120" s="1" t="s">
        <v>5</v>
      </c>
      <c r="C2120" s="2">
        <f>IFERROR(__xludf.DUMMYFUNCTION("IFERROR(VLOOKUP(A2120, IMPORTRANGE(""https://docs.google.com/spreadsheets/d/1AVX9GT0dgogEBStecCXMMQ29tWz3gBrtNB8yIromXbY/edit?gid=741673867"", ""out1g!A:B""), 2, FALSE), 0)"),573.0)</f>
        <v>573</v>
      </c>
      <c r="D2120" s="2" t="str">
        <f>IFERROR(__xludf.DUMMYFUNCTION("IFERROR(VLOOKUP(A2120, IMPORTRANGE(""https://docs.google.com/spreadsheets/d/1-3Vjw2Cyy-mry5gbC8ypIR3YVGFfEpyFESummAta6sg/edit"", ""Sheet1!B:D""), 2, FALSE), ""Not Found"")"),"krip")</f>
        <v>krip</v>
      </c>
      <c r="E2120" s="2" t="str">
        <f>IFERROR(__xludf.DUMMYFUNCTION("IFERROR(VLOOKUP(A2120, IMPORTRANGE(""https://docs.google.com/spreadsheets/d/1-3Vjw2Cyy-mry5gbC8ypIR3YVGFfEpyFESummAta6sg/edit"", ""Sheet1!B:D""), 3, FALSE), ""Not Found"")"),"k r i p ")</f>
        <v>k r i p </v>
      </c>
    </row>
    <row r="2121">
      <c r="A2121" s="1" t="s">
        <v>2124</v>
      </c>
      <c r="B2121" s="1" t="s">
        <v>5</v>
      </c>
      <c r="C2121" s="2">
        <f>IFERROR(__xludf.DUMMYFUNCTION("IFERROR(VLOOKUP(A2121, IMPORTRANGE(""https://docs.google.com/spreadsheets/d/1AVX9GT0dgogEBStecCXMMQ29tWz3gBrtNB8yIromXbY/edit?gid=741673867"", ""out1g!A:B""), 2, FALSE), 0)"),64.0)</f>
        <v>64</v>
      </c>
      <c r="D2121" s="2" t="str">
        <f>IFERROR(__xludf.DUMMYFUNCTION("IFERROR(VLOOKUP(A2121, IMPORTRANGE(""https://docs.google.com/spreadsheets/d/1-3Vjw2Cyy-mry5gbC8ypIR3YVGFfEpyFESummAta6sg/edit"", ""Sheet1!B:D""), 2, FALSE), ""Not Found"")"),"bəkɪŋ")</f>
        <v>bəkɪŋ</v>
      </c>
      <c r="E2121" s="2" t="str">
        <f>IFERROR(__xludf.DUMMYFUNCTION("IFERROR(VLOOKUP(A2121, IMPORTRANGE(""https://docs.google.com/spreadsheets/d/1-3Vjw2Cyy-mry5gbC8ypIR3YVGFfEpyFESummAta6sg/edit"", ""Sheet1!B:D""), 3, FALSE), ""Not Found"")"),"b ə k ɪ ŋ ")</f>
        <v>b ə k ɪ ŋ </v>
      </c>
    </row>
    <row r="2122">
      <c r="A2122" s="1" t="s">
        <v>2125</v>
      </c>
      <c r="B2122" s="1" t="s">
        <v>5</v>
      </c>
      <c r="C2122" s="2">
        <f>IFERROR(__xludf.DUMMYFUNCTION("IFERROR(VLOOKUP(A2122, IMPORTRANGE(""https://docs.google.com/spreadsheets/d/1AVX9GT0dgogEBStecCXMMQ29tWz3gBrtNB8yIromXbY/edit?gid=741673867"", ""out1g!A:B""), 2, FALSE), 0)"),64.0)</f>
        <v>64</v>
      </c>
      <c r="D2122" s="2" t="str">
        <f>IFERROR(__xludf.DUMMYFUNCTION("IFERROR(VLOOKUP(A2122, IMPORTRANGE(""https://docs.google.com/spreadsheets/d/1-3Vjw2Cyy-mry5gbC8ypIR3YVGFfEpyFESummAta6sg/edit"", ""Sheet1!B:D""), 2, FALSE), ""Not Found"")"),"kedi")</f>
        <v>kedi</v>
      </c>
      <c r="E2122" s="2" t="str">
        <f>IFERROR(__xludf.DUMMYFUNCTION("IFERROR(VLOOKUP(A2122, IMPORTRANGE(""https://docs.google.com/spreadsheets/d/1-3Vjw2Cyy-mry5gbC8ypIR3YVGFfEpyFESummAta6sg/edit"", ""Sheet1!B:D""), 3, FALSE), ""Not Found"")"),"k e d i ")</f>
        <v>k e d i </v>
      </c>
    </row>
    <row r="2123">
      <c r="A2123" s="1" t="s">
        <v>2126</v>
      </c>
      <c r="B2123" s="1" t="s">
        <v>5</v>
      </c>
      <c r="C2123" s="2">
        <f>IFERROR(__xludf.DUMMYFUNCTION("IFERROR(VLOOKUP(A2123, IMPORTRANGE(""https://docs.google.com/spreadsheets/d/1AVX9GT0dgogEBStecCXMMQ29tWz3gBrtNB8yIromXbY/edit?gid=741673867"", ""out1g!A:B""), 2, FALSE), 0)"),72.0)</f>
        <v>72</v>
      </c>
      <c r="D2123" s="2" t="str">
        <f>IFERROR(__xludf.DUMMYFUNCTION("IFERROR(VLOOKUP(A2123, IMPORTRANGE(""https://docs.google.com/spreadsheets/d/1-3Vjw2Cyy-mry5gbC8ypIR3YVGFfEpyFESummAta6sg/edit"", ""Sheet1!B:D""), 2, FALSE), ""Not Found"")"),"belɪŋ")</f>
        <v>belɪŋ</v>
      </c>
      <c r="E2123" s="2" t="str">
        <f>IFERROR(__xludf.DUMMYFUNCTION("IFERROR(VLOOKUP(A2123, IMPORTRANGE(""https://docs.google.com/spreadsheets/d/1-3Vjw2Cyy-mry5gbC8ypIR3YVGFfEpyFESummAta6sg/edit"", ""Sheet1!B:D""), 3, FALSE), ""Not Found"")"),"b e l ɪ ŋ ")</f>
        <v>b e l ɪ ŋ </v>
      </c>
    </row>
    <row r="2124">
      <c r="A2124" s="1" t="s">
        <v>2127</v>
      </c>
      <c r="B2124" s="1" t="s">
        <v>5</v>
      </c>
      <c r="C2124" s="2">
        <f>IFERROR(__xludf.DUMMYFUNCTION("IFERROR(VLOOKUP(A2124, IMPORTRANGE(""https://docs.google.com/spreadsheets/d/1AVX9GT0dgogEBStecCXMMQ29tWz3gBrtNB8yIromXbY/edit?gid=741673867"", ""out1g!A:B""), 2, FALSE), 0)"),1026.0)</f>
        <v>1026</v>
      </c>
      <c r="D2124" s="2" t="str">
        <f>IFERROR(__xludf.DUMMYFUNCTION("IFERROR(VLOOKUP(A2124, IMPORTRANGE(""https://docs.google.com/spreadsheets/d/1-3Vjw2Cyy-mry5gbC8ypIR3YVGFfEpyFESummAta6sg/edit"", ""Sheet1!B:D""), 2, FALSE), ""Not Found"")"),"zoʊn")</f>
        <v>zoʊn</v>
      </c>
      <c r="E2124" s="2" t="str">
        <f>IFERROR(__xludf.DUMMYFUNCTION("IFERROR(VLOOKUP(A2124, IMPORTRANGE(""https://docs.google.com/spreadsheets/d/1-3Vjw2Cyy-mry5gbC8ypIR3YVGFfEpyFESummAta6sg/edit"", ""Sheet1!B:D""), 3, FALSE), ""Not Found"")"),"z o ʊ n ")</f>
        <v>z o ʊ n </v>
      </c>
    </row>
    <row r="2125">
      <c r="A2125" s="1" t="s">
        <v>2128</v>
      </c>
      <c r="B2125" s="1" t="s">
        <v>5</v>
      </c>
      <c r="C2125" s="2">
        <f>IFERROR(__xludf.DUMMYFUNCTION("IFERROR(VLOOKUP(A2125, IMPORTRANGE(""https://docs.google.com/spreadsheets/d/1AVX9GT0dgogEBStecCXMMQ29tWz3gBrtNB8yIromXbY/edit?gid=741673867"", ""out1g!A:B""), 2, FALSE), 0)"),44.0)</f>
        <v>44</v>
      </c>
      <c r="D2125" s="2" t="str">
        <f>IFERROR(__xludf.DUMMYFUNCTION("IFERROR(VLOOKUP(A2125, IMPORTRANGE(""https://docs.google.com/spreadsheets/d/1-3Vjw2Cyy-mry5gbC8ypIR3YVGFfEpyFESummAta6sg/edit"", ""Sheet1!B:D""), 2, FALSE), ""Not Found"")"),"rumi")</f>
        <v>rumi</v>
      </c>
      <c r="E2125" s="2" t="str">
        <f>IFERROR(__xludf.DUMMYFUNCTION("IFERROR(VLOOKUP(A2125, IMPORTRANGE(""https://docs.google.com/spreadsheets/d/1-3Vjw2Cyy-mry5gbC8ypIR3YVGFfEpyFESummAta6sg/edit"", ""Sheet1!B:D""), 3, FALSE), ""Not Found"")"),"r u m i ")</f>
        <v>r u m i </v>
      </c>
    </row>
    <row r="2126">
      <c r="A2126" s="1" t="s">
        <v>2129</v>
      </c>
      <c r="B2126" s="1" t="s">
        <v>5</v>
      </c>
      <c r="C2126" s="2">
        <f>IFERROR(__xludf.DUMMYFUNCTION("IFERROR(VLOOKUP(A2126, IMPORTRANGE(""https://docs.google.com/spreadsheets/d/1AVX9GT0dgogEBStecCXMMQ29tWz3gBrtNB8yIromXbY/edit?gid=741673867"", ""out1g!A:B""), 2, FALSE), 0)"),249.0)</f>
        <v>249</v>
      </c>
      <c r="D2126" s="2" t="str">
        <f>IFERROR(__xludf.DUMMYFUNCTION("IFERROR(VLOOKUP(A2126, IMPORTRANGE(""https://docs.google.com/spreadsheets/d/1-3Vjw2Cyy-mry5gbC8ypIR3YVGFfEpyFESummAta6sg/edit"", ""Sheet1!B:D""), 2, FALSE), ""Not Found"")"),"sɛtərə")</f>
        <v>sɛtərə</v>
      </c>
      <c r="E2126" s="2" t="str">
        <f>IFERROR(__xludf.DUMMYFUNCTION("IFERROR(VLOOKUP(A2126, IMPORTRANGE(""https://docs.google.com/spreadsheets/d/1-3Vjw2Cyy-mry5gbC8ypIR3YVGFfEpyFESummAta6sg/edit"", ""Sheet1!B:D""), 3, FALSE), ""Not Found"")"),"s ɛ t ə r ə ")</f>
        <v>s ɛ t ə r ə </v>
      </c>
    </row>
    <row r="2127">
      <c r="A2127" s="1" t="s">
        <v>2130</v>
      </c>
      <c r="B2127" s="1" t="s">
        <v>5</v>
      </c>
      <c r="C2127" s="2">
        <f>IFERROR(__xludf.DUMMYFUNCTION("IFERROR(VLOOKUP(A2127, IMPORTRANGE(""https://docs.google.com/spreadsheets/d/1AVX9GT0dgogEBStecCXMMQ29tWz3gBrtNB8yIromXbY/edit?gid=741673867"", ""out1g!A:B""), 2, FALSE), 0)"),82.0)</f>
        <v>82</v>
      </c>
      <c r="D2127" s="2" t="str">
        <f>IFERROR(__xludf.DUMMYFUNCTION("IFERROR(VLOOKUP(A2127, IMPORTRANGE(""https://docs.google.com/spreadsheets/d/1-3Vjw2Cyy-mry5gbC8ypIR3YVGFfEpyFESummAta6sg/edit"", ""Sheet1!B:D""), 2, FALSE), ""Not Found"")"),"tekaʊt")</f>
        <v>tekaʊt</v>
      </c>
      <c r="E2127" s="2" t="str">
        <f>IFERROR(__xludf.DUMMYFUNCTION("IFERROR(VLOOKUP(A2127, IMPORTRANGE(""https://docs.google.com/spreadsheets/d/1-3Vjw2Cyy-mry5gbC8ypIR3YVGFfEpyFESummAta6sg/edit"", ""Sheet1!B:D""), 3, FALSE), ""Not Found"")"),"t e k a ʊ t ")</f>
        <v>t e k a ʊ t </v>
      </c>
    </row>
    <row r="2128">
      <c r="A2128" s="1" t="s">
        <v>2131</v>
      </c>
      <c r="B2128" s="1" t="s">
        <v>5</v>
      </c>
      <c r="C2128" s="2">
        <f>IFERROR(__xludf.DUMMYFUNCTION("IFERROR(VLOOKUP(A2128, IMPORTRANGE(""https://docs.google.com/spreadsheets/d/1AVX9GT0dgogEBStecCXMMQ29tWz3gBrtNB8yIromXbY/edit?gid=741673867"", ""out1g!A:B""), 2, FALSE), 0)"),3503.0)</f>
        <v>3503</v>
      </c>
      <c r="D2128" s="2" t="str">
        <f>IFERROR(__xludf.DUMMYFUNCTION("IFERROR(VLOOKUP(A2128, IMPORTRANGE(""https://docs.google.com/spreadsheets/d/1-3Vjw2Cyy-mry5gbC8ypIR3YVGFfEpyFESummAta6sg/edit"", ""Sheet1!B:D""), 2, FALSE), ""Not Found"")"),"toʊni")</f>
        <v>toʊni</v>
      </c>
      <c r="E2128" s="2" t="str">
        <f>IFERROR(__xludf.DUMMYFUNCTION("IFERROR(VLOOKUP(A2128, IMPORTRANGE(""https://docs.google.com/spreadsheets/d/1-3Vjw2Cyy-mry5gbC8ypIR3YVGFfEpyFESummAta6sg/edit"", ""Sheet1!B:D""), 3, FALSE), ""Not Found"")"),"t o ʊ n i ")</f>
        <v>t o ʊ n i </v>
      </c>
    </row>
    <row r="2129">
      <c r="A2129" s="1" t="s">
        <v>2132</v>
      </c>
      <c r="B2129" s="1" t="s">
        <v>5</v>
      </c>
      <c r="C2129" s="2">
        <f>IFERROR(__xludf.DUMMYFUNCTION("IFERROR(VLOOKUP(A2129, IMPORTRANGE(""https://docs.google.com/spreadsheets/d/1AVX9GT0dgogEBStecCXMMQ29tWz3gBrtNB8yIromXbY/edit?gid=741673867"", ""out1g!A:B""), 2, FALSE), 0)"),121.0)</f>
        <v>121</v>
      </c>
      <c r="D2129" s="2" t="str">
        <f>IFERROR(__xludf.DUMMYFUNCTION("IFERROR(VLOOKUP(A2129, IMPORTRANGE(""https://docs.google.com/spreadsheets/d/1-3Vjw2Cyy-mry5gbC8ypIR3YVGFfEpyFESummAta6sg/edit"", ""Sheet1!B:D""), 2, FALSE), ""Not Found"")"),"pʊʃi")</f>
        <v>pʊʃi</v>
      </c>
      <c r="E2129" s="2" t="str">
        <f>IFERROR(__xludf.DUMMYFUNCTION("IFERROR(VLOOKUP(A2129, IMPORTRANGE(""https://docs.google.com/spreadsheets/d/1-3Vjw2Cyy-mry5gbC8ypIR3YVGFfEpyFESummAta6sg/edit"", ""Sheet1!B:D""), 3, FALSE), ""Not Found"")"),"p ʊ ʃ i ")</f>
        <v>p ʊ ʃ i </v>
      </c>
    </row>
    <row r="2130">
      <c r="A2130" s="1" t="s">
        <v>2133</v>
      </c>
      <c r="B2130" s="1" t="s">
        <v>5</v>
      </c>
      <c r="C2130" s="2">
        <f>IFERROR(__xludf.DUMMYFUNCTION("IFERROR(VLOOKUP(A2130, IMPORTRANGE(""https://docs.google.com/spreadsheets/d/1AVX9GT0dgogEBStecCXMMQ29tWz3gBrtNB8yIromXbY/edit?gid=741673867"", ""out1g!A:B""), 2, FALSE), 0)"),1248.0)</f>
        <v>1248</v>
      </c>
      <c r="D2130" s="2" t="str">
        <f>IFERROR(__xludf.DUMMYFUNCTION("IFERROR(VLOOKUP(A2130, IMPORTRANGE(""https://docs.google.com/spreadsheets/d/1-3Vjw2Cyy-mry5gbC8ypIR3YVGFfEpyFESummAta6sg/edit"", ""Sheet1!B:D""), 2, FALSE), ""Not Found"")"),"gɛri")</f>
        <v>gɛri</v>
      </c>
      <c r="E2130" s="2" t="str">
        <f>IFERROR(__xludf.DUMMYFUNCTION("IFERROR(VLOOKUP(A2130, IMPORTRANGE(""https://docs.google.com/spreadsheets/d/1-3Vjw2Cyy-mry5gbC8ypIR3YVGFfEpyFESummAta6sg/edit"", ""Sheet1!B:D""), 3, FALSE), ""Not Found"")"),"g ɛ r i ")</f>
        <v>g ɛ r i </v>
      </c>
    </row>
    <row r="2131">
      <c r="A2131" s="1" t="s">
        <v>2134</v>
      </c>
      <c r="B2131" s="1" t="s">
        <v>5</v>
      </c>
      <c r="C2131" s="2">
        <f>IFERROR(__xludf.DUMMYFUNCTION("IFERROR(VLOOKUP(A2131, IMPORTRANGE(""https://docs.google.com/spreadsheets/d/1AVX9GT0dgogEBStecCXMMQ29tWz3gBrtNB8yIromXbY/edit?gid=741673867"", ""out1g!A:B""), 2, FALSE), 0)"),277.0)</f>
        <v>277</v>
      </c>
      <c r="D2131" s="2" t="str">
        <f>IFERROR(__xludf.DUMMYFUNCTION("IFERROR(VLOOKUP(A2131, IMPORTRANGE(""https://docs.google.com/spreadsheets/d/1-3Vjw2Cyy-mry5gbC8ypIR3YVGFfEpyFESummAta6sg/edit"", ""Sheet1!B:D""), 2, FALSE), ""Not Found"")"),"ʧɑps")</f>
        <v>ʧɑps</v>
      </c>
      <c r="E2131" s="2" t="str">
        <f>IFERROR(__xludf.DUMMYFUNCTION("IFERROR(VLOOKUP(A2131, IMPORTRANGE(""https://docs.google.com/spreadsheets/d/1-3Vjw2Cyy-mry5gbC8ypIR3YVGFfEpyFESummAta6sg/edit"", ""Sheet1!B:D""), 3, FALSE), ""Not Found"")"),"ʧ ɑ p s ")</f>
        <v>ʧ ɑ p s </v>
      </c>
    </row>
    <row r="2132">
      <c r="A2132" s="1" t="s">
        <v>2135</v>
      </c>
      <c r="B2132" s="1" t="s">
        <v>5</v>
      </c>
      <c r="C2132" s="2">
        <f>IFERROR(__xludf.DUMMYFUNCTION("IFERROR(VLOOKUP(A2132, IMPORTRANGE(""https://docs.google.com/spreadsheets/d/1AVX9GT0dgogEBStecCXMMQ29tWz3gBrtNB8yIromXbY/edit?gid=741673867"", ""out1g!A:B""), 2, FALSE), 0)"),234.0)</f>
        <v>234</v>
      </c>
      <c r="D2132" s="2" t="str">
        <f>IFERROR(__xludf.DUMMYFUNCTION("IFERROR(VLOOKUP(A2132, IMPORTRANGE(""https://docs.google.com/spreadsheets/d/1-3Vjw2Cyy-mry5gbC8ypIR3YVGFfEpyFESummAta6sg/edit"", ""Sheet1!B:D""), 2, FALSE), ""Not Found"")"),"bɪdɪŋ")</f>
        <v>bɪdɪŋ</v>
      </c>
      <c r="E2132" s="2" t="str">
        <f>IFERROR(__xludf.DUMMYFUNCTION("IFERROR(VLOOKUP(A2132, IMPORTRANGE(""https://docs.google.com/spreadsheets/d/1-3Vjw2Cyy-mry5gbC8ypIR3YVGFfEpyFESummAta6sg/edit"", ""Sheet1!B:D""), 3, FALSE), ""Not Found"")"),"b ɪ d ɪ ŋ ")</f>
        <v>b ɪ d ɪ ŋ </v>
      </c>
    </row>
    <row r="2133">
      <c r="A2133" s="1" t="s">
        <v>2136</v>
      </c>
      <c r="B2133" s="1" t="s">
        <v>5</v>
      </c>
      <c r="C2133" s="2">
        <f>IFERROR(__xludf.DUMMYFUNCTION("IFERROR(VLOOKUP(A2133, IMPORTRANGE(""https://docs.google.com/spreadsheets/d/1AVX9GT0dgogEBStecCXMMQ29tWz3gBrtNB8yIromXbY/edit?gid=741673867"", ""out1g!A:B""), 2, FALSE), 0)"),57.0)</f>
        <v>57</v>
      </c>
      <c r="D2133" s="2" t="str">
        <f>IFERROR(__xludf.DUMMYFUNCTION("IFERROR(VLOOKUP(A2133, IMPORTRANGE(""https://docs.google.com/spreadsheets/d/1-3Vjw2Cyy-mry5gbC8ypIR3YVGFfEpyFESummAta6sg/edit"", ""Sheet1!B:D""), 2, FALSE), ""Not Found"")"),"kriks")</f>
        <v>kriks</v>
      </c>
      <c r="E2133" s="2" t="str">
        <f>IFERROR(__xludf.DUMMYFUNCTION("IFERROR(VLOOKUP(A2133, IMPORTRANGE(""https://docs.google.com/spreadsheets/d/1-3Vjw2Cyy-mry5gbC8ypIR3YVGFfEpyFESummAta6sg/edit"", ""Sheet1!B:D""), 3, FALSE), ""Not Found"")"),"k r i k s ")</f>
        <v>k r i k s </v>
      </c>
    </row>
    <row r="2134">
      <c r="A2134" s="1" t="s">
        <v>2137</v>
      </c>
      <c r="B2134" s="1" t="s">
        <v>5</v>
      </c>
      <c r="C2134" s="2">
        <f>IFERROR(__xludf.DUMMYFUNCTION("IFERROR(VLOOKUP(A2134, IMPORTRANGE(""https://docs.google.com/spreadsheets/d/1AVX9GT0dgogEBStecCXMMQ29tWz3gBrtNB8yIromXbY/edit?gid=741673867"", ""out1g!A:B""), 2, FALSE), 0)"),382.0)</f>
        <v>382</v>
      </c>
      <c r="D2134" s="2" t="str">
        <f>IFERROR(__xludf.DUMMYFUNCTION("IFERROR(VLOOKUP(A2134, IMPORTRANGE(""https://docs.google.com/spreadsheets/d/1-3Vjw2Cyy-mry5gbC8ypIR3YVGFfEpyFESummAta6sg/edit"", ""Sheet1!B:D""), 2, FALSE), ""Not Found"")"),"ʤɑli")</f>
        <v>ʤɑli</v>
      </c>
      <c r="E2134" s="2" t="str">
        <f>IFERROR(__xludf.DUMMYFUNCTION("IFERROR(VLOOKUP(A2134, IMPORTRANGE(""https://docs.google.com/spreadsheets/d/1-3Vjw2Cyy-mry5gbC8ypIR3YVGFfEpyFESummAta6sg/edit"", ""Sheet1!B:D""), 3, FALSE), ""Not Found"")"),"ʤ ɑ l i ")</f>
        <v>ʤ ɑ l i </v>
      </c>
    </row>
    <row r="2135">
      <c r="A2135" s="1" t="s">
        <v>2138</v>
      </c>
      <c r="B2135" s="1" t="s">
        <v>5</v>
      </c>
      <c r="C2135" s="2">
        <f>IFERROR(__xludf.DUMMYFUNCTION("IFERROR(VLOOKUP(A2135, IMPORTRANGE(""https://docs.google.com/spreadsheets/d/1AVX9GT0dgogEBStecCXMMQ29tWz3gBrtNB8yIromXbY/edit?gid=741673867"", ""out1g!A:B""), 2, FALSE), 0)"),159.0)</f>
        <v>159</v>
      </c>
      <c r="D2135" s="2" t="str">
        <f>IFERROR(__xludf.DUMMYFUNCTION("IFERROR(VLOOKUP(A2135, IMPORTRANGE(""https://docs.google.com/spreadsheets/d/1-3Vjw2Cyy-mry5gbC8ypIR3YVGFfEpyFESummAta6sg/edit"", ""Sheet1!B:D""), 2, FALSE), ""Not Found"")"),"ren")</f>
        <v>ren</v>
      </c>
      <c r="E2135" s="2" t="str">
        <f>IFERROR(__xludf.DUMMYFUNCTION("IFERROR(VLOOKUP(A2135, IMPORTRANGE(""https://docs.google.com/spreadsheets/d/1-3Vjw2Cyy-mry5gbC8ypIR3YVGFfEpyFESummAta6sg/edit"", ""Sheet1!B:D""), 3, FALSE), ""Not Found"")"),"r e n ")</f>
        <v>r e n </v>
      </c>
    </row>
    <row r="2136">
      <c r="A2136" s="1" t="s">
        <v>2139</v>
      </c>
      <c r="B2136" s="1" t="s">
        <v>5</v>
      </c>
      <c r="C2136" s="2">
        <f>IFERROR(__xludf.DUMMYFUNCTION("IFERROR(VLOOKUP(A2136, IMPORTRANGE(""https://docs.google.com/spreadsheets/d/1AVX9GT0dgogEBStecCXMMQ29tWz3gBrtNB8yIromXbY/edit?gid=741673867"", ""out1g!A:B""), 2, FALSE), 0)"),56.0)</f>
        <v>56</v>
      </c>
      <c r="D2136" s="2" t="str">
        <f>IFERROR(__xludf.DUMMYFUNCTION("IFERROR(VLOOKUP(A2136, IMPORTRANGE(""https://docs.google.com/spreadsheets/d/1-3Vjw2Cyy-mry5gbC8ypIR3YVGFfEpyFESummAta6sg/edit"", ""Sheet1!B:D""), 2, FALSE), ""Not Found"")"),"tækt")</f>
        <v>tækt</v>
      </c>
      <c r="E2136" s="2" t="str">
        <f>IFERROR(__xludf.DUMMYFUNCTION("IFERROR(VLOOKUP(A2136, IMPORTRANGE(""https://docs.google.com/spreadsheets/d/1-3Vjw2Cyy-mry5gbC8ypIR3YVGFfEpyFESummAta6sg/edit"", ""Sheet1!B:D""), 3, FALSE), ""Not Found"")"),"t æ k t ")</f>
        <v>t æ k t </v>
      </c>
    </row>
    <row r="2137">
      <c r="A2137" s="1" t="s">
        <v>2140</v>
      </c>
      <c r="B2137" s="1" t="s">
        <v>5</v>
      </c>
      <c r="C2137" s="2">
        <f>IFERROR(__xludf.DUMMYFUNCTION("IFERROR(VLOOKUP(A2137, IMPORTRANGE(""https://docs.google.com/spreadsheets/d/1AVX9GT0dgogEBStecCXMMQ29tWz3gBrtNB8yIromXbY/edit?gid=741673867"", ""out1g!A:B""), 2, FALSE), 0)"),208.0)</f>
        <v>208</v>
      </c>
      <c r="D2137" s="2" t="str">
        <f>IFERROR(__xludf.DUMMYFUNCTION("IFERROR(VLOOKUP(A2137, IMPORTRANGE(""https://docs.google.com/spreadsheets/d/1-3Vjw2Cyy-mry5gbC8ypIR3YVGFfEpyFESummAta6sg/edit"", ""Sheet1!B:D""), 2, FALSE), ""Not Found"")"),"taɪtər")</f>
        <v>taɪtər</v>
      </c>
      <c r="E2137" s="2" t="str">
        <f>IFERROR(__xludf.DUMMYFUNCTION("IFERROR(VLOOKUP(A2137, IMPORTRANGE(""https://docs.google.com/spreadsheets/d/1-3Vjw2Cyy-mry5gbC8ypIR3YVGFfEpyFESummAta6sg/edit"", ""Sheet1!B:D""), 3, FALSE), ""Not Found"")"),"t a ɪ t ə r ")</f>
        <v>t a ɪ t ə r </v>
      </c>
    </row>
    <row r="2138">
      <c r="A2138" s="1" t="s">
        <v>2141</v>
      </c>
      <c r="B2138" s="1" t="s">
        <v>5</v>
      </c>
      <c r="C2138" s="2">
        <f>IFERROR(__xludf.DUMMYFUNCTION("IFERROR(VLOOKUP(A2138, IMPORTRANGE(""https://docs.google.com/spreadsheets/d/1AVX9GT0dgogEBStecCXMMQ29tWz3gBrtNB8yIromXbY/edit?gid=741673867"", ""out1g!A:B""), 2, FALSE), 0)"),276.0)</f>
        <v>276</v>
      </c>
      <c r="D2138" s="2" t="str">
        <f>IFERROR(__xludf.DUMMYFUNCTION("IFERROR(VLOOKUP(A2138, IMPORTRANGE(""https://docs.google.com/spreadsheets/d/1-3Vjw2Cyy-mry5gbC8ypIR3YVGFfEpyFESummAta6sg/edit"", ""Sheet1!B:D""), 2, FALSE), ""Not Found"")"),"ʧuzɪŋ")</f>
        <v>ʧuzɪŋ</v>
      </c>
      <c r="E2138" s="2" t="str">
        <f>IFERROR(__xludf.DUMMYFUNCTION("IFERROR(VLOOKUP(A2138, IMPORTRANGE(""https://docs.google.com/spreadsheets/d/1-3Vjw2Cyy-mry5gbC8ypIR3YVGFfEpyFESummAta6sg/edit"", ""Sheet1!B:D""), 3, FALSE), ""Not Found"")"),"ʧ u z ɪ ŋ ")</f>
        <v>ʧ u z ɪ ŋ </v>
      </c>
    </row>
    <row r="2139">
      <c r="A2139" s="1" t="s">
        <v>2142</v>
      </c>
      <c r="B2139" s="1" t="s">
        <v>5</v>
      </c>
      <c r="C2139" s="2">
        <f>IFERROR(__xludf.DUMMYFUNCTION("IFERROR(VLOOKUP(A2139, IMPORTRANGE(""https://docs.google.com/spreadsheets/d/1AVX9GT0dgogEBStecCXMMQ29tWz3gBrtNB8yIromXbY/edit?gid=741673867"", ""out1g!A:B""), 2, FALSE), 0)"),113.0)</f>
        <v>113</v>
      </c>
      <c r="D2139" s="2" t="str">
        <f>IFERROR(__xludf.DUMMYFUNCTION("IFERROR(VLOOKUP(A2139, IMPORTRANGE(""https://docs.google.com/spreadsheets/d/1-3Vjw2Cyy-mry5gbC8ypIR3YVGFfEpyFESummAta6sg/edit"", ""Sheet1!B:D""), 2, FALSE), ""Not Found"")"),"tɪlt")</f>
        <v>tɪlt</v>
      </c>
      <c r="E2139" s="2" t="str">
        <f>IFERROR(__xludf.DUMMYFUNCTION("IFERROR(VLOOKUP(A2139, IMPORTRANGE(""https://docs.google.com/spreadsheets/d/1-3Vjw2Cyy-mry5gbC8ypIR3YVGFfEpyFESummAta6sg/edit"", ""Sheet1!B:D""), 3, FALSE), ""Not Found"")"),"t ɪ l t ")</f>
        <v>t ɪ l t </v>
      </c>
    </row>
    <row r="2140">
      <c r="A2140" s="1" t="s">
        <v>2143</v>
      </c>
      <c r="B2140" s="1" t="s">
        <v>5</v>
      </c>
      <c r="C2140" s="2">
        <f>IFERROR(__xludf.DUMMYFUNCTION("IFERROR(VLOOKUP(A2140, IMPORTRANGE(""https://docs.google.com/spreadsheets/d/1AVX9GT0dgogEBStecCXMMQ29tWz3gBrtNB8yIromXbY/edit?gid=741673867"", ""out1g!A:B""), 2, FALSE), 0)"),480.0)</f>
        <v>480</v>
      </c>
      <c r="D2140" s="2" t="str">
        <f>IFERROR(__xludf.DUMMYFUNCTION("IFERROR(VLOOKUP(A2140, IMPORTRANGE(""https://docs.google.com/spreadsheets/d/1-3Vjw2Cyy-mry5gbC8ypIR3YVGFfEpyFESummAta6sg/edit"", ""Sheet1!B:D""), 2, FALSE), ""Not Found"")"),"skæn")</f>
        <v>skæn</v>
      </c>
      <c r="E2140" s="2" t="str">
        <f>IFERROR(__xludf.DUMMYFUNCTION("IFERROR(VLOOKUP(A2140, IMPORTRANGE(""https://docs.google.com/spreadsheets/d/1-3Vjw2Cyy-mry5gbC8ypIR3YVGFfEpyFESummAta6sg/edit"", ""Sheet1!B:D""), 3, FALSE), ""Not Found"")"),"s k æ n ")</f>
        <v>s k æ n </v>
      </c>
    </row>
    <row r="2141">
      <c r="A2141" s="1" t="s">
        <v>2144</v>
      </c>
      <c r="B2141" s="1" t="s">
        <v>5</v>
      </c>
      <c r="C2141" s="2">
        <f>IFERROR(__xludf.DUMMYFUNCTION("IFERROR(VLOOKUP(A2141, IMPORTRANGE(""https://docs.google.com/spreadsheets/d/1AVX9GT0dgogEBStecCXMMQ29tWz3gBrtNB8yIromXbY/edit?gid=741673867"", ""out1g!A:B""), 2, FALSE), 0)"),391.0)</f>
        <v>391</v>
      </c>
      <c r="D2141" s="2" t="str">
        <f>IFERROR(__xludf.DUMMYFUNCTION("IFERROR(VLOOKUP(A2141, IMPORTRANGE(""https://docs.google.com/spreadsheets/d/1-3Vjw2Cyy-mry5gbC8ypIR3YVGFfEpyFESummAta6sg/edit"", ""Sheet1!B:D""), 2, FALSE), ""Not Found"")"),"ɔtoʊ")</f>
        <v>ɔtoʊ</v>
      </c>
      <c r="E2141" s="2" t="str">
        <f>IFERROR(__xludf.DUMMYFUNCTION("IFERROR(VLOOKUP(A2141, IMPORTRANGE(""https://docs.google.com/spreadsheets/d/1-3Vjw2Cyy-mry5gbC8ypIR3YVGFfEpyFESummAta6sg/edit"", ""Sheet1!B:D""), 3, FALSE), ""Not Found"")"),"ɔ t o ʊ ")</f>
        <v>ɔ t o ʊ </v>
      </c>
    </row>
    <row r="2142">
      <c r="A2142" s="1" t="s">
        <v>2145</v>
      </c>
      <c r="B2142" s="1" t="s">
        <v>5</v>
      </c>
      <c r="C2142" s="2">
        <f>IFERROR(__xludf.DUMMYFUNCTION("IFERROR(VLOOKUP(A2142, IMPORTRANGE(""https://docs.google.com/spreadsheets/d/1AVX9GT0dgogEBStecCXMMQ29tWz3gBrtNB8yIromXbY/edit?gid=741673867"", ""out1g!A:B""), 2, FALSE), 0)"),24476.0)</f>
        <v>24476</v>
      </c>
      <c r="D2142" s="2" t="str">
        <f>IFERROR(__xludf.DUMMYFUNCTION("IFERROR(VLOOKUP(A2142, IMPORTRANGE(""https://docs.google.com/spreadsheets/d/1-3Vjw2Cyy-mry5gbC8ypIR3YVGFfEpyFESummAta6sg/edit"", ""Sheet1!B:D""), 2, FALSE), ""Not Found"")"),"məðər")</f>
        <v>məðər</v>
      </c>
      <c r="E2142" s="2" t="str">
        <f>IFERROR(__xludf.DUMMYFUNCTION("IFERROR(VLOOKUP(A2142, IMPORTRANGE(""https://docs.google.com/spreadsheets/d/1-3Vjw2Cyy-mry5gbC8ypIR3YVGFfEpyFESummAta6sg/edit"", ""Sheet1!B:D""), 3, FALSE), ""Not Found"")"),"m ə ð ə r ")</f>
        <v>m ə ð ə r </v>
      </c>
    </row>
    <row r="2143">
      <c r="A2143" s="1" t="s">
        <v>2146</v>
      </c>
      <c r="B2143" s="1" t="s">
        <v>5</v>
      </c>
      <c r="C2143" s="2">
        <f>IFERROR(__xludf.DUMMYFUNCTION("IFERROR(VLOOKUP(A2143, IMPORTRANGE(""https://docs.google.com/spreadsheets/d/1AVX9GT0dgogEBStecCXMMQ29tWz3gBrtNB8yIromXbY/edit?gid=741673867"", ""out1g!A:B""), 2, FALSE), 0)"),9682.0)</f>
        <v>9682</v>
      </c>
      <c r="D2143" s="2" t="str">
        <f>IFERROR(__xludf.DUMMYFUNCTION("IFERROR(VLOOKUP(A2143, IMPORTRANGE(""https://docs.google.com/spreadsheets/d/1-3Vjw2Cyy-mry5gbC8ypIR3YVGFfEpyFESummAta6sg/edit"", ""Sheet1!B:D""), 2, FALSE), ""Not Found"")"),"hɑt")</f>
        <v>hɑt</v>
      </c>
      <c r="E2143" s="2" t="str">
        <f>IFERROR(__xludf.DUMMYFUNCTION("IFERROR(VLOOKUP(A2143, IMPORTRANGE(""https://docs.google.com/spreadsheets/d/1-3Vjw2Cyy-mry5gbC8ypIR3YVGFfEpyFESummAta6sg/edit"", ""Sheet1!B:D""), 3, FALSE), ""Not Found"")"),"h ɑ t ")</f>
        <v>h ɑ t </v>
      </c>
    </row>
    <row r="2144">
      <c r="A2144" s="1" t="s">
        <v>2147</v>
      </c>
      <c r="B2144" s="1" t="s">
        <v>5</v>
      </c>
      <c r="C2144" s="2">
        <f>IFERROR(__xludf.DUMMYFUNCTION("IFERROR(VLOOKUP(A2144, IMPORTRANGE(""https://docs.google.com/spreadsheets/d/1AVX9GT0dgogEBStecCXMMQ29tWz3gBrtNB8yIromXbY/edit?gid=741673867"", ""out1g!A:B""), 2, FALSE), 0)"),3853.0)</f>
        <v>3853</v>
      </c>
      <c r="D2144" s="2" t="str">
        <f>IFERROR(__xludf.DUMMYFUNCTION("IFERROR(VLOOKUP(A2144, IMPORTRANGE(""https://docs.google.com/spreadsheets/d/1-3Vjw2Cyy-mry5gbC8ypIR3YVGFfEpyFESummAta6sg/edit"", ""Sheet1!B:D""), 2, FALSE), ""Not Found"")"),"ətæk")</f>
        <v>ətæk</v>
      </c>
      <c r="E2144" s="2" t="str">
        <f>IFERROR(__xludf.DUMMYFUNCTION("IFERROR(VLOOKUP(A2144, IMPORTRANGE(""https://docs.google.com/spreadsheets/d/1-3Vjw2Cyy-mry5gbC8ypIR3YVGFfEpyFESummAta6sg/edit"", ""Sheet1!B:D""), 3, FALSE), ""Not Found"")"),"ə t æ k ")</f>
        <v>ə t æ k </v>
      </c>
    </row>
    <row r="2145">
      <c r="A2145" s="1" t="s">
        <v>2148</v>
      </c>
      <c r="B2145" s="1" t="s">
        <v>5</v>
      </c>
      <c r="C2145" s="2">
        <f>IFERROR(__xludf.DUMMYFUNCTION("IFERROR(VLOOKUP(A2145, IMPORTRANGE(""https://docs.google.com/spreadsheets/d/1AVX9GT0dgogEBStecCXMMQ29tWz3gBrtNB8yIromXbY/edit?gid=741673867"", ""out1g!A:B""), 2, FALSE), 0)"),56.0)</f>
        <v>56</v>
      </c>
      <c r="D2145" s="2" t="str">
        <f>IFERROR(__xludf.DUMMYFUNCTION("IFERROR(VLOOKUP(A2145, IMPORTRANGE(""https://docs.google.com/spreadsheets/d/1-3Vjw2Cyy-mry5gbC8ypIR3YVGFfEpyFESummAta6sg/edit"", ""Sheet1!B:D""), 2, FALSE), ""Not Found"")"),"pɔɪz")</f>
        <v>pɔɪz</v>
      </c>
      <c r="E2145" s="2" t="str">
        <f>IFERROR(__xludf.DUMMYFUNCTION("IFERROR(VLOOKUP(A2145, IMPORTRANGE(""https://docs.google.com/spreadsheets/d/1-3Vjw2Cyy-mry5gbC8ypIR3YVGFfEpyFESummAta6sg/edit"", ""Sheet1!B:D""), 3, FALSE), ""Not Found"")"),"p ɔ ɪ z ")</f>
        <v>p ɔ ɪ z </v>
      </c>
    </row>
    <row r="2146">
      <c r="A2146" s="1" t="s">
        <v>2149</v>
      </c>
      <c r="B2146" s="1" t="s">
        <v>5</v>
      </c>
      <c r="C2146" s="2">
        <f>IFERROR(__xludf.DUMMYFUNCTION("IFERROR(VLOOKUP(A2146, IMPORTRANGE(""https://docs.google.com/spreadsheets/d/1AVX9GT0dgogEBStecCXMMQ29tWz3gBrtNB8yIromXbY/edit?gid=741673867"", ""out1g!A:B""), 2, FALSE), 0)"),189.0)</f>
        <v>189</v>
      </c>
      <c r="D2146" s="2" t="str">
        <f>IFERROR(__xludf.DUMMYFUNCTION("IFERROR(VLOOKUP(A2146, IMPORTRANGE(""https://docs.google.com/spreadsheets/d/1-3Vjw2Cyy-mry5gbC8ypIR3YVGFfEpyFESummAta6sg/edit"", ""Sheet1!B:D""), 2, FALSE), ""Not Found"")"),"əst")</f>
        <v>əst</v>
      </c>
      <c r="E2146" s="2" t="str">
        <f>IFERROR(__xludf.DUMMYFUNCTION("IFERROR(VLOOKUP(A2146, IMPORTRANGE(""https://docs.google.com/spreadsheets/d/1-3Vjw2Cyy-mry5gbC8ypIR3YVGFfEpyFESummAta6sg/edit"", ""Sheet1!B:D""), 3, FALSE), ""Not Found"")"),"ə s t ")</f>
        <v>ə s t </v>
      </c>
    </row>
    <row r="2147">
      <c r="A2147" s="1" t="s">
        <v>2150</v>
      </c>
      <c r="B2147" s="1" t="s">
        <v>5</v>
      </c>
      <c r="C2147" s="2">
        <f>IFERROR(__xludf.DUMMYFUNCTION("IFERROR(VLOOKUP(A2147, IMPORTRANGE(""https://docs.google.com/spreadsheets/d/1AVX9GT0dgogEBStecCXMMQ29tWz3gBrtNB8yIromXbY/edit?gid=741673867"", ""out1g!A:B""), 2, FALSE), 0)"),147.0)</f>
        <v>147</v>
      </c>
      <c r="D2147" s="2" t="str">
        <f>IFERROR(__xludf.DUMMYFUNCTION("IFERROR(VLOOKUP(A2147, IMPORTRANGE(""https://docs.google.com/spreadsheets/d/1-3Vjw2Cyy-mry5gbC8ypIR3YVGFfEpyFESummAta6sg/edit"", ""Sheet1!B:D""), 2, FALSE), ""Not Found"")"),"pəru")</f>
        <v>pəru</v>
      </c>
      <c r="E2147" s="2" t="str">
        <f>IFERROR(__xludf.DUMMYFUNCTION("IFERROR(VLOOKUP(A2147, IMPORTRANGE(""https://docs.google.com/spreadsheets/d/1-3Vjw2Cyy-mry5gbC8ypIR3YVGFfEpyFESummAta6sg/edit"", ""Sheet1!B:D""), 3, FALSE), ""Not Found"")"),"p ə r u ")</f>
        <v>p ə r u </v>
      </c>
    </row>
    <row r="2148">
      <c r="A2148" s="1" t="s">
        <v>2151</v>
      </c>
      <c r="B2148" s="1" t="s">
        <v>5</v>
      </c>
      <c r="C2148" s="2">
        <f>IFERROR(__xludf.DUMMYFUNCTION("IFERROR(VLOOKUP(A2148, IMPORTRANGE(""https://docs.google.com/spreadsheets/d/1AVX9GT0dgogEBStecCXMMQ29tWz3gBrtNB8yIromXbY/edit?gid=741673867"", ""out1g!A:B""), 2, FALSE), 0)"),192.0)</f>
        <v>192</v>
      </c>
      <c r="D2148" s="2" t="str">
        <f>IFERROR(__xludf.DUMMYFUNCTION("IFERROR(VLOOKUP(A2148, IMPORTRANGE(""https://docs.google.com/spreadsheets/d/1-3Vjw2Cyy-mry5gbC8ypIR3YVGFfEpyFESummAta6sg/edit"", ""Sheet1!B:D""), 2, FALSE), ""Not Found"")"),"klɪks")</f>
        <v>klɪks</v>
      </c>
      <c r="E2148" s="2" t="str">
        <f>IFERROR(__xludf.DUMMYFUNCTION("IFERROR(VLOOKUP(A2148, IMPORTRANGE(""https://docs.google.com/spreadsheets/d/1-3Vjw2Cyy-mry5gbC8ypIR3YVGFfEpyFESummAta6sg/edit"", ""Sheet1!B:D""), 3, FALSE), ""Not Found"")"),"k l ɪ k s ")</f>
        <v>k l ɪ k s </v>
      </c>
    </row>
    <row r="2149">
      <c r="A2149" s="1" t="s">
        <v>2152</v>
      </c>
      <c r="B2149" s="1" t="s">
        <v>5</v>
      </c>
      <c r="C2149" s="2">
        <f>IFERROR(__xludf.DUMMYFUNCTION("IFERROR(VLOOKUP(A2149, IMPORTRANGE(""https://docs.google.com/spreadsheets/d/1AVX9GT0dgogEBStecCXMMQ29tWz3gBrtNB8yIromXbY/edit?gid=741673867"", ""out1g!A:B""), 2, FALSE), 0)"),491.0)</f>
        <v>491</v>
      </c>
      <c r="D2149" s="2" t="str">
        <f>IFERROR(__xludf.DUMMYFUNCTION("IFERROR(VLOOKUP(A2149, IMPORTRANGE(""https://docs.google.com/spreadsheets/d/1-3Vjw2Cyy-mry5gbC8ypIR3YVGFfEpyFESummAta6sg/edit"", ""Sheet1!B:D""), 2, FALSE), ""Not Found"")"),"pɔrʧ")</f>
        <v>pɔrʧ</v>
      </c>
      <c r="E2149" s="2" t="str">
        <f>IFERROR(__xludf.DUMMYFUNCTION("IFERROR(VLOOKUP(A2149, IMPORTRANGE(""https://docs.google.com/spreadsheets/d/1-3Vjw2Cyy-mry5gbC8ypIR3YVGFfEpyFESummAta6sg/edit"", ""Sheet1!B:D""), 3, FALSE), ""Not Found"")"),"p ɔ r ʧ ")</f>
        <v>p ɔ r ʧ </v>
      </c>
    </row>
    <row r="2150">
      <c r="A2150" s="1" t="s">
        <v>2153</v>
      </c>
      <c r="B2150" s="1" t="s">
        <v>5</v>
      </c>
      <c r="C2150" s="2">
        <f>IFERROR(__xludf.DUMMYFUNCTION("IFERROR(VLOOKUP(A2150, IMPORTRANGE(""https://docs.google.com/spreadsheets/d/1AVX9GT0dgogEBStecCXMMQ29tWz3gBrtNB8yIromXbY/edit?gid=741673867"", ""out1g!A:B""), 2, FALSE), 0)"),728.0)</f>
        <v>728</v>
      </c>
      <c r="D2150" s="2" t="str">
        <f>IFERROR(__xludf.DUMMYFUNCTION("IFERROR(VLOOKUP(A2150, IMPORTRANGE(""https://docs.google.com/spreadsheets/d/1-3Vjw2Cyy-mry5gbC8ypIR3YVGFfEpyFESummAta6sg/edit"", ""Sheet1!B:D""), 2, FALSE), ""Not Found"")"),"flɪp")</f>
        <v>flɪp</v>
      </c>
      <c r="E2150" s="2" t="str">
        <f>IFERROR(__xludf.DUMMYFUNCTION("IFERROR(VLOOKUP(A2150, IMPORTRANGE(""https://docs.google.com/spreadsheets/d/1-3Vjw2Cyy-mry5gbC8ypIR3YVGFfEpyFESummAta6sg/edit"", ""Sheet1!B:D""), 3, FALSE), ""Not Found"")"),"f l ɪ p ")</f>
        <v>f l ɪ p </v>
      </c>
    </row>
    <row r="2151">
      <c r="A2151" s="1" t="s">
        <v>2154</v>
      </c>
      <c r="B2151" s="1" t="s">
        <v>5</v>
      </c>
      <c r="C2151" s="2">
        <f>IFERROR(__xludf.DUMMYFUNCTION("IFERROR(VLOOKUP(A2151, IMPORTRANGE(""https://docs.google.com/spreadsheets/d/1AVX9GT0dgogEBStecCXMMQ29tWz3gBrtNB8yIromXbY/edit?gid=741673867"", ""out1g!A:B""), 2, FALSE), 0)"),208.0)</f>
        <v>208</v>
      </c>
      <c r="D2151" s="2" t="str">
        <f>IFERROR(__xludf.DUMMYFUNCTION("IFERROR(VLOOKUP(A2151, IMPORTRANGE(""https://docs.google.com/spreadsheets/d/1-3Vjw2Cyy-mry5gbC8ypIR3YVGFfEpyFESummAta6sg/edit"", ""Sheet1!B:D""), 2, FALSE), ""Not Found"")"),"bəbə")</f>
        <v>bəbə</v>
      </c>
      <c r="E2151" s="2" t="str">
        <f>IFERROR(__xludf.DUMMYFUNCTION("IFERROR(VLOOKUP(A2151, IMPORTRANGE(""https://docs.google.com/spreadsheets/d/1-3Vjw2Cyy-mry5gbC8ypIR3YVGFfEpyFESummAta6sg/edit"", ""Sheet1!B:D""), 3, FALSE), ""Not Found"")"),"b ə b ə ")</f>
        <v>b ə b ə </v>
      </c>
    </row>
    <row r="2152">
      <c r="A2152" s="1" t="s">
        <v>2155</v>
      </c>
      <c r="B2152" s="1" t="s">
        <v>5</v>
      </c>
      <c r="C2152" s="2">
        <f>IFERROR(__xludf.DUMMYFUNCTION("IFERROR(VLOOKUP(A2152, IMPORTRANGE(""https://docs.google.com/spreadsheets/d/1AVX9GT0dgogEBStecCXMMQ29tWz3gBrtNB8yIromXbY/edit?gid=741673867"", ""out1g!A:B""), 2, FALSE), 0)"),103.0)</f>
        <v>103</v>
      </c>
      <c r="D2152" s="2" t="str">
        <f>IFERROR(__xludf.DUMMYFUNCTION("IFERROR(VLOOKUP(A2152, IMPORTRANGE(""https://docs.google.com/spreadsheets/d/1-3Vjw2Cyy-mry5gbC8ypIR3YVGFfEpyFESummAta6sg/edit"", ""Sheet1!B:D""), 2, FALSE), ""Not Found"")"),"tæft")</f>
        <v>tæft</v>
      </c>
      <c r="E2152" s="2" t="str">
        <f>IFERROR(__xludf.DUMMYFUNCTION("IFERROR(VLOOKUP(A2152, IMPORTRANGE(""https://docs.google.com/spreadsheets/d/1-3Vjw2Cyy-mry5gbC8ypIR3YVGFfEpyFESummAta6sg/edit"", ""Sheet1!B:D""), 3, FALSE), ""Not Found"")"),"t æ f t ")</f>
        <v>t æ f t </v>
      </c>
    </row>
    <row r="2153">
      <c r="A2153" s="1" t="s">
        <v>2156</v>
      </c>
      <c r="B2153" s="1" t="s">
        <v>5</v>
      </c>
      <c r="C2153" s="2">
        <f>IFERROR(__xludf.DUMMYFUNCTION("IFERROR(VLOOKUP(A2153, IMPORTRANGE(""https://docs.google.com/spreadsheets/d/1AVX9GT0dgogEBStecCXMMQ29tWz3gBrtNB8yIromXbY/edit?gid=741673867"", ""out1g!A:B""), 2, FALSE), 0)"),178.0)</f>
        <v>178</v>
      </c>
      <c r="D2153" s="2" t="str">
        <f>IFERROR(__xludf.DUMMYFUNCTION("IFERROR(VLOOKUP(A2153, IMPORTRANGE(""https://docs.google.com/spreadsheets/d/1-3Vjw2Cyy-mry5gbC8ypIR3YVGFfEpyFESummAta6sg/edit"", ""Sheet1!B:D""), 2, FALSE), ""Not Found"")"),"ɑrmiz")</f>
        <v>ɑrmiz</v>
      </c>
      <c r="E2153" s="2" t="str">
        <f>IFERROR(__xludf.DUMMYFUNCTION("IFERROR(VLOOKUP(A2153, IMPORTRANGE(""https://docs.google.com/spreadsheets/d/1-3Vjw2Cyy-mry5gbC8ypIR3YVGFfEpyFESummAta6sg/edit"", ""Sheet1!B:D""), 3, FALSE), ""Not Found"")"),"ɑ r m i z ")</f>
        <v>ɑ r m i z </v>
      </c>
    </row>
    <row r="2154">
      <c r="A2154" s="1" t="s">
        <v>2157</v>
      </c>
      <c r="B2154" s="1" t="s">
        <v>5</v>
      </c>
      <c r="C2154" s="2">
        <f>IFERROR(__xludf.DUMMYFUNCTION("IFERROR(VLOOKUP(A2154, IMPORTRANGE(""https://docs.google.com/spreadsheets/d/1AVX9GT0dgogEBStecCXMMQ29tWz3gBrtNB8yIromXbY/edit?gid=741673867"", ""out1g!A:B""), 2, FALSE), 0)"),81.0)</f>
        <v>81</v>
      </c>
      <c r="D2154" s="2" t="str">
        <f>IFERROR(__xludf.DUMMYFUNCTION("IFERROR(VLOOKUP(A2154, IMPORTRANGE(""https://docs.google.com/spreadsheets/d/1-3Vjw2Cyy-mry5gbC8ypIR3YVGFfEpyFESummAta6sg/edit"", ""Sheet1!B:D""), 2, FALSE), ""Not Found"")"),"ft")</f>
        <v>ft</v>
      </c>
      <c r="E2154" s="2" t="str">
        <f>IFERROR(__xludf.DUMMYFUNCTION("IFERROR(VLOOKUP(A2154, IMPORTRANGE(""https://docs.google.com/spreadsheets/d/1-3Vjw2Cyy-mry5gbC8ypIR3YVGFfEpyFESummAta6sg/edit"", ""Sheet1!B:D""), 3, FALSE), ""Not Found"")"),"f t ")</f>
        <v>f t </v>
      </c>
    </row>
    <row r="2155">
      <c r="A2155" s="1" t="s">
        <v>2158</v>
      </c>
      <c r="B2155" s="1" t="s">
        <v>5</v>
      </c>
      <c r="C2155" s="2">
        <f>IFERROR(__xludf.DUMMYFUNCTION("IFERROR(VLOOKUP(A2155, IMPORTRANGE(""https://docs.google.com/spreadsheets/d/1AVX9GT0dgogEBStecCXMMQ29tWz3gBrtNB8yIromXbY/edit?gid=741673867"", ""out1g!A:B""), 2, FALSE), 0)"),89.0)</f>
        <v>89</v>
      </c>
      <c r="D2155" s="2" t="str">
        <f>IFERROR(__xludf.DUMMYFUNCTION("IFERROR(VLOOKUP(A2155, IMPORTRANGE(""https://docs.google.com/spreadsheets/d/1-3Vjw2Cyy-mry5gbC8ypIR3YVGFfEpyFESummAta6sg/edit"", ""Sheet1!B:D""), 2, FALSE), ""Not Found"")"),"seʤ")</f>
        <v>seʤ</v>
      </c>
      <c r="E2155" s="2" t="str">
        <f>IFERROR(__xludf.DUMMYFUNCTION("IFERROR(VLOOKUP(A2155, IMPORTRANGE(""https://docs.google.com/spreadsheets/d/1-3Vjw2Cyy-mry5gbC8ypIR3YVGFfEpyFESummAta6sg/edit"", ""Sheet1!B:D""), 3, FALSE), ""Not Found"")"),"s e ʤ ")</f>
        <v>s e ʤ </v>
      </c>
    </row>
    <row r="2156">
      <c r="A2156" s="1" t="s">
        <v>2159</v>
      </c>
      <c r="B2156" s="1" t="s">
        <v>5</v>
      </c>
      <c r="C2156" s="2">
        <f>IFERROR(__xludf.DUMMYFUNCTION("IFERROR(VLOOKUP(A2156, IMPORTRANGE(""https://docs.google.com/spreadsheets/d/1AVX9GT0dgogEBStecCXMMQ29tWz3gBrtNB8yIromXbY/edit?gid=741673867"", ""out1g!A:B""), 2, FALSE), 0)"),276673.0)</f>
        <v>276673</v>
      </c>
      <c r="D2156" s="2" t="str">
        <f>IFERROR(__xludf.DUMMYFUNCTION("IFERROR(VLOOKUP(A2156, IMPORTRANGE(""https://docs.google.com/spreadsheets/d/1-3Vjw2Cyy-mry5gbC8ypIR3YVGFfEpyFESummAta6sg/edit"", ""Sheet1!B:D""), 2, FALSE), ""Not Found"")"),"nɑt")</f>
        <v>nɑt</v>
      </c>
      <c r="E2156" s="2" t="str">
        <f>IFERROR(__xludf.DUMMYFUNCTION("IFERROR(VLOOKUP(A2156, IMPORTRANGE(""https://docs.google.com/spreadsheets/d/1-3Vjw2Cyy-mry5gbC8ypIR3YVGFfEpyFESummAta6sg/edit"", ""Sheet1!B:D""), 3, FALSE), ""Not Found"")"),"n ɑ t ")</f>
        <v>n ɑ t </v>
      </c>
    </row>
    <row r="2157">
      <c r="A2157" s="1" t="s">
        <v>2160</v>
      </c>
      <c r="B2157" s="1" t="s">
        <v>5</v>
      </c>
      <c r="C2157" s="2">
        <f>IFERROR(__xludf.DUMMYFUNCTION("IFERROR(VLOOKUP(A2157, IMPORTRANGE(""https://docs.google.com/spreadsheets/d/1AVX9GT0dgogEBStecCXMMQ29tWz3gBrtNB8yIromXbY/edit?gid=741673867"", ""out1g!A:B""), 2, FALSE), 0)"),160190.0)</f>
        <v>160190</v>
      </c>
      <c r="D2157" s="2" t="str">
        <f>IFERROR(__xludf.DUMMYFUNCTION("IFERROR(VLOOKUP(A2157, IMPORTRANGE(""https://docs.google.com/spreadsheets/d/1-3Vjw2Cyy-mry5gbC8ypIR3YVGFfEpyFESummAta6sg/edit"", ""Sheet1!B:D""), 2, FALSE), ""Not Found"")"),"kəm")</f>
        <v>kəm</v>
      </c>
      <c r="E2157" s="2" t="str">
        <f>IFERROR(__xludf.DUMMYFUNCTION("IFERROR(VLOOKUP(A2157, IMPORTRANGE(""https://docs.google.com/spreadsheets/d/1-3Vjw2Cyy-mry5gbC8ypIR3YVGFfEpyFESummAta6sg/edit"", ""Sheet1!B:D""), 3, FALSE), ""Not Found"")"),"k ə m ")</f>
        <v>k ə m </v>
      </c>
    </row>
    <row r="2158">
      <c r="A2158" s="1" t="s">
        <v>2161</v>
      </c>
      <c r="B2158" s="1" t="s">
        <v>5</v>
      </c>
      <c r="C2158" s="2">
        <f>IFERROR(__xludf.DUMMYFUNCTION("IFERROR(VLOOKUP(A2158, IMPORTRANGE(""https://docs.google.com/spreadsheets/d/1AVX9GT0dgogEBStecCXMMQ29tWz3gBrtNB8yIromXbY/edit?gid=741673867"", ""out1g!A:B""), 2, FALSE), 0)"),48.0)</f>
        <v>48</v>
      </c>
      <c r="D2158" s="2" t="str">
        <f>IFERROR(__xludf.DUMMYFUNCTION("IFERROR(VLOOKUP(A2158, IMPORTRANGE(""https://docs.google.com/spreadsheets/d/1-3Vjw2Cyy-mry5gbC8ypIR3YVGFfEpyFESummAta6sg/edit"", ""Sheet1!B:D""), 2, FALSE), ""Not Found"")"),"poʊstɪʤ")</f>
        <v>poʊstɪʤ</v>
      </c>
      <c r="E2158" s="2" t="str">
        <f>IFERROR(__xludf.DUMMYFUNCTION("IFERROR(VLOOKUP(A2158, IMPORTRANGE(""https://docs.google.com/spreadsheets/d/1-3Vjw2Cyy-mry5gbC8ypIR3YVGFfEpyFESummAta6sg/edit"", ""Sheet1!B:D""), 3, FALSE), ""Not Found"")"),"p o ʊ s t ɪ ʤ ")</f>
        <v>p o ʊ s t ɪ ʤ </v>
      </c>
    </row>
    <row r="2159">
      <c r="A2159" s="1" t="s">
        <v>2162</v>
      </c>
      <c r="B2159" s="1" t="s">
        <v>5</v>
      </c>
      <c r="C2159" s="2">
        <f>IFERROR(__xludf.DUMMYFUNCTION("IFERROR(VLOOKUP(A2159, IMPORTRANGE(""https://docs.google.com/spreadsheets/d/1AVX9GT0dgogEBStecCXMMQ29tWz3gBrtNB8yIromXbY/edit?gid=741673867"", ""out1g!A:B""), 2, FALSE), 0)"),936.0)</f>
        <v>936</v>
      </c>
      <c r="D2159" s="2" t="str">
        <f>IFERROR(__xludf.DUMMYFUNCTION("IFERROR(VLOOKUP(A2159, IMPORTRANGE(""https://docs.google.com/spreadsheets/d/1-3Vjw2Cyy-mry5gbC8ypIR3YVGFfEpyFESummAta6sg/edit"", ""Sheet1!B:D""), 2, FALSE), ""Not Found"")"),"wɔks")</f>
        <v>wɔks</v>
      </c>
      <c r="E2159" s="2" t="str">
        <f>IFERROR(__xludf.DUMMYFUNCTION("IFERROR(VLOOKUP(A2159, IMPORTRANGE(""https://docs.google.com/spreadsheets/d/1-3Vjw2Cyy-mry5gbC8ypIR3YVGFfEpyFESummAta6sg/edit"", ""Sheet1!B:D""), 3, FALSE), ""Not Found"")"),"w ɔ k s ")</f>
        <v>w ɔ k s </v>
      </c>
    </row>
    <row r="2160">
      <c r="A2160" s="1" t="s">
        <v>2163</v>
      </c>
      <c r="B2160" s="1" t="s">
        <v>5</v>
      </c>
      <c r="C2160" s="2">
        <f>IFERROR(__xludf.DUMMYFUNCTION("IFERROR(VLOOKUP(A2160, IMPORTRANGE(""https://docs.google.com/spreadsheets/d/1AVX9GT0dgogEBStecCXMMQ29tWz3gBrtNB8yIromXbY/edit?gid=741673867"", ""out1g!A:B""), 2, FALSE), 0)"),641.0)</f>
        <v>641</v>
      </c>
      <c r="D2160" s="2" t="str">
        <f>IFERROR(__xludf.DUMMYFUNCTION("IFERROR(VLOOKUP(A2160, IMPORTRANGE(""https://docs.google.com/spreadsheets/d/1-3Vjw2Cyy-mry5gbC8ypIR3YVGFfEpyFESummAta6sg/edit"", ""Sheet1!B:D""), 2, FALSE), ""Not Found"")"),"jɛ")</f>
        <v>jɛ</v>
      </c>
      <c r="E2160" s="2" t="str">
        <f>IFERROR(__xludf.DUMMYFUNCTION("IFERROR(VLOOKUP(A2160, IMPORTRANGE(""https://docs.google.com/spreadsheets/d/1-3Vjw2Cyy-mry5gbC8ypIR3YVGFfEpyFESummAta6sg/edit"", ""Sheet1!B:D""), 3, FALSE), ""Not Found"")"),"j ɛ ")</f>
        <v>j ɛ </v>
      </c>
    </row>
    <row r="2161">
      <c r="A2161" s="1" t="s">
        <v>2164</v>
      </c>
      <c r="B2161" s="1" t="s">
        <v>5</v>
      </c>
      <c r="C2161" s="2">
        <f>IFERROR(__xludf.DUMMYFUNCTION("IFERROR(VLOOKUP(A2161, IMPORTRANGE(""https://docs.google.com/spreadsheets/d/1AVX9GT0dgogEBStecCXMMQ29tWz3gBrtNB8yIromXbY/edit?gid=741673867"", ""out1g!A:B""), 2, FALSE), 0)"),273.0)</f>
        <v>273</v>
      </c>
      <c r="D2161" s="2" t="str">
        <f>IFERROR(__xludf.DUMMYFUNCTION("IFERROR(VLOOKUP(A2161, IMPORTRANGE(""https://docs.google.com/spreadsheets/d/1-3Vjw2Cyy-mry5gbC8ypIR3YVGFfEpyFESummAta6sg/edit"", ""Sheet1!B:D""), 2, FALSE), ""Not Found"")"),"ɛrɪkə")</f>
        <v>ɛrɪkə</v>
      </c>
      <c r="E2161" s="2" t="str">
        <f>IFERROR(__xludf.DUMMYFUNCTION("IFERROR(VLOOKUP(A2161, IMPORTRANGE(""https://docs.google.com/spreadsheets/d/1-3Vjw2Cyy-mry5gbC8ypIR3YVGFfEpyFESummAta6sg/edit"", ""Sheet1!B:D""), 3, FALSE), ""Not Found"")"),"ɛ r ɪ k ə ")</f>
        <v>ɛ r ɪ k ə </v>
      </c>
    </row>
    <row r="2162">
      <c r="A2162" s="1" t="s">
        <v>2165</v>
      </c>
      <c r="B2162" s="1" t="s">
        <v>5</v>
      </c>
      <c r="C2162" s="2">
        <f>IFERROR(__xludf.DUMMYFUNCTION("IFERROR(VLOOKUP(A2162, IMPORTRANGE(""https://docs.google.com/spreadsheets/d/1AVX9GT0dgogEBStecCXMMQ29tWz3gBrtNB8yIromXbY/edit?gid=741673867"", ""out1g!A:B""), 2, FALSE), 0)"),1289.0)</f>
        <v>1289</v>
      </c>
      <c r="D2162" s="2" t="str">
        <f>IFERROR(__xludf.DUMMYFUNCTION("IFERROR(VLOOKUP(A2162, IMPORTRANGE(""https://docs.google.com/spreadsheets/d/1-3Vjw2Cyy-mry5gbC8ypIR3YVGFfEpyFESummAta6sg/edit"", ""Sheet1!B:D""), 2, FALSE), ""Not Found"")"),"kriet")</f>
        <v>kriet</v>
      </c>
      <c r="E2162" s="2" t="str">
        <f>IFERROR(__xludf.DUMMYFUNCTION("IFERROR(VLOOKUP(A2162, IMPORTRANGE(""https://docs.google.com/spreadsheets/d/1-3Vjw2Cyy-mry5gbC8ypIR3YVGFfEpyFESummAta6sg/edit"", ""Sheet1!B:D""), 3, FALSE), ""Not Found"")"),"k r i e t ")</f>
        <v>k r i e t </v>
      </c>
    </row>
    <row r="2163">
      <c r="A2163" s="1" t="s">
        <v>2166</v>
      </c>
      <c r="B2163" s="1" t="s">
        <v>5</v>
      </c>
      <c r="C2163" s="2">
        <f>IFERROR(__xludf.DUMMYFUNCTION("IFERROR(VLOOKUP(A2163, IMPORTRANGE(""https://docs.google.com/spreadsheets/d/1AVX9GT0dgogEBStecCXMMQ29tWz3gBrtNB8yIromXbY/edit?gid=741673867"", ""out1g!A:B""), 2, FALSE), 0)"),721.0)</f>
        <v>721</v>
      </c>
      <c r="D2163" s="2" t="str">
        <f>IFERROR(__xludf.DUMMYFUNCTION("IFERROR(VLOOKUP(A2163, IMPORTRANGE(""https://docs.google.com/spreadsheets/d/1-3Vjw2Cyy-mry5gbC8ypIR3YVGFfEpyFESummAta6sg/edit"", ""Sheet1!B:D""), 2, FALSE), ""Not Found"")"),"ʤɛt")</f>
        <v>ʤɛt</v>
      </c>
      <c r="E2163" s="2" t="str">
        <f>IFERROR(__xludf.DUMMYFUNCTION("IFERROR(VLOOKUP(A2163, IMPORTRANGE(""https://docs.google.com/spreadsheets/d/1-3Vjw2Cyy-mry5gbC8ypIR3YVGFfEpyFESummAta6sg/edit"", ""Sheet1!B:D""), 3, FALSE), ""Not Found"")"),"ʤ ɛ t ")</f>
        <v>ʤ ɛ t </v>
      </c>
    </row>
    <row r="2164">
      <c r="A2164" s="1" t="s">
        <v>2167</v>
      </c>
      <c r="B2164" s="1" t="s">
        <v>5</v>
      </c>
      <c r="C2164" s="2">
        <f>IFERROR(__xludf.DUMMYFUNCTION("IFERROR(VLOOKUP(A2164, IMPORTRANGE(""https://docs.google.com/spreadsheets/d/1AVX9GT0dgogEBStecCXMMQ29tWz3gBrtNB8yIromXbY/edit?gid=741673867"", ""out1g!A:B""), 2, FALSE), 0)"),1026.0)</f>
        <v>1026</v>
      </c>
      <c r="D2164" s="2" t="str">
        <f>IFERROR(__xludf.DUMMYFUNCTION("IFERROR(VLOOKUP(A2164, IMPORTRANGE(""https://docs.google.com/spreadsheets/d/1-3Vjw2Cyy-mry5gbC8ypIR3YVGFfEpyFESummAta6sg/edit"", ""Sheet1!B:D""), 2, FALSE), ""Not Found"")"),"kɛrid")</f>
        <v>kɛrid</v>
      </c>
      <c r="E2164" s="2" t="str">
        <f>IFERROR(__xludf.DUMMYFUNCTION("IFERROR(VLOOKUP(A2164, IMPORTRANGE(""https://docs.google.com/spreadsheets/d/1-3Vjw2Cyy-mry5gbC8ypIR3YVGFfEpyFESummAta6sg/edit"", ""Sheet1!B:D""), 3, FALSE), ""Not Found"")"),"k ɛ r i d ")</f>
        <v>k ɛ r i d </v>
      </c>
    </row>
    <row r="2165">
      <c r="A2165" s="1" t="s">
        <v>2168</v>
      </c>
      <c r="B2165" s="1" t="s">
        <v>5</v>
      </c>
      <c r="C2165" s="2">
        <f>IFERROR(__xludf.DUMMYFUNCTION("IFERROR(VLOOKUP(A2165, IMPORTRANGE(""https://docs.google.com/spreadsheets/d/1AVX9GT0dgogEBStecCXMMQ29tWz3gBrtNB8yIromXbY/edit?gid=741673867"", ""out1g!A:B""), 2, FALSE), 0)"),46.0)</f>
        <v>46</v>
      </c>
      <c r="D2165" s="2" t="str">
        <f>IFERROR(__xludf.DUMMYFUNCTION("IFERROR(VLOOKUP(A2165, IMPORTRANGE(""https://docs.google.com/spreadsheets/d/1-3Vjw2Cyy-mry5gbC8ypIR3YVGFfEpyFESummAta6sg/edit"", ""Sheet1!B:D""), 2, FALSE), ""Not Found"")"),"rɛps")</f>
        <v>rɛps</v>
      </c>
      <c r="E2165" s="2" t="str">
        <f>IFERROR(__xludf.DUMMYFUNCTION("IFERROR(VLOOKUP(A2165, IMPORTRANGE(""https://docs.google.com/spreadsheets/d/1-3Vjw2Cyy-mry5gbC8ypIR3YVGFfEpyFESummAta6sg/edit"", ""Sheet1!B:D""), 3, FALSE), ""Not Found"")"),"r ɛ p s ")</f>
        <v>r ɛ p s </v>
      </c>
    </row>
    <row r="2166">
      <c r="A2166" s="1" t="s">
        <v>2169</v>
      </c>
      <c r="B2166" s="1" t="s">
        <v>5</v>
      </c>
      <c r="C2166" s="2">
        <f>IFERROR(__xludf.DUMMYFUNCTION("IFERROR(VLOOKUP(A2166, IMPORTRANGE(""https://docs.google.com/spreadsheets/d/1AVX9GT0dgogEBStecCXMMQ29tWz3gBrtNB8yIromXbY/edit?gid=741673867"", ""out1g!A:B""), 2, FALSE), 0)"),191.0)</f>
        <v>191</v>
      </c>
      <c r="D2166" s="2" t="str">
        <f>IFERROR(__xludf.DUMMYFUNCTION("IFERROR(VLOOKUP(A2166, IMPORTRANGE(""https://docs.google.com/spreadsheets/d/1-3Vjw2Cyy-mry5gbC8ypIR3YVGFfEpyFESummAta6sg/edit"", ""Sheet1!B:D""), 2, FALSE), ""Not Found"")"),"poʊkɪŋ")</f>
        <v>poʊkɪŋ</v>
      </c>
      <c r="E2166" s="2" t="str">
        <f>IFERROR(__xludf.DUMMYFUNCTION("IFERROR(VLOOKUP(A2166, IMPORTRANGE(""https://docs.google.com/spreadsheets/d/1-3Vjw2Cyy-mry5gbC8ypIR3YVGFfEpyFESummAta6sg/edit"", ""Sheet1!B:D""), 3, FALSE), ""Not Found"")"),"p o ʊ k ɪ ŋ ")</f>
        <v>p o ʊ k ɪ ŋ </v>
      </c>
    </row>
    <row r="2167">
      <c r="A2167" s="1" t="s">
        <v>2170</v>
      </c>
      <c r="B2167" s="1" t="s">
        <v>5</v>
      </c>
      <c r="C2167" s="2">
        <f>IFERROR(__xludf.DUMMYFUNCTION("IFERROR(VLOOKUP(A2167, IMPORTRANGE(""https://docs.google.com/spreadsheets/d/1AVX9GT0dgogEBStecCXMMQ29tWz3gBrtNB8yIromXbY/edit?gid=741673867"", ""out1g!A:B""), 2, FALSE), 0)"),178.0)</f>
        <v>178</v>
      </c>
      <c r="D2167" s="2" t="str">
        <f>IFERROR(__xludf.DUMMYFUNCTION("IFERROR(VLOOKUP(A2167, IMPORTRANGE(""https://docs.google.com/spreadsheets/d/1-3Vjw2Cyy-mry5gbC8ypIR3YVGFfEpyFESummAta6sg/edit"", ""Sheet1!B:D""), 2, FALSE), ""Not Found"")"),"bɛri")</f>
        <v>bɛri</v>
      </c>
      <c r="E2167" s="2" t="str">
        <f>IFERROR(__xludf.DUMMYFUNCTION("IFERROR(VLOOKUP(A2167, IMPORTRANGE(""https://docs.google.com/spreadsheets/d/1-3Vjw2Cyy-mry5gbC8ypIR3YVGFfEpyFESummAta6sg/edit"", ""Sheet1!B:D""), 3, FALSE), ""Not Found"")"),"b ɛ r i ")</f>
        <v>b ɛ r i </v>
      </c>
    </row>
    <row r="2168">
      <c r="A2168" s="1" t="s">
        <v>2171</v>
      </c>
      <c r="B2168" s="1" t="s">
        <v>5</v>
      </c>
      <c r="C2168" s="2">
        <f>IFERROR(__xludf.DUMMYFUNCTION("IFERROR(VLOOKUP(A2168, IMPORTRANGE(""https://docs.google.com/spreadsheets/d/1AVX9GT0dgogEBStecCXMMQ29tWz3gBrtNB8yIromXbY/edit?gid=741673867"", ""out1g!A:B""), 2, FALSE), 0)"),3858.0)</f>
        <v>3858</v>
      </c>
      <c r="D2168" s="2" t="str">
        <f>IFERROR(__xludf.DUMMYFUNCTION("IFERROR(VLOOKUP(A2168, IMPORTRANGE(""https://docs.google.com/spreadsheets/d/1-3Vjw2Cyy-mry5gbC8ypIR3YVGFfEpyFESummAta6sg/edit"", ""Sheet1!B:D""), 2, FALSE), ""Not Found"")"),"ɛd")</f>
        <v>ɛd</v>
      </c>
      <c r="E2168" s="2" t="str">
        <f>IFERROR(__xludf.DUMMYFUNCTION("IFERROR(VLOOKUP(A2168, IMPORTRANGE(""https://docs.google.com/spreadsheets/d/1-3Vjw2Cyy-mry5gbC8ypIR3YVGFfEpyFESummAta6sg/edit"", ""Sheet1!B:D""), 3, FALSE), ""Not Found"")"),"ɛ d ")</f>
        <v>ɛ d </v>
      </c>
    </row>
    <row r="2169">
      <c r="A2169" s="1" t="s">
        <v>2172</v>
      </c>
      <c r="B2169" s="1" t="s">
        <v>5</v>
      </c>
      <c r="C2169" s="2">
        <f>IFERROR(__xludf.DUMMYFUNCTION("IFERROR(VLOOKUP(A2169, IMPORTRANGE(""https://docs.google.com/spreadsheets/d/1AVX9GT0dgogEBStecCXMMQ29tWz3gBrtNB8yIromXbY/edit?gid=741673867"", ""out1g!A:B""), 2, FALSE), 0)"),7664.0)</f>
        <v>7664</v>
      </c>
      <c r="D2169" s="2" t="str">
        <f>IFERROR(__xludf.DUMMYFUNCTION("IFERROR(VLOOKUP(A2169, IMPORTRANGE(""https://docs.google.com/spreadsheets/d/1-3Vjw2Cyy-mry5gbC8ypIR3YVGFfEpyFESummAta6sg/edit"", ""Sheet1!B:D""), 2, FALSE), ""Not Found"")"),"jɑ")</f>
        <v>jɑ</v>
      </c>
      <c r="E2169" s="2" t="str">
        <f>IFERROR(__xludf.DUMMYFUNCTION("IFERROR(VLOOKUP(A2169, IMPORTRANGE(""https://docs.google.com/spreadsheets/d/1-3Vjw2Cyy-mry5gbC8ypIR3YVGFfEpyFESummAta6sg/edit"", ""Sheet1!B:D""), 3, FALSE), ""Not Found"")"),"j ɑ ")</f>
        <v>j ɑ </v>
      </c>
    </row>
    <row r="2170">
      <c r="A2170" s="1" t="s">
        <v>2173</v>
      </c>
      <c r="B2170" s="1" t="s">
        <v>5</v>
      </c>
      <c r="C2170" s="2">
        <f>IFERROR(__xludf.DUMMYFUNCTION("IFERROR(VLOOKUP(A2170, IMPORTRANGE(""https://docs.google.com/spreadsheets/d/1AVX9GT0dgogEBStecCXMMQ29tWz3gBrtNB8yIromXbY/edit?gid=741673867"", ""out1g!A:B""), 2, FALSE), 0)"),480.0)</f>
        <v>480</v>
      </c>
      <c r="D2170" s="2" t="str">
        <f>IFERROR(__xludf.DUMMYFUNCTION("IFERROR(VLOOKUP(A2170, IMPORTRANGE(""https://docs.google.com/spreadsheets/d/1-3Vjw2Cyy-mry5gbC8ypIR3YVGFfEpyFESummAta6sg/edit"", ""Sheet1!B:D""), 2, FALSE), ""Not Found"")"),"wɛlz")</f>
        <v>wɛlz</v>
      </c>
      <c r="E2170" s="2" t="str">
        <f>IFERROR(__xludf.DUMMYFUNCTION("IFERROR(VLOOKUP(A2170, IMPORTRANGE(""https://docs.google.com/spreadsheets/d/1-3Vjw2Cyy-mry5gbC8ypIR3YVGFfEpyFESummAta6sg/edit"", ""Sheet1!B:D""), 3, FALSE), ""Not Found"")"),"w ɛ l z ")</f>
        <v>w ɛ l z </v>
      </c>
    </row>
    <row r="2171">
      <c r="A2171" s="1" t="s">
        <v>2174</v>
      </c>
      <c r="B2171" s="1" t="s">
        <v>5</v>
      </c>
      <c r="C2171" s="2">
        <f>IFERROR(__xludf.DUMMYFUNCTION("IFERROR(VLOOKUP(A2171, IMPORTRANGE(""https://docs.google.com/spreadsheets/d/1AVX9GT0dgogEBStecCXMMQ29tWz3gBrtNB8yIromXbY/edit?gid=741673867"", ""out1g!A:B""), 2, FALSE), 0)"),521.0)</f>
        <v>521</v>
      </c>
      <c r="D2171" s="2" t="str">
        <f>IFERROR(__xludf.DUMMYFUNCTION("IFERROR(VLOOKUP(A2171, IMPORTRANGE(""https://docs.google.com/spreadsheets/d/1-3Vjw2Cyy-mry5gbC8ypIR3YVGFfEpyFESummAta6sg/edit"", ""Sheet1!B:D""), 2, FALSE), ""Not Found"")"),"sizər")</f>
        <v>sizər</v>
      </c>
      <c r="E2171" s="2" t="str">
        <f>IFERROR(__xludf.DUMMYFUNCTION("IFERROR(VLOOKUP(A2171, IMPORTRANGE(""https://docs.google.com/spreadsheets/d/1-3Vjw2Cyy-mry5gbC8ypIR3YVGFfEpyFESummAta6sg/edit"", ""Sheet1!B:D""), 3, FALSE), ""Not Found"")"),"s i z ə r ")</f>
        <v>s i z ə r </v>
      </c>
    </row>
    <row r="2172">
      <c r="A2172" s="1" t="s">
        <v>2175</v>
      </c>
      <c r="B2172" s="1" t="s">
        <v>5</v>
      </c>
      <c r="C2172" s="2">
        <f>IFERROR(__xludf.DUMMYFUNCTION("IFERROR(VLOOKUP(A2172, IMPORTRANGE(""https://docs.google.com/spreadsheets/d/1AVX9GT0dgogEBStecCXMMQ29tWz3gBrtNB8yIromXbY/edit?gid=741673867"", ""out1g!A:B""), 2, FALSE), 0)"),286.0)</f>
        <v>286</v>
      </c>
      <c r="D2172" s="2" t="str">
        <f>IFERROR(__xludf.DUMMYFUNCTION("IFERROR(VLOOKUP(A2172, IMPORTRANGE(""https://docs.google.com/spreadsheets/d/1-3Vjw2Cyy-mry5gbC8ypIR3YVGFfEpyFESummAta6sg/edit"", ""Sheet1!B:D""), 2, FALSE), ""Not Found"")"),"fed")</f>
        <v>fed</v>
      </c>
      <c r="E2172" s="2" t="str">
        <f>IFERROR(__xludf.DUMMYFUNCTION("IFERROR(VLOOKUP(A2172, IMPORTRANGE(""https://docs.google.com/spreadsheets/d/1-3Vjw2Cyy-mry5gbC8ypIR3YVGFfEpyFESummAta6sg/edit"", ""Sheet1!B:D""), 3, FALSE), ""Not Found"")"),"f e d ")</f>
        <v>f e d </v>
      </c>
    </row>
    <row r="2173">
      <c r="A2173" s="1" t="s">
        <v>2176</v>
      </c>
      <c r="B2173" s="1" t="s">
        <v>5</v>
      </c>
      <c r="C2173" s="2">
        <f>IFERROR(__xludf.DUMMYFUNCTION("IFERROR(VLOOKUP(A2173, IMPORTRANGE(""https://docs.google.com/spreadsheets/d/1AVX9GT0dgogEBStecCXMMQ29tWz3gBrtNB8yIromXbY/edit?gid=741673867"", ""out1g!A:B""), 2, FALSE), 0)"),5343.0)</f>
        <v>5343</v>
      </c>
      <c r="D2173" s="2" t="str">
        <f>IFERROR(__xludf.DUMMYFUNCTION("IFERROR(VLOOKUP(A2173, IMPORTRANGE(""https://docs.google.com/spreadsheets/d/1-3Vjw2Cyy-mry5gbC8ypIR3YVGFfEpyFESummAta6sg/edit"", ""Sheet1!B:D""), 2, FALSE), ""Not Found"")"),"meʤər")</f>
        <v>meʤər</v>
      </c>
      <c r="E2173" s="2" t="str">
        <f>IFERROR(__xludf.DUMMYFUNCTION("IFERROR(VLOOKUP(A2173, IMPORTRANGE(""https://docs.google.com/spreadsheets/d/1-3Vjw2Cyy-mry5gbC8ypIR3YVGFfEpyFESummAta6sg/edit"", ""Sheet1!B:D""), 3, FALSE), ""Not Found"")"),"m e ʤ ə r ")</f>
        <v>m e ʤ ə r </v>
      </c>
    </row>
    <row r="2174">
      <c r="A2174" s="1" t="s">
        <v>2177</v>
      </c>
      <c r="B2174" s="1" t="s">
        <v>5</v>
      </c>
      <c r="C2174" s="2">
        <f>IFERROR(__xludf.DUMMYFUNCTION("IFERROR(VLOOKUP(A2174, IMPORTRANGE(""https://docs.google.com/spreadsheets/d/1AVX9GT0dgogEBStecCXMMQ29tWz3gBrtNB8yIromXbY/edit?gid=741673867"", ""out1g!A:B""), 2, FALSE), 0)"),67.0)</f>
        <v>67</v>
      </c>
      <c r="D2174" s="2" t="str">
        <f>IFERROR(__xludf.DUMMYFUNCTION("IFERROR(VLOOKUP(A2174, IMPORTRANGE(""https://docs.google.com/spreadsheets/d/1-3Vjw2Cyy-mry5gbC8ypIR3YVGFfEpyFESummAta6sg/edit"", ""Sheet1!B:D""), 2, FALSE), ""Not Found"")"),"krəʧ")</f>
        <v>krəʧ</v>
      </c>
      <c r="E2174" s="2" t="str">
        <f>IFERROR(__xludf.DUMMYFUNCTION("IFERROR(VLOOKUP(A2174, IMPORTRANGE(""https://docs.google.com/spreadsheets/d/1-3Vjw2Cyy-mry5gbC8ypIR3YVGFfEpyFESummAta6sg/edit"", ""Sheet1!B:D""), 3, FALSE), ""Not Found"")"),"k r ə ʧ ")</f>
        <v>k r ə ʧ </v>
      </c>
    </row>
    <row r="2175">
      <c r="A2175" s="1" t="s">
        <v>2178</v>
      </c>
      <c r="B2175" s="1" t="s">
        <v>5</v>
      </c>
      <c r="C2175" s="2">
        <f>IFERROR(__xludf.DUMMYFUNCTION("IFERROR(VLOOKUP(A2175, IMPORTRANGE(""https://docs.google.com/spreadsheets/d/1AVX9GT0dgogEBStecCXMMQ29tWz3gBrtNB8yIromXbY/edit?gid=741673867"", ""out1g!A:B""), 2, FALSE), 0)"),683.0)</f>
        <v>683</v>
      </c>
      <c r="D2175" s="2" t="str">
        <f>IFERROR(__xludf.DUMMYFUNCTION("IFERROR(VLOOKUP(A2175, IMPORTRANGE(""https://docs.google.com/spreadsheets/d/1-3Vjw2Cyy-mry5gbC8ypIR3YVGFfEpyFESummAta6sg/edit"", ""Sheet1!B:D""), 2, FALSE), ""Not Found"")"),"dimənz")</f>
        <v>dimənz</v>
      </c>
      <c r="E2175" s="2" t="str">
        <f>IFERROR(__xludf.DUMMYFUNCTION("IFERROR(VLOOKUP(A2175, IMPORTRANGE(""https://docs.google.com/spreadsheets/d/1-3Vjw2Cyy-mry5gbC8ypIR3YVGFfEpyFESummAta6sg/edit"", ""Sheet1!B:D""), 3, FALSE), ""Not Found"")"),"d i m ə n z ")</f>
        <v>d i m ə n z </v>
      </c>
    </row>
    <row r="2176">
      <c r="A2176" s="1" t="s">
        <v>2179</v>
      </c>
      <c r="B2176" s="1" t="s">
        <v>5</v>
      </c>
      <c r="C2176" s="2">
        <f>IFERROR(__xludf.DUMMYFUNCTION("IFERROR(VLOOKUP(A2176, IMPORTRANGE(""https://docs.google.com/spreadsheets/d/1AVX9GT0dgogEBStecCXMMQ29tWz3gBrtNB8yIromXbY/edit?gid=741673867"", ""out1g!A:B""), 2, FALSE), 0)"),337.0)</f>
        <v>337</v>
      </c>
      <c r="D2176" s="2" t="str">
        <f>IFERROR(__xludf.DUMMYFUNCTION("IFERROR(VLOOKUP(A2176, IMPORTRANGE(""https://docs.google.com/spreadsheets/d/1-3Vjw2Cyy-mry5gbC8ypIR3YVGFfEpyFESummAta6sg/edit"", ""Sheet1!B:D""), 2, FALSE), ""Not Found"")"),"tubz")</f>
        <v>tubz</v>
      </c>
      <c r="E2176" s="2" t="str">
        <f>IFERROR(__xludf.DUMMYFUNCTION("IFERROR(VLOOKUP(A2176, IMPORTRANGE(""https://docs.google.com/spreadsheets/d/1-3Vjw2Cyy-mry5gbC8ypIR3YVGFfEpyFESummAta6sg/edit"", ""Sheet1!B:D""), 3, FALSE), ""Not Found"")"),"t u b z ")</f>
        <v>t u b z </v>
      </c>
    </row>
    <row r="2177">
      <c r="A2177" s="1" t="s">
        <v>2180</v>
      </c>
      <c r="B2177" s="1" t="s">
        <v>5</v>
      </c>
      <c r="C2177" s="2">
        <f>IFERROR(__xludf.DUMMYFUNCTION("IFERROR(VLOOKUP(A2177, IMPORTRANGE(""https://docs.google.com/spreadsheets/d/1AVX9GT0dgogEBStecCXMMQ29tWz3gBrtNB8yIromXbY/edit?gid=741673867"", ""out1g!A:B""), 2, FALSE), 0)"),7316.0)</f>
        <v>7316</v>
      </c>
      <c r="D2177" s="2" t="str">
        <f>IFERROR(__xludf.DUMMYFUNCTION("IFERROR(VLOOKUP(A2177, IMPORTRANGE(""https://docs.google.com/spreadsheets/d/1-3Vjw2Cyy-mry5gbC8ypIR3YVGFfEpyFESummAta6sg/edit"", ""Sheet1!B:D""), 2, FALSE), ""Not Found"")"),"ləki")</f>
        <v>ləki</v>
      </c>
      <c r="E2177" s="2" t="str">
        <f>IFERROR(__xludf.DUMMYFUNCTION("IFERROR(VLOOKUP(A2177, IMPORTRANGE(""https://docs.google.com/spreadsheets/d/1-3Vjw2Cyy-mry5gbC8ypIR3YVGFfEpyFESummAta6sg/edit"", ""Sheet1!B:D""), 3, FALSE), ""Not Found"")"),"l ə k i ")</f>
        <v>l ə k i </v>
      </c>
    </row>
    <row r="2178">
      <c r="A2178" s="1" t="s">
        <v>2181</v>
      </c>
      <c r="B2178" s="1" t="s">
        <v>5</v>
      </c>
      <c r="C2178" s="2">
        <f>IFERROR(__xludf.DUMMYFUNCTION("IFERROR(VLOOKUP(A2178, IMPORTRANGE(""https://docs.google.com/spreadsheets/d/1AVX9GT0dgogEBStecCXMMQ29tWz3gBrtNB8yIromXbY/edit?gid=741673867"", ""out1g!A:B""), 2, FALSE), 0)"),337.0)</f>
        <v>337</v>
      </c>
      <c r="D2178" s="2" t="str">
        <f>IFERROR(__xludf.DUMMYFUNCTION("IFERROR(VLOOKUP(A2178, IMPORTRANGE(""https://docs.google.com/spreadsheets/d/1-3Vjw2Cyy-mry5gbC8ypIR3YVGFfEpyFESummAta6sg/edit"", ""Sheet1!B:D""), 2, FALSE), ""Not Found"")"),"pɑli")</f>
        <v>pɑli</v>
      </c>
      <c r="E2178" s="2" t="str">
        <f>IFERROR(__xludf.DUMMYFUNCTION("IFERROR(VLOOKUP(A2178, IMPORTRANGE(""https://docs.google.com/spreadsheets/d/1-3Vjw2Cyy-mry5gbC8ypIR3YVGFfEpyFESummAta6sg/edit"", ""Sheet1!B:D""), 3, FALSE), ""Not Found"")"),"p ɑ l i ")</f>
        <v>p ɑ l i </v>
      </c>
    </row>
    <row r="2179">
      <c r="A2179" s="1" t="s">
        <v>2182</v>
      </c>
      <c r="B2179" s="1" t="s">
        <v>5</v>
      </c>
      <c r="C2179" s="2">
        <f>IFERROR(__xludf.DUMMYFUNCTION("IFERROR(VLOOKUP(A2179, IMPORTRANGE(""https://docs.google.com/spreadsheets/d/1AVX9GT0dgogEBStecCXMMQ29tWz3gBrtNB8yIromXbY/edit?gid=741673867"", ""out1g!A:B""), 2, FALSE), 0)"),238.0)</f>
        <v>238</v>
      </c>
      <c r="D2179" s="2" t="str">
        <f>IFERROR(__xludf.DUMMYFUNCTION("IFERROR(VLOOKUP(A2179, IMPORTRANGE(""https://docs.google.com/spreadsheets/d/1-3Vjw2Cyy-mry5gbC8ypIR3YVGFfEpyFESummAta6sg/edit"", ""Sheet1!B:D""), 2, FALSE), ""Not Found"")"),"ʧætər")</f>
        <v>ʧætər</v>
      </c>
      <c r="E2179" s="2" t="str">
        <f>IFERROR(__xludf.DUMMYFUNCTION("IFERROR(VLOOKUP(A2179, IMPORTRANGE(""https://docs.google.com/spreadsheets/d/1-3Vjw2Cyy-mry5gbC8ypIR3YVGFfEpyFESummAta6sg/edit"", ""Sheet1!B:D""), 3, FALSE), ""Not Found"")"),"ʧ æ t ə r ")</f>
        <v>ʧ æ t ə r </v>
      </c>
    </row>
    <row r="2180">
      <c r="A2180" s="1" t="s">
        <v>2183</v>
      </c>
      <c r="B2180" s="1" t="s">
        <v>5</v>
      </c>
      <c r="C2180" s="2">
        <f>IFERROR(__xludf.DUMMYFUNCTION("IFERROR(VLOOKUP(A2180, IMPORTRANGE(""https://docs.google.com/spreadsheets/d/1AVX9GT0dgogEBStecCXMMQ29tWz3gBrtNB8yIromXbY/edit?gid=741673867"", ""out1g!A:B""), 2, FALSE), 0)"),7534.0)</f>
        <v>7534</v>
      </c>
      <c r="D2180" s="2" t="str">
        <f>IFERROR(__xludf.DUMMYFUNCTION("IFERROR(VLOOKUP(A2180, IMPORTRANGE(""https://docs.google.com/spreadsheets/d/1-3Vjw2Cyy-mry5gbC8ypIR3YVGFfEpyFESummAta6sg/edit"", ""Sheet1!B:D""), 2, FALSE), ""Not Found"")"),"təʧ")</f>
        <v>təʧ</v>
      </c>
      <c r="E2180" s="2" t="str">
        <f>IFERROR(__xludf.DUMMYFUNCTION("IFERROR(VLOOKUP(A2180, IMPORTRANGE(""https://docs.google.com/spreadsheets/d/1-3Vjw2Cyy-mry5gbC8ypIR3YVGFfEpyFESummAta6sg/edit"", ""Sheet1!B:D""), 3, FALSE), ""Not Found"")"),"t ə ʧ ")</f>
        <v>t ə ʧ </v>
      </c>
    </row>
    <row r="2181">
      <c r="A2181" s="1" t="s">
        <v>2184</v>
      </c>
      <c r="B2181" s="1" t="s">
        <v>5</v>
      </c>
      <c r="C2181" s="2">
        <f>IFERROR(__xludf.DUMMYFUNCTION("IFERROR(VLOOKUP(A2181, IMPORTRANGE(""https://docs.google.com/spreadsheets/d/1AVX9GT0dgogEBStecCXMMQ29tWz3gBrtNB8yIromXbY/edit?gid=741673867"", ""out1g!A:B""), 2, FALSE), 0)"),102.0)</f>
        <v>102</v>
      </c>
      <c r="D2181" s="2" t="str">
        <f>IFERROR(__xludf.DUMMYFUNCTION("IFERROR(VLOOKUP(A2181, IMPORTRANGE(""https://docs.google.com/spreadsheets/d/1-3Vjw2Cyy-mry5gbC8ypIR3YVGFfEpyFESummAta6sg/edit"", ""Sheet1!B:D""), 2, FALSE), ""Not Found"")"),"kugər")</f>
        <v>kugər</v>
      </c>
      <c r="E2181" s="2" t="str">
        <f>IFERROR(__xludf.DUMMYFUNCTION("IFERROR(VLOOKUP(A2181, IMPORTRANGE(""https://docs.google.com/spreadsheets/d/1-3Vjw2Cyy-mry5gbC8ypIR3YVGFfEpyFESummAta6sg/edit"", ""Sheet1!B:D""), 3, FALSE), ""Not Found"")"),"k u g ə r ")</f>
        <v>k u g ə r </v>
      </c>
    </row>
    <row r="2182">
      <c r="A2182" s="1" t="s">
        <v>2185</v>
      </c>
      <c r="B2182" s="1" t="s">
        <v>5</v>
      </c>
      <c r="C2182" s="2">
        <f>IFERROR(__xludf.DUMMYFUNCTION("IFERROR(VLOOKUP(A2182, IMPORTRANGE(""https://docs.google.com/spreadsheets/d/1AVX9GT0dgogEBStecCXMMQ29tWz3gBrtNB8yIromXbY/edit?gid=741673867"", ""out1g!A:B""), 2, FALSE), 0)"),53.0)</f>
        <v>53</v>
      </c>
      <c r="D2182" s="2" t="str">
        <f>IFERROR(__xludf.DUMMYFUNCTION("IFERROR(VLOOKUP(A2182, IMPORTRANGE(""https://docs.google.com/spreadsheets/d/1-3Vjw2Cyy-mry5gbC8ypIR3YVGFfEpyFESummAta6sg/edit"", ""Sheet1!B:D""), 2, FALSE), ""Not Found"")"),"nɑbz")</f>
        <v>nɑbz</v>
      </c>
      <c r="E2182" s="2" t="str">
        <f>IFERROR(__xludf.DUMMYFUNCTION("IFERROR(VLOOKUP(A2182, IMPORTRANGE(""https://docs.google.com/spreadsheets/d/1-3Vjw2Cyy-mry5gbC8ypIR3YVGFfEpyFESummAta6sg/edit"", ""Sheet1!B:D""), 3, FALSE), ""Not Found"")"),"n ɑ b z ")</f>
        <v>n ɑ b z </v>
      </c>
    </row>
    <row r="2183">
      <c r="A2183" s="1" t="s">
        <v>2186</v>
      </c>
      <c r="B2183" s="1" t="s">
        <v>5</v>
      </c>
      <c r="C2183" s="2">
        <f>IFERROR(__xludf.DUMMYFUNCTION("IFERROR(VLOOKUP(A2183, IMPORTRANGE(""https://docs.google.com/spreadsheets/d/1AVX9GT0dgogEBStecCXMMQ29tWz3gBrtNB8yIromXbY/edit?gid=741673867"", ""out1g!A:B""), 2, FALSE), 0)"),725.0)</f>
        <v>725</v>
      </c>
      <c r="D2183" s="2" t="str">
        <f>IFERROR(__xludf.DUMMYFUNCTION("IFERROR(VLOOKUP(A2183, IMPORTRANGE(""https://docs.google.com/spreadsheets/d/1-3Vjw2Cyy-mry5gbC8ypIR3YVGFfEpyFESummAta6sg/edit"", ""Sheet1!B:D""), 2, FALSE), ""Not Found"")"),"kɔrn")</f>
        <v>kɔrn</v>
      </c>
      <c r="E2183" s="2" t="str">
        <f>IFERROR(__xludf.DUMMYFUNCTION("IFERROR(VLOOKUP(A2183, IMPORTRANGE(""https://docs.google.com/spreadsheets/d/1-3Vjw2Cyy-mry5gbC8ypIR3YVGFfEpyFESummAta6sg/edit"", ""Sheet1!B:D""), 3, FALSE), ""Not Found"")"),"k ɔ r n ")</f>
        <v>k ɔ r n </v>
      </c>
    </row>
    <row r="2184">
      <c r="A2184" s="1" t="s">
        <v>2187</v>
      </c>
      <c r="B2184" s="1" t="s">
        <v>5</v>
      </c>
      <c r="C2184" s="2">
        <f>IFERROR(__xludf.DUMMYFUNCTION("IFERROR(VLOOKUP(A2184, IMPORTRANGE(""https://docs.google.com/spreadsheets/d/1AVX9GT0dgogEBStecCXMMQ29tWz3gBrtNB8yIromXbY/edit?gid=741673867"", ""out1g!A:B""), 2, FALSE), 0)"),791.0)</f>
        <v>791</v>
      </c>
      <c r="D2184" s="2" t="str">
        <f>IFERROR(__xludf.DUMMYFUNCTION("IFERROR(VLOOKUP(A2184, IMPORTRANGE(""https://docs.google.com/spreadsheets/d/1-3Vjw2Cyy-mry5gbC8ypIR3YVGFfEpyFESummAta6sg/edit"", ""Sheet1!B:D""), 2, FALSE), ""Not Found"")"),"ərenʤ")</f>
        <v>ərenʤ</v>
      </c>
      <c r="E2184" s="2" t="str">
        <f>IFERROR(__xludf.DUMMYFUNCTION("IFERROR(VLOOKUP(A2184, IMPORTRANGE(""https://docs.google.com/spreadsheets/d/1-3Vjw2Cyy-mry5gbC8ypIR3YVGFfEpyFESummAta6sg/edit"", ""Sheet1!B:D""), 3, FALSE), ""Not Found"")"),"ə r e n ʤ ")</f>
        <v>ə r e n ʤ </v>
      </c>
    </row>
    <row r="2185">
      <c r="A2185" s="1" t="s">
        <v>2188</v>
      </c>
      <c r="B2185" s="1" t="s">
        <v>5</v>
      </c>
      <c r="C2185" s="2">
        <f>IFERROR(__xludf.DUMMYFUNCTION("IFERROR(VLOOKUP(A2185, IMPORTRANGE(""https://docs.google.com/spreadsheets/d/1AVX9GT0dgogEBStecCXMMQ29tWz3gBrtNB8yIromXbY/edit?gid=741673867"", ""out1g!A:B""), 2, FALSE), 0)"),58.0)</f>
        <v>58</v>
      </c>
      <c r="D2185" s="2" t="str">
        <f>IFERROR(__xludf.DUMMYFUNCTION("IFERROR(VLOOKUP(A2185, IMPORTRANGE(""https://docs.google.com/spreadsheets/d/1-3Vjw2Cyy-mry5gbC8ypIR3YVGFfEpyFESummAta6sg/edit"", ""Sheet1!B:D""), 2, FALSE), ""Not Found"")"),"zi")</f>
        <v>zi</v>
      </c>
      <c r="E2185" s="2" t="str">
        <f>IFERROR(__xludf.DUMMYFUNCTION("IFERROR(VLOOKUP(A2185, IMPORTRANGE(""https://docs.google.com/spreadsheets/d/1-3Vjw2Cyy-mry5gbC8ypIR3YVGFfEpyFESummAta6sg/edit"", ""Sheet1!B:D""), 3, FALSE), ""Not Found"")"),"z i ")</f>
        <v>z i </v>
      </c>
    </row>
    <row r="2186">
      <c r="A2186" s="1" t="s">
        <v>2189</v>
      </c>
      <c r="B2186" s="1" t="s">
        <v>5</v>
      </c>
      <c r="C2186" s="2">
        <f>IFERROR(__xludf.DUMMYFUNCTION("IFERROR(VLOOKUP(A2186, IMPORTRANGE(""https://docs.google.com/spreadsheets/d/1AVX9GT0dgogEBStecCXMMQ29tWz3gBrtNB8yIromXbY/edit?gid=741673867"", ""out1g!A:B""), 2, FALSE), 0)"),300.0)</f>
        <v>300</v>
      </c>
      <c r="D2186" s="2" t="str">
        <f>IFERROR(__xludf.DUMMYFUNCTION("IFERROR(VLOOKUP(A2186, IMPORTRANGE(""https://docs.google.com/spreadsheets/d/1-3Vjw2Cyy-mry5gbC8ypIR3YVGFfEpyFESummAta6sg/edit"", ""Sheet1!B:D""), 2, FALSE), ""Not Found"")"),"slɑpi")</f>
        <v>slɑpi</v>
      </c>
      <c r="E2186" s="2" t="str">
        <f>IFERROR(__xludf.DUMMYFUNCTION("IFERROR(VLOOKUP(A2186, IMPORTRANGE(""https://docs.google.com/spreadsheets/d/1-3Vjw2Cyy-mry5gbC8ypIR3YVGFfEpyFESummAta6sg/edit"", ""Sheet1!B:D""), 3, FALSE), ""Not Found"")"),"s l ɑ p i ")</f>
        <v>s l ɑ p i </v>
      </c>
    </row>
    <row r="2187">
      <c r="A2187" s="1" t="s">
        <v>2190</v>
      </c>
      <c r="B2187" s="1" t="s">
        <v>5</v>
      </c>
      <c r="C2187" s="2">
        <f>IFERROR(__xludf.DUMMYFUNCTION("IFERROR(VLOOKUP(A2187, IMPORTRANGE(""https://docs.google.com/spreadsheets/d/1AVX9GT0dgogEBStecCXMMQ29tWz3gBrtNB8yIromXbY/edit?gid=741673867"", ""out1g!A:B""), 2, FALSE), 0)"),331.0)</f>
        <v>331</v>
      </c>
      <c r="D2187" s="2" t="str">
        <f>IFERROR(__xludf.DUMMYFUNCTION("IFERROR(VLOOKUP(A2187, IMPORTRANGE(""https://docs.google.com/spreadsheets/d/1-3Vjw2Cyy-mry5gbC8ypIR3YVGFfEpyFESummAta6sg/edit"", ""Sheet1!B:D""), 2, FALSE), ""Not Found"")"),"əpruvd")</f>
        <v>əpruvd</v>
      </c>
      <c r="E2187" s="2" t="str">
        <f>IFERROR(__xludf.DUMMYFUNCTION("IFERROR(VLOOKUP(A2187, IMPORTRANGE(""https://docs.google.com/spreadsheets/d/1-3Vjw2Cyy-mry5gbC8ypIR3YVGFfEpyFESummAta6sg/edit"", ""Sheet1!B:D""), 3, FALSE), ""Not Found"")"),"ə p r u v d ")</f>
        <v>ə p r u v d </v>
      </c>
    </row>
    <row r="2188">
      <c r="A2188" s="1" t="s">
        <v>2191</v>
      </c>
      <c r="B2188" s="1" t="s">
        <v>5</v>
      </c>
      <c r="C2188" s="2">
        <f>IFERROR(__xludf.DUMMYFUNCTION("IFERROR(VLOOKUP(A2188, IMPORTRANGE(""https://docs.google.com/spreadsheets/d/1AVX9GT0dgogEBStecCXMMQ29tWz3gBrtNB8yIromXbY/edit?gid=741673867"", ""out1g!A:B""), 2, FALSE), 0)"),131.0)</f>
        <v>131</v>
      </c>
      <c r="D2188" s="2" t="str">
        <f>IFERROR(__xludf.DUMMYFUNCTION("IFERROR(VLOOKUP(A2188, IMPORTRANGE(""https://docs.google.com/spreadsheets/d/1-3Vjw2Cyy-mry5gbC8ypIR3YVGFfEpyFESummAta6sg/edit"", ""Sheet1!B:D""), 2, FALSE), ""Not Found"")"),"gemɪŋ")</f>
        <v>gemɪŋ</v>
      </c>
      <c r="E2188" s="2" t="str">
        <f>IFERROR(__xludf.DUMMYFUNCTION("IFERROR(VLOOKUP(A2188, IMPORTRANGE(""https://docs.google.com/spreadsheets/d/1-3Vjw2Cyy-mry5gbC8ypIR3YVGFfEpyFESummAta6sg/edit"", ""Sheet1!B:D""), 3, FALSE), ""Not Found"")"),"g e m ɪ ŋ ")</f>
        <v>g e m ɪ ŋ </v>
      </c>
    </row>
    <row r="2189">
      <c r="A2189" s="1" t="s">
        <v>2192</v>
      </c>
      <c r="B2189" s="1" t="s">
        <v>5</v>
      </c>
      <c r="C2189" s="2">
        <f>IFERROR(__xludf.DUMMYFUNCTION("IFERROR(VLOOKUP(A2189, IMPORTRANGE(""https://docs.google.com/spreadsheets/d/1AVX9GT0dgogEBStecCXMMQ29tWz3gBrtNB8yIromXbY/edit?gid=741673867"", ""out1g!A:B""), 2, FALSE), 0)"),184.0)</f>
        <v>184</v>
      </c>
      <c r="D2189" s="2" t="str">
        <f>IFERROR(__xludf.DUMMYFUNCTION("IFERROR(VLOOKUP(A2189, IMPORTRANGE(""https://docs.google.com/spreadsheets/d/1-3Vjw2Cyy-mry5gbC8ypIR3YVGFfEpyFESummAta6sg/edit"", ""Sheet1!B:D""), 2, FALSE), ""Not Found"")"),"likɪŋ")</f>
        <v>likɪŋ</v>
      </c>
      <c r="E2189" s="2" t="str">
        <f>IFERROR(__xludf.DUMMYFUNCTION("IFERROR(VLOOKUP(A2189, IMPORTRANGE(""https://docs.google.com/spreadsheets/d/1-3Vjw2Cyy-mry5gbC8ypIR3YVGFfEpyFESummAta6sg/edit"", ""Sheet1!B:D""), 3, FALSE), ""Not Found"")"),"l i k ɪ ŋ ")</f>
        <v>l i k ɪ ŋ </v>
      </c>
    </row>
    <row r="2190">
      <c r="A2190" s="1" t="s">
        <v>2193</v>
      </c>
      <c r="B2190" s="1" t="s">
        <v>5</v>
      </c>
      <c r="C2190" s="2">
        <f>IFERROR(__xludf.DUMMYFUNCTION("IFERROR(VLOOKUP(A2190, IMPORTRANGE(""https://docs.google.com/spreadsheets/d/1AVX9GT0dgogEBStecCXMMQ29tWz3gBrtNB8yIromXbY/edit?gid=741673867"", ""out1g!A:B""), 2, FALSE), 0)"),227.0)</f>
        <v>227</v>
      </c>
      <c r="D2190" s="2" t="str">
        <f>IFERROR(__xludf.DUMMYFUNCTION("IFERROR(VLOOKUP(A2190, IMPORTRANGE(""https://docs.google.com/spreadsheets/d/1-3Vjw2Cyy-mry5gbC8ypIR3YVGFfEpyFESummAta6sg/edit"", ""Sheet1!B:D""), 2, FALSE), ""Not Found"")"),"hoʊze")</f>
        <v>hoʊze</v>
      </c>
      <c r="E2190" s="2" t="str">
        <f>IFERROR(__xludf.DUMMYFUNCTION("IFERROR(VLOOKUP(A2190, IMPORTRANGE(""https://docs.google.com/spreadsheets/d/1-3Vjw2Cyy-mry5gbC8ypIR3YVGFfEpyFESummAta6sg/edit"", ""Sheet1!B:D""), 3, FALSE), ""Not Found"")"),"h o ʊ z e ")</f>
        <v>h o ʊ z e </v>
      </c>
    </row>
    <row r="2191">
      <c r="A2191" s="1" t="s">
        <v>2194</v>
      </c>
      <c r="B2191" s="1" t="s">
        <v>5</v>
      </c>
      <c r="C2191" s="2">
        <f>IFERROR(__xludf.DUMMYFUNCTION("IFERROR(VLOOKUP(A2191, IMPORTRANGE(""https://docs.google.com/spreadsheets/d/1AVX9GT0dgogEBStecCXMMQ29tWz3gBrtNB8yIromXbY/edit?gid=741673867"", ""out1g!A:B""), 2, FALSE), 0)"),23.0)</f>
        <v>23</v>
      </c>
      <c r="D2191" s="2" t="str">
        <f>IFERROR(__xludf.DUMMYFUNCTION("IFERROR(VLOOKUP(A2191, IMPORTRANGE(""https://docs.google.com/spreadsheets/d/1-3Vjw2Cyy-mry5gbC8ypIR3YVGFfEpyFESummAta6sg/edit"", ""Sheet1!B:D""), 2, FALSE), ""Not Found"")"),"glɔriz")</f>
        <v>glɔriz</v>
      </c>
      <c r="E2191" s="2" t="str">
        <f>IFERROR(__xludf.DUMMYFUNCTION("IFERROR(VLOOKUP(A2191, IMPORTRANGE(""https://docs.google.com/spreadsheets/d/1-3Vjw2Cyy-mry5gbC8ypIR3YVGFfEpyFESummAta6sg/edit"", ""Sheet1!B:D""), 3, FALSE), ""Not Found"")"),"g l ɔ r i z ")</f>
        <v>g l ɔ r i z </v>
      </c>
    </row>
    <row r="2192">
      <c r="A2192" s="1" t="s">
        <v>2195</v>
      </c>
      <c r="B2192" s="1" t="s">
        <v>5</v>
      </c>
      <c r="C2192" s="2">
        <f>IFERROR(__xludf.DUMMYFUNCTION("IFERROR(VLOOKUP(A2192, IMPORTRANGE(""https://docs.google.com/spreadsheets/d/1AVX9GT0dgogEBStecCXMMQ29tWz3gBrtNB8yIromXbY/edit?gid=741673867"", ""out1g!A:B""), 2, FALSE), 0)"),318.0)</f>
        <v>318</v>
      </c>
      <c r="D2192" s="2" t="str">
        <f>IFERROR(__xludf.DUMMYFUNCTION("IFERROR(VLOOKUP(A2192, IMPORTRANGE(""https://docs.google.com/spreadsheets/d/1-3Vjw2Cyy-mry5gbC8ypIR3YVGFfEpyFESummAta6sg/edit"", ""Sheet1!B:D""), 2, FALSE), ""Not Found"")"),"wɪloʊ")</f>
        <v>wɪloʊ</v>
      </c>
      <c r="E2192" s="2" t="str">
        <f>IFERROR(__xludf.DUMMYFUNCTION("IFERROR(VLOOKUP(A2192, IMPORTRANGE(""https://docs.google.com/spreadsheets/d/1-3Vjw2Cyy-mry5gbC8ypIR3YVGFfEpyFESummAta6sg/edit"", ""Sheet1!B:D""), 3, FALSE), ""Not Found"")"),"w ɪ l o ʊ ")</f>
        <v>w ɪ l o ʊ </v>
      </c>
    </row>
    <row r="2193">
      <c r="A2193" s="1" t="s">
        <v>2196</v>
      </c>
      <c r="B2193" s="1" t="s">
        <v>5</v>
      </c>
      <c r="C2193" s="2">
        <f>IFERROR(__xludf.DUMMYFUNCTION("IFERROR(VLOOKUP(A2193, IMPORTRANGE(""https://docs.google.com/spreadsheets/d/1AVX9GT0dgogEBStecCXMMQ29tWz3gBrtNB8yIromXbY/edit?gid=741673867"", ""out1g!A:B""), 2, FALSE), 0)"),537.0)</f>
        <v>537</v>
      </c>
      <c r="D2193" s="2" t="str">
        <f>IFERROR(__xludf.DUMMYFUNCTION("IFERROR(VLOOKUP(A2193, IMPORTRANGE(""https://docs.google.com/spreadsheets/d/1-3Vjw2Cyy-mry5gbC8ypIR3YVGFfEpyFESummAta6sg/edit"", ""Sheet1!B:D""), 2, FALSE), ""Not Found"")"),"bɛts")</f>
        <v>bɛts</v>
      </c>
      <c r="E2193" s="2" t="str">
        <f>IFERROR(__xludf.DUMMYFUNCTION("IFERROR(VLOOKUP(A2193, IMPORTRANGE(""https://docs.google.com/spreadsheets/d/1-3Vjw2Cyy-mry5gbC8ypIR3YVGFfEpyFESummAta6sg/edit"", ""Sheet1!B:D""), 3, FALSE), ""Not Found"")"),"b ɛ t s ")</f>
        <v>b ɛ t s </v>
      </c>
    </row>
    <row r="2194">
      <c r="A2194" s="1" t="s">
        <v>2197</v>
      </c>
      <c r="B2194" s="1" t="s">
        <v>5</v>
      </c>
      <c r="C2194" s="2">
        <f>IFERROR(__xludf.DUMMYFUNCTION("IFERROR(VLOOKUP(A2194, IMPORTRANGE(""https://docs.google.com/spreadsheets/d/1AVX9GT0dgogEBStecCXMMQ29tWz3gBrtNB8yIromXbY/edit?gid=741673867"", ""out1g!A:B""), 2, FALSE), 0)"),169.0)</f>
        <v>169</v>
      </c>
      <c r="D2194" s="2" t="str">
        <f>IFERROR(__xludf.DUMMYFUNCTION("IFERROR(VLOOKUP(A2194, IMPORTRANGE(""https://docs.google.com/spreadsheets/d/1-3Vjw2Cyy-mry5gbC8ypIR3YVGFfEpyFESummAta6sg/edit"", ""Sheet1!B:D""), 2, FALSE), ""Not Found"")"),"fli")</f>
        <v>fli</v>
      </c>
      <c r="E2194" s="2" t="str">
        <f>IFERROR(__xludf.DUMMYFUNCTION("IFERROR(VLOOKUP(A2194, IMPORTRANGE(""https://docs.google.com/spreadsheets/d/1-3Vjw2Cyy-mry5gbC8ypIR3YVGFfEpyFESummAta6sg/edit"", ""Sheet1!B:D""), 3, FALSE), ""Not Found"")"),"f l i ")</f>
        <v>f l i </v>
      </c>
    </row>
    <row r="2195">
      <c r="A2195" s="1" t="s">
        <v>2198</v>
      </c>
      <c r="B2195" s="1" t="s">
        <v>5</v>
      </c>
      <c r="C2195" s="2">
        <f>IFERROR(__xludf.DUMMYFUNCTION("IFERROR(VLOOKUP(A2195, IMPORTRANGE(""https://docs.google.com/spreadsheets/d/1AVX9GT0dgogEBStecCXMMQ29tWz3gBrtNB8yIromXbY/edit?gid=741673867"", ""out1g!A:B""), 2, FALSE), 0)"),145.0)</f>
        <v>145</v>
      </c>
      <c r="D2195" s="2" t="str">
        <f>IFERROR(__xludf.DUMMYFUNCTION("IFERROR(VLOOKUP(A2195, IMPORTRANGE(""https://docs.google.com/spreadsheets/d/1-3Vjw2Cyy-mry5gbC8ypIR3YVGFfEpyFESummAta6sg/edit"", ""Sheet1!B:D""), 2, FALSE), ""Not Found"")"),"sɛnst")</f>
        <v>sɛnst</v>
      </c>
      <c r="E2195" s="2" t="str">
        <f>IFERROR(__xludf.DUMMYFUNCTION("IFERROR(VLOOKUP(A2195, IMPORTRANGE(""https://docs.google.com/spreadsheets/d/1-3Vjw2Cyy-mry5gbC8ypIR3YVGFfEpyFESummAta6sg/edit"", ""Sheet1!B:D""), 3, FALSE), ""Not Found"")"),"s ɛ n s t ")</f>
        <v>s ɛ n s t </v>
      </c>
    </row>
    <row r="2196">
      <c r="A2196" s="1" t="s">
        <v>2199</v>
      </c>
      <c r="B2196" s="1" t="s">
        <v>5</v>
      </c>
      <c r="C2196" s="2">
        <f>IFERROR(__xludf.DUMMYFUNCTION("IFERROR(VLOOKUP(A2196, IMPORTRANGE(""https://docs.google.com/spreadsheets/d/1AVX9GT0dgogEBStecCXMMQ29tWz3gBrtNB8yIromXbY/edit?gid=741673867"", ""out1g!A:B""), 2, FALSE), 0)"),32735.0)</f>
        <v>32735</v>
      </c>
      <c r="D2196" s="2" t="str">
        <f>IFERROR(__xludf.DUMMYFUNCTION("IFERROR(VLOOKUP(A2196, IMPORTRANGE(""https://docs.google.com/spreadsheets/d/1-3Vjw2Cyy-mry5gbC8ypIR3YVGFfEpyFESummAta6sg/edit"", ""Sheet1!B:D""), 2, FALSE), ""Not Found"")"),"nem")</f>
        <v>nem</v>
      </c>
      <c r="E2196" s="2" t="str">
        <f>IFERROR(__xludf.DUMMYFUNCTION("IFERROR(VLOOKUP(A2196, IMPORTRANGE(""https://docs.google.com/spreadsheets/d/1-3Vjw2Cyy-mry5gbC8ypIR3YVGFfEpyFESummAta6sg/edit"", ""Sheet1!B:D""), 3, FALSE), ""Not Found"")"),"n e m ")</f>
        <v>n e m </v>
      </c>
    </row>
    <row r="2197">
      <c r="A2197" s="1" t="s">
        <v>2200</v>
      </c>
      <c r="B2197" s="1" t="s">
        <v>5</v>
      </c>
      <c r="C2197" s="2">
        <f>IFERROR(__xludf.DUMMYFUNCTION("IFERROR(VLOOKUP(A2197, IMPORTRANGE(""https://docs.google.com/spreadsheets/d/1AVX9GT0dgogEBStecCXMMQ29tWz3gBrtNB8yIromXbY/edit?gid=741673867"", ""out1g!A:B""), 2, FALSE), 0)"),7584.0)</f>
        <v>7584</v>
      </c>
      <c r="D2197" s="2" t="str">
        <f>IFERROR(__xludf.DUMMYFUNCTION("IFERROR(VLOOKUP(A2197, IMPORTRANGE(""https://docs.google.com/spreadsheets/d/1-3Vjw2Cyy-mry5gbC8ypIR3YVGFfEpyFESummAta6sg/edit"", ""Sheet1!B:D""), 2, FALSE), ""Not Found"")"),"sɔrt")</f>
        <v>sɔrt</v>
      </c>
      <c r="E2197" s="2" t="str">
        <f>IFERROR(__xludf.DUMMYFUNCTION("IFERROR(VLOOKUP(A2197, IMPORTRANGE(""https://docs.google.com/spreadsheets/d/1-3Vjw2Cyy-mry5gbC8ypIR3YVGFfEpyFESummAta6sg/edit"", ""Sheet1!B:D""), 3, FALSE), ""Not Found"")"),"s ɔ r t ")</f>
        <v>s ɔ r t </v>
      </c>
    </row>
    <row r="2198">
      <c r="A2198" s="1" t="s">
        <v>2201</v>
      </c>
      <c r="B2198" s="1" t="s">
        <v>5</v>
      </c>
      <c r="C2198" s="2">
        <f>IFERROR(__xludf.DUMMYFUNCTION("IFERROR(VLOOKUP(A2198, IMPORTRANGE(""https://docs.google.com/spreadsheets/d/1AVX9GT0dgogEBStecCXMMQ29tWz3gBrtNB8yIromXbY/edit?gid=741673867"", ""out1g!A:B""), 2, FALSE), 0)"),127.0)</f>
        <v>127</v>
      </c>
      <c r="D2198" s="2" t="str">
        <f>IFERROR(__xludf.DUMMYFUNCTION("IFERROR(VLOOKUP(A2198, IMPORTRANGE(""https://docs.google.com/spreadsheets/d/1-3Vjw2Cyy-mry5gbC8ypIR3YVGFfEpyFESummAta6sg/edit"", ""Sheet1!B:D""), 2, FALSE), ""Not Found"")"),"boʊgi")</f>
        <v>boʊgi</v>
      </c>
      <c r="E2198" s="2" t="str">
        <f>IFERROR(__xludf.DUMMYFUNCTION("IFERROR(VLOOKUP(A2198, IMPORTRANGE(""https://docs.google.com/spreadsheets/d/1-3Vjw2Cyy-mry5gbC8ypIR3YVGFfEpyFESummAta6sg/edit"", ""Sheet1!B:D""), 3, FALSE), ""Not Found"")"),"b o ʊ g i ")</f>
        <v>b o ʊ g i </v>
      </c>
    </row>
    <row r="2199">
      <c r="A2199" s="1" t="s">
        <v>2202</v>
      </c>
      <c r="B2199" s="1" t="s">
        <v>5</v>
      </c>
      <c r="C2199" s="2">
        <f>IFERROR(__xludf.DUMMYFUNCTION("IFERROR(VLOOKUP(A2199, IMPORTRANGE(""https://docs.google.com/spreadsheets/d/1AVX9GT0dgogEBStecCXMMQ29tWz3gBrtNB8yIromXbY/edit?gid=741673867"", ""out1g!A:B""), 2, FALSE), 0)"),650.0)</f>
        <v>650</v>
      </c>
      <c r="D2199" s="2" t="str">
        <f>IFERROR(__xludf.DUMMYFUNCTION("IFERROR(VLOOKUP(A2199, IMPORTRANGE(""https://docs.google.com/spreadsheets/d/1-3Vjw2Cyy-mry5gbC8ypIR3YVGFfEpyFESummAta6sg/edit"", ""Sheet1!B:D""), 2, FALSE), ""Not Found"")"),"hɔk")</f>
        <v>hɔk</v>
      </c>
      <c r="E2199" s="2" t="str">
        <f>IFERROR(__xludf.DUMMYFUNCTION("IFERROR(VLOOKUP(A2199, IMPORTRANGE(""https://docs.google.com/spreadsheets/d/1-3Vjw2Cyy-mry5gbC8ypIR3YVGFfEpyFESummAta6sg/edit"", ""Sheet1!B:D""), 3, FALSE), ""Not Found"")"),"h ɔ k ")</f>
        <v>h ɔ k </v>
      </c>
    </row>
    <row r="2200">
      <c r="A2200" s="1" t="s">
        <v>2203</v>
      </c>
      <c r="B2200" s="1" t="s">
        <v>5</v>
      </c>
      <c r="C2200" s="2">
        <f>IFERROR(__xludf.DUMMYFUNCTION("IFERROR(VLOOKUP(A2200, IMPORTRANGE(""https://docs.google.com/spreadsheets/d/1AVX9GT0dgogEBStecCXMMQ29tWz3gBrtNB8yIromXbY/edit?gid=741673867"", ""out1g!A:B""), 2, FALSE), 0)"),310.0)</f>
        <v>310</v>
      </c>
      <c r="D2200" s="2" t="str">
        <f>IFERROR(__xludf.DUMMYFUNCTION("IFERROR(VLOOKUP(A2200, IMPORTRANGE(""https://docs.google.com/spreadsheets/d/1-3Vjw2Cyy-mry5gbC8ypIR3YVGFfEpyFESummAta6sg/edit"", ""Sheet1!B:D""), 2, FALSE), ""Not Found"")"),"ɛs")</f>
        <v>ɛs</v>
      </c>
      <c r="E2200" s="2" t="str">
        <f>IFERROR(__xludf.DUMMYFUNCTION("IFERROR(VLOOKUP(A2200, IMPORTRANGE(""https://docs.google.com/spreadsheets/d/1-3Vjw2Cyy-mry5gbC8ypIR3YVGFfEpyFESummAta6sg/edit"", ""Sheet1!B:D""), 3, FALSE), ""Not Found"")"),"ɛ s ")</f>
        <v>ɛ s </v>
      </c>
    </row>
    <row r="2201">
      <c r="A2201" s="1" t="s">
        <v>2204</v>
      </c>
      <c r="B2201" s="1" t="s">
        <v>5</v>
      </c>
      <c r="C2201" s="2">
        <f>IFERROR(__xludf.DUMMYFUNCTION("IFERROR(VLOOKUP(A2201, IMPORTRANGE(""https://docs.google.com/spreadsheets/d/1AVX9GT0dgogEBStecCXMMQ29tWz3gBrtNB8yIromXbY/edit?gid=741673867"", ""out1g!A:B""), 2, FALSE), 0)"),74.0)</f>
        <v>74</v>
      </c>
      <c r="D2201" s="2" t="str">
        <f>IFERROR(__xludf.DUMMYFUNCTION("IFERROR(VLOOKUP(A2201, IMPORTRANGE(""https://docs.google.com/spreadsheets/d/1-3Vjw2Cyy-mry5gbC8ypIR3YVGFfEpyFESummAta6sg/edit"", ""Sheet1!B:D""), 2, FALSE), ""Not Found"")"),"straɪp")</f>
        <v>straɪp</v>
      </c>
      <c r="E2201" s="2" t="str">
        <f>IFERROR(__xludf.DUMMYFUNCTION("IFERROR(VLOOKUP(A2201, IMPORTRANGE(""https://docs.google.com/spreadsheets/d/1-3Vjw2Cyy-mry5gbC8ypIR3YVGFfEpyFESummAta6sg/edit"", ""Sheet1!B:D""), 3, FALSE), ""Not Found"")"),"s t r a ɪ p ")</f>
        <v>s t r a ɪ p </v>
      </c>
    </row>
    <row r="2202">
      <c r="A2202" s="1" t="s">
        <v>2205</v>
      </c>
      <c r="B2202" s="1" t="s">
        <v>5</v>
      </c>
      <c r="C2202" s="2">
        <f>IFERROR(__xludf.DUMMYFUNCTION("IFERROR(VLOOKUP(A2202, IMPORTRANGE(""https://docs.google.com/spreadsheets/d/1AVX9GT0dgogEBStecCXMMQ29tWz3gBrtNB8yIromXbY/edit?gid=741673867"", ""out1g!A:B""), 2, FALSE), 0)"),264.0)</f>
        <v>264</v>
      </c>
      <c r="D2202" s="2" t="str">
        <f>IFERROR(__xludf.DUMMYFUNCTION("IFERROR(VLOOKUP(A2202, IMPORTRANGE(""https://docs.google.com/spreadsheets/d/1-3Vjw2Cyy-mry5gbC8ypIR3YVGFfEpyFESummAta6sg/edit"", ""Sheet1!B:D""), 2, FALSE), ""Not Found"")"),"əntaɪ")</f>
        <v>əntaɪ</v>
      </c>
      <c r="E2202" s="2" t="str">
        <f>IFERROR(__xludf.DUMMYFUNCTION("IFERROR(VLOOKUP(A2202, IMPORTRANGE(""https://docs.google.com/spreadsheets/d/1-3Vjw2Cyy-mry5gbC8ypIR3YVGFfEpyFESummAta6sg/edit"", ""Sheet1!B:D""), 3, FALSE), ""Not Found"")"),"ə n t a ɪ ")</f>
        <v>ə n t a ɪ </v>
      </c>
    </row>
    <row r="2203">
      <c r="A2203" s="1" t="s">
        <v>2206</v>
      </c>
      <c r="B2203" s="1" t="s">
        <v>5</v>
      </c>
      <c r="C2203" s="2">
        <f>IFERROR(__xludf.DUMMYFUNCTION("IFERROR(VLOOKUP(A2203, IMPORTRANGE(""https://docs.google.com/spreadsheets/d/1AVX9GT0dgogEBStecCXMMQ29tWz3gBrtNB8yIromXbY/edit?gid=741673867"", ""out1g!A:B""), 2, FALSE), 0)"),421.0)</f>
        <v>421</v>
      </c>
      <c r="D2203" s="2" t="str">
        <f>IFERROR(__xludf.DUMMYFUNCTION("IFERROR(VLOOKUP(A2203, IMPORTRANGE(""https://docs.google.com/spreadsheets/d/1-3Vjw2Cyy-mry5gbC8ypIR3YVGFfEpyFESummAta6sg/edit"", ""Sheet1!B:D""), 2, FALSE), ""Not Found"")"),"smæʃ")</f>
        <v>smæʃ</v>
      </c>
      <c r="E2203" s="2" t="str">
        <f>IFERROR(__xludf.DUMMYFUNCTION("IFERROR(VLOOKUP(A2203, IMPORTRANGE(""https://docs.google.com/spreadsheets/d/1-3Vjw2Cyy-mry5gbC8ypIR3YVGFfEpyFESummAta6sg/edit"", ""Sheet1!B:D""), 3, FALSE), ""Not Found"")"),"s m æ ʃ ")</f>
        <v>s m æ ʃ </v>
      </c>
    </row>
    <row r="2204">
      <c r="A2204" s="1" t="s">
        <v>2207</v>
      </c>
      <c r="B2204" s="1" t="s">
        <v>5</v>
      </c>
      <c r="C2204" s="2">
        <f>IFERROR(__xludf.DUMMYFUNCTION("IFERROR(VLOOKUP(A2204, IMPORTRANGE(""https://docs.google.com/spreadsheets/d/1AVX9GT0dgogEBStecCXMMQ29tWz3gBrtNB8yIromXbY/edit?gid=741673867"", ""out1g!A:B""), 2, FALSE), 0)"),131.0)</f>
        <v>131</v>
      </c>
      <c r="D2204" s="2" t="str">
        <f>IFERROR(__xludf.DUMMYFUNCTION("IFERROR(VLOOKUP(A2204, IMPORTRANGE(""https://docs.google.com/spreadsheets/d/1-3Vjw2Cyy-mry5gbC8ypIR3YVGFfEpyFESummAta6sg/edit"", ""Sheet1!B:D""), 2, FALSE), ""Not Found"")"),"pɪp")</f>
        <v>pɪp</v>
      </c>
      <c r="E2204" s="2" t="str">
        <f>IFERROR(__xludf.DUMMYFUNCTION("IFERROR(VLOOKUP(A2204, IMPORTRANGE(""https://docs.google.com/spreadsheets/d/1-3Vjw2Cyy-mry5gbC8ypIR3YVGFfEpyFESummAta6sg/edit"", ""Sheet1!B:D""), 3, FALSE), ""Not Found"")"),"p ɪ p ")</f>
        <v>p ɪ p </v>
      </c>
    </row>
    <row r="2205">
      <c r="A2205" s="1" t="s">
        <v>2208</v>
      </c>
      <c r="B2205" s="1" t="s">
        <v>5</v>
      </c>
      <c r="C2205" s="2">
        <f>IFERROR(__xludf.DUMMYFUNCTION("IFERROR(VLOOKUP(A2205, IMPORTRANGE(""https://docs.google.com/spreadsheets/d/1AVX9GT0dgogEBStecCXMMQ29tWz3gBrtNB8yIromXbY/edit?gid=741673867"", ""out1g!A:B""), 2, FALSE), 0)"),51.0)</f>
        <v>51</v>
      </c>
      <c r="D2205" s="2" t="str">
        <f>IFERROR(__xludf.DUMMYFUNCTION("IFERROR(VLOOKUP(A2205, IMPORTRANGE(""https://docs.google.com/spreadsheets/d/1-3Vjw2Cyy-mry5gbC8ypIR3YVGFfEpyFESummAta6sg/edit"", ""Sheet1!B:D""), 2, FALSE), ""Not Found"")"),"həbi")</f>
        <v>həbi</v>
      </c>
      <c r="E2205" s="2" t="str">
        <f>IFERROR(__xludf.DUMMYFUNCTION("IFERROR(VLOOKUP(A2205, IMPORTRANGE(""https://docs.google.com/spreadsheets/d/1-3Vjw2Cyy-mry5gbC8ypIR3YVGFfEpyFESummAta6sg/edit"", ""Sheet1!B:D""), 3, FALSE), ""Not Found"")"),"h ə b i ")</f>
        <v>h ə b i </v>
      </c>
    </row>
    <row r="2206">
      <c r="A2206" s="1" t="s">
        <v>2209</v>
      </c>
      <c r="B2206" s="1" t="s">
        <v>5</v>
      </c>
      <c r="C2206" s="2">
        <f>IFERROR(__xludf.DUMMYFUNCTION("IFERROR(VLOOKUP(A2206, IMPORTRANGE(""https://docs.google.com/spreadsheets/d/1AVX9GT0dgogEBStecCXMMQ29tWz3gBrtNB8yIromXbY/edit?gid=741673867"", ""out1g!A:B""), 2, FALSE), 0)"),1420.0)</f>
        <v>1420</v>
      </c>
      <c r="D2206" s="2" t="str">
        <f>IFERROR(__xludf.DUMMYFUNCTION("IFERROR(VLOOKUP(A2206, IMPORTRANGE(""https://docs.google.com/spreadsheets/d/1-3Vjw2Cyy-mry5gbC8ypIR3YVGFfEpyFESummAta6sg/edit"", ""Sheet1!B:D""), 2, FALSE), ""Not Found"")"),"haɪər")</f>
        <v>haɪər</v>
      </c>
      <c r="E2206" s="2" t="str">
        <f>IFERROR(__xludf.DUMMYFUNCTION("IFERROR(VLOOKUP(A2206, IMPORTRANGE(""https://docs.google.com/spreadsheets/d/1-3Vjw2Cyy-mry5gbC8ypIR3YVGFfEpyFESummAta6sg/edit"", ""Sheet1!B:D""), 3, FALSE), ""Not Found"")"),"h a ɪ ə r ")</f>
        <v>h a ɪ ə r </v>
      </c>
    </row>
    <row r="2207">
      <c r="A2207" s="1" t="s">
        <v>2210</v>
      </c>
      <c r="B2207" s="1" t="s">
        <v>5</v>
      </c>
      <c r="C2207" s="2">
        <f>IFERROR(__xludf.DUMMYFUNCTION("IFERROR(VLOOKUP(A2207, IMPORTRANGE(""https://docs.google.com/spreadsheets/d/1AVX9GT0dgogEBStecCXMMQ29tWz3gBrtNB8yIromXbY/edit?gid=741673867"", ""out1g!A:B""), 2, FALSE), 0)"),69.0)</f>
        <v>69</v>
      </c>
      <c r="D2207" s="2" t="str">
        <f>IFERROR(__xludf.DUMMYFUNCTION("IFERROR(VLOOKUP(A2207, IMPORTRANGE(""https://docs.google.com/spreadsheets/d/1-3Vjw2Cyy-mry5gbC8ypIR3YVGFfEpyFESummAta6sg/edit"", ""Sheet1!B:D""), 2, FALSE), ""Not Found"")"),"beʒ")</f>
        <v>beʒ</v>
      </c>
      <c r="E2207" s="2" t="str">
        <f>IFERROR(__xludf.DUMMYFUNCTION("IFERROR(VLOOKUP(A2207, IMPORTRANGE(""https://docs.google.com/spreadsheets/d/1-3Vjw2Cyy-mry5gbC8ypIR3YVGFfEpyFESummAta6sg/edit"", ""Sheet1!B:D""), 3, FALSE), ""Not Found"")"),"b e ʒ ")</f>
        <v>b e ʒ </v>
      </c>
    </row>
    <row r="2208">
      <c r="A2208" s="1" t="s">
        <v>2211</v>
      </c>
      <c r="B2208" s="1" t="s">
        <v>5</v>
      </c>
      <c r="C2208" s="2">
        <f>IFERROR(__xludf.DUMMYFUNCTION("IFERROR(VLOOKUP(A2208, IMPORTRANGE(""https://docs.google.com/spreadsheets/d/1AVX9GT0dgogEBStecCXMMQ29tWz3gBrtNB8yIromXbY/edit?gid=741673867"", ""out1g!A:B""), 2, FALSE), 0)"),2888.0)</f>
        <v>2888</v>
      </c>
      <c r="D2208" s="2" t="str">
        <f>IFERROR(__xludf.DUMMYFUNCTION("IFERROR(VLOOKUP(A2208, IMPORTRANGE(""https://docs.google.com/spreadsheets/d/1-3Vjw2Cyy-mry5gbC8ypIR3YVGFfEpyFESummAta6sg/edit"", ""Sheet1!B:D""), 2, FALSE), ""Not Found"")"),"lɛri")</f>
        <v>lɛri</v>
      </c>
      <c r="E2208" s="2" t="str">
        <f>IFERROR(__xludf.DUMMYFUNCTION("IFERROR(VLOOKUP(A2208, IMPORTRANGE(""https://docs.google.com/spreadsheets/d/1-3Vjw2Cyy-mry5gbC8ypIR3YVGFfEpyFESummAta6sg/edit"", ""Sheet1!B:D""), 3, FALSE), ""Not Found"")"),"l ɛ r i ")</f>
        <v>l ɛ r i </v>
      </c>
    </row>
    <row r="2209">
      <c r="A2209" s="1" t="s">
        <v>2212</v>
      </c>
      <c r="B2209" s="1" t="s">
        <v>5</v>
      </c>
      <c r="C2209" s="2">
        <f>IFERROR(__xludf.DUMMYFUNCTION("IFERROR(VLOOKUP(A2209, IMPORTRANGE(""https://docs.google.com/spreadsheets/d/1AVX9GT0dgogEBStecCXMMQ29tWz3gBrtNB8yIromXbY/edit?gid=741673867"", ""out1g!A:B""), 2, FALSE), 0)"),144.0)</f>
        <v>144</v>
      </c>
      <c r="D2209" s="2" t="str">
        <f>IFERROR(__xludf.DUMMYFUNCTION("IFERROR(VLOOKUP(A2209, IMPORTRANGE(""https://docs.google.com/spreadsheets/d/1-3Vjw2Cyy-mry5gbC8ypIR3YVGFfEpyFESummAta6sg/edit"", ""Sheet1!B:D""), 2, FALSE), ""Not Found"")"),"bɛrəlz")</f>
        <v>bɛrəlz</v>
      </c>
      <c r="E2209" s="2" t="str">
        <f>IFERROR(__xludf.DUMMYFUNCTION("IFERROR(VLOOKUP(A2209, IMPORTRANGE(""https://docs.google.com/spreadsheets/d/1-3Vjw2Cyy-mry5gbC8ypIR3YVGFfEpyFESummAta6sg/edit"", ""Sheet1!B:D""), 3, FALSE), ""Not Found"")"),"b ɛ r ə l z ")</f>
        <v>b ɛ r ə l z </v>
      </c>
    </row>
    <row r="2210">
      <c r="A2210" s="1" t="s">
        <v>2213</v>
      </c>
      <c r="B2210" s="1" t="s">
        <v>5</v>
      </c>
      <c r="C2210" s="2">
        <f>IFERROR(__xludf.DUMMYFUNCTION("IFERROR(VLOOKUP(A2210, IMPORTRANGE(""https://docs.google.com/spreadsheets/d/1AVX9GT0dgogEBStecCXMMQ29tWz3gBrtNB8yIromXbY/edit?gid=741673867"", ""out1g!A:B""), 2, FALSE), 0)"),78.0)</f>
        <v>78</v>
      </c>
      <c r="D2210" s="2" t="str">
        <f>IFERROR(__xludf.DUMMYFUNCTION("IFERROR(VLOOKUP(A2210, IMPORTRANGE(""https://docs.google.com/spreadsheets/d/1-3Vjw2Cyy-mry5gbC8ypIR3YVGFfEpyFESummAta6sg/edit"", ""Sheet1!B:D""), 2, FALSE), ""Not Found"")"),"stɔld")</f>
        <v>stɔld</v>
      </c>
      <c r="E2210" s="2" t="str">
        <f>IFERROR(__xludf.DUMMYFUNCTION("IFERROR(VLOOKUP(A2210, IMPORTRANGE(""https://docs.google.com/spreadsheets/d/1-3Vjw2Cyy-mry5gbC8ypIR3YVGFfEpyFESummAta6sg/edit"", ""Sheet1!B:D""), 3, FALSE), ""Not Found"")"),"s t ɔ l d ")</f>
        <v>s t ɔ l d </v>
      </c>
    </row>
    <row r="2211">
      <c r="A2211" s="1" t="s">
        <v>2214</v>
      </c>
      <c r="B2211" s="1" t="s">
        <v>5</v>
      </c>
      <c r="C2211" s="2">
        <f>IFERROR(__xludf.DUMMYFUNCTION("IFERROR(VLOOKUP(A2211, IMPORTRANGE(""https://docs.google.com/spreadsheets/d/1AVX9GT0dgogEBStecCXMMQ29tWz3gBrtNB8yIromXbY/edit?gid=741673867"", ""out1g!A:B""), 2, FALSE), 0)"),3992.0)</f>
        <v>3992</v>
      </c>
      <c r="D2211" s="2" t="str">
        <f>IFERROR(__xludf.DUMMYFUNCTION("IFERROR(VLOOKUP(A2211, IMPORTRANGE(""https://docs.google.com/spreadsheets/d/1-3Vjw2Cyy-mry5gbC8ypIR3YVGFfEpyFESummAta6sg/edit"", ""Sheet1!B:D""), 2, FALSE), ""Not Found"")"),"enʤəl")</f>
        <v>enʤəl</v>
      </c>
      <c r="E2211" s="2" t="str">
        <f>IFERROR(__xludf.DUMMYFUNCTION("IFERROR(VLOOKUP(A2211, IMPORTRANGE(""https://docs.google.com/spreadsheets/d/1-3Vjw2Cyy-mry5gbC8ypIR3YVGFfEpyFESummAta6sg/edit"", ""Sheet1!B:D""), 3, FALSE), ""Not Found"")"),"e n ʤ ə l ")</f>
        <v>e n ʤ ə l </v>
      </c>
    </row>
    <row r="2212">
      <c r="A2212" s="1" t="s">
        <v>2215</v>
      </c>
      <c r="B2212" s="1" t="s">
        <v>5</v>
      </c>
      <c r="C2212" s="2">
        <f>IFERROR(__xludf.DUMMYFUNCTION("IFERROR(VLOOKUP(A2212, IMPORTRANGE(""https://docs.google.com/spreadsheets/d/1AVX9GT0dgogEBStecCXMMQ29tWz3gBrtNB8yIromXbY/edit?gid=741673867"", ""out1g!A:B""), 2, FALSE), 0)"),419.0)</f>
        <v>419</v>
      </c>
      <c r="D2212" s="2" t="str">
        <f>IFERROR(__xludf.DUMMYFUNCTION("IFERROR(VLOOKUP(A2212, IMPORTRANGE(""https://docs.google.com/spreadsheets/d/1-3Vjw2Cyy-mry5gbC8ypIR3YVGFfEpyFESummAta6sg/edit"", ""Sheet1!B:D""), 2, FALSE), ""Not Found"")"),"jɑt")</f>
        <v>jɑt</v>
      </c>
      <c r="E2212" s="2" t="str">
        <f>IFERROR(__xludf.DUMMYFUNCTION("IFERROR(VLOOKUP(A2212, IMPORTRANGE(""https://docs.google.com/spreadsheets/d/1-3Vjw2Cyy-mry5gbC8ypIR3YVGFfEpyFESummAta6sg/edit"", ""Sheet1!B:D""), 3, FALSE), ""Not Found"")"),"j ɑ t ")</f>
        <v>j ɑ t </v>
      </c>
    </row>
    <row r="2213">
      <c r="A2213" s="1" t="s">
        <v>2216</v>
      </c>
      <c r="B2213" s="1" t="s">
        <v>5</v>
      </c>
      <c r="C2213" s="2">
        <f>IFERROR(__xludf.DUMMYFUNCTION("IFERROR(VLOOKUP(A2213, IMPORTRANGE(""https://docs.google.com/spreadsheets/d/1AVX9GT0dgogEBStecCXMMQ29tWz3gBrtNB8yIromXbY/edit?gid=741673867"", ""out1g!A:B""), 2, FALSE), 0)"),57.0)</f>
        <v>57</v>
      </c>
      <c r="D2213" s="2" t="str">
        <f>IFERROR(__xludf.DUMMYFUNCTION("IFERROR(VLOOKUP(A2213, IMPORTRANGE(""https://docs.google.com/spreadsheets/d/1-3Vjw2Cyy-mry5gbC8ypIR3YVGFfEpyFESummAta6sg/edit"", ""Sheet1!B:D""), 2, FALSE), ""Not Found"")"),"kɛnəl")</f>
        <v>kɛnəl</v>
      </c>
      <c r="E2213" s="2" t="str">
        <f>IFERROR(__xludf.DUMMYFUNCTION("IFERROR(VLOOKUP(A2213, IMPORTRANGE(""https://docs.google.com/spreadsheets/d/1-3Vjw2Cyy-mry5gbC8ypIR3YVGFfEpyFESummAta6sg/edit"", ""Sheet1!B:D""), 3, FALSE), ""Not Found"")"),"k ɛ n ə l ")</f>
        <v>k ɛ n ə l </v>
      </c>
    </row>
    <row r="2214">
      <c r="A2214" s="1" t="s">
        <v>2217</v>
      </c>
      <c r="B2214" s="1" t="s">
        <v>5</v>
      </c>
      <c r="C2214" s="2">
        <f>IFERROR(__xludf.DUMMYFUNCTION("IFERROR(VLOOKUP(A2214, IMPORTRANGE(""https://docs.google.com/spreadsheets/d/1AVX9GT0dgogEBStecCXMMQ29tWz3gBrtNB8yIromXbY/edit?gid=741673867"", ""out1g!A:B""), 2, FALSE), 0)"),23216.0)</f>
        <v>23216</v>
      </c>
      <c r="D2214" s="2" t="str">
        <f>IFERROR(__xludf.DUMMYFUNCTION("IFERROR(VLOOKUP(A2214, IMPORTRANGE(""https://docs.google.com/spreadsheets/d/1-3Vjw2Cyy-mry5gbC8ypIR3YVGFfEpyFESummAta6sg/edit"", ""Sheet1!B:D""), 2, FALSE), ""Not Found"")"),"wərld")</f>
        <v>wərld</v>
      </c>
      <c r="E2214" s="2" t="str">
        <f>IFERROR(__xludf.DUMMYFUNCTION("IFERROR(VLOOKUP(A2214, IMPORTRANGE(""https://docs.google.com/spreadsheets/d/1-3Vjw2Cyy-mry5gbC8ypIR3YVGFfEpyFESummAta6sg/edit"", ""Sheet1!B:D""), 3, FALSE), ""Not Found"")"),"w ə r l d ")</f>
        <v>w ə r l d </v>
      </c>
    </row>
    <row r="2215">
      <c r="A2215" s="1" t="s">
        <v>2218</v>
      </c>
      <c r="B2215" s="1" t="s">
        <v>5</v>
      </c>
      <c r="C2215" s="2">
        <f>IFERROR(__xludf.DUMMYFUNCTION("IFERROR(VLOOKUP(A2215, IMPORTRANGE(""https://docs.google.com/spreadsheets/d/1AVX9GT0dgogEBStecCXMMQ29tWz3gBrtNB8yIromXbY/edit?gid=741673867"", ""out1g!A:B""), 2, FALSE), 0)"),181.0)</f>
        <v>181</v>
      </c>
      <c r="D2215" s="2" t="str">
        <f>IFERROR(__xludf.DUMMYFUNCTION("IFERROR(VLOOKUP(A2215, IMPORTRANGE(""https://docs.google.com/spreadsheets/d/1-3Vjw2Cyy-mry5gbC8ypIR3YVGFfEpyFESummAta6sg/edit"", ""Sheet1!B:D""), 2, FALSE), ""Not Found"")"),"ʃɪtɪŋ")</f>
        <v>ʃɪtɪŋ</v>
      </c>
      <c r="E2215" s="2" t="str">
        <f>IFERROR(__xludf.DUMMYFUNCTION("IFERROR(VLOOKUP(A2215, IMPORTRANGE(""https://docs.google.com/spreadsheets/d/1-3Vjw2Cyy-mry5gbC8ypIR3YVGFfEpyFESummAta6sg/edit"", ""Sheet1!B:D""), 3, FALSE), ""Not Found"")"),"ʃ ɪ t ɪ ŋ ")</f>
        <v>ʃ ɪ t ɪ ŋ </v>
      </c>
    </row>
    <row r="2216">
      <c r="A2216" s="1" t="s">
        <v>2219</v>
      </c>
      <c r="B2216" s="1" t="s">
        <v>5</v>
      </c>
      <c r="C2216" s="2">
        <f>IFERROR(__xludf.DUMMYFUNCTION("IFERROR(VLOOKUP(A2216, IMPORTRANGE(""https://docs.google.com/spreadsheets/d/1AVX9GT0dgogEBStecCXMMQ29tWz3gBrtNB8yIromXbY/edit?gid=741673867"", ""out1g!A:B""), 2, FALSE), 0)"),597.0)</f>
        <v>597</v>
      </c>
      <c r="D2216" s="2" t="str">
        <f>IFERROR(__xludf.DUMMYFUNCTION("IFERROR(VLOOKUP(A2216, IMPORTRANGE(""https://docs.google.com/spreadsheets/d/1-3Vjw2Cyy-mry5gbC8ypIR3YVGFfEpyFESummAta6sg/edit"", ""Sheet1!B:D""), 2, FALSE), ""Not Found"")"),"maʊnt")</f>
        <v>maʊnt</v>
      </c>
      <c r="E2216" s="2" t="str">
        <f>IFERROR(__xludf.DUMMYFUNCTION("IFERROR(VLOOKUP(A2216, IMPORTRANGE(""https://docs.google.com/spreadsheets/d/1-3Vjw2Cyy-mry5gbC8ypIR3YVGFfEpyFESummAta6sg/edit"", ""Sheet1!B:D""), 3, FALSE), ""Not Found"")"),"m a ʊ n t ")</f>
        <v>m a ʊ n t </v>
      </c>
    </row>
    <row r="2217">
      <c r="A2217" s="1" t="s">
        <v>2220</v>
      </c>
      <c r="B2217" s="1" t="s">
        <v>5</v>
      </c>
      <c r="C2217" s="2">
        <f>IFERROR(__xludf.DUMMYFUNCTION("IFERROR(VLOOKUP(A2217, IMPORTRANGE(""https://docs.google.com/spreadsheets/d/1AVX9GT0dgogEBStecCXMMQ29tWz3gBrtNB8yIromXbY/edit?gid=741673867"", ""out1g!A:B""), 2, FALSE), 0)"),53.0)</f>
        <v>53</v>
      </c>
      <c r="D2217" s="2" t="str">
        <f>IFERROR(__xludf.DUMMYFUNCTION("IFERROR(VLOOKUP(A2217, IMPORTRANGE(""https://docs.google.com/spreadsheets/d/1-3Vjw2Cyy-mry5gbC8ypIR3YVGFfEpyFESummAta6sg/edit"", ""Sheet1!B:D""), 2, FALSE), ""Not Found"")"),"kɑpt")</f>
        <v>kɑpt</v>
      </c>
      <c r="E2217" s="2" t="str">
        <f>IFERROR(__xludf.DUMMYFUNCTION("IFERROR(VLOOKUP(A2217, IMPORTRANGE(""https://docs.google.com/spreadsheets/d/1-3Vjw2Cyy-mry5gbC8ypIR3YVGFfEpyFESummAta6sg/edit"", ""Sheet1!B:D""), 3, FALSE), ""Not Found"")"),"k ɑ p t ")</f>
        <v>k ɑ p t </v>
      </c>
    </row>
    <row r="2218">
      <c r="A2218" s="1" t="s">
        <v>2221</v>
      </c>
      <c r="B2218" s="1" t="s">
        <v>5</v>
      </c>
      <c r="C2218" s="2">
        <f>IFERROR(__xludf.DUMMYFUNCTION("IFERROR(VLOOKUP(A2218, IMPORTRANGE(""https://docs.google.com/spreadsheets/d/1AVX9GT0dgogEBStecCXMMQ29tWz3gBrtNB8yIromXbY/edit?gid=741673867"", ""out1g!A:B""), 2, FALSE), 0)"),712.0)</f>
        <v>712</v>
      </c>
      <c r="D2218" s="2" t="str">
        <f>IFERROR(__xludf.DUMMYFUNCTION("IFERROR(VLOOKUP(A2218, IMPORTRANGE(""https://docs.google.com/spreadsheets/d/1-3Vjw2Cyy-mry5gbC8ypIR3YVGFfEpyFESummAta6sg/edit"", ""Sheet1!B:D""), 2, FALSE), ""Not Found"")"),"ilen")</f>
        <v>ilen</v>
      </c>
      <c r="E2218" s="2" t="str">
        <f>IFERROR(__xludf.DUMMYFUNCTION("IFERROR(VLOOKUP(A2218, IMPORTRANGE(""https://docs.google.com/spreadsheets/d/1-3Vjw2Cyy-mry5gbC8ypIR3YVGFfEpyFESummAta6sg/edit"", ""Sheet1!B:D""), 3, FALSE), ""Not Found"")"),"i l e n ")</f>
        <v>i l e n </v>
      </c>
    </row>
    <row r="2219">
      <c r="A2219" s="1" t="s">
        <v>2222</v>
      </c>
      <c r="B2219" s="1" t="s">
        <v>5</v>
      </c>
      <c r="C2219" s="2">
        <f>IFERROR(__xludf.DUMMYFUNCTION("IFERROR(VLOOKUP(A2219, IMPORTRANGE(""https://docs.google.com/spreadsheets/d/1AVX9GT0dgogEBStecCXMMQ29tWz3gBrtNB8yIromXbY/edit?gid=741673867"", ""out1g!A:B""), 2, FALSE), 0)"),228.0)</f>
        <v>228</v>
      </c>
      <c r="D2219" s="2" t="str">
        <f>IFERROR(__xludf.DUMMYFUNCTION("IFERROR(VLOOKUP(A2219, IMPORTRANGE(""https://docs.google.com/spreadsheets/d/1-3Vjw2Cyy-mry5gbC8ypIR3YVGFfEpyFESummAta6sg/edit"", ""Sheet1!B:D""), 2, FALSE), ""Not Found"")"),"dɛrd")</f>
        <v>dɛrd</v>
      </c>
      <c r="E2219" s="2" t="str">
        <f>IFERROR(__xludf.DUMMYFUNCTION("IFERROR(VLOOKUP(A2219, IMPORTRANGE(""https://docs.google.com/spreadsheets/d/1-3Vjw2Cyy-mry5gbC8ypIR3YVGFfEpyFESummAta6sg/edit"", ""Sheet1!B:D""), 3, FALSE), ""Not Found"")"),"d ɛ r d ")</f>
        <v>d ɛ r d </v>
      </c>
    </row>
    <row r="2220">
      <c r="A2220" s="1" t="s">
        <v>2223</v>
      </c>
      <c r="B2220" s="1" t="s">
        <v>5</v>
      </c>
      <c r="C2220" s="2">
        <f>IFERROR(__xludf.DUMMYFUNCTION("IFERROR(VLOOKUP(A2220, IMPORTRANGE(""https://docs.google.com/spreadsheets/d/1AVX9GT0dgogEBStecCXMMQ29tWz3gBrtNB8yIromXbY/edit?gid=741673867"", ""out1g!A:B""), 2, FALSE), 0)"),5366.0)</f>
        <v>5366</v>
      </c>
      <c r="D2220" s="2" t="str">
        <f>IFERROR(__xludf.DUMMYFUNCTION("IFERROR(VLOOKUP(A2220, IMPORTRANGE(""https://docs.google.com/spreadsheets/d/1-3Vjw2Cyy-mry5gbC8ypIR3YVGFfEpyFESummAta6sg/edit"", ""Sheet1!B:D""), 2, FALSE), ""Not Found"")"),"wek")</f>
        <v>wek</v>
      </c>
      <c r="E2220" s="2" t="str">
        <f>IFERROR(__xludf.DUMMYFUNCTION("IFERROR(VLOOKUP(A2220, IMPORTRANGE(""https://docs.google.com/spreadsheets/d/1-3Vjw2Cyy-mry5gbC8ypIR3YVGFfEpyFESummAta6sg/edit"", ""Sheet1!B:D""), 3, FALSE), ""Not Found"")"),"w e k ")</f>
        <v>w e k </v>
      </c>
    </row>
    <row r="2221">
      <c r="A2221" s="1" t="s">
        <v>2224</v>
      </c>
      <c r="B2221" s="1" t="s">
        <v>5</v>
      </c>
      <c r="C2221" s="2">
        <f>IFERROR(__xludf.DUMMYFUNCTION("IFERROR(VLOOKUP(A2221, IMPORTRANGE(""https://docs.google.com/spreadsheets/d/1AVX9GT0dgogEBStecCXMMQ29tWz3gBrtNB8yIromXbY/edit?gid=741673867"", ""out1g!A:B""), 2, FALSE), 0)"),844.0)</f>
        <v>844</v>
      </c>
      <c r="D2221" s="2" t="str">
        <f>IFERROR(__xludf.DUMMYFUNCTION("IFERROR(VLOOKUP(A2221, IMPORTRANGE(""https://docs.google.com/spreadsheets/d/1-3Vjw2Cyy-mry5gbC8ypIR3YVGFfEpyFESummAta6sg/edit"", ""Sheet1!B:D""), 2, FALSE), ""Not Found"")"),"ʃərli")</f>
        <v>ʃərli</v>
      </c>
      <c r="E2221" s="2" t="str">
        <f>IFERROR(__xludf.DUMMYFUNCTION("IFERROR(VLOOKUP(A2221, IMPORTRANGE(""https://docs.google.com/spreadsheets/d/1-3Vjw2Cyy-mry5gbC8ypIR3YVGFfEpyFESummAta6sg/edit"", ""Sheet1!B:D""), 3, FALSE), ""Not Found"")"),"ʃ ə r l i ")</f>
        <v>ʃ ə r l i </v>
      </c>
    </row>
    <row r="2222">
      <c r="A2222" s="1" t="s">
        <v>2225</v>
      </c>
      <c r="B2222" s="1" t="s">
        <v>5</v>
      </c>
      <c r="C2222" s="2">
        <f>IFERROR(__xludf.DUMMYFUNCTION("IFERROR(VLOOKUP(A2222, IMPORTRANGE(""https://docs.google.com/spreadsheets/d/1AVX9GT0dgogEBStecCXMMQ29tWz3gBrtNB8yIromXbY/edit?gid=741673867"", ""out1g!A:B""), 2, FALSE), 0)"),444.0)</f>
        <v>444</v>
      </c>
      <c r="D2222" s="2" t="str">
        <f>IFERROR(__xludf.DUMMYFUNCTION("IFERROR(VLOOKUP(A2222, IMPORTRANGE(""https://docs.google.com/spreadsheets/d/1-3Vjw2Cyy-mry5gbC8ypIR3YVGFfEpyFESummAta6sg/edit"", ""Sheet1!B:D""), 2, FALSE), ""Not Found"")"),"ʃərts")</f>
        <v>ʃərts</v>
      </c>
      <c r="E2222" s="2" t="str">
        <f>IFERROR(__xludf.DUMMYFUNCTION("IFERROR(VLOOKUP(A2222, IMPORTRANGE(""https://docs.google.com/spreadsheets/d/1-3Vjw2Cyy-mry5gbC8ypIR3YVGFfEpyFESummAta6sg/edit"", ""Sheet1!B:D""), 3, FALSE), ""Not Found"")"),"ʃ ə r t s ")</f>
        <v>ʃ ə r t s </v>
      </c>
    </row>
    <row r="2223">
      <c r="A2223" s="1" t="s">
        <v>2226</v>
      </c>
      <c r="B2223" s="1" t="s">
        <v>5</v>
      </c>
      <c r="C2223" s="2">
        <f>IFERROR(__xludf.DUMMYFUNCTION("IFERROR(VLOOKUP(A2223, IMPORTRANGE(""https://docs.google.com/spreadsheets/d/1AVX9GT0dgogEBStecCXMMQ29tWz3gBrtNB8yIromXbY/edit?gid=741673867"", ""out1g!A:B""), 2, FALSE), 0)"),311072.0)</f>
        <v>311072</v>
      </c>
      <c r="D2223" s="2" t="str">
        <f>IFERROR(__xludf.DUMMYFUNCTION("IFERROR(VLOOKUP(A2223, IMPORTRANGE(""https://docs.google.com/spreadsheets/d/1-3Vjw2Cyy-mry5gbC8ypIR3YVGFfEpyFESummAta6sg/edit"", ""Sheet1!B:D""), 2, FALSE), ""Not Found"")"),"ri")</f>
        <v>ri</v>
      </c>
      <c r="E2223" s="2" t="str">
        <f>IFERROR(__xludf.DUMMYFUNCTION("IFERROR(VLOOKUP(A2223, IMPORTRANGE(""https://docs.google.com/spreadsheets/d/1-3Vjw2Cyy-mry5gbC8ypIR3YVGFfEpyFESummAta6sg/edit"", ""Sheet1!B:D""), 3, FALSE), ""Not Found"")"),"r i ")</f>
        <v>r i </v>
      </c>
    </row>
    <row r="2224">
      <c r="A2224" s="1" t="s">
        <v>2227</v>
      </c>
      <c r="B2224" s="1" t="s">
        <v>5</v>
      </c>
      <c r="C2224" s="2">
        <f>IFERROR(__xludf.DUMMYFUNCTION("IFERROR(VLOOKUP(A2224, IMPORTRANGE(""https://docs.google.com/spreadsheets/d/1AVX9GT0dgogEBStecCXMMQ29tWz3gBrtNB8yIromXbY/edit?gid=741673867"", ""out1g!A:B""), 2, FALSE), 0)"),1310.0)</f>
        <v>1310</v>
      </c>
      <c r="D2224" s="2" t="str">
        <f>IFERROR(__xludf.DUMMYFUNCTION("IFERROR(VLOOKUP(A2224, IMPORTRANGE(""https://docs.google.com/spreadsheets/d/1-3Vjw2Cyy-mry5gbC8ypIR3YVGFfEpyFESummAta6sg/edit"", ""Sheet1!B:D""), 2, FALSE), ""Not Found"")"),"dərt")</f>
        <v>dərt</v>
      </c>
      <c r="E2224" s="2" t="str">
        <f>IFERROR(__xludf.DUMMYFUNCTION("IFERROR(VLOOKUP(A2224, IMPORTRANGE(""https://docs.google.com/spreadsheets/d/1-3Vjw2Cyy-mry5gbC8ypIR3YVGFfEpyFESummAta6sg/edit"", ""Sheet1!B:D""), 3, FALSE), ""Not Found"")"),"d ə r t ")</f>
        <v>d ə r t </v>
      </c>
    </row>
    <row r="2225">
      <c r="A2225" s="1" t="s">
        <v>2228</v>
      </c>
      <c r="B2225" s="1" t="s">
        <v>5</v>
      </c>
      <c r="C2225" s="2">
        <f>IFERROR(__xludf.DUMMYFUNCTION("IFERROR(VLOOKUP(A2225, IMPORTRANGE(""https://docs.google.com/spreadsheets/d/1AVX9GT0dgogEBStecCXMMQ29tWz3gBrtNB8yIromXbY/edit?gid=741673867"", ""out1g!A:B""), 2, FALSE), 0)"),523.0)</f>
        <v>523</v>
      </c>
      <c r="D2225" s="2" t="str">
        <f>IFERROR(__xludf.DUMMYFUNCTION("IFERROR(VLOOKUP(A2225, IMPORTRANGE(""https://docs.google.com/spreadsheets/d/1-3Vjw2Cyy-mry5gbC8ypIR3YVGFfEpyFESummAta6sg/edit"", ""Sheet1!B:D""), 2, FALSE), ""Not Found"")"),"səm")</f>
        <v>səm</v>
      </c>
      <c r="E2225" s="2" t="str">
        <f>IFERROR(__xludf.DUMMYFUNCTION("IFERROR(VLOOKUP(A2225, IMPORTRANGE(""https://docs.google.com/spreadsheets/d/1-3Vjw2Cyy-mry5gbC8ypIR3YVGFfEpyFESummAta6sg/edit"", ""Sheet1!B:D""), 3, FALSE), ""Not Found"")"),"s ə m ")</f>
        <v>s ə m </v>
      </c>
    </row>
    <row r="2226">
      <c r="A2226" s="1" t="s">
        <v>2229</v>
      </c>
      <c r="B2226" s="1" t="s">
        <v>5</v>
      </c>
      <c r="C2226" s="2">
        <f>IFERROR(__xludf.DUMMYFUNCTION("IFERROR(VLOOKUP(A2226, IMPORTRANGE(""https://docs.google.com/spreadsheets/d/1AVX9GT0dgogEBStecCXMMQ29tWz3gBrtNB8yIromXbY/edit?gid=741673867"", ""out1g!A:B""), 2, FALSE), 0)"),770.0)</f>
        <v>770</v>
      </c>
      <c r="D2226" s="2" t="str">
        <f>IFERROR(__xludf.DUMMYFUNCTION("IFERROR(VLOOKUP(A2226, IMPORTRANGE(""https://docs.google.com/spreadsheets/d/1-3Vjw2Cyy-mry5gbC8ypIR3YVGFfEpyFESummAta6sg/edit"", ""Sheet1!B:D""), 2, FALSE), ""Not Found"")"),"hoʊps")</f>
        <v>hoʊps</v>
      </c>
      <c r="E2226" s="2" t="str">
        <f>IFERROR(__xludf.DUMMYFUNCTION("IFERROR(VLOOKUP(A2226, IMPORTRANGE(""https://docs.google.com/spreadsheets/d/1-3Vjw2Cyy-mry5gbC8ypIR3YVGFfEpyFESummAta6sg/edit"", ""Sheet1!B:D""), 3, FALSE), ""Not Found"")"),"h o ʊ p s ")</f>
        <v>h o ʊ p s </v>
      </c>
    </row>
    <row r="2227">
      <c r="A2227" s="1" t="s">
        <v>2230</v>
      </c>
      <c r="B2227" s="1" t="s">
        <v>5</v>
      </c>
      <c r="C2227" s="2">
        <f>IFERROR(__xludf.DUMMYFUNCTION("IFERROR(VLOOKUP(A2227, IMPORTRANGE(""https://docs.google.com/spreadsheets/d/1AVX9GT0dgogEBStecCXMMQ29tWz3gBrtNB8yIromXbY/edit?gid=741673867"", ""out1g!A:B""), 2, FALSE), 0)"),132.0)</f>
        <v>132</v>
      </c>
      <c r="D2227" s="2" t="str">
        <f>IFERROR(__xludf.DUMMYFUNCTION("IFERROR(VLOOKUP(A2227, IMPORTRANGE(""https://docs.google.com/spreadsheets/d/1-3Vjw2Cyy-mry5gbC8ypIR3YVGFfEpyFESummAta6sg/edit"", ""Sheet1!B:D""), 2, FALSE), ""Not Found"")"),"ʤɪni")</f>
        <v>ʤɪni</v>
      </c>
      <c r="E2227" s="2" t="str">
        <f>IFERROR(__xludf.DUMMYFUNCTION("IFERROR(VLOOKUP(A2227, IMPORTRANGE(""https://docs.google.com/spreadsheets/d/1-3Vjw2Cyy-mry5gbC8ypIR3YVGFfEpyFESummAta6sg/edit"", ""Sheet1!B:D""), 3, FALSE), ""Not Found"")"),"ʤ ɪ n i ")</f>
        <v>ʤ ɪ n i </v>
      </c>
    </row>
    <row r="2228">
      <c r="A2228" s="1" t="s">
        <v>2231</v>
      </c>
      <c r="B2228" s="1" t="s">
        <v>5</v>
      </c>
      <c r="C2228" s="2">
        <f>IFERROR(__xludf.DUMMYFUNCTION("IFERROR(VLOOKUP(A2228, IMPORTRANGE(""https://docs.google.com/spreadsheets/d/1AVX9GT0dgogEBStecCXMMQ29tWz3gBrtNB8yIromXbY/edit?gid=741673867"", ""out1g!A:B""), 2, FALSE), 0)"),1126.0)</f>
        <v>1126</v>
      </c>
      <c r="D2228" s="2" t="str">
        <f>IFERROR(__xludf.DUMMYFUNCTION("IFERROR(VLOOKUP(A2228, IMPORTRANGE(""https://docs.google.com/spreadsheets/d/1-3Vjw2Cyy-mry5gbC8ypIR3YVGFfEpyFESummAta6sg/edit"", ""Sheet1!B:D""), 2, FALSE), ""Not Found"")"),"kətɪŋ")</f>
        <v>kətɪŋ</v>
      </c>
      <c r="E2228" s="2" t="str">
        <f>IFERROR(__xludf.DUMMYFUNCTION("IFERROR(VLOOKUP(A2228, IMPORTRANGE(""https://docs.google.com/spreadsheets/d/1-3Vjw2Cyy-mry5gbC8ypIR3YVGFfEpyFESummAta6sg/edit"", ""Sheet1!B:D""), 3, FALSE), ""Not Found"")"),"k ə t ɪ ŋ ")</f>
        <v>k ə t ɪ ŋ </v>
      </c>
    </row>
    <row r="2229">
      <c r="A2229" s="1" t="s">
        <v>2232</v>
      </c>
      <c r="B2229" s="1" t="s">
        <v>5</v>
      </c>
      <c r="C2229" s="2">
        <f>IFERROR(__xludf.DUMMYFUNCTION("IFERROR(VLOOKUP(A2229, IMPORTRANGE(""https://docs.google.com/spreadsheets/d/1AVX9GT0dgogEBStecCXMMQ29tWz3gBrtNB8yIromXbY/edit?gid=741673867"", ""out1g!A:B""), 2, FALSE), 0)"),693.0)</f>
        <v>693</v>
      </c>
      <c r="D2229" s="2" t="str">
        <f>IFERROR(__xludf.DUMMYFUNCTION("IFERROR(VLOOKUP(A2229, IMPORTRANGE(""https://docs.google.com/spreadsheets/d/1-3Vjw2Cyy-mry5gbC8ypIR3YVGFfEpyFESummAta6sg/edit"", ""Sheet1!B:D""), 2, FALSE), ""Not Found"")"),"mæni")</f>
        <v>mæni</v>
      </c>
      <c r="E2229" s="2" t="str">
        <f>IFERROR(__xludf.DUMMYFUNCTION("IFERROR(VLOOKUP(A2229, IMPORTRANGE(""https://docs.google.com/spreadsheets/d/1-3Vjw2Cyy-mry5gbC8ypIR3YVGFfEpyFESummAta6sg/edit"", ""Sheet1!B:D""), 3, FALSE), ""Not Found"")"),"m æ n i ")</f>
        <v>m æ n i </v>
      </c>
    </row>
    <row r="2230">
      <c r="A2230" s="1" t="s">
        <v>2233</v>
      </c>
      <c r="B2230" s="1" t="s">
        <v>5</v>
      </c>
      <c r="C2230" s="2">
        <f>IFERROR(__xludf.DUMMYFUNCTION("IFERROR(VLOOKUP(A2230, IMPORTRANGE(""https://docs.google.com/spreadsheets/d/1AVX9GT0dgogEBStecCXMMQ29tWz3gBrtNB8yIromXbY/edit?gid=741673867"", ""out1g!A:B""), 2, FALSE), 0)"),2552.0)</f>
        <v>2552</v>
      </c>
      <c r="D2230" s="2" t="str">
        <f>IFERROR(__xludf.DUMMYFUNCTION("IFERROR(VLOOKUP(A2230, IMPORTRANGE(""https://docs.google.com/spreadsheets/d/1-3Vjw2Cyy-mry5gbC8ypIR3YVGFfEpyFESummAta6sg/edit"", ""Sheet1!B:D""), 2, FALSE), ""Not Found"")"),"tərnz")</f>
        <v>tərnz</v>
      </c>
      <c r="E2230" s="2" t="str">
        <f>IFERROR(__xludf.DUMMYFUNCTION("IFERROR(VLOOKUP(A2230, IMPORTRANGE(""https://docs.google.com/spreadsheets/d/1-3Vjw2Cyy-mry5gbC8ypIR3YVGFfEpyFESummAta6sg/edit"", ""Sheet1!B:D""), 3, FALSE), ""Not Found"")"),"t ə r n z ")</f>
        <v>t ə r n z </v>
      </c>
    </row>
    <row r="2231">
      <c r="A2231" s="1" t="s">
        <v>2234</v>
      </c>
      <c r="B2231" s="1" t="s">
        <v>5</v>
      </c>
      <c r="C2231" s="2">
        <f>IFERROR(__xludf.DUMMYFUNCTION("IFERROR(VLOOKUP(A2231, IMPORTRANGE(""https://docs.google.com/spreadsheets/d/1AVX9GT0dgogEBStecCXMMQ29tWz3gBrtNB8yIromXbY/edit?gid=741673867"", ""out1g!A:B""), 2, FALSE), 0)"),181.0)</f>
        <v>181</v>
      </c>
      <c r="D2231" s="2" t="str">
        <f>IFERROR(__xludf.DUMMYFUNCTION("IFERROR(VLOOKUP(A2231, IMPORTRANGE(""https://docs.google.com/spreadsheets/d/1-3Vjw2Cyy-mry5gbC8ypIR3YVGFfEpyFESummAta6sg/edit"", ""Sheet1!B:D""), 2, FALSE), ""Not Found"")"),"lut")</f>
        <v>lut</v>
      </c>
      <c r="E2231" s="2" t="str">
        <f>IFERROR(__xludf.DUMMYFUNCTION("IFERROR(VLOOKUP(A2231, IMPORTRANGE(""https://docs.google.com/spreadsheets/d/1-3Vjw2Cyy-mry5gbC8ypIR3YVGFfEpyFESummAta6sg/edit"", ""Sheet1!B:D""), 3, FALSE), ""Not Found"")"),"l u t ")</f>
        <v>l u t </v>
      </c>
    </row>
    <row r="2232">
      <c r="A2232" s="1" t="s">
        <v>2235</v>
      </c>
      <c r="B2232" s="1" t="s">
        <v>5</v>
      </c>
      <c r="C2232" s="2">
        <f>IFERROR(__xludf.DUMMYFUNCTION("IFERROR(VLOOKUP(A2232, IMPORTRANGE(""https://docs.google.com/spreadsheets/d/1AVX9GT0dgogEBStecCXMMQ29tWz3gBrtNB8yIromXbY/edit?gid=741673867"", ""out1g!A:B""), 2, FALSE), 0)"),167.0)</f>
        <v>167</v>
      </c>
      <c r="D2232" s="2" t="str">
        <f>IFERROR(__xludf.DUMMYFUNCTION("IFERROR(VLOOKUP(A2232, IMPORTRANGE(""https://docs.google.com/spreadsheets/d/1-3Vjw2Cyy-mry5gbC8ypIR3YVGFfEpyFESummAta6sg/edit"", ""Sheet1!B:D""), 2, FALSE), ""Not Found"")"),"sle")</f>
        <v>sle</v>
      </c>
      <c r="E2232" s="2" t="str">
        <f>IFERROR(__xludf.DUMMYFUNCTION("IFERROR(VLOOKUP(A2232, IMPORTRANGE(""https://docs.google.com/spreadsheets/d/1-3Vjw2Cyy-mry5gbC8ypIR3YVGFfEpyFESummAta6sg/edit"", ""Sheet1!B:D""), 3, FALSE), ""Not Found"")"),"s l e ")</f>
        <v>s l e </v>
      </c>
    </row>
    <row r="2233">
      <c r="A2233" s="1" t="s">
        <v>2236</v>
      </c>
      <c r="B2233" s="1" t="s">
        <v>5</v>
      </c>
      <c r="C2233" s="2">
        <f>IFERROR(__xludf.DUMMYFUNCTION("IFERROR(VLOOKUP(A2233, IMPORTRANGE(""https://docs.google.com/spreadsheets/d/1AVX9GT0dgogEBStecCXMMQ29tWz3gBrtNB8yIromXbY/edit?gid=741673867"", ""out1g!A:B""), 2, FALSE), 0)"),68.0)</f>
        <v>68</v>
      </c>
      <c r="D2233" s="2" t="str">
        <f>IFERROR(__xludf.DUMMYFUNCTION("IFERROR(VLOOKUP(A2233, IMPORTRANGE(""https://docs.google.com/spreadsheets/d/1-3Vjw2Cyy-mry5gbC8ypIR3YVGFfEpyFESummAta6sg/edit"", ""Sheet1!B:D""), 2, FALSE), ""Not Found"")"),"ʧɛks")</f>
        <v>ʧɛks</v>
      </c>
      <c r="E2233" s="2" t="str">
        <f>IFERROR(__xludf.DUMMYFUNCTION("IFERROR(VLOOKUP(A2233, IMPORTRANGE(""https://docs.google.com/spreadsheets/d/1-3Vjw2Cyy-mry5gbC8ypIR3YVGFfEpyFESummAta6sg/edit"", ""Sheet1!B:D""), 3, FALSE), ""Not Found"")"),"ʧ ɛ k s ")</f>
        <v>ʧ ɛ k s </v>
      </c>
    </row>
    <row r="2234">
      <c r="A2234" s="1" t="s">
        <v>2237</v>
      </c>
      <c r="B2234" s="1" t="s">
        <v>5</v>
      </c>
      <c r="C2234" s="2">
        <f>IFERROR(__xludf.DUMMYFUNCTION("IFERROR(VLOOKUP(A2234, IMPORTRANGE(""https://docs.google.com/spreadsheets/d/1AVX9GT0dgogEBStecCXMMQ29tWz3gBrtNB8yIromXbY/edit?gid=741673867"", ""out1g!A:B""), 2, FALSE), 0)"),251.0)</f>
        <v>251</v>
      </c>
      <c r="D2234" s="2" t="str">
        <f>IFERROR(__xludf.DUMMYFUNCTION("IFERROR(VLOOKUP(A2234, IMPORTRANGE(""https://docs.google.com/spreadsheets/d/1-3Vjw2Cyy-mry5gbC8ypIR3YVGFfEpyFESummAta6sg/edit"", ""Sheet1!B:D""), 2, FALSE), ""Not Found"")"),"ʧipər")</f>
        <v>ʧipər</v>
      </c>
      <c r="E2234" s="2" t="str">
        <f>IFERROR(__xludf.DUMMYFUNCTION("IFERROR(VLOOKUP(A2234, IMPORTRANGE(""https://docs.google.com/spreadsheets/d/1-3Vjw2Cyy-mry5gbC8ypIR3YVGFfEpyFESummAta6sg/edit"", ""Sheet1!B:D""), 3, FALSE), ""Not Found"")"),"ʧ i p ə r ")</f>
        <v>ʧ i p ə r </v>
      </c>
    </row>
    <row r="2235">
      <c r="A2235" s="1" t="s">
        <v>2238</v>
      </c>
      <c r="B2235" s="1" t="s">
        <v>5</v>
      </c>
      <c r="C2235" s="2">
        <f>IFERROR(__xludf.DUMMYFUNCTION("IFERROR(VLOOKUP(A2235, IMPORTRANGE(""https://docs.google.com/spreadsheets/d/1AVX9GT0dgogEBStecCXMMQ29tWz3gBrtNB8yIromXbY/edit?gid=741673867"", ""out1g!A:B""), 2, FALSE), 0)"),60.0)</f>
        <v>60</v>
      </c>
      <c r="D2235" s="2" t="str">
        <f>IFERROR(__xludf.DUMMYFUNCTION("IFERROR(VLOOKUP(A2235, IMPORTRANGE(""https://docs.google.com/spreadsheets/d/1-3Vjw2Cyy-mry5gbC8ypIR3YVGFfEpyFESummAta6sg/edit"", ""Sheet1!B:D""), 2, FALSE), ""Not Found"")"),"θrɑbɪŋ")</f>
        <v>θrɑbɪŋ</v>
      </c>
      <c r="E2235" s="2" t="str">
        <f>IFERROR(__xludf.DUMMYFUNCTION("IFERROR(VLOOKUP(A2235, IMPORTRANGE(""https://docs.google.com/spreadsheets/d/1-3Vjw2Cyy-mry5gbC8ypIR3YVGFfEpyFESummAta6sg/edit"", ""Sheet1!B:D""), 3, FALSE), ""Not Found"")"),"θ r ɑ b ɪ ŋ ")</f>
        <v>θ r ɑ b ɪ ŋ </v>
      </c>
    </row>
    <row r="2236">
      <c r="A2236" s="1" t="s">
        <v>2239</v>
      </c>
      <c r="B2236" s="1" t="s">
        <v>5</v>
      </c>
      <c r="C2236" s="2">
        <f>IFERROR(__xludf.DUMMYFUNCTION("IFERROR(VLOOKUP(A2236, IMPORTRANGE(""https://docs.google.com/spreadsheets/d/1AVX9GT0dgogEBStecCXMMQ29tWz3gBrtNB8yIromXbY/edit?gid=741673867"", ""out1g!A:B""), 2, FALSE), 0)"),1125.0)</f>
        <v>1125</v>
      </c>
      <c r="D2236" s="2" t="str">
        <f>IFERROR(__xludf.DUMMYFUNCTION("IFERROR(VLOOKUP(A2236, IMPORTRANGE(""https://docs.google.com/spreadsheets/d/1-3Vjw2Cyy-mry5gbC8ypIR3YVGFfEpyFESummAta6sg/edit"", ""Sheet1!B:D""), 2, FALSE), ""Not Found"")"),"flɛʃ")</f>
        <v>flɛʃ</v>
      </c>
      <c r="E2236" s="2" t="str">
        <f>IFERROR(__xludf.DUMMYFUNCTION("IFERROR(VLOOKUP(A2236, IMPORTRANGE(""https://docs.google.com/spreadsheets/d/1-3Vjw2Cyy-mry5gbC8ypIR3YVGFfEpyFESummAta6sg/edit"", ""Sheet1!B:D""), 3, FALSE), ""Not Found"")"),"f l ɛ ʃ ")</f>
        <v>f l ɛ ʃ </v>
      </c>
    </row>
    <row r="2237">
      <c r="A2237" s="1" t="s">
        <v>2240</v>
      </c>
      <c r="B2237" s="1" t="s">
        <v>5</v>
      </c>
      <c r="C2237" s="2">
        <f>IFERROR(__xludf.DUMMYFUNCTION("IFERROR(VLOOKUP(A2237, IMPORTRANGE(""https://docs.google.com/spreadsheets/d/1AVX9GT0dgogEBStecCXMMQ29tWz3gBrtNB8yIromXbY/edit?gid=741673867"", ""out1g!A:B""), 2, FALSE), 0)"),139.0)</f>
        <v>139</v>
      </c>
      <c r="D2237" s="2" t="str">
        <f>IFERROR(__xludf.DUMMYFUNCTION("IFERROR(VLOOKUP(A2237, IMPORTRANGE(""https://docs.google.com/spreadsheets/d/1-3Vjw2Cyy-mry5gbC8ypIR3YVGFfEpyFESummAta6sg/edit"", ""Sheet1!B:D""), 2, FALSE), ""Not Found"")"),"tem")</f>
        <v>tem</v>
      </c>
      <c r="E2237" s="2" t="str">
        <f>IFERROR(__xludf.DUMMYFUNCTION("IFERROR(VLOOKUP(A2237, IMPORTRANGE(""https://docs.google.com/spreadsheets/d/1-3Vjw2Cyy-mry5gbC8ypIR3YVGFfEpyFESummAta6sg/edit"", ""Sheet1!B:D""), 3, FALSE), ""Not Found"")"),"t e m ")</f>
        <v>t e m </v>
      </c>
    </row>
    <row r="2238">
      <c r="A2238" s="1" t="s">
        <v>2241</v>
      </c>
      <c r="B2238" s="1" t="s">
        <v>5</v>
      </c>
      <c r="C2238" s="2">
        <f>IFERROR(__xludf.DUMMYFUNCTION("IFERROR(VLOOKUP(A2238, IMPORTRANGE(""https://docs.google.com/spreadsheets/d/1AVX9GT0dgogEBStecCXMMQ29tWz3gBrtNB8yIromXbY/edit?gid=741673867"", ""out1g!A:B""), 2, FALSE), 0)"),75.0)</f>
        <v>75</v>
      </c>
      <c r="D2238" s="2" t="str">
        <f>IFERROR(__xludf.DUMMYFUNCTION("IFERROR(VLOOKUP(A2238, IMPORTRANGE(""https://docs.google.com/spreadsheets/d/1-3Vjw2Cyy-mry5gbC8ypIR3YVGFfEpyFESummAta6sg/edit"", ""Sheet1!B:D""), 2, FALSE), ""Not Found"")"),"θriz")</f>
        <v>θriz</v>
      </c>
      <c r="E2238" s="2" t="str">
        <f>IFERROR(__xludf.DUMMYFUNCTION("IFERROR(VLOOKUP(A2238, IMPORTRANGE(""https://docs.google.com/spreadsheets/d/1-3Vjw2Cyy-mry5gbC8ypIR3YVGFfEpyFESummAta6sg/edit"", ""Sheet1!B:D""), 3, FALSE), ""Not Found"")"),"θ r i z ")</f>
        <v>θ r i z </v>
      </c>
    </row>
    <row r="2239">
      <c r="A2239" s="1" t="s">
        <v>2242</v>
      </c>
      <c r="B2239" s="1" t="s">
        <v>5</v>
      </c>
      <c r="C2239" s="2">
        <f>IFERROR(__xludf.DUMMYFUNCTION("IFERROR(VLOOKUP(A2239, IMPORTRANGE(""https://docs.google.com/spreadsheets/d/1AVX9GT0dgogEBStecCXMMQ29tWz3gBrtNB8yIromXbY/edit?gid=741673867"", ""out1g!A:B""), 2, FALSE), 0)"),72.0)</f>
        <v>72</v>
      </c>
      <c r="D2239" s="2" t="str">
        <f>IFERROR(__xludf.DUMMYFUNCTION("IFERROR(VLOOKUP(A2239, IMPORTRANGE(""https://docs.google.com/spreadsheets/d/1-3Vjw2Cyy-mry5gbC8ypIR3YVGFfEpyFESummAta6sg/edit"", ""Sheet1!B:D""), 2, FALSE), ""Not Found"")"),"stend")</f>
        <v>stend</v>
      </c>
      <c r="E2239" s="2" t="str">
        <f>IFERROR(__xludf.DUMMYFUNCTION("IFERROR(VLOOKUP(A2239, IMPORTRANGE(""https://docs.google.com/spreadsheets/d/1-3Vjw2Cyy-mry5gbC8ypIR3YVGFfEpyFESummAta6sg/edit"", ""Sheet1!B:D""), 3, FALSE), ""Not Found"")"),"s t e n d ")</f>
        <v>s t e n d </v>
      </c>
    </row>
    <row r="2240">
      <c r="A2240" s="1" t="s">
        <v>2243</v>
      </c>
      <c r="B2240" s="1" t="s">
        <v>5</v>
      </c>
      <c r="C2240" s="2">
        <f>IFERROR(__xludf.DUMMYFUNCTION("IFERROR(VLOOKUP(A2240, IMPORTRANGE(""https://docs.google.com/spreadsheets/d/1AVX9GT0dgogEBStecCXMMQ29tWz3gBrtNB8yIromXbY/edit?gid=741673867"", ""out1g!A:B""), 2, FALSE), 0)"),115.0)</f>
        <v>115</v>
      </c>
      <c r="D2240" s="2" t="str">
        <f>IFERROR(__xludf.DUMMYFUNCTION("IFERROR(VLOOKUP(A2240, IMPORTRANGE(""https://docs.google.com/spreadsheets/d/1-3Vjw2Cyy-mry5gbC8ypIR3YVGFfEpyFESummAta6sg/edit"", ""Sheet1!B:D""), 2, FALSE), ""Not Found"")"),"stæbɪŋ")</f>
        <v>stæbɪŋ</v>
      </c>
      <c r="E2240" s="2" t="str">
        <f>IFERROR(__xludf.DUMMYFUNCTION("IFERROR(VLOOKUP(A2240, IMPORTRANGE(""https://docs.google.com/spreadsheets/d/1-3Vjw2Cyy-mry5gbC8ypIR3YVGFfEpyFESummAta6sg/edit"", ""Sheet1!B:D""), 3, FALSE), ""Not Found"")"),"s t æ b ɪ ŋ ")</f>
        <v>s t æ b ɪ ŋ </v>
      </c>
    </row>
    <row r="2241">
      <c r="A2241" s="1" t="s">
        <v>2244</v>
      </c>
      <c r="B2241" s="1" t="s">
        <v>5</v>
      </c>
      <c r="C2241" s="2">
        <f>IFERROR(__xludf.DUMMYFUNCTION("IFERROR(VLOOKUP(A2241, IMPORTRANGE(""https://docs.google.com/spreadsheets/d/1AVX9GT0dgogEBStecCXMMQ29tWz3gBrtNB8yIromXbY/edit?gid=741673867"", ""out1g!A:B""), 2, FALSE), 0)"),3052.0)</f>
        <v>3052</v>
      </c>
      <c r="D2241" s="2" t="str">
        <f>IFERROR(__xludf.DUMMYFUNCTION("IFERROR(VLOOKUP(A2241, IMPORTRANGE(""https://docs.google.com/spreadsheets/d/1-3Vjw2Cyy-mry5gbC8ypIR3YVGFfEpyFESummAta6sg/edit"", ""Sheet1!B:D""), 2, FALSE), ""Not Found"")"),"si")</f>
        <v>si</v>
      </c>
      <c r="E2241" s="2" t="str">
        <f>IFERROR(__xludf.DUMMYFUNCTION("IFERROR(VLOOKUP(A2241, IMPORTRANGE(""https://docs.google.com/spreadsheets/d/1-3Vjw2Cyy-mry5gbC8ypIR3YVGFfEpyFESummAta6sg/edit"", ""Sheet1!B:D""), 3, FALSE), ""Not Found"")"),"s i ")</f>
        <v>s i </v>
      </c>
    </row>
    <row r="2242">
      <c r="A2242" s="1" t="s">
        <v>2245</v>
      </c>
      <c r="B2242" s="1" t="s">
        <v>5</v>
      </c>
      <c r="C2242" s="2">
        <f>IFERROR(__xludf.DUMMYFUNCTION("IFERROR(VLOOKUP(A2242, IMPORTRANGE(""https://docs.google.com/spreadsheets/d/1AVX9GT0dgogEBStecCXMMQ29tWz3gBrtNB8yIromXbY/edit?gid=741673867"", ""out1g!A:B""), 2, FALSE), 0)"),3783.0)</f>
        <v>3783</v>
      </c>
      <c r="D2242" s="2" t="str">
        <f>IFERROR(__xludf.DUMMYFUNCTION("IFERROR(VLOOKUP(A2242, IMPORTRANGE(""https://docs.google.com/spreadsheets/d/1-3Vjw2Cyy-mry5gbC8ypIR3YVGFfEpyFESummAta6sg/edit"", ""Sheet1!B:D""), 2, FALSE), ""Not Found"")"),"bəs")</f>
        <v>bəs</v>
      </c>
      <c r="E2242" s="2" t="str">
        <f>IFERROR(__xludf.DUMMYFUNCTION("IFERROR(VLOOKUP(A2242, IMPORTRANGE(""https://docs.google.com/spreadsheets/d/1-3Vjw2Cyy-mry5gbC8ypIR3YVGFfEpyFESummAta6sg/edit"", ""Sheet1!B:D""), 3, FALSE), ""Not Found"")"),"b ə s ")</f>
        <v>b ə s </v>
      </c>
    </row>
    <row r="2243">
      <c r="A2243" s="1" t="s">
        <v>2246</v>
      </c>
      <c r="B2243" s="1" t="s">
        <v>5</v>
      </c>
      <c r="C2243" s="2">
        <f>IFERROR(__xludf.DUMMYFUNCTION("IFERROR(VLOOKUP(A2243, IMPORTRANGE(""https://docs.google.com/spreadsheets/d/1AVX9GT0dgogEBStecCXMMQ29tWz3gBrtNB8yIromXbY/edit?gid=741673867"", ""out1g!A:B""), 2, FALSE), 0)"),58.0)</f>
        <v>58</v>
      </c>
      <c r="D2243" s="2" t="str">
        <f>IFERROR(__xludf.DUMMYFUNCTION("IFERROR(VLOOKUP(A2243, IMPORTRANGE(""https://docs.google.com/spreadsheets/d/1-3Vjw2Cyy-mry5gbC8ypIR3YVGFfEpyFESummAta6sg/edit"", ""Sheet1!B:D""), 2, FALSE), ""Not Found"")"),"trets")</f>
        <v>trets</v>
      </c>
      <c r="E2243" s="2" t="str">
        <f>IFERROR(__xludf.DUMMYFUNCTION("IFERROR(VLOOKUP(A2243, IMPORTRANGE(""https://docs.google.com/spreadsheets/d/1-3Vjw2Cyy-mry5gbC8ypIR3YVGFfEpyFESummAta6sg/edit"", ""Sheet1!B:D""), 3, FALSE), ""Not Found"")"),"t r e t s ")</f>
        <v>t r e t s </v>
      </c>
    </row>
    <row r="2244">
      <c r="A2244" s="1" t="s">
        <v>2247</v>
      </c>
      <c r="B2244" s="1" t="s">
        <v>5</v>
      </c>
      <c r="C2244" s="2">
        <f>IFERROR(__xludf.DUMMYFUNCTION("IFERROR(VLOOKUP(A2244, IMPORTRANGE(""https://docs.google.com/spreadsheets/d/1AVX9GT0dgogEBStecCXMMQ29tWz3gBrtNB8yIromXbY/edit?gid=741673867"", ""out1g!A:B""), 2, FALSE), 0)"),104.0)</f>
        <v>104</v>
      </c>
      <c r="D2244" s="2" t="str">
        <f>IFERROR(__xludf.DUMMYFUNCTION("IFERROR(VLOOKUP(A2244, IMPORTRANGE(""https://docs.google.com/spreadsheets/d/1-3Vjw2Cyy-mry5gbC8ypIR3YVGFfEpyFESummAta6sg/edit"", ""Sheet1!B:D""), 2, FALSE), ""Not Found"")"),"loʊtəs")</f>
        <v>loʊtəs</v>
      </c>
      <c r="E2244" s="2" t="str">
        <f>IFERROR(__xludf.DUMMYFUNCTION("IFERROR(VLOOKUP(A2244, IMPORTRANGE(""https://docs.google.com/spreadsheets/d/1-3Vjw2Cyy-mry5gbC8ypIR3YVGFfEpyFESummAta6sg/edit"", ""Sheet1!B:D""), 3, FALSE), ""Not Found"")"),"l o ʊ t ə s ")</f>
        <v>l o ʊ t ə s </v>
      </c>
    </row>
    <row r="2245">
      <c r="A2245" s="1" t="s">
        <v>2248</v>
      </c>
      <c r="B2245" s="1" t="s">
        <v>5</v>
      </c>
      <c r="C2245" s="2">
        <f>IFERROR(__xludf.DUMMYFUNCTION("IFERROR(VLOOKUP(A2245, IMPORTRANGE(""https://docs.google.com/spreadsheets/d/1AVX9GT0dgogEBStecCXMMQ29tWz3gBrtNB8yIromXbY/edit?gid=741673867"", ""out1g!A:B""), 2, FALSE), 0)"),47.0)</f>
        <v>47</v>
      </c>
      <c r="D2245" s="2" t="str">
        <f>IFERROR(__xludf.DUMMYFUNCTION("IFERROR(VLOOKUP(A2245, IMPORTRANGE(""https://docs.google.com/spreadsheets/d/1-3Vjw2Cyy-mry5gbC8ypIR3YVGFfEpyFESummAta6sg/edit"", ""Sheet1!B:D""), 2, FALSE), ""Not Found"")"),"paʊtɪŋ")</f>
        <v>paʊtɪŋ</v>
      </c>
      <c r="E2245" s="2" t="str">
        <f>IFERROR(__xludf.DUMMYFUNCTION("IFERROR(VLOOKUP(A2245, IMPORTRANGE(""https://docs.google.com/spreadsheets/d/1-3Vjw2Cyy-mry5gbC8ypIR3YVGFfEpyFESummAta6sg/edit"", ""Sheet1!B:D""), 3, FALSE), ""Not Found"")"),"p a ʊ t ɪ ŋ ")</f>
        <v>p a ʊ t ɪ ŋ </v>
      </c>
    </row>
    <row r="2246">
      <c r="A2246" s="1" t="s">
        <v>2249</v>
      </c>
      <c r="B2246" s="1" t="s">
        <v>5</v>
      </c>
      <c r="C2246" s="2">
        <f>IFERROR(__xludf.DUMMYFUNCTION("IFERROR(VLOOKUP(A2246, IMPORTRANGE(""https://docs.google.com/spreadsheets/d/1AVX9GT0dgogEBStecCXMMQ29tWz3gBrtNB8yIromXbY/edit?gid=741673867"", ""out1g!A:B""), 2, FALSE), 0)"),49.0)</f>
        <v>49</v>
      </c>
      <c r="D2246" s="2" t="str">
        <f>IFERROR(__xludf.DUMMYFUNCTION("IFERROR(VLOOKUP(A2246, IMPORTRANGE(""https://docs.google.com/spreadsheets/d/1-3Vjw2Cyy-mry5gbC8ypIR3YVGFfEpyFESummAta6sg/edit"", ""Sheet1!B:D""), 2, FALSE), ""Not Found"")"),"mætsoʊ")</f>
        <v>mætsoʊ</v>
      </c>
      <c r="E2246" s="2" t="str">
        <f>IFERROR(__xludf.DUMMYFUNCTION("IFERROR(VLOOKUP(A2246, IMPORTRANGE(""https://docs.google.com/spreadsheets/d/1-3Vjw2Cyy-mry5gbC8ypIR3YVGFfEpyFESummAta6sg/edit"", ""Sheet1!B:D""), 3, FALSE), ""Not Found"")"),"m æ t s o ʊ ")</f>
        <v>m æ t s o ʊ </v>
      </c>
    </row>
    <row r="2247">
      <c r="A2247" s="1" t="s">
        <v>2250</v>
      </c>
      <c r="B2247" s="1" t="s">
        <v>5</v>
      </c>
      <c r="C2247" s="2">
        <f>IFERROR(__xludf.DUMMYFUNCTION("IFERROR(VLOOKUP(A2247, IMPORTRANGE(""https://docs.google.com/spreadsheets/d/1AVX9GT0dgogEBStecCXMMQ29tWz3gBrtNB8yIromXbY/edit?gid=741673867"", ""out1g!A:B""), 2, FALSE), 0)"),294.0)</f>
        <v>294</v>
      </c>
      <c r="D2247" s="2" t="str">
        <f>IFERROR(__xludf.DUMMYFUNCTION("IFERROR(VLOOKUP(A2247, IMPORTRANGE(""https://docs.google.com/spreadsheets/d/1-3Vjw2Cyy-mry5gbC8ypIR3YVGFfEpyFESummAta6sg/edit"", ""Sheet1!B:D""), 2, FALSE), ""Not Found"")"),"ɑlmə")</f>
        <v>ɑlmə</v>
      </c>
      <c r="E2247" s="2" t="str">
        <f>IFERROR(__xludf.DUMMYFUNCTION("IFERROR(VLOOKUP(A2247, IMPORTRANGE(""https://docs.google.com/spreadsheets/d/1-3Vjw2Cyy-mry5gbC8ypIR3YVGFfEpyFESummAta6sg/edit"", ""Sheet1!B:D""), 3, FALSE), ""Not Found"")"),"ɑ l m ə ")</f>
        <v>ɑ l m ə </v>
      </c>
    </row>
    <row r="2248">
      <c r="A2248" s="1" t="s">
        <v>2251</v>
      </c>
      <c r="B2248" s="1" t="s">
        <v>5</v>
      </c>
      <c r="C2248" s="2">
        <f>IFERROR(__xludf.DUMMYFUNCTION("IFERROR(VLOOKUP(A2248, IMPORTRANGE(""https://docs.google.com/spreadsheets/d/1AVX9GT0dgogEBStecCXMMQ29tWz3gBrtNB8yIromXbY/edit?gid=741673867"", ""out1g!A:B""), 2, FALSE), 0)"),49.0)</f>
        <v>49</v>
      </c>
      <c r="D2248" s="2" t="str">
        <f>IFERROR(__xludf.DUMMYFUNCTION("IFERROR(VLOOKUP(A2248, IMPORTRANGE(""https://docs.google.com/spreadsheets/d/1-3Vjw2Cyy-mry5gbC8ypIR3YVGFfEpyFESummAta6sg/edit"", ""Sheet1!B:D""), 2, FALSE), ""Not Found"")"),"sɛtɪŋz")</f>
        <v>sɛtɪŋz</v>
      </c>
      <c r="E2248" s="2" t="str">
        <f>IFERROR(__xludf.DUMMYFUNCTION("IFERROR(VLOOKUP(A2248, IMPORTRANGE(""https://docs.google.com/spreadsheets/d/1-3Vjw2Cyy-mry5gbC8ypIR3YVGFfEpyFESummAta6sg/edit"", ""Sheet1!B:D""), 3, FALSE), ""Not Found"")"),"s ɛ t ɪ ŋ z ")</f>
        <v>s ɛ t ɪ ŋ z </v>
      </c>
    </row>
    <row r="2249">
      <c r="A2249" s="1" t="s">
        <v>2252</v>
      </c>
      <c r="B2249" s="1" t="s">
        <v>5</v>
      </c>
      <c r="C2249" s="2">
        <f>IFERROR(__xludf.DUMMYFUNCTION("IFERROR(VLOOKUP(A2249, IMPORTRANGE(""https://docs.google.com/spreadsheets/d/1AVX9GT0dgogEBStecCXMMQ29tWz3gBrtNB8yIromXbY/edit?gid=741673867"", ""out1g!A:B""), 2, FALSE), 0)"),467.0)</f>
        <v>467</v>
      </c>
      <c r="D2249" s="2" t="str">
        <f>IFERROR(__xludf.DUMMYFUNCTION("IFERROR(VLOOKUP(A2249, IMPORTRANGE(""https://docs.google.com/spreadsheets/d/1-3Vjw2Cyy-mry5gbC8ypIR3YVGFfEpyFESummAta6sg/edit"", ""Sheet1!B:D""), 2, FALSE), ""Not Found"")"),"tɪps")</f>
        <v>tɪps</v>
      </c>
      <c r="E2249" s="2" t="str">
        <f>IFERROR(__xludf.DUMMYFUNCTION("IFERROR(VLOOKUP(A2249, IMPORTRANGE(""https://docs.google.com/spreadsheets/d/1-3Vjw2Cyy-mry5gbC8ypIR3YVGFfEpyFESummAta6sg/edit"", ""Sheet1!B:D""), 3, FALSE), ""Not Found"")"),"t ɪ p s ")</f>
        <v>t ɪ p s </v>
      </c>
    </row>
    <row r="2250">
      <c r="A2250" s="1" t="s">
        <v>2253</v>
      </c>
      <c r="B2250" s="1" t="s">
        <v>5</v>
      </c>
      <c r="C2250" s="2">
        <f>IFERROR(__xludf.DUMMYFUNCTION("IFERROR(VLOOKUP(A2250, IMPORTRANGE(""https://docs.google.com/spreadsheets/d/1AVX9GT0dgogEBStecCXMMQ29tWz3gBrtNB8yIromXbY/edit?gid=741673867"", ""out1g!A:B""), 2, FALSE), 0)"),56.0)</f>
        <v>56</v>
      </c>
      <c r="D2250" s="2" t="str">
        <f>IFERROR(__xludf.DUMMYFUNCTION("IFERROR(VLOOKUP(A2250, IMPORTRANGE(""https://docs.google.com/spreadsheets/d/1-3Vjw2Cyy-mry5gbC8ypIR3YVGFfEpyFESummAta6sg/edit"", ""Sheet1!B:D""), 2, FALSE), ""Not Found"")"),"kɑlərə")</f>
        <v>kɑlərə</v>
      </c>
      <c r="E2250" s="2" t="str">
        <f>IFERROR(__xludf.DUMMYFUNCTION("IFERROR(VLOOKUP(A2250, IMPORTRANGE(""https://docs.google.com/spreadsheets/d/1-3Vjw2Cyy-mry5gbC8ypIR3YVGFfEpyFESummAta6sg/edit"", ""Sheet1!B:D""), 3, FALSE), ""Not Found"")"),"k ɑ l ə r ə ")</f>
        <v>k ɑ l ə r ə </v>
      </c>
    </row>
    <row r="2251">
      <c r="A2251" s="1" t="s">
        <v>2254</v>
      </c>
      <c r="B2251" s="1" t="s">
        <v>5</v>
      </c>
      <c r="C2251" s="2">
        <f>IFERROR(__xludf.DUMMYFUNCTION("IFERROR(VLOOKUP(A2251, IMPORTRANGE(""https://docs.google.com/spreadsheets/d/1AVX9GT0dgogEBStecCXMMQ29tWz3gBrtNB8yIromXbY/edit?gid=741673867"", ""out1g!A:B""), 2, FALSE), 0)"),1792.0)</f>
        <v>1792</v>
      </c>
      <c r="D2251" s="2" t="str">
        <f>IFERROR(__xludf.DUMMYFUNCTION("IFERROR(VLOOKUP(A2251, IMPORTRANGE(""https://docs.google.com/spreadsheets/d/1-3Vjw2Cyy-mry5gbC8ypIR3YVGFfEpyFESummAta6sg/edit"", ""Sheet1!B:D""), 2, FALSE), ""Not Found"")"),"laɪər")</f>
        <v>laɪər</v>
      </c>
      <c r="E2251" s="2" t="str">
        <f>IFERROR(__xludf.DUMMYFUNCTION("IFERROR(VLOOKUP(A2251, IMPORTRANGE(""https://docs.google.com/spreadsheets/d/1-3Vjw2Cyy-mry5gbC8ypIR3YVGFfEpyFESummAta6sg/edit"", ""Sheet1!B:D""), 3, FALSE), ""Not Found"")"),"l a ɪ ə r ")</f>
        <v>l a ɪ ə r </v>
      </c>
    </row>
    <row r="2252">
      <c r="A2252" s="1" t="s">
        <v>2255</v>
      </c>
      <c r="B2252" s="1" t="s">
        <v>5</v>
      </c>
      <c r="C2252" s="2">
        <f>IFERROR(__xludf.DUMMYFUNCTION("IFERROR(VLOOKUP(A2252, IMPORTRANGE(""https://docs.google.com/spreadsheets/d/1AVX9GT0dgogEBStecCXMMQ29tWz3gBrtNB8yIromXbY/edit?gid=741673867"", ""out1g!A:B""), 2, FALSE), 0)"),2958.0)</f>
        <v>2958</v>
      </c>
      <c r="D2252" s="2" t="str">
        <f>IFERROR(__xludf.DUMMYFUNCTION("IFERROR(VLOOKUP(A2252, IMPORTRANGE(""https://docs.google.com/spreadsheets/d/1-3Vjw2Cyy-mry5gbC8ypIR3YVGFfEpyFESummAta6sg/edit"", ""Sheet1!B:D""), 2, FALSE), ""Not Found"")"),"smaɪl")</f>
        <v>smaɪl</v>
      </c>
      <c r="E2252" s="2" t="str">
        <f>IFERROR(__xludf.DUMMYFUNCTION("IFERROR(VLOOKUP(A2252, IMPORTRANGE(""https://docs.google.com/spreadsheets/d/1-3Vjw2Cyy-mry5gbC8ypIR3YVGFfEpyFESummAta6sg/edit"", ""Sheet1!B:D""), 3, FALSE), ""Not Found"")"),"s m a ɪ l ")</f>
        <v>s m a ɪ l </v>
      </c>
    </row>
    <row r="2253">
      <c r="A2253" s="1" t="s">
        <v>2256</v>
      </c>
      <c r="B2253" s="1" t="s">
        <v>5</v>
      </c>
      <c r="C2253" s="2">
        <f>IFERROR(__xludf.DUMMYFUNCTION("IFERROR(VLOOKUP(A2253, IMPORTRANGE(""https://docs.google.com/spreadsheets/d/1AVX9GT0dgogEBStecCXMMQ29tWz3gBrtNB8yIromXbY/edit?gid=741673867"", ""out1g!A:B""), 2, FALSE), 0)"),374.0)</f>
        <v>374</v>
      </c>
      <c r="D2253" s="2" t="str">
        <f>IFERROR(__xludf.DUMMYFUNCTION("IFERROR(VLOOKUP(A2253, IMPORTRANGE(""https://docs.google.com/spreadsheets/d/1-3Vjw2Cyy-mry5gbC8ypIR3YVGFfEpyFESummAta6sg/edit"", ""Sheet1!B:D""), 2, FALSE), ""Not Found"")"),"aɪdil")</f>
        <v>aɪdil</v>
      </c>
      <c r="E2253" s="2" t="str">
        <f>IFERROR(__xludf.DUMMYFUNCTION("IFERROR(VLOOKUP(A2253, IMPORTRANGE(""https://docs.google.com/spreadsheets/d/1-3Vjw2Cyy-mry5gbC8ypIR3YVGFfEpyFESummAta6sg/edit"", ""Sheet1!B:D""), 3, FALSE), ""Not Found"")"),"a ɪ d i l ")</f>
        <v>a ɪ d i l </v>
      </c>
    </row>
    <row r="2254">
      <c r="A2254" s="1" t="s">
        <v>2257</v>
      </c>
      <c r="B2254" s="1" t="s">
        <v>5</v>
      </c>
      <c r="C2254" s="2">
        <f>IFERROR(__xludf.DUMMYFUNCTION("IFERROR(VLOOKUP(A2254, IMPORTRANGE(""https://docs.google.com/spreadsheets/d/1AVX9GT0dgogEBStecCXMMQ29tWz3gBrtNB8yIromXbY/edit?gid=741673867"", ""out1g!A:B""), 2, FALSE), 0)"),52.0)</f>
        <v>52</v>
      </c>
      <c r="D2254" s="2" t="str">
        <f>IFERROR(__xludf.DUMMYFUNCTION("IFERROR(VLOOKUP(A2254, IMPORTRANGE(""https://docs.google.com/spreadsheets/d/1-3Vjw2Cyy-mry5gbC8ypIR3YVGFfEpyFESummAta6sg/edit"", ""Sheet1!B:D""), 2, FALSE), ""Not Found"")"),"krez")</f>
        <v>krez</v>
      </c>
      <c r="E2254" s="2" t="str">
        <f>IFERROR(__xludf.DUMMYFUNCTION("IFERROR(VLOOKUP(A2254, IMPORTRANGE(""https://docs.google.com/spreadsheets/d/1-3Vjw2Cyy-mry5gbC8ypIR3YVGFfEpyFESummAta6sg/edit"", ""Sheet1!B:D""), 3, FALSE), ""Not Found"")"),"k r e z ")</f>
        <v>k r e z </v>
      </c>
    </row>
    <row r="2255">
      <c r="A2255" s="1" t="s">
        <v>2258</v>
      </c>
      <c r="B2255" s="1" t="s">
        <v>5</v>
      </c>
      <c r="C2255" s="2">
        <f>IFERROR(__xludf.DUMMYFUNCTION("IFERROR(VLOOKUP(A2255, IMPORTRANGE(""https://docs.google.com/spreadsheets/d/1AVX9GT0dgogEBStecCXMMQ29tWz3gBrtNB8yIromXbY/edit?gid=741673867"", ""out1g!A:B""), 2, FALSE), 0)"),66.0)</f>
        <v>66</v>
      </c>
      <c r="D2255" s="2" t="str">
        <f>IFERROR(__xludf.DUMMYFUNCTION("IFERROR(VLOOKUP(A2255, IMPORTRANGE(""https://docs.google.com/spreadsheets/d/1-3Vjw2Cyy-mry5gbC8ypIR3YVGFfEpyFESummAta6sg/edit"", ""Sheet1!B:D""), 2, FALSE), ""Not Found"")"),"hərpiz")</f>
        <v>hərpiz</v>
      </c>
      <c r="E2255" s="2" t="str">
        <f>IFERROR(__xludf.DUMMYFUNCTION("IFERROR(VLOOKUP(A2255, IMPORTRANGE(""https://docs.google.com/spreadsheets/d/1-3Vjw2Cyy-mry5gbC8ypIR3YVGFfEpyFESummAta6sg/edit"", ""Sheet1!B:D""), 3, FALSE), ""Not Found"")"),"h ə r p i z ")</f>
        <v>h ə r p i z </v>
      </c>
    </row>
    <row r="2256">
      <c r="A2256" s="1" t="s">
        <v>2259</v>
      </c>
      <c r="B2256" s="1" t="s">
        <v>5</v>
      </c>
      <c r="C2256" s="2">
        <f>IFERROR(__xludf.DUMMYFUNCTION("IFERROR(VLOOKUP(A2256, IMPORTRANGE(""https://docs.google.com/spreadsheets/d/1AVX9GT0dgogEBStecCXMMQ29tWz3gBrtNB8yIromXbY/edit?gid=741673867"", ""out1g!A:B""), 2, FALSE), 0)"),53.0)</f>
        <v>53</v>
      </c>
      <c r="D2256" s="2" t="str">
        <f>IFERROR(__xludf.DUMMYFUNCTION("IFERROR(VLOOKUP(A2256, IMPORTRANGE(""https://docs.google.com/spreadsheets/d/1-3Vjw2Cyy-mry5gbC8ypIR3YVGFfEpyFESummAta6sg/edit"", ""Sheet1!B:D""), 2, FALSE), ""Not Found"")"),"dɑrbi")</f>
        <v>dɑrbi</v>
      </c>
      <c r="E2256" s="2" t="str">
        <f>IFERROR(__xludf.DUMMYFUNCTION("IFERROR(VLOOKUP(A2256, IMPORTRANGE(""https://docs.google.com/spreadsheets/d/1-3Vjw2Cyy-mry5gbC8ypIR3YVGFfEpyFESummAta6sg/edit"", ""Sheet1!B:D""), 3, FALSE), ""Not Found"")"),"d ɑ r b i ")</f>
        <v>d ɑ r b i </v>
      </c>
    </row>
    <row r="2257">
      <c r="A2257" s="1" t="s">
        <v>2260</v>
      </c>
      <c r="B2257" s="1" t="s">
        <v>5</v>
      </c>
      <c r="C2257" s="2">
        <f>IFERROR(__xludf.DUMMYFUNCTION("IFERROR(VLOOKUP(A2257, IMPORTRANGE(""https://docs.google.com/spreadsheets/d/1AVX9GT0dgogEBStecCXMMQ29tWz3gBrtNB8yIromXbY/edit?gid=741673867"", ""out1g!A:B""), 2, FALSE), 0)"),290.0)</f>
        <v>290</v>
      </c>
      <c r="D2257" s="2" t="str">
        <f>IFERROR(__xludf.DUMMYFUNCTION("IFERROR(VLOOKUP(A2257, IMPORTRANGE(""https://docs.google.com/spreadsheets/d/1-3Vjw2Cyy-mry5gbC8ypIR3YVGFfEpyFESummAta6sg/edit"", ""Sheet1!B:D""), 2, FALSE), ""Not Found"")"),"mɛnəli")</f>
        <v>mɛnəli</v>
      </c>
      <c r="E2257" s="2" t="str">
        <f>IFERROR(__xludf.DUMMYFUNCTION("IFERROR(VLOOKUP(A2257, IMPORTRANGE(""https://docs.google.com/spreadsheets/d/1-3Vjw2Cyy-mry5gbC8ypIR3YVGFfEpyFESummAta6sg/edit"", ""Sheet1!B:D""), 3, FALSE), ""Not Found"")"),"m ɛ n ə l i ")</f>
        <v>m ɛ n ə l i </v>
      </c>
    </row>
    <row r="2258">
      <c r="A2258" s="1" t="s">
        <v>2261</v>
      </c>
      <c r="B2258" s="1" t="s">
        <v>5</v>
      </c>
      <c r="C2258" s="2">
        <f>IFERROR(__xludf.DUMMYFUNCTION("IFERROR(VLOOKUP(A2258, IMPORTRANGE(""https://docs.google.com/spreadsheets/d/1AVX9GT0dgogEBStecCXMMQ29tWz3gBrtNB8yIromXbY/edit?gid=741673867"", ""out1g!A:B""), 2, FALSE), 0)"),9546.0)</f>
        <v>9546</v>
      </c>
      <c r="D2258" s="2" t="str">
        <f>IFERROR(__xludf.DUMMYFUNCTION("IFERROR(VLOOKUP(A2258, IMPORTRANGE(""https://docs.google.com/spreadsheets/d/1-3Vjw2Cyy-mry5gbC8ypIR3YVGFfEpyFESummAta6sg/edit"", ""Sheet1!B:D""), 2, FALSE), ""Not Found"")"),"spik")</f>
        <v>spik</v>
      </c>
      <c r="E2258" s="2" t="str">
        <f>IFERROR(__xludf.DUMMYFUNCTION("IFERROR(VLOOKUP(A2258, IMPORTRANGE(""https://docs.google.com/spreadsheets/d/1-3Vjw2Cyy-mry5gbC8ypIR3YVGFfEpyFESummAta6sg/edit"", ""Sheet1!B:D""), 3, FALSE), ""Not Found"")"),"s p i k ")</f>
        <v>s p i k </v>
      </c>
    </row>
    <row r="2259">
      <c r="A2259" s="1" t="s">
        <v>2262</v>
      </c>
      <c r="B2259" s="1" t="s">
        <v>5</v>
      </c>
      <c r="C2259" s="2">
        <f>IFERROR(__xludf.DUMMYFUNCTION("IFERROR(VLOOKUP(A2259, IMPORTRANGE(""https://docs.google.com/spreadsheets/d/1AVX9GT0dgogEBStecCXMMQ29tWz3gBrtNB8yIromXbY/edit?gid=741673867"", ""out1g!A:B""), 2, FALSE), 0)"),163.0)</f>
        <v>163</v>
      </c>
      <c r="D2259" s="2" t="str">
        <f>IFERROR(__xludf.DUMMYFUNCTION("IFERROR(VLOOKUP(A2259, IMPORTRANGE(""https://docs.google.com/spreadsheets/d/1-3Vjw2Cyy-mry5gbC8ypIR3YVGFfEpyFESummAta6sg/edit"", ""Sheet1!B:D""), 2, FALSE), ""Not Found"")"),"mərtəl")</f>
        <v>mərtəl</v>
      </c>
      <c r="E2259" s="2" t="str">
        <f>IFERROR(__xludf.DUMMYFUNCTION("IFERROR(VLOOKUP(A2259, IMPORTRANGE(""https://docs.google.com/spreadsheets/d/1-3Vjw2Cyy-mry5gbC8ypIR3YVGFfEpyFESummAta6sg/edit"", ""Sheet1!B:D""), 3, FALSE), ""Not Found"")"),"m ə r t ə l ")</f>
        <v>m ə r t ə l </v>
      </c>
    </row>
    <row r="2260">
      <c r="A2260" s="1" t="s">
        <v>2263</v>
      </c>
      <c r="B2260" s="1" t="s">
        <v>5</v>
      </c>
      <c r="C2260" s="2">
        <f>IFERROR(__xludf.DUMMYFUNCTION("IFERROR(VLOOKUP(A2260, IMPORTRANGE(""https://docs.google.com/spreadsheets/d/1AVX9GT0dgogEBStecCXMMQ29tWz3gBrtNB8yIromXbY/edit?gid=741673867"", ""out1g!A:B""), 2, FALSE), 0)"),18.0)</f>
        <v>18</v>
      </c>
      <c r="D2260" s="2" t="str">
        <f>IFERROR(__xludf.DUMMYFUNCTION("IFERROR(VLOOKUP(A2260, IMPORTRANGE(""https://docs.google.com/spreadsheets/d/1-3Vjw2Cyy-mry5gbC8ypIR3YVGFfEpyFESummAta6sg/edit"", ""Sheet1!B:D""), 2, FALSE), ""Not Found"")"),"fled")</f>
        <v>fled</v>
      </c>
      <c r="E2260" s="2" t="str">
        <f>IFERROR(__xludf.DUMMYFUNCTION("IFERROR(VLOOKUP(A2260, IMPORTRANGE(""https://docs.google.com/spreadsheets/d/1-3Vjw2Cyy-mry5gbC8ypIR3YVGFfEpyFESummAta6sg/edit"", ""Sheet1!B:D""), 3, FALSE), ""Not Found"")"),"f l e d ")</f>
        <v>f l e d </v>
      </c>
    </row>
    <row r="2261">
      <c r="A2261" s="1" t="s">
        <v>2264</v>
      </c>
      <c r="B2261" s="1" t="s">
        <v>5</v>
      </c>
      <c r="C2261" s="2">
        <f>IFERROR(__xludf.DUMMYFUNCTION("IFERROR(VLOOKUP(A2261, IMPORTRANGE(""https://docs.google.com/spreadsheets/d/1AVX9GT0dgogEBStecCXMMQ29tWz3gBrtNB8yIromXbY/edit?gid=741673867"", ""out1g!A:B""), 2, FALSE), 0)"),316.0)</f>
        <v>316</v>
      </c>
      <c r="D2261" s="2" t="str">
        <f>IFERROR(__xludf.DUMMYFUNCTION("IFERROR(VLOOKUP(A2261, IMPORTRANGE(""https://docs.google.com/spreadsheets/d/1-3Vjw2Cyy-mry5gbC8ypIR3YVGFfEpyFESummAta6sg/edit"", ""Sheet1!B:D""), 2, FALSE), ""Not Found"")"),"krɪb")</f>
        <v>krɪb</v>
      </c>
      <c r="E2261" s="2" t="str">
        <f>IFERROR(__xludf.DUMMYFUNCTION("IFERROR(VLOOKUP(A2261, IMPORTRANGE(""https://docs.google.com/spreadsheets/d/1-3Vjw2Cyy-mry5gbC8ypIR3YVGFfEpyFESummAta6sg/edit"", ""Sheet1!B:D""), 3, FALSE), ""Not Found"")"),"k r ɪ b ")</f>
        <v>k r ɪ b </v>
      </c>
    </row>
    <row r="2262">
      <c r="A2262" s="1" t="s">
        <v>2265</v>
      </c>
      <c r="B2262" s="1" t="s">
        <v>5</v>
      </c>
      <c r="C2262" s="2">
        <f>IFERROR(__xludf.DUMMYFUNCTION("IFERROR(VLOOKUP(A2262, IMPORTRANGE(""https://docs.google.com/spreadsheets/d/1AVX9GT0dgogEBStecCXMMQ29tWz3gBrtNB8yIromXbY/edit?gid=741673867"", ""out1g!A:B""), 2, FALSE), 0)"),36878.0)</f>
        <v>36878</v>
      </c>
      <c r="D2262" s="2" t="str">
        <f>IFERROR(__xludf.DUMMYFUNCTION("IFERROR(VLOOKUP(A2262, IMPORTRANGE(""https://docs.google.com/spreadsheets/d/1-3Vjw2Cyy-mry5gbC8ypIR3YVGFfEpyFESummAta6sg/edit"", ""Sheet1!B:D""), 2, FALSE), ""Not Found"")"),"læst")</f>
        <v>læst</v>
      </c>
      <c r="E2262" s="2" t="str">
        <f>IFERROR(__xludf.DUMMYFUNCTION("IFERROR(VLOOKUP(A2262, IMPORTRANGE(""https://docs.google.com/spreadsheets/d/1-3Vjw2Cyy-mry5gbC8ypIR3YVGFfEpyFESummAta6sg/edit"", ""Sheet1!B:D""), 3, FALSE), ""Not Found"")"),"l æ s t ")</f>
        <v>l æ s t </v>
      </c>
    </row>
    <row r="2263">
      <c r="A2263" s="1" t="s">
        <v>2266</v>
      </c>
      <c r="B2263" s="1" t="s">
        <v>5</v>
      </c>
      <c r="C2263" s="2">
        <f>IFERROR(__xludf.DUMMYFUNCTION("IFERROR(VLOOKUP(A2263, IMPORTRANGE(""https://docs.google.com/spreadsheets/d/1AVX9GT0dgogEBStecCXMMQ29tWz3gBrtNB8yIromXbY/edit?gid=741673867"", ""out1g!A:B""), 2, FALSE), 0)"),218.0)</f>
        <v>218</v>
      </c>
      <c r="D2263" s="2" t="str">
        <f>IFERROR(__xludf.DUMMYFUNCTION("IFERROR(VLOOKUP(A2263, IMPORTRANGE(""https://docs.google.com/spreadsheets/d/1-3Vjw2Cyy-mry5gbC8ypIR3YVGFfEpyFESummAta6sg/edit"", ""Sheet1!B:D""), 2, FALSE), ""Not Found"")"),"daɪpər")</f>
        <v>daɪpər</v>
      </c>
      <c r="E2263" s="2" t="str">
        <f>IFERROR(__xludf.DUMMYFUNCTION("IFERROR(VLOOKUP(A2263, IMPORTRANGE(""https://docs.google.com/spreadsheets/d/1-3Vjw2Cyy-mry5gbC8ypIR3YVGFfEpyFESummAta6sg/edit"", ""Sheet1!B:D""), 3, FALSE), ""Not Found"")"),"d a ɪ p ə r ")</f>
        <v>d a ɪ p ə r </v>
      </c>
    </row>
    <row r="2264">
      <c r="A2264" s="1" t="s">
        <v>2267</v>
      </c>
      <c r="B2264" s="1" t="s">
        <v>5</v>
      </c>
      <c r="C2264" s="2">
        <f>IFERROR(__xludf.DUMMYFUNCTION("IFERROR(VLOOKUP(A2264, IMPORTRANGE(""https://docs.google.com/spreadsheets/d/1AVX9GT0dgogEBStecCXMMQ29tWz3gBrtNB8yIromXbY/edit?gid=741673867"", ""out1g!A:B""), 2, FALSE), 0)"),95.0)</f>
        <v>95</v>
      </c>
      <c r="D2264" s="2" t="str">
        <f>IFERROR(__xludf.DUMMYFUNCTION("IFERROR(VLOOKUP(A2264, IMPORTRANGE(""https://docs.google.com/spreadsheets/d/1-3Vjw2Cyy-mry5gbC8ypIR3YVGFfEpyFESummAta6sg/edit"", ""Sheet1!B:D""), 2, FALSE), ""Not Found"")"),"frɪsbi")</f>
        <v>frɪsbi</v>
      </c>
      <c r="E2264" s="2" t="str">
        <f>IFERROR(__xludf.DUMMYFUNCTION("IFERROR(VLOOKUP(A2264, IMPORTRANGE(""https://docs.google.com/spreadsheets/d/1-3Vjw2Cyy-mry5gbC8ypIR3YVGFfEpyFESummAta6sg/edit"", ""Sheet1!B:D""), 3, FALSE), ""Not Found"")"),"f r ɪ s b i ")</f>
        <v>f r ɪ s b i </v>
      </c>
    </row>
    <row r="2265">
      <c r="A2265" s="1" t="s">
        <v>2268</v>
      </c>
      <c r="B2265" s="1" t="s">
        <v>5</v>
      </c>
      <c r="C2265" s="2">
        <f>IFERROR(__xludf.DUMMYFUNCTION("IFERROR(VLOOKUP(A2265, IMPORTRANGE(""https://docs.google.com/spreadsheets/d/1AVX9GT0dgogEBStecCXMMQ29tWz3gBrtNB8yIromXbY/edit?gid=741673867"", ""out1g!A:B""), 2, FALSE), 0)"),92.0)</f>
        <v>92</v>
      </c>
      <c r="D2265" s="2" t="str">
        <f>IFERROR(__xludf.DUMMYFUNCTION("IFERROR(VLOOKUP(A2265, IMPORTRANGE(""https://docs.google.com/spreadsheets/d/1-3Vjw2Cyy-mry5gbC8ypIR3YVGFfEpyFESummAta6sg/edit"", ""Sheet1!B:D""), 2, FALSE), ""Not Found"")"),"daʊnz")</f>
        <v>daʊnz</v>
      </c>
      <c r="E2265" s="2" t="str">
        <f>IFERROR(__xludf.DUMMYFUNCTION("IFERROR(VLOOKUP(A2265, IMPORTRANGE(""https://docs.google.com/spreadsheets/d/1-3Vjw2Cyy-mry5gbC8ypIR3YVGFfEpyFESummAta6sg/edit"", ""Sheet1!B:D""), 3, FALSE), ""Not Found"")"),"d a ʊ n z ")</f>
        <v>d a ʊ n z </v>
      </c>
    </row>
    <row r="2266">
      <c r="A2266" s="1" t="s">
        <v>2269</v>
      </c>
      <c r="B2266" s="1" t="s">
        <v>5</v>
      </c>
      <c r="C2266" s="2">
        <f>IFERROR(__xludf.DUMMYFUNCTION("IFERROR(VLOOKUP(A2266, IMPORTRANGE(""https://docs.google.com/spreadsheets/d/1AVX9GT0dgogEBStecCXMMQ29tWz3gBrtNB8yIromXbY/edit?gid=741673867"", ""out1g!A:B""), 2, FALSE), 0)"),46.0)</f>
        <v>46</v>
      </c>
      <c r="D2266" s="2" t="str">
        <f>IFERROR(__xludf.DUMMYFUNCTION("IFERROR(VLOOKUP(A2266, IMPORTRANGE(""https://docs.google.com/spreadsheets/d/1-3Vjw2Cyy-mry5gbC8ypIR3YVGFfEpyFESummAta6sg/edit"", ""Sheet1!B:D""), 2, FALSE), ""Not Found"")"),"wɛ")</f>
        <v>wɛ</v>
      </c>
      <c r="E2266" s="2" t="str">
        <f>IFERROR(__xludf.DUMMYFUNCTION("IFERROR(VLOOKUP(A2266, IMPORTRANGE(""https://docs.google.com/spreadsheets/d/1-3Vjw2Cyy-mry5gbC8ypIR3YVGFfEpyFESummAta6sg/edit"", ""Sheet1!B:D""), 3, FALSE), ""Not Found"")"),"w ɛ ")</f>
        <v>w ɛ </v>
      </c>
    </row>
    <row r="2267">
      <c r="A2267" s="1" t="s">
        <v>2270</v>
      </c>
      <c r="B2267" s="1" t="s">
        <v>5</v>
      </c>
      <c r="C2267" s="2">
        <f>IFERROR(__xludf.DUMMYFUNCTION("IFERROR(VLOOKUP(A2267, IMPORTRANGE(""https://docs.google.com/spreadsheets/d/1AVX9GT0dgogEBStecCXMMQ29tWz3gBrtNB8yIromXbY/edit?gid=741673867"", ""out1g!A:B""), 2, FALSE), 0)"),523.0)</f>
        <v>523</v>
      </c>
      <c r="D2267" s="2" t="str">
        <f>IFERROR(__xludf.DUMMYFUNCTION("IFERROR(VLOOKUP(A2267, IMPORTRANGE(""https://docs.google.com/spreadsheets/d/1-3Vjw2Cyy-mry5gbC8ypIR3YVGFfEpyFESummAta6sg/edit"", ""Sheet1!B:D""), 2, FALSE), ""Not Found"")"),"nɔti")</f>
        <v>nɔti</v>
      </c>
      <c r="E2267" s="2" t="str">
        <f>IFERROR(__xludf.DUMMYFUNCTION("IFERROR(VLOOKUP(A2267, IMPORTRANGE(""https://docs.google.com/spreadsheets/d/1-3Vjw2Cyy-mry5gbC8ypIR3YVGFfEpyFESummAta6sg/edit"", ""Sheet1!B:D""), 3, FALSE), ""Not Found"")"),"n ɔ t i ")</f>
        <v>n ɔ t i </v>
      </c>
    </row>
    <row r="2268">
      <c r="A2268" s="1" t="s">
        <v>2271</v>
      </c>
      <c r="B2268" s="1" t="s">
        <v>5</v>
      </c>
      <c r="C2268" s="2">
        <f>IFERROR(__xludf.DUMMYFUNCTION("IFERROR(VLOOKUP(A2268, IMPORTRANGE(""https://docs.google.com/spreadsheets/d/1AVX9GT0dgogEBStecCXMMQ29tWz3gBrtNB8yIromXbY/edit?gid=741673867"", ""out1g!A:B""), 2, FALSE), 0)"),371.0)</f>
        <v>371</v>
      </c>
      <c r="D2268" s="2" t="str">
        <f>IFERROR(__xludf.DUMMYFUNCTION("IFERROR(VLOOKUP(A2268, IMPORTRANGE(""https://docs.google.com/spreadsheets/d/1-3Vjw2Cyy-mry5gbC8ypIR3YVGFfEpyFESummAta6sg/edit"", ""Sheet1!B:D""), 2, FALSE), ""Not Found"")"),"ʃɪti")</f>
        <v>ʃɪti</v>
      </c>
      <c r="E2268" s="2" t="str">
        <f>IFERROR(__xludf.DUMMYFUNCTION("IFERROR(VLOOKUP(A2268, IMPORTRANGE(""https://docs.google.com/spreadsheets/d/1-3Vjw2Cyy-mry5gbC8ypIR3YVGFfEpyFESummAta6sg/edit"", ""Sheet1!B:D""), 3, FALSE), ""Not Found"")"),"ʃ ɪ t i ")</f>
        <v>ʃ ɪ t i </v>
      </c>
    </row>
    <row r="2269">
      <c r="A2269" s="1" t="s">
        <v>2272</v>
      </c>
      <c r="B2269" s="1" t="s">
        <v>5</v>
      </c>
      <c r="C2269" s="2">
        <f>IFERROR(__xludf.DUMMYFUNCTION("IFERROR(VLOOKUP(A2269, IMPORTRANGE(""https://docs.google.com/spreadsheets/d/1AVX9GT0dgogEBStecCXMMQ29tWz3gBrtNB8yIromXbY/edit?gid=741673867"", ""out1g!A:B""), 2, FALSE), 0)"),53.0)</f>
        <v>53</v>
      </c>
      <c r="D2269" s="2" t="str">
        <f>IFERROR(__xludf.DUMMYFUNCTION("IFERROR(VLOOKUP(A2269, IMPORTRANGE(""https://docs.google.com/spreadsheets/d/1-3Vjw2Cyy-mry5gbC8ypIR3YVGFfEpyFESummAta6sg/edit"", ""Sheet1!B:D""), 2, FALSE), ""Not Found"")"),"sed")</f>
        <v>sed</v>
      </c>
      <c r="E2269" s="2" t="str">
        <f>IFERROR(__xludf.DUMMYFUNCTION("IFERROR(VLOOKUP(A2269, IMPORTRANGE(""https://docs.google.com/spreadsheets/d/1-3Vjw2Cyy-mry5gbC8ypIR3YVGFfEpyFESummAta6sg/edit"", ""Sheet1!B:D""), 3, FALSE), ""Not Found"")"),"s e d ")</f>
        <v>s e d </v>
      </c>
    </row>
    <row r="2270">
      <c r="A2270" s="1" t="s">
        <v>2273</v>
      </c>
      <c r="B2270" s="1" t="s">
        <v>5</v>
      </c>
      <c r="C2270" s="2">
        <f>IFERROR(__xludf.DUMMYFUNCTION("IFERROR(VLOOKUP(A2270, IMPORTRANGE(""https://docs.google.com/spreadsheets/d/1AVX9GT0dgogEBStecCXMMQ29tWz3gBrtNB8yIromXbY/edit?gid=741673867"", ""out1g!A:B""), 2, FALSE), 0)"),60.0)</f>
        <v>60</v>
      </c>
      <c r="D2270" s="2" t="str">
        <f>IFERROR(__xludf.DUMMYFUNCTION("IFERROR(VLOOKUP(A2270, IMPORTRANGE(""https://docs.google.com/spreadsheets/d/1-3Vjw2Cyy-mry5gbC8ypIR3YVGFfEpyFESummAta6sg/edit"", ""Sheet1!B:D""), 2, FALSE), ""Not Found"")"),"spætər")</f>
        <v>spætər</v>
      </c>
      <c r="E2270" s="2" t="str">
        <f>IFERROR(__xludf.DUMMYFUNCTION("IFERROR(VLOOKUP(A2270, IMPORTRANGE(""https://docs.google.com/spreadsheets/d/1-3Vjw2Cyy-mry5gbC8ypIR3YVGFfEpyFESummAta6sg/edit"", ""Sheet1!B:D""), 3, FALSE), ""Not Found"")"),"s p æ t ə r ")</f>
        <v>s p æ t ə r </v>
      </c>
    </row>
    <row r="2271">
      <c r="A2271" s="1" t="s">
        <v>2274</v>
      </c>
      <c r="B2271" s="1" t="s">
        <v>5</v>
      </c>
      <c r="C2271" s="2">
        <f>IFERROR(__xludf.DUMMYFUNCTION("IFERROR(VLOOKUP(A2271, IMPORTRANGE(""https://docs.google.com/spreadsheets/d/1AVX9GT0dgogEBStecCXMMQ29tWz3gBrtNB8yIromXbY/edit?gid=741673867"", ""out1g!A:B""), 2, FALSE), 0)"),33.0)</f>
        <v>33</v>
      </c>
      <c r="D2271" s="2" t="str">
        <f>IFERROR(__xludf.DUMMYFUNCTION("IFERROR(VLOOKUP(A2271, IMPORTRANGE(""https://docs.google.com/spreadsheets/d/1-3Vjw2Cyy-mry5gbC8ypIR3YVGFfEpyFESummAta6sg/edit"", ""Sheet1!B:D""), 2, FALSE), ""Not Found"")"),"umf")</f>
        <v>umf</v>
      </c>
      <c r="E2271" s="2" t="str">
        <f>IFERROR(__xludf.DUMMYFUNCTION("IFERROR(VLOOKUP(A2271, IMPORTRANGE(""https://docs.google.com/spreadsheets/d/1-3Vjw2Cyy-mry5gbC8ypIR3YVGFfEpyFESummAta6sg/edit"", ""Sheet1!B:D""), 3, FALSE), ""Not Found"")"),"u m f ")</f>
        <v>u m f </v>
      </c>
    </row>
    <row r="2272">
      <c r="A2272" s="1" t="s">
        <v>2275</v>
      </c>
      <c r="B2272" s="1" t="s">
        <v>5</v>
      </c>
      <c r="C2272" s="2">
        <f>IFERROR(__xludf.DUMMYFUNCTION("IFERROR(VLOOKUP(A2272, IMPORTRANGE(""https://docs.google.com/spreadsheets/d/1AVX9GT0dgogEBStecCXMMQ29tWz3gBrtNB8yIromXbY/edit?gid=741673867"", ""out1g!A:B""), 2, FALSE), 0)"),54.0)</f>
        <v>54</v>
      </c>
      <c r="D2272" s="2" t="str">
        <f>IFERROR(__xludf.DUMMYFUNCTION("IFERROR(VLOOKUP(A2272, IMPORTRANGE(""https://docs.google.com/spreadsheets/d/1-3Vjw2Cyy-mry5gbC8ypIR3YVGFfEpyFESummAta6sg/edit"", ""Sheet1!B:D""), 2, FALSE), ""Not Found"")"),"bərdi")</f>
        <v>bərdi</v>
      </c>
      <c r="E2272" s="2" t="str">
        <f>IFERROR(__xludf.DUMMYFUNCTION("IFERROR(VLOOKUP(A2272, IMPORTRANGE(""https://docs.google.com/spreadsheets/d/1-3Vjw2Cyy-mry5gbC8ypIR3YVGFfEpyFESummAta6sg/edit"", ""Sheet1!B:D""), 3, FALSE), ""Not Found"")"),"b ə r d i ")</f>
        <v>b ə r d i </v>
      </c>
    </row>
    <row r="2273">
      <c r="A2273" s="1" t="s">
        <v>2276</v>
      </c>
      <c r="B2273" s="1" t="s">
        <v>5</v>
      </c>
      <c r="C2273" s="2">
        <f>IFERROR(__xludf.DUMMYFUNCTION("IFERROR(VLOOKUP(A2273, IMPORTRANGE(""https://docs.google.com/spreadsheets/d/1AVX9GT0dgogEBStecCXMMQ29tWz3gBrtNB8yIromXbY/edit?gid=741673867"", ""out1g!A:B""), 2, FALSE), 0)"),173.0)</f>
        <v>173</v>
      </c>
      <c r="D2273" s="2" t="str">
        <f>IFERROR(__xludf.DUMMYFUNCTION("IFERROR(VLOOKUP(A2273, IMPORTRANGE(""https://docs.google.com/spreadsheets/d/1-3Vjw2Cyy-mry5gbC8ypIR3YVGFfEpyFESummAta6sg/edit"", ""Sheet1!B:D""), 2, FALSE), ""Not Found"")"),"ɛroʊz")</f>
        <v>ɛroʊz</v>
      </c>
      <c r="E2273" s="2" t="str">
        <f>IFERROR(__xludf.DUMMYFUNCTION("IFERROR(VLOOKUP(A2273, IMPORTRANGE(""https://docs.google.com/spreadsheets/d/1-3Vjw2Cyy-mry5gbC8ypIR3YVGFfEpyFESummAta6sg/edit"", ""Sheet1!B:D""), 3, FALSE), ""Not Found"")"),"ɛ r o ʊ z ")</f>
        <v>ɛ r o ʊ z </v>
      </c>
    </row>
    <row r="2274">
      <c r="A2274" s="1" t="s">
        <v>2277</v>
      </c>
      <c r="B2274" s="1" t="s">
        <v>5</v>
      </c>
      <c r="C2274" s="2">
        <f>IFERROR(__xludf.DUMMYFUNCTION("IFERROR(VLOOKUP(A2274, IMPORTRANGE(""https://docs.google.com/spreadsheets/d/1AVX9GT0dgogEBStecCXMMQ29tWz3gBrtNB8yIromXbY/edit?gid=741673867"", ""out1g!A:B""), 2, FALSE), 0)"),107.0)</f>
        <v>107</v>
      </c>
      <c r="D2274" s="2" t="str">
        <f>IFERROR(__xludf.DUMMYFUNCTION("IFERROR(VLOOKUP(A2274, IMPORTRANGE(""https://docs.google.com/spreadsheets/d/1-3Vjw2Cyy-mry5gbC8ypIR3YVGFfEpyFESummAta6sg/edit"", ""Sheet1!B:D""), 2, FALSE), ""Not Found"")"),"krezd")</f>
        <v>krezd</v>
      </c>
      <c r="E2274" s="2" t="str">
        <f>IFERROR(__xludf.DUMMYFUNCTION("IFERROR(VLOOKUP(A2274, IMPORTRANGE(""https://docs.google.com/spreadsheets/d/1-3Vjw2Cyy-mry5gbC8ypIR3YVGFfEpyFESummAta6sg/edit"", ""Sheet1!B:D""), 3, FALSE), ""Not Found"")"),"k r e z d ")</f>
        <v>k r e z d </v>
      </c>
    </row>
    <row r="2275">
      <c r="A2275" s="1" t="s">
        <v>2278</v>
      </c>
      <c r="B2275" s="1" t="s">
        <v>5</v>
      </c>
      <c r="C2275" s="2">
        <f>IFERROR(__xludf.DUMMYFUNCTION("IFERROR(VLOOKUP(A2275, IMPORTRANGE(""https://docs.google.com/spreadsheets/d/1AVX9GT0dgogEBStecCXMMQ29tWz3gBrtNB8yIromXbY/edit?gid=741673867"", ""out1g!A:B""), 2, FALSE), 0)"),88573.0)</f>
        <v>88573</v>
      </c>
      <c r="D2275" s="2" t="str">
        <f>IFERROR(__xludf.DUMMYFUNCTION("IFERROR(VLOOKUP(A2275, IMPORTRANGE(""https://docs.google.com/spreadsheets/d/1-3Vjw2Cyy-mry5gbC8ypIR3YVGFfEpyFESummAta6sg/edit"", ""Sheet1!B:D""), 2, FALSE), ""Not Found"")"),"bɪn")</f>
        <v>bɪn</v>
      </c>
      <c r="E2275" s="2" t="str">
        <f>IFERROR(__xludf.DUMMYFUNCTION("IFERROR(VLOOKUP(A2275, IMPORTRANGE(""https://docs.google.com/spreadsheets/d/1-3Vjw2Cyy-mry5gbC8ypIR3YVGFfEpyFESummAta6sg/edit"", ""Sheet1!B:D""), 3, FALSE), ""Not Found"")"),"b ɪ n ")</f>
        <v>b ɪ n </v>
      </c>
    </row>
    <row r="2276">
      <c r="A2276" s="1" t="s">
        <v>2279</v>
      </c>
      <c r="B2276" s="1" t="s">
        <v>5</v>
      </c>
      <c r="C2276" s="2">
        <f>IFERROR(__xludf.DUMMYFUNCTION("IFERROR(VLOOKUP(A2276, IMPORTRANGE(""https://docs.google.com/spreadsheets/d/1AVX9GT0dgogEBStecCXMMQ29tWz3gBrtNB8yIromXbY/edit?gid=741673867"", ""out1g!A:B""), 2, FALSE), 0)"),16.0)</f>
        <v>16</v>
      </c>
      <c r="D2276" s="2" t="str">
        <f>IFERROR(__xludf.DUMMYFUNCTION("IFERROR(VLOOKUP(A2276, IMPORTRANGE(""https://docs.google.com/spreadsheets/d/1-3Vjw2Cyy-mry5gbC8ypIR3YVGFfEpyFESummAta6sg/edit"", ""Sheet1!B:D""), 2, FALSE), ""Not Found"")"),"moʊz")</f>
        <v>moʊz</v>
      </c>
      <c r="E2276" s="2" t="str">
        <f>IFERROR(__xludf.DUMMYFUNCTION("IFERROR(VLOOKUP(A2276, IMPORTRANGE(""https://docs.google.com/spreadsheets/d/1-3Vjw2Cyy-mry5gbC8ypIR3YVGFfEpyFESummAta6sg/edit"", ""Sheet1!B:D""), 3, FALSE), ""Not Found"")"),"m o ʊ z ")</f>
        <v>m o ʊ z </v>
      </c>
    </row>
    <row r="2277">
      <c r="A2277" s="1" t="s">
        <v>2280</v>
      </c>
      <c r="B2277" s="1" t="s">
        <v>5</v>
      </c>
      <c r="C2277" s="2">
        <f>IFERROR(__xludf.DUMMYFUNCTION("IFERROR(VLOOKUP(A2277, IMPORTRANGE(""https://docs.google.com/spreadsheets/d/1AVX9GT0dgogEBStecCXMMQ29tWz3gBrtNB8yIromXbY/edit?gid=741673867"", ""out1g!A:B""), 2, FALSE), 0)"),144.0)</f>
        <v>144</v>
      </c>
      <c r="D2277" s="2" t="str">
        <f>IFERROR(__xludf.DUMMYFUNCTION("IFERROR(VLOOKUP(A2277, IMPORTRANGE(""https://docs.google.com/spreadsheets/d/1-3Vjw2Cyy-mry5gbC8ypIR3YVGFfEpyFESummAta6sg/edit"", ""Sheet1!B:D""), 2, FALSE), ""Not Found"")"),"wini")</f>
        <v>wini</v>
      </c>
      <c r="E2277" s="2" t="str">
        <f>IFERROR(__xludf.DUMMYFUNCTION("IFERROR(VLOOKUP(A2277, IMPORTRANGE(""https://docs.google.com/spreadsheets/d/1-3Vjw2Cyy-mry5gbC8ypIR3YVGFfEpyFESummAta6sg/edit"", ""Sheet1!B:D""), 3, FALSE), ""Not Found"")"),"w i n i ")</f>
        <v>w i n i </v>
      </c>
    </row>
    <row r="2278">
      <c r="A2278" s="1" t="s">
        <v>2281</v>
      </c>
      <c r="B2278" s="1" t="s">
        <v>5</v>
      </c>
      <c r="C2278" s="2">
        <f>IFERROR(__xludf.DUMMYFUNCTION("IFERROR(VLOOKUP(A2278, IMPORTRANGE(""https://docs.google.com/spreadsheets/d/1AVX9GT0dgogEBStecCXMMQ29tWz3gBrtNB8yIromXbY/edit?gid=741673867"", ""out1g!A:B""), 2, FALSE), 0)"),55.0)</f>
        <v>55</v>
      </c>
      <c r="D2278" s="2" t="str">
        <f>IFERROR(__xludf.DUMMYFUNCTION("IFERROR(VLOOKUP(A2278, IMPORTRANGE(""https://docs.google.com/spreadsheets/d/1-3Vjw2Cyy-mry5gbC8ypIR3YVGFfEpyFESummAta6sg/edit"", ""Sheet1!B:D""), 2, FALSE), ""Not Found"")"),"moʊdəm")</f>
        <v>moʊdəm</v>
      </c>
      <c r="E2278" s="2" t="str">
        <f>IFERROR(__xludf.DUMMYFUNCTION("IFERROR(VLOOKUP(A2278, IMPORTRANGE(""https://docs.google.com/spreadsheets/d/1-3Vjw2Cyy-mry5gbC8ypIR3YVGFfEpyFESummAta6sg/edit"", ""Sheet1!B:D""), 3, FALSE), ""Not Found"")"),"m o ʊ d ə m ")</f>
        <v>m o ʊ d ə m </v>
      </c>
    </row>
    <row r="2279">
      <c r="A2279" s="1" t="s">
        <v>2282</v>
      </c>
      <c r="B2279" s="1" t="s">
        <v>5</v>
      </c>
      <c r="C2279" s="2">
        <f>IFERROR(__xludf.DUMMYFUNCTION("IFERROR(VLOOKUP(A2279, IMPORTRANGE(""https://docs.google.com/spreadsheets/d/1AVX9GT0dgogEBStecCXMMQ29tWz3gBrtNB8yIromXbY/edit?gid=741673867"", ""out1g!A:B""), 2, FALSE), 0)"),63.0)</f>
        <v>63</v>
      </c>
      <c r="D2279" s="2" t="str">
        <f>IFERROR(__xludf.DUMMYFUNCTION("IFERROR(VLOOKUP(A2279, IMPORTRANGE(""https://docs.google.com/spreadsheets/d/1-3Vjw2Cyy-mry5gbC8ypIR3YVGFfEpyFESummAta6sg/edit"", ""Sheet1!B:D""), 2, FALSE), ""Not Found"")"),"skɛʧi")</f>
        <v>skɛʧi</v>
      </c>
      <c r="E2279" s="2" t="str">
        <f>IFERROR(__xludf.DUMMYFUNCTION("IFERROR(VLOOKUP(A2279, IMPORTRANGE(""https://docs.google.com/spreadsheets/d/1-3Vjw2Cyy-mry5gbC8ypIR3YVGFfEpyFESummAta6sg/edit"", ""Sheet1!B:D""), 3, FALSE), ""Not Found"")"),"s k ɛ ʧ i ")</f>
        <v>s k ɛ ʧ i </v>
      </c>
    </row>
    <row r="2280">
      <c r="A2280" s="1" t="s">
        <v>2283</v>
      </c>
      <c r="B2280" s="1" t="s">
        <v>5</v>
      </c>
      <c r="C2280" s="2">
        <f>IFERROR(__xludf.DUMMYFUNCTION("IFERROR(VLOOKUP(A2280, IMPORTRANGE(""https://docs.google.com/spreadsheets/d/1AVX9GT0dgogEBStecCXMMQ29tWz3gBrtNB8yIromXbY/edit?gid=741673867"", ""out1g!A:B""), 2, FALSE), 0)"),868.0)</f>
        <v>868</v>
      </c>
      <c r="D2280" s="2" t="str">
        <f>IFERROR(__xludf.DUMMYFUNCTION("IFERROR(VLOOKUP(A2280, IMPORTRANGE(""https://docs.google.com/spreadsheets/d/1-3Vjw2Cyy-mry5gbC8ypIR3YVGFfEpyFESummAta6sg/edit"", ""Sheet1!B:D""), 2, FALSE), ""Not Found"")"),"bəndi")</f>
        <v>bəndi</v>
      </c>
      <c r="E2280" s="2" t="str">
        <f>IFERROR(__xludf.DUMMYFUNCTION("IFERROR(VLOOKUP(A2280, IMPORTRANGE(""https://docs.google.com/spreadsheets/d/1-3Vjw2Cyy-mry5gbC8ypIR3YVGFfEpyFESummAta6sg/edit"", ""Sheet1!B:D""), 3, FALSE), ""Not Found"")"),"b ə n d i ")</f>
        <v>b ə n d i </v>
      </c>
    </row>
    <row r="2281">
      <c r="A2281" s="1" t="s">
        <v>2284</v>
      </c>
      <c r="B2281" s="1" t="s">
        <v>5</v>
      </c>
      <c r="C2281" s="2">
        <f>IFERROR(__xludf.DUMMYFUNCTION("IFERROR(VLOOKUP(A2281, IMPORTRANGE(""https://docs.google.com/spreadsheets/d/1AVX9GT0dgogEBStecCXMMQ29tWz3gBrtNB8yIromXbY/edit?gid=741673867"", ""out1g!A:B""), 2, FALSE), 0)"),89.0)</f>
        <v>89</v>
      </c>
      <c r="D2281" s="2" t="str">
        <f>IFERROR(__xludf.DUMMYFUNCTION("IFERROR(VLOOKUP(A2281, IMPORTRANGE(""https://docs.google.com/spreadsheets/d/1-3Vjw2Cyy-mry5gbC8ypIR3YVGFfEpyFESummAta6sg/edit"", ""Sheet1!B:D""), 2, FALSE), ""Not Found"")"),"wərl")</f>
        <v>wərl</v>
      </c>
      <c r="E2281" s="2" t="str">
        <f>IFERROR(__xludf.DUMMYFUNCTION("IFERROR(VLOOKUP(A2281, IMPORTRANGE(""https://docs.google.com/spreadsheets/d/1-3Vjw2Cyy-mry5gbC8ypIR3YVGFfEpyFESummAta6sg/edit"", ""Sheet1!B:D""), 3, FALSE), ""Not Found"")"),"w ə r l ")</f>
        <v>w ə r l </v>
      </c>
    </row>
    <row r="2282">
      <c r="A2282" s="1" t="s">
        <v>2285</v>
      </c>
      <c r="B2282" s="1" t="s">
        <v>5</v>
      </c>
      <c r="C2282" s="2">
        <f>IFERROR(__xludf.DUMMYFUNCTION("IFERROR(VLOOKUP(A2282, IMPORTRANGE(""https://docs.google.com/spreadsheets/d/1AVX9GT0dgogEBStecCXMMQ29tWz3gBrtNB8yIromXbY/edit?gid=741673867"", ""out1g!A:B""), 2, FALSE), 0)"),102.0)</f>
        <v>102</v>
      </c>
      <c r="D2282" s="2" t="str">
        <f>IFERROR(__xludf.DUMMYFUNCTION("IFERROR(VLOOKUP(A2282, IMPORTRANGE(""https://docs.google.com/spreadsheets/d/1-3Vjw2Cyy-mry5gbC8ypIR3YVGFfEpyFESummAta6sg/edit"", ""Sheet1!B:D""), 2, FALSE), ""Not Found"")"),"snəf")</f>
        <v>snəf</v>
      </c>
      <c r="E2282" s="2" t="str">
        <f>IFERROR(__xludf.DUMMYFUNCTION("IFERROR(VLOOKUP(A2282, IMPORTRANGE(""https://docs.google.com/spreadsheets/d/1-3Vjw2Cyy-mry5gbC8ypIR3YVGFfEpyFESummAta6sg/edit"", ""Sheet1!B:D""), 3, FALSE), ""Not Found"")"),"s n ə f ")</f>
        <v>s n ə f </v>
      </c>
    </row>
    <row r="2283">
      <c r="A2283" s="1" t="s">
        <v>2286</v>
      </c>
      <c r="B2283" s="1" t="s">
        <v>5</v>
      </c>
      <c r="C2283" s="2">
        <f>IFERROR(__xludf.DUMMYFUNCTION("IFERROR(VLOOKUP(A2283, IMPORTRANGE(""https://docs.google.com/spreadsheets/d/1AVX9GT0dgogEBStecCXMMQ29tWz3gBrtNB8yIromXbY/edit?gid=741673867"", ""out1g!A:B""), 2, FALSE), 0)"),12775.0)</f>
        <v>12775</v>
      </c>
      <c r="D2283" s="2" t="str">
        <f>IFERROR(__xludf.DUMMYFUNCTION("IFERROR(VLOOKUP(A2283, IMPORTRANGE(""https://docs.google.com/spreadsheets/d/1-3Vjw2Cyy-mry5gbC8ypIR3YVGFfEpyFESummAta6sg/edit"", ""Sheet1!B:D""), 2, FALSE), ""Not Found"")"),"wərkɪŋ")</f>
        <v>wərkɪŋ</v>
      </c>
      <c r="E2283" s="2" t="str">
        <f>IFERROR(__xludf.DUMMYFUNCTION("IFERROR(VLOOKUP(A2283, IMPORTRANGE(""https://docs.google.com/spreadsheets/d/1-3Vjw2Cyy-mry5gbC8ypIR3YVGFfEpyFESummAta6sg/edit"", ""Sheet1!B:D""), 3, FALSE), ""Not Found"")"),"w ə r k ɪ ŋ ")</f>
        <v>w ə r k ɪ ŋ </v>
      </c>
    </row>
    <row r="2284">
      <c r="A2284" s="1" t="s">
        <v>2287</v>
      </c>
      <c r="B2284" s="1" t="s">
        <v>5</v>
      </c>
      <c r="C2284" s="2">
        <f>IFERROR(__xludf.DUMMYFUNCTION("IFERROR(VLOOKUP(A2284, IMPORTRANGE(""https://docs.google.com/spreadsheets/d/1AVX9GT0dgogEBStecCXMMQ29tWz3gBrtNB8yIromXbY/edit?gid=741673867"", ""out1g!A:B""), 2, FALSE), 0)"),86.0)</f>
        <v>86</v>
      </c>
      <c r="D2284" s="2" t="str">
        <f>IFERROR(__xludf.DUMMYFUNCTION("IFERROR(VLOOKUP(A2284, IMPORTRANGE(""https://docs.google.com/spreadsheets/d/1-3Vjw2Cyy-mry5gbC8ypIR3YVGFfEpyFESummAta6sg/edit"", ""Sheet1!B:D""), 2, FALSE), ""Not Found"")"),"smækt")</f>
        <v>smækt</v>
      </c>
      <c r="E2284" s="2" t="str">
        <f>IFERROR(__xludf.DUMMYFUNCTION("IFERROR(VLOOKUP(A2284, IMPORTRANGE(""https://docs.google.com/spreadsheets/d/1-3Vjw2Cyy-mry5gbC8ypIR3YVGFfEpyFESummAta6sg/edit"", ""Sheet1!B:D""), 3, FALSE), ""Not Found"")"),"s m æ k t ")</f>
        <v>s m æ k t </v>
      </c>
    </row>
    <row r="2285">
      <c r="A2285" s="1" t="s">
        <v>2288</v>
      </c>
      <c r="B2285" s="1" t="s">
        <v>5</v>
      </c>
      <c r="C2285" s="2">
        <f>IFERROR(__xludf.DUMMYFUNCTION("IFERROR(VLOOKUP(A2285, IMPORTRANGE(""https://docs.google.com/spreadsheets/d/1AVX9GT0dgogEBStecCXMMQ29tWz3gBrtNB8yIromXbY/edit?gid=741673867"", ""out1g!A:B""), 2, FALSE), 0)"),3715.0)</f>
        <v>3715</v>
      </c>
      <c r="D2285" s="2" t="str">
        <f>IFERROR(__xludf.DUMMYFUNCTION("IFERROR(VLOOKUP(A2285, IMPORTRANGE(""https://docs.google.com/spreadsheets/d/1-3Vjw2Cyy-mry5gbC8ypIR3YVGFfEpyFESummAta6sg/edit"", ""Sheet1!B:D""), 2, FALSE), ""Not Found"")"),"tiʧ")</f>
        <v>tiʧ</v>
      </c>
      <c r="E2285" s="2" t="str">
        <f>IFERROR(__xludf.DUMMYFUNCTION("IFERROR(VLOOKUP(A2285, IMPORTRANGE(""https://docs.google.com/spreadsheets/d/1-3Vjw2Cyy-mry5gbC8ypIR3YVGFfEpyFESummAta6sg/edit"", ""Sheet1!B:D""), 3, FALSE), ""Not Found"")"),"t i ʧ ")</f>
        <v>t i ʧ </v>
      </c>
    </row>
    <row r="2286">
      <c r="A2286" s="1" t="s">
        <v>2289</v>
      </c>
      <c r="B2286" s="1" t="s">
        <v>5</v>
      </c>
      <c r="C2286" s="2">
        <f>IFERROR(__xludf.DUMMYFUNCTION("IFERROR(VLOOKUP(A2286, IMPORTRANGE(""https://docs.google.com/spreadsheets/d/1AVX9GT0dgogEBStecCXMMQ29tWz3gBrtNB8yIromXbY/edit?gid=741673867"", ""out1g!A:B""), 2, FALSE), 0)"),173.0)</f>
        <v>173</v>
      </c>
      <c r="D2286" s="2" t="str">
        <f>IFERROR(__xludf.DUMMYFUNCTION("IFERROR(VLOOKUP(A2286, IMPORTRANGE(""https://docs.google.com/spreadsheets/d/1-3Vjw2Cyy-mry5gbC8ypIR3YVGFfEpyFESummAta6sg/edit"", ""Sheet1!B:D""), 2, FALSE), ""Not Found"")"),"roʊm")</f>
        <v>roʊm</v>
      </c>
      <c r="E2286" s="2" t="str">
        <f>IFERROR(__xludf.DUMMYFUNCTION("IFERROR(VLOOKUP(A2286, IMPORTRANGE(""https://docs.google.com/spreadsheets/d/1-3Vjw2Cyy-mry5gbC8ypIR3YVGFfEpyFESummAta6sg/edit"", ""Sheet1!B:D""), 3, FALSE), ""Not Found"")"),"r o ʊ m ")</f>
        <v>r o ʊ m </v>
      </c>
    </row>
    <row r="2287">
      <c r="A2287" s="1" t="s">
        <v>2290</v>
      </c>
      <c r="B2287" s="1" t="s">
        <v>5</v>
      </c>
      <c r="C2287" s="2">
        <f>IFERROR(__xludf.DUMMYFUNCTION("IFERROR(VLOOKUP(A2287, IMPORTRANGE(""https://docs.google.com/spreadsheets/d/1AVX9GT0dgogEBStecCXMMQ29tWz3gBrtNB8yIromXbY/edit?gid=741673867"", ""out1g!A:B""), 2, FALSE), 0)"),122.0)</f>
        <v>122</v>
      </c>
      <c r="D2287" s="2" t="str">
        <f>IFERROR(__xludf.DUMMYFUNCTION("IFERROR(VLOOKUP(A2287, IMPORTRANGE(""https://docs.google.com/spreadsheets/d/1-3Vjw2Cyy-mry5gbC8ypIR3YVGFfEpyFESummAta6sg/edit"", ""Sheet1!B:D""), 2, FALSE), ""Not Found"")"),"daɪəriə")</f>
        <v>daɪəriə</v>
      </c>
      <c r="E2287" s="2" t="str">
        <f>IFERROR(__xludf.DUMMYFUNCTION("IFERROR(VLOOKUP(A2287, IMPORTRANGE(""https://docs.google.com/spreadsheets/d/1-3Vjw2Cyy-mry5gbC8ypIR3YVGFfEpyFESummAta6sg/edit"", ""Sheet1!B:D""), 3, FALSE), ""Not Found"")"),"d a ɪ ə r i ə ")</f>
        <v>d a ɪ ə r i ə </v>
      </c>
    </row>
    <row r="2288">
      <c r="A2288" s="1" t="s">
        <v>2291</v>
      </c>
      <c r="B2288" s="1" t="s">
        <v>5</v>
      </c>
      <c r="C2288" s="2">
        <f>IFERROR(__xludf.DUMMYFUNCTION("IFERROR(VLOOKUP(A2288, IMPORTRANGE(""https://docs.google.com/spreadsheets/d/1AVX9GT0dgogEBStecCXMMQ29tWz3gBrtNB8yIromXbY/edit?gid=741673867"", ""out1g!A:B""), 2, FALSE), 0)"),195.0)</f>
        <v>195</v>
      </c>
      <c r="D2288" s="2" t="str">
        <f>IFERROR(__xludf.DUMMYFUNCTION("IFERROR(VLOOKUP(A2288, IMPORTRANGE(""https://docs.google.com/spreadsheets/d/1-3Vjw2Cyy-mry5gbC8ypIR3YVGFfEpyFESummAta6sg/edit"", ""Sheet1!B:D""), 2, FALSE), ""Not Found"")"),"bɛk")</f>
        <v>bɛk</v>
      </c>
      <c r="E2288" s="2" t="str">
        <f>IFERROR(__xludf.DUMMYFUNCTION("IFERROR(VLOOKUP(A2288, IMPORTRANGE(""https://docs.google.com/spreadsheets/d/1-3Vjw2Cyy-mry5gbC8ypIR3YVGFfEpyFESummAta6sg/edit"", ""Sheet1!B:D""), 3, FALSE), ""Not Found"")"),"b ɛ k ")</f>
        <v>b ɛ k </v>
      </c>
    </row>
    <row r="2289">
      <c r="A2289" s="1" t="s">
        <v>2292</v>
      </c>
      <c r="B2289" s="1" t="s">
        <v>5</v>
      </c>
      <c r="C2289" s="2">
        <f>IFERROR(__xludf.DUMMYFUNCTION("IFERROR(VLOOKUP(A2289, IMPORTRANGE(""https://docs.google.com/spreadsheets/d/1AVX9GT0dgogEBStecCXMMQ29tWz3gBrtNB8yIromXbY/edit?gid=741673867"", ""out1g!A:B""), 2, FALSE), 0)"),146.0)</f>
        <v>146</v>
      </c>
      <c r="D2289" s="2" t="str">
        <f>IFERROR(__xludf.DUMMYFUNCTION("IFERROR(VLOOKUP(A2289, IMPORTRANGE(""https://docs.google.com/spreadsheets/d/1-3Vjw2Cyy-mry5gbC8ypIR3YVGFfEpyFESummAta6sg/edit"", ""Sheet1!B:D""), 2, FALSE), ""Not Found"")"),"niɑn")</f>
        <v>niɑn</v>
      </c>
      <c r="E2289" s="2" t="str">
        <f>IFERROR(__xludf.DUMMYFUNCTION("IFERROR(VLOOKUP(A2289, IMPORTRANGE(""https://docs.google.com/spreadsheets/d/1-3Vjw2Cyy-mry5gbC8ypIR3YVGFfEpyFESummAta6sg/edit"", ""Sheet1!B:D""), 3, FALSE), ""Not Found"")"),"n i ɑ n ")</f>
        <v>n i ɑ n </v>
      </c>
    </row>
    <row r="2290">
      <c r="A2290" s="1" t="s">
        <v>2293</v>
      </c>
      <c r="B2290" s="1" t="s">
        <v>5</v>
      </c>
      <c r="C2290" s="2">
        <f>IFERROR(__xludf.DUMMYFUNCTION("IFERROR(VLOOKUP(A2290, IMPORTRANGE(""https://docs.google.com/spreadsheets/d/1AVX9GT0dgogEBStecCXMMQ29tWz3gBrtNB8yIromXbY/edit?gid=741673867"", ""out1g!A:B""), 2, FALSE), 0)"),82.0)</f>
        <v>82</v>
      </c>
      <c r="D2290" s="2" t="str">
        <f>IFERROR(__xludf.DUMMYFUNCTION("IFERROR(VLOOKUP(A2290, IMPORTRANGE(""https://docs.google.com/spreadsheets/d/1-3Vjw2Cyy-mry5gbC8ypIR3YVGFfEpyFESummAta6sg/edit"", ""Sheet1!B:D""), 2, FALSE), ""Not Found"")"),"wɑloʊ")</f>
        <v>wɑloʊ</v>
      </c>
      <c r="E2290" s="2" t="str">
        <f>IFERROR(__xludf.DUMMYFUNCTION("IFERROR(VLOOKUP(A2290, IMPORTRANGE(""https://docs.google.com/spreadsheets/d/1-3Vjw2Cyy-mry5gbC8ypIR3YVGFfEpyFESummAta6sg/edit"", ""Sheet1!B:D""), 3, FALSE), ""Not Found"")"),"w ɑ l o ʊ ")</f>
        <v>w ɑ l o ʊ </v>
      </c>
    </row>
    <row r="2291">
      <c r="A2291" s="1" t="s">
        <v>2294</v>
      </c>
      <c r="B2291" s="1" t="s">
        <v>5</v>
      </c>
      <c r="C2291" s="2">
        <f>IFERROR(__xludf.DUMMYFUNCTION("IFERROR(VLOOKUP(A2291, IMPORTRANGE(""https://docs.google.com/spreadsheets/d/1AVX9GT0dgogEBStecCXMMQ29tWz3gBrtNB8yIromXbY/edit?gid=741673867"", ""out1g!A:B""), 2, FALSE), 0)"),493.0)</f>
        <v>493</v>
      </c>
      <c r="D2291" s="2" t="str">
        <f>IFERROR(__xludf.DUMMYFUNCTION("IFERROR(VLOOKUP(A2291, IMPORTRANGE(""https://docs.google.com/spreadsheets/d/1-3Vjw2Cyy-mry5gbC8ypIR3YVGFfEpyFESummAta6sg/edit"", ""Sheet1!B:D""), 2, FALSE), ""Not Found"")"),"ep")</f>
        <v>ep</v>
      </c>
      <c r="E2291" s="2" t="str">
        <f>IFERROR(__xludf.DUMMYFUNCTION("IFERROR(VLOOKUP(A2291, IMPORTRANGE(""https://docs.google.com/spreadsheets/d/1-3Vjw2Cyy-mry5gbC8ypIR3YVGFfEpyFESummAta6sg/edit"", ""Sheet1!B:D""), 3, FALSE), ""Not Found"")"),"e p ")</f>
        <v>e p </v>
      </c>
    </row>
    <row r="2292">
      <c r="A2292" s="1" t="s">
        <v>2295</v>
      </c>
      <c r="B2292" s="1" t="s">
        <v>5</v>
      </c>
      <c r="C2292" s="2">
        <f>IFERROR(__xludf.DUMMYFUNCTION("IFERROR(VLOOKUP(A2292, IMPORTRANGE(""https://docs.google.com/spreadsheets/d/1AVX9GT0dgogEBStecCXMMQ29tWz3gBrtNB8yIromXbY/edit?gid=741673867"", ""out1g!A:B""), 2, FALSE), 0)"),24.0)</f>
        <v>24</v>
      </c>
      <c r="D2292" s="2" t="str">
        <f>IFERROR(__xludf.DUMMYFUNCTION("IFERROR(VLOOKUP(A2292, IMPORTRANGE(""https://docs.google.com/spreadsheets/d/1-3Vjw2Cyy-mry5gbC8ypIR3YVGFfEpyFESummAta6sg/edit"", ""Sheet1!B:D""), 2, FALSE), ""Not Found"")"),"roʊtər")</f>
        <v>roʊtər</v>
      </c>
      <c r="E2292" s="2" t="str">
        <f>IFERROR(__xludf.DUMMYFUNCTION("IFERROR(VLOOKUP(A2292, IMPORTRANGE(""https://docs.google.com/spreadsheets/d/1-3Vjw2Cyy-mry5gbC8ypIR3YVGFfEpyFESummAta6sg/edit"", ""Sheet1!B:D""), 3, FALSE), ""Not Found"")"),"r o ʊ t ə r ")</f>
        <v>r o ʊ t ə r </v>
      </c>
    </row>
    <row r="2293">
      <c r="A2293" s="1" t="s">
        <v>2296</v>
      </c>
      <c r="B2293" s="1" t="s">
        <v>5</v>
      </c>
      <c r="C2293" s="2">
        <f>IFERROR(__xludf.DUMMYFUNCTION("IFERROR(VLOOKUP(A2293, IMPORTRANGE(""https://docs.google.com/spreadsheets/d/1AVX9GT0dgogEBStecCXMMQ29tWz3gBrtNB8yIromXbY/edit?gid=741673867"", ""out1g!A:B""), 2, FALSE), 0)"),40893.0)</f>
        <v>40893</v>
      </c>
      <c r="D2293" s="2" t="str">
        <f>IFERROR(__xludf.DUMMYFUNCTION("IFERROR(VLOOKUP(A2293, IMPORTRANGE(""https://docs.google.com/spreadsheets/d/1-3Vjw2Cyy-mry5gbC8ypIR3YVGFfEpyFESummAta6sg/edit"", ""Sheet1!B:D""), 2, FALSE), ""Not Found"")"),"de")</f>
        <v>de</v>
      </c>
      <c r="E2293" s="2" t="str">
        <f>IFERROR(__xludf.DUMMYFUNCTION("IFERROR(VLOOKUP(A2293, IMPORTRANGE(""https://docs.google.com/spreadsheets/d/1-3Vjw2Cyy-mry5gbC8ypIR3YVGFfEpyFESummAta6sg/edit"", ""Sheet1!B:D""), 3, FALSE), ""Not Found"")"),"d e ")</f>
        <v>d e </v>
      </c>
    </row>
    <row r="2294">
      <c r="A2294" s="1" t="s">
        <v>2297</v>
      </c>
      <c r="B2294" s="1" t="s">
        <v>5</v>
      </c>
      <c r="C2294" s="2">
        <f>IFERROR(__xludf.DUMMYFUNCTION("IFERROR(VLOOKUP(A2294, IMPORTRANGE(""https://docs.google.com/spreadsheets/d/1AVX9GT0dgogEBStecCXMMQ29tWz3gBrtNB8yIromXbY/edit?gid=741673867"", ""out1g!A:B""), 2, FALSE), 0)"),246.0)</f>
        <v>246</v>
      </c>
      <c r="D2294" s="2" t="str">
        <f>IFERROR(__xludf.DUMMYFUNCTION("IFERROR(VLOOKUP(A2294, IMPORTRANGE(""https://docs.google.com/spreadsheets/d/1-3Vjw2Cyy-mry5gbC8ypIR3YVGFfEpyFESummAta6sg/edit"", ""Sheet1!B:D""), 2, FALSE), ""Not Found"")"),"bivər")</f>
        <v>bivər</v>
      </c>
      <c r="E2294" s="2" t="str">
        <f>IFERROR(__xludf.DUMMYFUNCTION("IFERROR(VLOOKUP(A2294, IMPORTRANGE(""https://docs.google.com/spreadsheets/d/1-3Vjw2Cyy-mry5gbC8ypIR3YVGFfEpyFESummAta6sg/edit"", ""Sheet1!B:D""), 3, FALSE), ""Not Found"")"),"b i v ə r ")</f>
        <v>b i v ə r </v>
      </c>
    </row>
    <row r="2295">
      <c r="A2295" s="1" t="s">
        <v>2298</v>
      </c>
      <c r="B2295" s="1" t="s">
        <v>5</v>
      </c>
      <c r="C2295" s="2">
        <f>IFERROR(__xludf.DUMMYFUNCTION("IFERROR(VLOOKUP(A2295, IMPORTRANGE(""https://docs.google.com/spreadsheets/d/1AVX9GT0dgogEBStecCXMMQ29tWz3gBrtNB8yIromXbY/edit?gid=741673867"", ""out1g!A:B""), 2, FALSE), 0)"),7515.0)</f>
        <v>7515</v>
      </c>
      <c r="D2295" s="2" t="str">
        <f>IFERROR(__xludf.DUMMYFUNCTION("IFERROR(VLOOKUP(A2295, IMPORTRANGE(""https://docs.google.com/spreadsheets/d/1-3Vjw2Cyy-mry5gbC8ypIR3YVGFfEpyFESummAta6sg/edit"", ""Sheet1!B:D""), 2, FALSE), ""Not Found"")"),"pleɪŋ")</f>
        <v>pleɪŋ</v>
      </c>
      <c r="E2295" s="2" t="str">
        <f>IFERROR(__xludf.DUMMYFUNCTION("IFERROR(VLOOKUP(A2295, IMPORTRANGE(""https://docs.google.com/spreadsheets/d/1-3Vjw2Cyy-mry5gbC8ypIR3YVGFfEpyFESummAta6sg/edit"", ""Sheet1!B:D""), 3, FALSE), ""Not Found"")"),"p l e ɪ ŋ ")</f>
        <v>p l e ɪ ŋ </v>
      </c>
    </row>
    <row r="2296">
      <c r="A2296" s="1" t="s">
        <v>2299</v>
      </c>
      <c r="B2296" s="1" t="s">
        <v>5</v>
      </c>
      <c r="C2296" s="2">
        <f>IFERROR(__xludf.DUMMYFUNCTION("IFERROR(VLOOKUP(A2296, IMPORTRANGE(""https://docs.google.com/spreadsheets/d/1AVX9GT0dgogEBStecCXMMQ29tWz3gBrtNB8yIromXbY/edit?gid=741673867"", ""out1g!A:B""), 2, FALSE), 0)"),47.0)</f>
        <v>47</v>
      </c>
      <c r="D2296" s="2" t="str">
        <f>IFERROR(__xludf.DUMMYFUNCTION("IFERROR(VLOOKUP(A2296, IMPORTRANGE(""https://docs.google.com/spreadsheets/d/1-3Vjw2Cyy-mry5gbC8ypIR3YVGFfEpyFESummAta6sg/edit"", ""Sheet1!B:D""), 2, FALSE), ""Not Found"")"),"səp")</f>
        <v>səp</v>
      </c>
      <c r="E2296" s="2" t="str">
        <f>IFERROR(__xludf.DUMMYFUNCTION("IFERROR(VLOOKUP(A2296, IMPORTRANGE(""https://docs.google.com/spreadsheets/d/1-3Vjw2Cyy-mry5gbC8ypIR3YVGFfEpyFESummAta6sg/edit"", ""Sheet1!B:D""), 3, FALSE), ""Not Found"")"),"s ə p ")</f>
        <v>s ə p </v>
      </c>
    </row>
    <row r="2297">
      <c r="A2297" s="1" t="s">
        <v>2300</v>
      </c>
      <c r="B2297" s="1" t="s">
        <v>5</v>
      </c>
      <c r="C2297" s="2">
        <f>IFERROR(__xludf.DUMMYFUNCTION("IFERROR(VLOOKUP(A2297, IMPORTRANGE(""https://docs.google.com/spreadsheets/d/1AVX9GT0dgogEBStecCXMMQ29tWz3gBrtNB8yIromXbY/edit?gid=741673867"", ""out1g!A:B""), 2, FALSE), 0)"),416.0)</f>
        <v>416</v>
      </c>
      <c r="D2297" s="2" t="str">
        <f>IFERROR(__xludf.DUMMYFUNCTION("IFERROR(VLOOKUP(A2297, IMPORTRANGE(""https://docs.google.com/spreadsheets/d/1-3Vjw2Cyy-mry5gbC8ypIR3YVGFfEpyFESummAta6sg/edit"", ""Sheet1!B:D""), 2, FALSE), ""Not Found"")"),"mɪk")</f>
        <v>mɪk</v>
      </c>
      <c r="E2297" s="2" t="str">
        <f>IFERROR(__xludf.DUMMYFUNCTION("IFERROR(VLOOKUP(A2297, IMPORTRANGE(""https://docs.google.com/spreadsheets/d/1-3Vjw2Cyy-mry5gbC8ypIR3YVGFfEpyFESummAta6sg/edit"", ""Sheet1!B:D""), 3, FALSE), ""Not Found"")"),"m ɪ k ")</f>
        <v>m ɪ k </v>
      </c>
    </row>
    <row r="2298">
      <c r="A2298" s="1" t="s">
        <v>2301</v>
      </c>
      <c r="B2298" s="1" t="s">
        <v>5</v>
      </c>
      <c r="C2298" s="2">
        <f>IFERROR(__xludf.DUMMYFUNCTION("IFERROR(VLOOKUP(A2298, IMPORTRANGE(""https://docs.google.com/spreadsheets/d/1AVX9GT0dgogEBStecCXMMQ29tWz3gBrtNB8yIromXbY/edit?gid=741673867"", ""out1g!A:B""), 2, FALSE), 0)"),306.0)</f>
        <v>306</v>
      </c>
      <c r="D2298" s="2" t="str">
        <f>IFERROR(__xludf.DUMMYFUNCTION("IFERROR(VLOOKUP(A2298, IMPORTRANGE(""https://docs.google.com/spreadsheets/d/1-3Vjw2Cyy-mry5gbC8ypIR3YVGFfEpyFESummAta6sg/edit"", ""Sheet1!B:D""), 2, FALSE), ""Not Found"")"),"ɛlk")</f>
        <v>ɛlk</v>
      </c>
      <c r="E2298" s="2" t="str">
        <f>IFERROR(__xludf.DUMMYFUNCTION("IFERROR(VLOOKUP(A2298, IMPORTRANGE(""https://docs.google.com/spreadsheets/d/1-3Vjw2Cyy-mry5gbC8ypIR3YVGFfEpyFESummAta6sg/edit"", ""Sheet1!B:D""), 3, FALSE), ""Not Found"")"),"ɛ l k ")</f>
        <v>ɛ l k </v>
      </c>
    </row>
    <row r="2299">
      <c r="A2299" s="1" t="s">
        <v>2302</v>
      </c>
      <c r="B2299" s="1" t="s">
        <v>5</v>
      </c>
      <c r="C2299" s="2">
        <f>IFERROR(__xludf.DUMMYFUNCTION("IFERROR(VLOOKUP(A2299, IMPORTRANGE(""https://docs.google.com/spreadsheets/d/1AVX9GT0dgogEBStecCXMMQ29tWz3gBrtNB8yIromXbY/edit?gid=741673867"", ""out1g!A:B""), 2, FALSE), 0)"),1295.0)</f>
        <v>1295</v>
      </c>
      <c r="D2299" s="2" t="str">
        <f>IFERROR(__xludf.DUMMYFUNCTION("IFERROR(VLOOKUP(A2299, IMPORTRANGE(""https://docs.google.com/spreadsheets/d/1-3Vjw2Cyy-mry5gbC8ypIR3YVGFfEpyFESummAta6sg/edit"", ""Sheet1!B:D""), 2, FALSE), ""Not Found"")"),"klem")</f>
        <v>klem</v>
      </c>
      <c r="E2299" s="2" t="str">
        <f>IFERROR(__xludf.DUMMYFUNCTION("IFERROR(VLOOKUP(A2299, IMPORTRANGE(""https://docs.google.com/spreadsheets/d/1-3Vjw2Cyy-mry5gbC8ypIR3YVGFfEpyFESummAta6sg/edit"", ""Sheet1!B:D""), 3, FALSE), ""Not Found"")"),"k l e m ")</f>
        <v>k l e m </v>
      </c>
    </row>
    <row r="2300">
      <c r="A2300" s="1" t="s">
        <v>2303</v>
      </c>
      <c r="B2300" s="1" t="s">
        <v>5</v>
      </c>
      <c r="C2300" s="2">
        <f>IFERROR(__xludf.DUMMYFUNCTION("IFERROR(VLOOKUP(A2300, IMPORTRANGE(""https://docs.google.com/spreadsheets/d/1AVX9GT0dgogEBStecCXMMQ29tWz3gBrtNB8yIromXbY/edit?gid=741673867"", ""out1g!A:B""), 2, FALSE), 0)"),64.0)</f>
        <v>64</v>
      </c>
      <c r="D2300" s="2" t="str">
        <f>IFERROR(__xludf.DUMMYFUNCTION("IFERROR(VLOOKUP(A2300, IMPORTRANGE(""https://docs.google.com/spreadsheets/d/1-3Vjw2Cyy-mry5gbC8ypIR3YVGFfEpyFESummAta6sg/edit"", ""Sheet1!B:D""), 2, FALSE), ""Not Found"")"),"kɑnʤər")</f>
        <v>kɑnʤər</v>
      </c>
      <c r="E2300" s="2" t="str">
        <f>IFERROR(__xludf.DUMMYFUNCTION("IFERROR(VLOOKUP(A2300, IMPORTRANGE(""https://docs.google.com/spreadsheets/d/1-3Vjw2Cyy-mry5gbC8ypIR3YVGFfEpyFESummAta6sg/edit"", ""Sheet1!B:D""), 3, FALSE), ""Not Found"")"),"k ɑ n ʤ ə r ")</f>
        <v>k ɑ n ʤ ə r </v>
      </c>
    </row>
    <row r="2301">
      <c r="A2301" s="1" t="s">
        <v>2304</v>
      </c>
      <c r="B2301" s="1" t="s">
        <v>5</v>
      </c>
      <c r="C2301" s="2">
        <f>IFERROR(__xludf.DUMMYFUNCTION("IFERROR(VLOOKUP(A2301, IMPORTRANGE(""https://docs.google.com/spreadsheets/d/1AVX9GT0dgogEBStecCXMMQ29tWz3gBrtNB8yIromXbY/edit?gid=741673867"", ""out1g!A:B""), 2, FALSE), 0)"),256.0)</f>
        <v>256</v>
      </c>
      <c r="D2301" s="2" t="str">
        <f>IFERROR(__xludf.DUMMYFUNCTION("IFERROR(VLOOKUP(A2301, IMPORTRANGE(""https://docs.google.com/spreadsheets/d/1-3Vjw2Cyy-mry5gbC8ypIR3YVGFfEpyFESummAta6sg/edit"", ""Sheet1!B:D""), 2, FALSE), ""Not Found"")"),"menli")</f>
        <v>menli</v>
      </c>
      <c r="E2301" s="2" t="str">
        <f>IFERROR(__xludf.DUMMYFUNCTION("IFERROR(VLOOKUP(A2301, IMPORTRANGE(""https://docs.google.com/spreadsheets/d/1-3Vjw2Cyy-mry5gbC8ypIR3YVGFfEpyFESummAta6sg/edit"", ""Sheet1!B:D""), 3, FALSE), ""Not Found"")"),"m e n l i ")</f>
        <v>m e n l i </v>
      </c>
    </row>
    <row r="2302">
      <c r="A2302" s="1" t="s">
        <v>2305</v>
      </c>
      <c r="B2302" s="1" t="s">
        <v>5</v>
      </c>
      <c r="C2302" s="2">
        <f>IFERROR(__xludf.DUMMYFUNCTION("IFERROR(VLOOKUP(A2302, IMPORTRANGE(""https://docs.google.com/spreadsheets/d/1AVX9GT0dgogEBStecCXMMQ29tWz3gBrtNB8yIromXbY/edit?gid=741673867"", ""out1g!A:B""), 2, FALSE), 0)"),55.0)</f>
        <v>55</v>
      </c>
      <c r="D2302" s="2" t="str">
        <f>IFERROR(__xludf.DUMMYFUNCTION("IFERROR(VLOOKUP(A2302, IMPORTRANGE(""https://docs.google.com/spreadsheets/d/1-3Vjw2Cyy-mry5gbC8ypIR3YVGFfEpyFESummAta6sg/edit"", ""Sheet1!B:D""), 2, FALSE), ""Not Found"")"),"tekərz")</f>
        <v>tekərz</v>
      </c>
      <c r="E2302" s="2" t="str">
        <f>IFERROR(__xludf.DUMMYFUNCTION("IFERROR(VLOOKUP(A2302, IMPORTRANGE(""https://docs.google.com/spreadsheets/d/1-3Vjw2Cyy-mry5gbC8ypIR3YVGFfEpyFESummAta6sg/edit"", ""Sheet1!B:D""), 3, FALSE), ""Not Found"")"),"t e k ə r z ")</f>
        <v>t e k ə r z </v>
      </c>
    </row>
    <row r="2303">
      <c r="A2303" s="1" t="s">
        <v>2306</v>
      </c>
      <c r="B2303" s="1" t="s">
        <v>5</v>
      </c>
      <c r="C2303" s="2">
        <f>IFERROR(__xludf.DUMMYFUNCTION("IFERROR(VLOOKUP(A2303, IMPORTRANGE(""https://docs.google.com/spreadsheets/d/1AVX9GT0dgogEBStecCXMMQ29tWz3gBrtNB8yIromXbY/edit?gid=741673867"", ""out1g!A:B""), 2, FALSE), 0)"),138.0)</f>
        <v>138</v>
      </c>
      <c r="D2303" s="2" t="str">
        <f>IFERROR(__xludf.DUMMYFUNCTION("IFERROR(VLOOKUP(A2303, IMPORTRANGE(""https://docs.google.com/spreadsheets/d/1-3Vjw2Cyy-mry5gbC8ypIR3YVGFfEpyFESummAta6sg/edit"", ""Sheet1!B:D""), 2, FALSE), ""Not Found"")"),"boʊgəs")</f>
        <v>boʊgəs</v>
      </c>
      <c r="E2303" s="2" t="str">
        <f>IFERROR(__xludf.DUMMYFUNCTION("IFERROR(VLOOKUP(A2303, IMPORTRANGE(""https://docs.google.com/spreadsheets/d/1-3Vjw2Cyy-mry5gbC8ypIR3YVGFfEpyFESummAta6sg/edit"", ""Sheet1!B:D""), 3, FALSE), ""Not Found"")"),"b o ʊ g ə s ")</f>
        <v>b o ʊ g ə s </v>
      </c>
    </row>
    <row r="2304">
      <c r="A2304" s="1" t="s">
        <v>2307</v>
      </c>
      <c r="B2304" s="1" t="s">
        <v>5</v>
      </c>
      <c r="C2304" s="2">
        <f>IFERROR(__xludf.DUMMYFUNCTION("IFERROR(VLOOKUP(A2304, IMPORTRANGE(""https://docs.google.com/spreadsheets/d/1AVX9GT0dgogEBStecCXMMQ29tWz3gBrtNB8yIromXbY/edit?gid=741673867"", ""out1g!A:B""), 2, FALSE), 0)"),190377.0)</f>
        <v>190377</v>
      </c>
      <c r="D2304" s="2" t="str">
        <f>IFERROR(__xludf.DUMMYFUNCTION("IFERROR(VLOOKUP(A2304, IMPORTRANGE(""https://docs.google.com/spreadsheets/d/1-3Vjw2Cyy-mry5gbC8ypIR3YVGFfEpyFESummAta6sg/edit"", ""Sheet1!B:D""), 2, FALSE), ""Not Found"")"),"ʃi")</f>
        <v>ʃi</v>
      </c>
      <c r="E2304" s="2" t="str">
        <f>IFERROR(__xludf.DUMMYFUNCTION("IFERROR(VLOOKUP(A2304, IMPORTRANGE(""https://docs.google.com/spreadsheets/d/1-3Vjw2Cyy-mry5gbC8ypIR3YVGFfEpyFESummAta6sg/edit"", ""Sheet1!B:D""), 3, FALSE), ""Not Found"")"),"ʃ i ")</f>
        <v>ʃ i </v>
      </c>
    </row>
    <row r="2305">
      <c r="A2305" s="1" t="s">
        <v>2308</v>
      </c>
      <c r="B2305" s="1" t="s">
        <v>5</v>
      </c>
      <c r="C2305" s="2">
        <f>IFERROR(__xludf.DUMMYFUNCTION("IFERROR(VLOOKUP(A2305, IMPORTRANGE(""https://docs.google.com/spreadsheets/d/1AVX9GT0dgogEBStecCXMMQ29tWz3gBrtNB8yIromXbY/edit?gid=741673867"", ""out1g!A:B""), 2, FALSE), 0)"),179.0)</f>
        <v>179</v>
      </c>
      <c r="D2305" s="2" t="str">
        <f>IFERROR(__xludf.DUMMYFUNCTION("IFERROR(VLOOKUP(A2305, IMPORTRANGE(""https://docs.google.com/spreadsheets/d/1-3Vjw2Cyy-mry5gbC8ypIR3YVGFfEpyFESummAta6sg/edit"", ""Sheet1!B:D""), 2, FALSE), ""Not Found"")"),"hesti")</f>
        <v>hesti</v>
      </c>
      <c r="E2305" s="2" t="str">
        <f>IFERROR(__xludf.DUMMYFUNCTION("IFERROR(VLOOKUP(A2305, IMPORTRANGE(""https://docs.google.com/spreadsheets/d/1-3Vjw2Cyy-mry5gbC8ypIR3YVGFfEpyFESummAta6sg/edit"", ""Sheet1!B:D""), 3, FALSE), ""Not Found"")"),"h e s t i ")</f>
        <v>h e s t i </v>
      </c>
    </row>
    <row r="2306">
      <c r="A2306" s="1" t="s">
        <v>2309</v>
      </c>
      <c r="B2306" s="1" t="s">
        <v>5</v>
      </c>
      <c r="C2306" s="2">
        <f>IFERROR(__xludf.DUMMYFUNCTION("IFERROR(VLOOKUP(A2306, IMPORTRANGE(""https://docs.google.com/spreadsheets/d/1AVX9GT0dgogEBStecCXMMQ29tWz3gBrtNB8yIromXbY/edit?gid=741673867"", ""out1g!A:B""), 2, FALSE), 0)"),88.0)</f>
        <v>88</v>
      </c>
      <c r="D2306" s="2" t="str">
        <f>IFERROR(__xludf.DUMMYFUNCTION("IFERROR(VLOOKUP(A2306, IMPORTRANGE(""https://docs.google.com/spreadsheets/d/1-3Vjw2Cyy-mry5gbC8ypIR3YVGFfEpyFESummAta6sg/edit"", ""Sheet1!B:D""), 2, FALSE), ""Not Found"")"),"aɪkɑn")</f>
        <v>aɪkɑn</v>
      </c>
      <c r="E2306" s="2" t="str">
        <f>IFERROR(__xludf.DUMMYFUNCTION("IFERROR(VLOOKUP(A2306, IMPORTRANGE(""https://docs.google.com/spreadsheets/d/1-3Vjw2Cyy-mry5gbC8ypIR3YVGFfEpyFESummAta6sg/edit"", ""Sheet1!B:D""), 3, FALSE), ""Not Found"")"),"a ɪ k ɑ n ")</f>
        <v>a ɪ k ɑ n </v>
      </c>
    </row>
    <row r="2307">
      <c r="A2307" s="1" t="s">
        <v>2310</v>
      </c>
      <c r="B2307" s="1" t="s">
        <v>5</v>
      </c>
      <c r="C2307" s="2">
        <f>IFERROR(__xludf.DUMMYFUNCTION("IFERROR(VLOOKUP(A2307, IMPORTRANGE(""https://docs.google.com/spreadsheets/d/1AVX9GT0dgogEBStecCXMMQ29tWz3gBrtNB8yIromXbY/edit?gid=741673867"", ""out1g!A:B""), 2, FALSE), 0)"),163.0)</f>
        <v>163</v>
      </c>
      <c r="D2307" s="2" t="str">
        <f>IFERROR(__xludf.DUMMYFUNCTION("IFERROR(VLOOKUP(A2307, IMPORTRANGE(""https://docs.google.com/spreadsheets/d/1-3Vjw2Cyy-mry5gbC8ypIR3YVGFfEpyFESummAta6sg/edit"", ""Sheet1!B:D""), 2, FALSE), ""Not Found"")"),"hɛn")</f>
        <v>hɛn</v>
      </c>
      <c r="E2307" s="2" t="str">
        <f>IFERROR(__xludf.DUMMYFUNCTION("IFERROR(VLOOKUP(A2307, IMPORTRANGE(""https://docs.google.com/spreadsheets/d/1-3Vjw2Cyy-mry5gbC8ypIR3YVGFfEpyFESummAta6sg/edit"", ""Sheet1!B:D""), 3, FALSE), ""Not Found"")"),"h ɛ n ")</f>
        <v>h ɛ n </v>
      </c>
    </row>
    <row r="2308">
      <c r="A2308" s="1" t="s">
        <v>2311</v>
      </c>
      <c r="B2308" s="1" t="s">
        <v>5</v>
      </c>
      <c r="C2308" s="2">
        <f>IFERROR(__xludf.DUMMYFUNCTION("IFERROR(VLOOKUP(A2308, IMPORTRANGE(""https://docs.google.com/spreadsheets/d/1AVX9GT0dgogEBStecCXMMQ29tWz3gBrtNB8yIromXbY/edit?gid=741673867"", ""out1g!A:B""), 2, FALSE), 0)"),1361.0)</f>
        <v>1361</v>
      </c>
      <c r="D2308" s="2" t="str">
        <f>IFERROR(__xludf.DUMMYFUNCTION("IFERROR(VLOOKUP(A2308, IMPORTRANGE(""https://docs.google.com/spreadsheets/d/1-3Vjw2Cyy-mry5gbC8ypIR3YVGFfEpyFESummAta6sg/edit"", ""Sheet1!B:D""), 2, FALSE), ""Not Found"")"),"koʊst")</f>
        <v>koʊst</v>
      </c>
      <c r="E2308" s="2" t="str">
        <f>IFERROR(__xludf.DUMMYFUNCTION("IFERROR(VLOOKUP(A2308, IMPORTRANGE(""https://docs.google.com/spreadsheets/d/1-3Vjw2Cyy-mry5gbC8ypIR3YVGFfEpyFESummAta6sg/edit"", ""Sheet1!B:D""), 3, FALSE), ""Not Found"")"),"k o ʊ s t ")</f>
        <v>k o ʊ s t </v>
      </c>
    </row>
    <row r="2309">
      <c r="A2309" s="1" t="s">
        <v>2312</v>
      </c>
      <c r="B2309" s="1" t="s">
        <v>5</v>
      </c>
      <c r="C2309" s="2">
        <f>IFERROR(__xludf.DUMMYFUNCTION("IFERROR(VLOOKUP(A2309, IMPORTRANGE(""https://docs.google.com/spreadsheets/d/1AVX9GT0dgogEBStecCXMMQ29tWz3gBrtNB8yIromXbY/edit?gid=741673867"", ""out1g!A:B""), 2, FALSE), 0)"),56.0)</f>
        <v>56</v>
      </c>
      <c r="D2309" s="2" t="str">
        <f>IFERROR(__xludf.DUMMYFUNCTION("IFERROR(VLOOKUP(A2309, IMPORTRANGE(""https://docs.google.com/spreadsheets/d/1-3Vjw2Cyy-mry5gbC8ypIR3YVGFfEpyFESummAta6sg/edit"", ""Sheet1!B:D""), 2, FALSE), ""Not Found"")"),"liki")</f>
        <v>liki</v>
      </c>
      <c r="E2309" s="2" t="str">
        <f>IFERROR(__xludf.DUMMYFUNCTION("IFERROR(VLOOKUP(A2309, IMPORTRANGE(""https://docs.google.com/spreadsheets/d/1-3Vjw2Cyy-mry5gbC8ypIR3YVGFfEpyFESummAta6sg/edit"", ""Sheet1!B:D""), 3, FALSE), ""Not Found"")"),"l i k i ")</f>
        <v>l i k i </v>
      </c>
    </row>
    <row r="2310">
      <c r="A2310" s="1" t="s">
        <v>2313</v>
      </c>
      <c r="B2310" s="1" t="s">
        <v>5</v>
      </c>
      <c r="C2310" s="2">
        <f>IFERROR(__xludf.DUMMYFUNCTION("IFERROR(VLOOKUP(A2310, IMPORTRANGE(""https://docs.google.com/spreadsheets/d/1AVX9GT0dgogEBStecCXMMQ29tWz3gBrtNB8yIromXbY/edit?gid=741673867"", ""out1g!A:B""), 2, FALSE), 0)"),14025.0)</f>
        <v>14025</v>
      </c>
      <c r="D2310" s="2" t="str">
        <f>IFERROR(__xludf.DUMMYFUNCTION("IFERROR(VLOOKUP(A2310, IMPORTRANGE(""https://docs.google.com/spreadsheets/d/1-3Vjw2Cyy-mry5gbC8ypIR3YVGFfEpyFESummAta6sg/edit"", ""Sheet1!B:D""), 2, FALSE), ""Not Found"")"),"hɪt")</f>
        <v>hɪt</v>
      </c>
      <c r="E2310" s="2" t="str">
        <f>IFERROR(__xludf.DUMMYFUNCTION("IFERROR(VLOOKUP(A2310, IMPORTRANGE(""https://docs.google.com/spreadsheets/d/1-3Vjw2Cyy-mry5gbC8ypIR3YVGFfEpyFESummAta6sg/edit"", ""Sheet1!B:D""), 3, FALSE), ""Not Found"")"),"h ɪ t ")</f>
        <v>h ɪ t </v>
      </c>
    </row>
    <row r="2311">
      <c r="A2311" s="1" t="s">
        <v>2314</v>
      </c>
      <c r="B2311" s="1" t="s">
        <v>5</v>
      </c>
      <c r="C2311" s="2">
        <f>IFERROR(__xludf.DUMMYFUNCTION("IFERROR(VLOOKUP(A2311, IMPORTRANGE(""https://docs.google.com/spreadsheets/d/1AVX9GT0dgogEBStecCXMMQ29tWz3gBrtNB8yIromXbY/edit?gid=741673867"", ""out1g!A:B""), 2, FALSE), 0)"),67.0)</f>
        <v>67</v>
      </c>
      <c r="D2311" s="2" t="str">
        <f>IFERROR(__xludf.DUMMYFUNCTION("IFERROR(VLOOKUP(A2311, IMPORTRANGE(""https://docs.google.com/spreadsheets/d/1-3Vjw2Cyy-mry5gbC8ypIR3YVGFfEpyFESummAta6sg/edit"", ""Sheet1!B:D""), 2, FALSE), ""Not Found"")"),"wɪki")</f>
        <v>wɪki</v>
      </c>
      <c r="E2311" s="2" t="str">
        <f>IFERROR(__xludf.DUMMYFUNCTION("IFERROR(VLOOKUP(A2311, IMPORTRANGE(""https://docs.google.com/spreadsheets/d/1-3Vjw2Cyy-mry5gbC8ypIR3YVGFfEpyFESummAta6sg/edit"", ""Sheet1!B:D""), 3, FALSE), ""Not Found"")"),"w ɪ k i ")</f>
        <v>w ɪ k i </v>
      </c>
    </row>
    <row r="2312">
      <c r="A2312" s="1" t="s">
        <v>2315</v>
      </c>
      <c r="B2312" s="1" t="s">
        <v>5</v>
      </c>
      <c r="C2312" s="2">
        <f>IFERROR(__xludf.DUMMYFUNCTION("IFERROR(VLOOKUP(A2312, IMPORTRANGE(""https://docs.google.com/spreadsheets/d/1AVX9GT0dgogEBStecCXMMQ29tWz3gBrtNB8yIromXbY/edit?gid=741673867"", ""out1g!A:B""), 2, FALSE), 0)"),72.0)</f>
        <v>72</v>
      </c>
      <c r="D2312" s="2" t="str">
        <f>IFERROR(__xludf.DUMMYFUNCTION("IFERROR(VLOOKUP(A2312, IMPORTRANGE(""https://docs.google.com/spreadsheets/d/1-3Vjw2Cyy-mry5gbC8ypIR3YVGFfEpyFESummAta6sg/edit"", ""Sheet1!B:D""), 2, FALSE), ""Not Found"")"),"ʧɑr")</f>
        <v>ʧɑr</v>
      </c>
      <c r="E2312" s="2" t="str">
        <f>IFERROR(__xludf.DUMMYFUNCTION("IFERROR(VLOOKUP(A2312, IMPORTRANGE(""https://docs.google.com/spreadsheets/d/1-3Vjw2Cyy-mry5gbC8ypIR3YVGFfEpyFESummAta6sg/edit"", ""Sheet1!B:D""), 3, FALSE), ""Not Found"")"),"ʧ ɑ r ")</f>
        <v>ʧ ɑ r </v>
      </c>
    </row>
    <row r="2313">
      <c r="A2313" s="1" t="s">
        <v>2316</v>
      </c>
      <c r="B2313" s="1" t="s">
        <v>5</v>
      </c>
      <c r="C2313" s="2">
        <f>IFERROR(__xludf.DUMMYFUNCTION("IFERROR(VLOOKUP(A2313, IMPORTRANGE(""https://docs.google.com/spreadsheets/d/1AVX9GT0dgogEBStecCXMMQ29tWz3gBrtNB8yIromXbY/edit?gid=741673867"", ""out1g!A:B""), 2, FALSE), 0)"),233.0)</f>
        <v>233</v>
      </c>
      <c r="D2313" s="2" t="str">
        <f>IFERROR(__xludf.DUMMYFUNCTION("IFERROR(VLOOKUP(A2313, IMPORTRANGE(""https://docs.google.com/spreadsheets/d/1-3Vjw2Cyy-mry5gbC8ypIR3YVGFfEpyFESummAta6sg/edit"", ""Sheet1!B:D""), 2, FALSE), ""Not Found"")"),"bɪŋ")</f>
        <v>bɪŋ</v>
      </c>
      <c r="E2313" s="2" t="str">
        <f>IFERROR(__xludf.DUMMYFUNCTION("IFERROR(VLOOKUP(A2313, IMPORTRANGE(""https://docs.google.com/spreadsheets/d/1-3Vjw2Cyy-mry5gbC8ypIR3YVGFfEpyFESummAta6sg/edit"", ""Sheet1!B:D""), 3, FALSE), ""Not Found"")"),"b ɪ ŋ ")</f>
        <v>b ɪ ŋ </v>
      </c>
    </row>
    <row r="2314">
      <c r="A2314" s="1" t="s">
        <v>2317</v>
      </c>
      <c r="B2314" s="1" t="s">
        <v>5</v>
      </c>
      <c r="C2314" s="2">
        <f>IFERROR(__xludf.DUMMYFUNCTION("IFERROR(VLOOKUP(A2314, IMPORTRANGE(""https://docs.google.com/spreadsheets/d/1AVX9GT0dgogEBStecCXMMQ29tWz3gBrtNB8yIromXbY/edit?gid=741673867"", ""out1g!A:B""), 2, FALSE), 0)"),237.0)</f>
        <v>237</v>
      </c>
      <c r="D2314" s="2" t="str">
        <f>IFERROR(__xludf.DUMMYFUNCTION("IFERROR(VLOOKUP(A2314, IMPORTRANGE(""https://docs.google.com/spreadsheets/d/1-3Vjw2Cyy-mry5gbC8ypIR3YVGFfEpyFESummAta6sg/edit"", ""Sheet1!B:D""), 2, FALSE), ""Not Found"")"),"də")</f>
        <v>də</v>
      </c>
      <c r="E2314" s="2" t="str">
        <f>IFERROR(__xludf.DUMMYFUNCTION("IFERROR(VLOOKUP(A2314, IMPORTRANGE(""https://docs.google.com/spreadsheets/d/1-3Vjw2Cyy-mry5gbC8ypIR3YVGFfEpyFESummAta6sg/edit"", ""Sheet1!B:D""), 3, FALSE), ""Not Found"")"),"d ə ")</f>
        <v>d ə </v>
      </c>
    </row>
    <row r="2315">
      <c r="A2315" s="1" t="s">
        <v>2318</v>
      </c>
      <c r="B2315" s="1" t="s">
        <v>5</v>
      </c>
      <c r="C2315" s="2">
        <f>IFERROR(__xludf.DUMMYFUNCTION("IFERROR(VLOOKUP(A2315, IMPORTRANGE(""https://docs.google.com/spreadsheets/d/1AVX9GT0dgogEBStecCXMMQ29tWz3gBrtNB8yIromXbY/edit?gid=741673867"", ""out1g!A:B""), 2, FALSE), 0)"),1365.0)</f>
        <v>1365</v>
      </c>
      <c r="D2315" s="2" t="str">
        <f>IFERROR(__xludf.DUMMYFUNCTION("IFERROR(VLOOKUP(A2315, IMPORTRANGE(""https://docs.google.com/spreadsheets/d/1-3Vjw2Cyy-mry5gbC8ypIR3YVGFfEpyFESummAta6sg/edit"", ""Sheet1!B:D""), 2, FALSE), ""Not Found"")"),"naɪt")</f>
        <v>naɪt</v>
      </c>
      <c r="E2315" s="2" t="str">
        <f>IFERROR(__xludf.DUMMYFUNCTION("IFERROR(VLOOKUP(A2315, IMPORTRANGE(""https://docs.google.com/spreadsheets/d/1-3Vjw2Cyy-mry5gbC8ypIR3YVGFfEpyFESummAta6sg/edit"", ""Sheet1!B:D""), 3, FALSE), ""Not Found"")"),"n a ɪ t ")</f>
        <v>n a ɪ t </v>
      </c>
    </row>
    <row r="2316">
      <c r="A2316" s="1" t="s">
        <v>2319</v>
      </c>
      <c r="B2316" s="1" t="s">
        <v>5</v>
      </c>
      <c r="C2316" s="2">
        <f>IFERROR(__xludf.DUMMYFUNCTION("IFERROR(VLOOKUP(A2316, IMPORTRANGE(""https://docs.google.com/spreadsheets/d/1AVX9GT0dgogEBStecCXMMQ29tWz3gBrtNB8yIromXbY/edit?gid=741673867"", ""out1g!A:B""), 2, FALSE), 0)"),673.0)</f>
        <v>673</v>
      </c>
      <c r="D2316" s="2" t="str">
        <f>IFERROR(__xludf.DUMMYFUNCTION("IFERROR(VLOOKUP(A2316, IMPORTRANGE(""https://docs.google.com/spreadsheets/d/1-3Vjw2Cyy-mry5gbC8ypIR3YVGFfEpyFESummAta6sg/edit"", ""Sheet1!B:D""), 2, FALSE), ""Not Found"")"),"stebəl")</f>
        <v>stebəl</v>
      </c>
      <c r="E2316" s="2" t="str">
        <f>IFERROR(__xludf.DUMMYFUNCTION("IFERROR(VLOOKUP(A2316, IMPORTRANGE(""https://docs.google.com/spreadsheets/d/1-3Vjw2Cyy-mry5gbC8ypIR3YVGFfEpyFESummAta6sg/edit"", ""Sheet1!B:D""), 3, FALSE), ""Not Found"")"),"s t e b ə l ")</f>
        <v>s t e b ə l </v>
      </c>
    </row>
    <row r="2317">
      <c r="A2317" s="1" t="s">
        <v>2320</v>
      </c>
      <c r="B2317" s="1" t="s">
        <v>5</v>
      </c>
      <c r="C2317" s="2">
        <f>IFERROR(__xludf.DUMMYFUNCTION("IFERROR(VLOOKUP(A2317, IMPORTRANGE(""https://docs.google.com/spreadsheets/d/1AVX9GT0dgogEBStecCXMMQ29tWz3gBrtNB8yIromXbY/edit?gid=741673867"", ""out1g!A:B""), 2, FALSE), 0)"),86.0)</f>
        <v>86</v>
      </c>
      <c r="D2317" s="2" t="str">
        <f>IFERROR(__xludf.DUMMYFUNCTION("IFERROR(VLOOKUP(A2317, IMPORTRANGE(""https://docs.google.com/spreadsheets/d/1-3Vjw2Cyy-mry5gbC8ypIR3YVGFfEpyFESummAta6sg/edit"", ""Sheet1!B:D""), 2, FALSE), ""Not Found"")"),"rilɪv")</f>
        <v>rilɪv</v>
      </c>
      <c r="E2317" s="2" t="str">
        <f>IFERROR(__xludf.DUMMYFUNCTION("IFERROR(VLOOKUP(A2317, IMPORTRANGE(""https://docs.google.com/spreadsheets/d/1-3Vjw2Cyy-mry5gbC8ypIR3YVGFfEpyFESummAta6sg/edit"", ""Sheet1!B:D""), 3, FALSE), ""Not Found"")"),"r i l ɪ v ")</f>
        <v>r i l ɪ v </v>
      </c>
    </row>
    <row r="2318">
      <c r="A2318" s="1" t="s">
        <v>2321</v>
      </c>
      <c r="B2318" s="1" t="s">
        <v>5</v>
      </c>
      <c r="C2318" s="2">
        <f>IFERROR(__xludf.DUMMYFUNCTION("IFERROR(VLOOKUP(A2318, IMPORTRANGE(""https://docs.google.com/spreadsheets/d/1AVX9GT0dgogEBStecCXMMQ29tWz3gBrtNB8yIromXbY/edit?gid=741673867"", ""out1g!A:B""), 2, FALSE), 0)"),657.0)</f>
        <v>657</v>
      </c>
      <c r="D2318" s="2" t="str">
        <f>IFERROR(__xludf.DUMMYFUNCTION("IFERROR(VLOOKUP(A2318, IMPORTRANGE(""https://docs.google.com/spreadsheets/d/1-3Vjw2Cyy-mry5gbC8ypIR3YVGFfEpyFESummAta6sg/edit"", ""Sheet1!B:D""), 2, FALSE), ""Not Found"")"),"læmp")</f>
        <v>læmp</v>
      </c>
      <c r="E2318" s="2" t="str">
        <f>IFERROR(__xludf.DUMMYFUNCTION("IFERROR(VLOOKUP(A2318, IMPORTRANGE(""https://docs.google.com/spreadsheets/d/1-3Vjw2Cyy-mry5gbC8ypIR3YVGFfEpyFESummAta6sg/edit"", ""Sheet1!B:D""), 3, FALSE), ""Not Found"")"),"l æ m p ")</f>
        <v>l æ m p </v>
      </c>
    </row>
    <row r="2319">
      <c r="A2319" s="1" t="s">
        <v>2322</v>
      </c>
      <c r="B2319" s="1" t="s">
        <v>5</v>
      </c>
      <c r="C2319" s="2">
        <f>IFERROR(__xludf.DUMMYFUNCTION("IFERROR(VLOOKUP(A2319, IMPORTRANGE(""https://docs.google.com/spreadsheets/d/1AVX9GT0dgogEBStecCXMMQ29tWz3gBrtNB8yIromXbY/edit?gid=741673867"", ""out1g!A:B""), 2, FALSE), 0)"),3545.0)</f>
        <v>3545</v>
      </c>
      <c r="D2319" s="2" t="str">
        <f>IFERROR(__xludf.DUMMYFUNCTION("IFERROR(VLOOKUP(A2319, IMPORTRANGE(""https://docs.google.com/spreadsheets/d/1-3Vjw2Cyy-mry5gbC8ypIR3YVGFfEpyFESummAta6sg/edit"", ""Sheet1!B:D""), 2, FALSE), ""Not Found"")"),"ʃɛr")</f>
        <v>ʃɛr</v>
      </c>
      <c r="E2319" s="2" t="str">
        <f>IFERROR(__xludf.DUMMYFUNCTION("IFERROR(VLOOKUP(A2319, IMPORTRANGE(""https://docs.google.com/spreadsheets/d/1-3Vjw2Cyy-mry5gbC8ypIR3YVGFfEpyFESummAta6sg/edit"", ""Sheet1!B:D""), 3, FALSE), ""Not Found"")"),"ʃ ɛ r ")</f>
        <v>ʃ ɛ r </v>
      </c>
    </row>
    <row r="2320">
      <c r="A2320" s="1" t="s">
        <v>2323</v>
      </c>
      <c r="B2320" s="1" t="s">
        <v>5</v>
      </c>
      <c r="C2320" s="2">
        <f>IFERROR(__xludf.DUMMYFUNCTION("IFERROR(VLOOKUP(A2320, IMPORTRANGE(""https://docs.google.com/spreadsheets/d/1AVX9GT0dgogEBStecCXMMQ29tWz3gBrtNB8yIromXbY/edit?gid=741673867"", ""out1g!A:B""), 2, FALSE), 0)"),46.0)</f>
        <v>46</v>
      </c>
      <c r="D2320" s="2" t="str">
        <f>IFERROR(__xludf.DUMMYFUNCTION("IFERROR(VLOOKUP(A2320, IMPORTRANGE(""https://docs.google.com/spreadsheets/d/1-3Vjw2Cyy-mry5gbC8ypIR3YVGFfEpyFESummAta6sg/edit"", ""Sheet1!B:D""), 2, FALSE), ""Not Found"")"),"rik")</f>
        <v>rik</v>
      </c>
      <c r="E2320" s="2" t="str">
        <f>IFERROR(__xludf.DUMMYFUNCTION("IFERROR(VLOOKUP(A2320, IMPORTRANGE(""https://docs.google.com/spreadsheets/d/1-3Vjw2Cyy-mry5gbC8ypIR3YVGFfEpyFESummAta6sg/edit"", ""Sheet1!B:D""), 3, FALSE), ""Not Found"")"),"r i k ")</f>
        <v>r i k </v>
      </c>
    </row>
    <row r="2321">
      <c r="A2321" s="1" t="s">
        <v>2324</v>
      </c>
      <c r="B2321" s="1" t="s">
        <v>5</v>
      </c>
      <c r="C2321" s="2">
        <f>IFERROR(__xludf.DUMMYFUNCTION("IFERROR(VLOOKUP(A2321, IMPORTRANGE(""https://docs.google.com/spreadsheets/d/1AVX9GT0dgogEBStecCXMMQ29tWz3gBrtNB8yIromXbY/edit?gid=741673867"", ""out1g!A:B""), 2, FALSE), 0)"),31.0)</f>
        <v>31</v>
      </c>
      <c r="D2321" s="2" t="str">
        <f>IFERROR(__xludf.DUMMYFUNCTION("IFERROR(VLOOKUP(A2321, IMPORTRANGE(""https://docs.google.com/spreadsheets/d/1-3Vjw2Cyy-mry5gbC8ypIR3YVGFfEpyFESummAta6sg/edit"", ""Sheet1!B:D""), 2, FALSE), ""Not Found"")"),"bəndt")</f>
        <v>bəndt</v>
      </c>
      <c r="E2321" s="2" t="str">
        <f>IFERROR(__xludf.DUMMYFUNCTION("IFERROR(VLOOKUP(A2321, IMPORTRANGE(""https://docs.google.com/spreadsheets/d/1-3Vjw2Cyy-mry5gbC8ypIR3YVGFfEpyFESummAta6sg/edit"", ""Sheet1!B:D""), 3, FALSE), ""Not Found"")"),"b ə n d t ")</f>
        <v>b ə n d t </v>
      </c>
    </row>
    <row r="2322">
      <c r="A2322" s="1" t="s">
        <v>2325</v>
      </c>
      <c r="B2322" s="1" t="s">
        <v>5</v>
      </c>
      <c r="C2322" s="2">
        <f>IFERROR(__xludf.DUMMYFUNCTION("IFERROR(VLOOKUP(A2322, IMPORTRANGE(""https://docs.google.com/spreadsheets/d/1AVX9GT0dgogEBStecCXMMQ29tWz3gBrtNB8yIromXbY/edit?gid=741673867"", ""out1g!A:B""), 2, FALSE), 0)"),533.0)</f>
        <v>533</v>
      </c>
      <c r="D2322" s="2" t="str">
        <f>IFERROR(__xludf.DUMMYFUNCTION("IFERROR(VLOOKUP(A2322, IMPORTRANGE(""https://docs.google.com/spreadsheets/d/1-3Vjw2Cyy-mry5gbC8ypIR3YVGFfEpyFESummAta6sg/edit"", ""Sheet1!B:D""), 2, FALSE), ""Not Found"")"),"daɪs")</f>
        <v>daɪs</v>
      </c>
      <c r="E2322" s="2" t="str">
        <f>IFERROR(__xludf.DUMMYFUNCTION("IFERROR(VLOOKUP(A2322, IMPORTRANGE(""https://docs.google.com/spreadsheets/d/1-3Vjw2Cyy-mry5gbC8ypIR3YVGFfEpyFESummAta6sg/edit"", ""Sheet1!B:D""), 3, FALSE), ""Not Found"")"),"d a ɪ s ")</f>
        <v>d a ɪ s </v>
      </c>
    </row>
    <row r="2323">
      <c r="A2323" s="1" t="s">
        <v>2326</v>
      </c>
      <c r="B2323" s="1" t="s">
        <v>5</v>
      </c>
      <c r="C2323" s="2">
        <f>IFERROR(__xludf.DUMMYFUNCTION("IFERROR(VLOOKUP(A2323, IMPORTRANGE(""https://docs.google.com/spreadsheets/d/1AVX9GT0dgogEBStecCXMMQ29tWz3gBrtNB8yIromXbY/edit?gid=741673867"", ""out1g!A:B""), 2, FALSE), 0)"),109.0)</f>
        <v>109</v>
      </c>
      <c r="D2323" s="2" t="str">
        <f>IFERROR(__xludf.DUMMYFUNCTION("IFERROR(VLOOKUP(A2323, IMPORTRANGE(""https://docs.google.com/spreadsheets/d/1-3Vjw2Cyy-mry5gbC8ypIR3YVGFfEpyFESummAta6sg/edit"", ""Sheet1!B:D""), 2, FALSE), ""Not Found"")"),"sləti")</f>
        <v>sləti</v>
      </c>
      <c r="E2323" s="2" t="str">
        <f>IFERROR(__xludf.DUMMYFUNCTION("IFERROR(VLOOKUP(A2323, IMPORTRANGE(""https://docs.google.com/spreadsheets/d/1-3Vjw2Cyy-mry5gbC8ypIR3YVGFfEpyFESummAta6sg/edit"", ""Sheet1!B:D""), 3, FALSE), ""Not Found"")"),"s l ə t i ")</f>
        <v>s l ə t i </v>
      </c>
    </row>
    <row r="2324">
      <c r="A2324" s="1" t="s">
        <v>2327</v>
      </c>
      <c r="B2324" s="1" t="s">
        <v>5</v>
      </c>
      <c r="C2324" s="2">
        <f>IFERROR(__xludf.DUMMYFUNCTION("IFERROR(VLOOKUP(A2324, IMPORTRANGE(""https://docs.google.com/spreadsheets/d/1AVX9GT0dgogEBStecCXMMQ29tWz3gBrtNB8yIromXbY/edit?gid=741673867"", ""out1g!A:B""), 2, FALSE), 0)"),195.0)</f>
        <v>195</v>
      </c>
      <c r="D2324" s="2" t="str">
        <f>IFERROR(__xludf.DUMMYFUNCTION("IFERROR(VLOOKUP(A2324, IMPORTRANGE(""https://docs.google.com/spreadsheets/d/1-3Vjw2Cyy-mry5gbC8ypIR3YVGFfEpyFESummAta6sg/edit"", ""Sheet1!B:D""), 2, FALSE), ""Not Found"")"),"drɔz")</f>
        <v>drɔz</v>
      </c>
      <c r="E2324" s="2" t="str">
        <f>IFERROR(__xludf.DUMMYFUNCTION("IFERROR(VLOOKUP(A2324, IMPORTRANGE(""https://docs.google.com/spreadsheets/d/1-3Vjw2Cyy-mry5gbC8ypIR3YVGFfEpyFESummAta6sg/edit"", ""Sheet1!B:D""), 3, FALSE), ""Not Found"")"),"d r ɔ z ")</f>
        <v>d r ɔ z </v>
      </c>
    </row>
    <row r="2325">
      <c r="A2325" s="1" t="s">
        <v>2328</v>
      </c>
      <c r="B2325" s="1" t="s">
        <v>5</v>
      </c>
      <c r="C2325" s="2">
        <f>IFERROR(__xludf.DUMMYFUNCTION("IFERROR(VLOOKUP(A2325, IMPORTRANGE(""https://docs.google.com/spreadsheets/d/1AVX9GT0dgogEBStecCXMMQ29tWz3gBrtNB8yIromXbY/edit?gid=741673867"", ""out1g!A:B""), 2, FALSE), 0)"),93.0)</f>
        <v>93</v>
      </c>
      <c r="D2325" s="2" t="str">
        <f>IFERROR(__xludf.DUMMYFUNCTION("IFERROR(VLOOKUP(A2325, IMPORTRANGE(""https://docs.google.com/spreadsheets/d/1-3Vjw2Cyy-mry5gbC8ypIR3YVGFfEpyFESummAta6sg/edit"", ""Sheet1!B:D""), 2, FALSE), ""Not Found"")"),"æmpəl")</f>
        <v>æmpəl</v>
      </c>
      <c r="E2325" s="2" t="str">
        <f>IFERROR(__xludf.DUMMYFUNCTION("IFERROR(VLOOKUP(A2325, IMPORTRANGE(""https://docs.google.com/spreadsheets/d/1-3Vjw2Cyy-mry5gbC8ypIR3YVGFfEpyFESummAta6sg/edit"", ""Sheet1!B:D""), 3, FALSE), ""Not Found"")"),"æ m p ə l ")</f>
        <v>æ m p ə l </v>
      </c>
    </row>
    <row r="2326">
      <c r="A2326" s="1" t="s">
        <v>2329</v>
      </c>
      <c r="B2326" s="1" t="s">
        <v>5</v>
      </c>
      <c r="C2326" s="2">
        <f>IFERROR(__xludf.DUMMYFUNCTION("IFERROR(VLOOKUP(A2326, IMPORTRANGE(""https://docs.google.com/spreadsheets/d/1AVX9GT0dgogEBStecCXMMQ29tWz3gBrtNB8yIromXbY/edit?gid=741673867"", ""out1g!A:B""), 2, FALSE), 0)"),1042.0)</f>
        <v>1042</v>
      </c>
      <c r="D2326" s="2" t="str">
        <f>IFERROR(__xludf.DUMMYFUNCTION("IFERROR(VLOOKUP(A2326, IMPORTRANGE(""https://docs.google.com/spreadsheets/d/1-3Vjw2Cyy-mry5gbC8ypIR3YVGFfEpyFESummAta6sg/edit"", ""Sheet1!B:D""), 2, FALSE), ""Not Found"")"),"ərl")</f>
        <v>ərl</v>
      </c>
      <c r="E2326" s="2" t="str">
        <f>IFERROR(__xludf.DUMMYFUNCTION("IFERROR(VLOOKUP(A2326, IMPORTRANGE(""https://docs.google.com/spreadsheets/d/1-3Vjw2Cyy-mry5gbC8ypIR3YVGFfEpyFESummAta6sg/edit"", ""Sheet1!B:D""), 3, FALSE), ""Not Found"")"),"ə r l ")</f>
        <v>ə r l </v>
      </c>
    </row>
    <row r="2327">
      <c r="A2327" s="1" t="s">
        <v>2330</v>
      </c>
      <c r="B2327" s="1" t="s">
        <v>5</v>
      </c>
      <c r="C2327" s="2">
        <f>IFERROR(__xludf.DUMMYFUNCTION("IFERROR(VLOOKUP(A2327, IMPORTRANGE(""https://docs.google.com/spreadsheets/d/1AVX9GT0dgogEBStecCXMMQ29tWz3gBrtNB8yIromXbY/edit?gid=741673867"", ""out1g!A:B""), 2, FALSE), 0)"),233.0)</f>
        <v>233</v>
      </c>
      <c r="D2327" s="2" t="str">
        <f>IFERROR(__xludf.DUMMYFUNCTION("IFERROR(VLOOKUP(A2327, IMPORTRANGE(""https://docs.google.com/spreadsheets/d/1-3Vjw2Cyy-mry5gbC8ypIR3YVGFfEpyFESummAta6sg/edit"", ""Sheet1!B:D""), 2, FALSE), ""Not Found"")"),"aɪrəni")</f>
        <v>aɪrəni</v>
      </c>
      <c r="E2327" s="2" t="str">
        <f>IFERROR(__xludf.DUMMYFUNCTION("IFERROR(VLOOKUP(A2327, IMPORTRANGE(""https://docs.google.com/spreadsheets/d/1-3Vjw2Cyy-mry5gbC8ypIR3YVGFfEpyFESummAta6sg/edit"", ""Sheet1!B:D""), 3, FALSE), ""Not Found"")"),"a ɪ r ə n i ")</f>
        <v>a ɪ r ə n i </v>
      </c>
    </row>
    <row r="2328">
      <c r="A2328" s="1" t="s">
        <v>2331</v>
      </c>
      <c r="B2328" s="1" t="s">
        <v>5</v>
      </c>
      <c r="C2328" s="2">
        <f>IFERROR(__xludf.DUMMYFUNCTION("IFERROR(VLOOKUP(A2328, IMPORTRANGE(""https://docs.google.com/spreadsheets/d/1AVX9GT0dgogEBStecCXMMQ29tWz3gBrtNB8yIromXbY/edit?gid=741673867"", ""out1g!A:B""), 2, FALSE), 0)"),43605.0)</f>
        <v>43605</v>
      </c>
      <c r="D2328" s="2" t="str">
        <f>IFERROR(__xludf.DUMMYFUNCTION("IFERROR(VLOOKUP(A2328, IMPORTRANGE(""https://docs.google.com/spreadsheets/d/1-3Vjw2Cyy-mry5gbC8ypIR3YVGFfEpyFESummAta6sg/edit"", ""Sheet1!B:D""), 2, FALSE), ""Not Found"")"),"tɔk")</f>
        <v>tɔk</v>
      </c>
      <c r="E2328" s="2" t="str">
        <f>IFERROR(__xludf.DUMMYFUNCTION("IFERROR(VLOOKUP(A2328, IMPORTRANGE(""https://docs.google.com/spreadsheets/d/1-3Vjw2Cyy-mry5gbC8ypIR3YVGFfEpyFESummAta6sg/edit"", ""Sheet1!B:D""), 3, FALSE), ""Not Found"")"),"t ɔ k ")</f>
        <v>t ɔ k </v>
      </c>
    </row>
    <row r="2329">
      <c r="A2329" s="1" t="s">
        <v>2332</v>
      </c>
      <c r="B2329" s="1" t="s">
        <v>5</v>
      </c>
      <c r="C2329" s="2">
        <f>IFERROR(__xludf.DUMMYFUNCTION("IFERROR(VLOOKUP(A2329, IMPORTRANGE(""https://docs.google.com/spreadsheets/d/1AVX9GT0dgogEBStecCXMMQ29tWz3gBrtNB8yIromXbY/edit?gid=741673867"", ""out1g!A:B""), 2, FALSE), 0)"),147.0)</f>
        <v>147</v>
      </c>
      <c r="D2329" s="2" t="str">
        <f>IFERROR(__xludf.DUMMYFUNCTION("IFERROR(VLOOKUP(A2329, IMPORTRANGE(""https://docs.google.com/spreadsheets/d/1-3Vjw2Cyy-mry5gbC8ypIR3YVGFfEpyFESummAta6sg/edit"", ""Sheet1!B:D""), 2, FALSE), ""Not Found"")"),"ʤinz")</f>
        <v>ʤinz</v>
      </c>
      <c r="E2329" s="2" t="str">
        <f>IFERROR(__xludf.DUMMYFUNCTION("IFERROR(VLOOKUP(A2329, IMPORTRANGE(""https://docs.google.com/spreadsheets/d/1-3Vjw2Cyy-mry5gbC8ypIR3YVGFfEpyFESummAta6sg/edit"", ""Sheet1!B:D""), 3, FALSE), ""Not Found"")"),"ʤ i n z ")</f>
        <v>ʤ i n z </v>
      </c>
    </row>
    <row r="2330">
      <c r="A2330" s="1" t="s">
        <v>2333</v>
      </c>
      <c r="B2330" s="1" t="s">
        <v>5</v>
      </c>
      <c r="C2330" s="2">
        <f>IFERROR(__xludf.DUMMYFUNCTION("IFERROR(VLOOKUP(A2330, IMPORTRANGE(""https://docs.google.com/spreadsheets/d/1AVX9GT0dgogEBStecCXMMQ29tWz3gBrtNB8yIromXbY/edit?gid=741673867"", ""out1g!A:B""), 2, FALSE), 0)"),49.0)</f>
        <v>49</v>
      </c>
      <c r="D2330" s="2" t="str">
        <f>IFERROR(__xludf.DUMMYFUNCTION("IFERROR(VLOOKUP(A2330, IMPORTRANGE(""https://docs.google.com/spreadsheets/d/1-3Vjw2Cyy-mry5gbC8ypIR3YVGFfEpyFESummAta6sg/edit"", ""Sheet1!B:D""), 2, FALSE), ""Not Found"")"),"jərn")</f>
        <v>jərn</v>
      </c>
      <c r="E2330" s="2" t="str">
        <f>IFERROR(__xludf.DUMMYFUNCTION("IFERROR(VLOOKUP(A2330, IMPORTRANGE(""https://docs.google.com/spreadsheets/d/1-3Vjw2Cyy-mry5gbC8ypIR3YVGFfEpyFESummAta6sg/edit"", ""Sheet1!B:D""), 3, FALSE), ""Not Found"")"),"j ə r n ")</f>
        <v>j ə r n </v>
      </c>
    </row>
    <row r="2331">
      <c r="A2331" s="1" t="s">
        <v>2334</v>
      </c>
      <c r="B2331" s="1" t="s">
        <v>5</v>
      </c>
      <c r="C2331" s="2">
        <f>IFERROR(__xludf.DUMMYFUNCTION("IFERROR(VLOOKUP(A2331, IMPORTRANGE(""https://docs.google.com/spreadsheets/d/1AVX9GT0dgogEBStecCXMMQ29tWz3gBrtNB8yIromXbY/edit?gid=741673867"", ""out1g!A:B""), 2, FALSE), 0)"),1263.0)</f>
        <v>1263</v>
      </c>
      <c r="D2331" s="2" t="str">
        <f>IFERROR(__xludf.DUMMYFUNCTION("IFERROR(VLOOKUP(A2331, IMPORTRANGE(""https://docs.google.com/spreadsheets/d/1-3Vjw2Cyy-mry5gbC8ypIR3YVGFfEpyFESummAta6sg/edit"", ""Sheet1!B:D""), 2, FALSE), ""Not Found"")"),"dək")</f>
        <v>dək</v>
      </c>
      <c r="E2331" s="2" t="str">
        <f>IFERROR(__xludf.DUMMYFUNCTION("IFERROR(VLOOKUP(A2331, IMPORTRANGE(""https://docs.google.com/spreadsheets/d/1-3Vjw2Cyy-mry5gbC8ypIR3YVGFfEpyFESummAta6sg/edit"", ""Sheet1!B:D""), 3, FALSE), ""Not Found"")"),"d ə k ")</f>
        <v>d ə k </v>
      </c>
    </row>
    <row r="2332">
      <c r="A2332" s="1" t="s">
        <v>2335</v>
      </c>
      <c r="B2332" s="1" t="s">
        <v>5</v>
      </c>
      <c r="C2332" s="2">
        <f>IFERROR(__xludf.DUMMYFUNCTION("IFERROR(VLOOKUP(A2332, IMPORTRANGE(""https://docs.google.com/spreadsheets/d/1AVX9GT0dgogEBStecCXMMQ29tWz3gBrtNB8yIromXbY/edit?gid=741673867"", ""out1g!A:B""), 2, FALSE), 0)"),10990.0)</f>
        <v>10990</v>
      </c>
      <c r="D2332" s="2" t="str">
        <f>IFERROR(__xludf.DUMMYFUNCTION("IFERROR(VLOOKUP(A2332, IMPORTRANGE(""https://docs.google.com/spreadsheets/d/1-3Vjw2Cyy-mry5gbC8ypIR3YVGFfEpyFESummAta6sg/edit"", ""Sheet1!B:D""), 2, FALSE), ""Not Found"")"),"faɪər")</f>
        <v>faɪər</v>
      </c>
      <c r="E2332" s="2" t="str">
        <f>IFERROR(__xludf.DUMMYFUNCTION("IFERROR(VLOOKUP(A2332, IMPORTRANGE(""https://docs.google.com/spreadsheets/d/1-3Vjw2Cyy-mry5gbC8ypIR3YVGFfEpyFESummAta6sg/edit"", ""Sheet1!B:D""), 3, FALSE), ""Not Found"")"),"f a ɪ ə r ")</f>
        <v>f a ɪ ə r </v>
      </c>
    </row>
    <row r="2333">
      <c r="A2333" s="1" t="s">
        <v>2336</v>
      </c>
      <c r="B2333" s="1" t="s">
        <v>5</v>
      </c>
      <c r="C2333" s="2">
        <f>IFERROR(__xludf.DUMMYFUNCTION("IFERROR(VLOOKUP(A2333, IMPORTRANGE(""https://docs.google.com/spreadsheets/d/1AVX9GT0dgogEBStecCXMMQ29tWz3gBrtNB8yIromXbY/edit?gid=741673867"", ""out1g!A:B""), 2, FALSE), 0)"),10.0)</f>
        <v>10</v>
      </c>
      <c r="D2333" s="2" t="str">
        <f>IFERROR(__xludf.DUMMYFUNCTION("IFERROR(VLOOKUP(A2333, IMPORTRANGE(""https://docs.google.com/spreadsheets/d/1-3Vjw2Cyy-mry5gbC8ypIR3YVGFfEpyFESummAta6sg/edit"", ""Sheet1!B:D""), 2, FALSE), ""Not Found"")"),"kliv")</f>
        <v>kliv</v>
      </c>
      <c r="E2333" s="2" t="str">
        <f>IFERROR(__xludf.DUMMYFUNCTION("IFERROR(VLOOKUP(A2333, IMPORTRANGE(""https://docs.google.com/spreadsheets/d/1-3Vjw2Cyy-mry5gbC8ypIR3YVGFfEpyFESummAta6sg/edit"", ""Sheet1!B:D""), 3, FALSE), ""Not Found"")"),"k l i v ")</f>
        <v>k l i v </v>
      </c>
    </row>
    <row r="2334">
      <c r="A2334" s="1" t="s">
        <v>2337</v>
      </c>
      <c r="B2334" s="1" t="s">
        <v>5</v>
      </c>
      <c r="C2334" s="2">
        <f>IFERROR(__xludf.DUMMYFUNCTION("IFERROR(VLOOKUP(A2334, IMPORTRANGE(""https://docs.google.com/spreadsheets/d/1AVX9GT0dgogEBStecCXMMQ29tWz3gBrtNB8yIromXbY/edit?gid=741673867"", ""out1g!A:B""), 2, FALSE), 0)"),49.0)</f>
        <v>49</v>
      </c>
      <c r="D2334" s="2" t="str">
        <f>IFERROR(__xludf.DUMMYFUNCTION("IFERROR(VLOOKUP(A2334, IMPORTRANGE(""https://docs.google.com/spreadsheets/d/1-3Vjw2Cyy-mry5gbC8ypIR3YVGFfEpyFESummAta6sg/edit"", ""Sheet1!B:D""), 2, FALSE), ""Not Found"")"),"doʊl")</f>
        <v>doʊl</v>
      </c>
      <c r="E2334" s="2" t="str">
        <f>IFERROR(__xludf.DUMMYFUNCTION("IFERROR(VLOOKUP(A2334, IMPORTRANGE(""https://docs.google.com/spreadsheets/d/1-3Vjw2Cyy-mry5gbC8ypIR3YVGFfEpyFESummAta6sg/edit"", ""Sheet1!B:D""), 3, FALSE), ""Not Found"")"),"d o ʊ l ")</f>
        <v>d o ʊ l </v>
      </c>
    </row>
    <row r="2335">
      <c r="A2335" s="1" t="s">
        <v>2338</v>
      </c>
      <c r="B2335" s="1" t="s">
        <v>5</v>
      </c>
      <c r="C2335" s="2">
        <f>IFERROR(__xludf.DUMMYFUNCTION("IFERROR(VLOOKUP(A2335, IMPORTRANGE(""https://docs.google.com/spreadsheets/d/1AVX9GT0dgogEBStecCXMMQ29tWz3gBrtNB8yIromXbY/edit?gid=741673867"", ""out1g!A:B""), 2, FALSE), 0)"),419.0)</f>
        <v>419</v>
      </c>
      <c r="D2335" s="2" t="str">
        <f>IFERROR(__xludf.DUMMYFUNCTION("IFERROR(VLOOKUP(A2335, IMPORTRANGE(""https://docs.google.com/spreadsheets/d/1-3Vjw2Cyy-mry5gbC8ypIR3YVGFfEpyFESummAta6sg/edit"", ""Sheet1!B:D""), 2, FALSE), ""Not Found"")"),"sæŋ")</f>
        <v>sæŋ</v>
      </c>
      <c r="E2335" s="2" t="str">
        <f>IFERROR(__xludf.DUMMYFUNCTION("IFERROR(VLOOKUP(A2335, IMPORTRANGE(""https://docs.google.com/spreadsheets/d/1-3Vjw2Cyy-mry5gbC8ypIR3YVGFfEpyFESummAta6sg/edit"", ""Sheet1!B:D""), 3, FALSE), ""Not Found"")"),"s æ ŋ ")</f>
        <v>s æ ŋ </v>
      </c>
    </row>
    <row r="2336">
      <c r="A2336" s="1" t="s">
        <v>2339</v>
      </c>
      <c r="B2336" s="1" t="s">
        <v>5</v>
      </c>
      <c r="C2336" s="2">
        <f>IFERROR(__xludf.DUMMYFUNCTION("IFERROR(VLOOKUP(A2336, IMPORTRANGE(""https://docs.google.com/spreadsheets/d/1AVX9GT0dgogEBStecCXMMQ29tWz3gBrtNB8yIromXbY/edit?gid=741673867"", ""out1g!A:B""), 2, FALSE), 0)"),12063.0)</f>
        <v>12063</v>
      </c>
      <c r="D2336" s="2" t="str">
        <f>IFERROR(__xludf.DUMMYFUNCTION("IFERROR(VLOOKUP(A2336, IMPORTRANGE(""https://docs.google.com/spreadsheets/d/1-3Vjw2Cyy-mry5gbC8ypIR3YVGFfEpyFESummAta6sg/edit"", ""Sheet1!B:D""), 2, FALSE), ""Not Found"")"),"pɔɪnt")</f>
        <v>pɔɪnt</v>
      </c>
      <c r="E2336" s="2" t="str">
        <f>IFERROR(__xludf.DUMMYFUNCTION("IFERROR(VLOOKUP(A2336, IMPORTRANGE(""https://docs.google.com/spreadsheets/d/1-3Vjw2Cyy-mry5gbC8ypIR3YVGFfEpyFESummAta6sg/edit"", ""Sheet1!B:D""), 3, FALSE), ""Not Found"")"),"p ɔ ɪ n t ")</f>
        <v>p ɔ ɪ n t </v>
      </c>
    </row>
    <row r="2337">
      <c r="A2337" s="1" t="s">
        <v>2340</v>
      </c>
      <c r="B2337" s="1" t="s">
        <v>5</v>
      </c>
      <c r="C2337" s="2">
        <f>IFERROR(__xludf.DUMMYFUNCTION("IFERROR(VLOOKUP(A2337, IMPORTRANGE(""https://docs.google.com/spreadsheets/d/1AVX9GT0dgogEBStecCXMMQ29tWz3gBrtNB8yIromXbY/edit?gid=741673867"", ""out1g!A:B""), 2, FALSE), 0)"),388.0)</f>
        <v>388</v>
      </c>
      <c r="D2337" s="2" t="str">
        <f>IFERROR(__xludf.DUMMYFUNCTION("IFERROR(VLOOKUP(A2337, IMPORTRANGE(""https://docs.google.com/spreadsheets/d/1-3Vjw2Cyy-mry5gbC8ypIR3YVGFfEpyFESummAta6sg/edit"", ""Sheet1!B:D""), 2, FALSE), ""Not Found"")"),"bɪlif")</f>
        <v>bɪlif</v>
      </c>
      <c r="E2337" s="2" t="str">
        <f>IFERROR(__xludf.DUMMYFUNCTION("IFERROR(VLOOKUP(A2337, IMPORTRANGE(""https://docs.google.com/spreadsheets/d/1-3Vjw2Cyy-mry5gbC8ypIR3YVGFfEpyFESummAta6sg/edit"", ""Sheet1!B:D""), 3, FALSE), ""Not Found"")"),"b ɪ l i f ")</f>
        <v>b ɪ l i f </v>
      </c>
    </row>
    <row r="2338">
      <c r="A2338" s="1" t="s">
        <v>2341</v>
      </c>
      <c r="B2338" s="1" t="s">
        <v>5</v>
      </c>
      <c r="C2338" s="2">
        <f>IFERROR(__xludf.DUMMYFUNCTION("IFERROR(VLOOKUP(A2338, IMPORTRANGE(""https://docs.google.com/spreadsheets/d/1AVX9GT0dgogEBStecCXMMQ29tWz3gBrtNB8yIromXbY/edit?gid=741673867"", ""out1g!A:B""), 2, FALSE), 0)"),1403.0)</f>
        <v>1403</v>
      </c>
      <c r="D2338" s="2" t="str">
        <f>IFERROR(__xludf.DUMMYFUNCTION("IFERROR(VLOOKUP(A2338, IMPORTRANGE(""https://docs.google.com/spreadsheets/d/1-3Vjw2Cyy-mry5gbC8ypIR3YVGFfEpyFESummAta6sg/edit"", ""Sheet1!B:D""), 2, FALSE), ""Not Found"")"),"waɪər")</f>
        <v>waɪər</v>
      </c>
      <c r="E2338" s="2" t="str">
        <f>IFERROR(__xludf.DUMMYFUNCTION("IFERROR(VLOOKUP(A2338, IMPORTRANGE(""https://docs.google.com/spreadsheets/d/1-3Vjw2Cyy-mry5gbC8ypIR3YVGFfEpyFESummAta6sg/edit"", ""Sheet1!B:D""), 3, FALSE), ""Not Found"")"),"w a ɪ ə r ")</f>
        <v>w a ɪ ə r </v>
      </c>
    </row>
    <row r="2339">
      <c r="A2339" s="1" t="s">
        <v>2342</v>
      </c>
      <c r="B2339" s="1" t="s">
        <v>5</v>
      </c>
      <c r="C2339" s="2">
        <f>IFERROR(__xludf.DUMMYFUNCTION("IFERROR(VLOOKUP(A2339, IMPORTRANGE(""https://docs.google.com/spreadsheets/d/1AVX9GT0dgogEBStecCXMMQ29tWz3gBrtNB8yIromXbY/edit?gid=741673867"", ""out1g!A:B""), 2, FALSE), 0)"),1525.0)</f>
        <v>1525</v>
      </c>
      <c r="D2339" s="2" t="str">
        <f>IFERROR(__xludf.DUMMYFUNCTION("IFERROR(VLOOKUP(A2339, IMPORTRANGE(""https://docs.google.com/spreadsheets/d/1-3Vjw2Cyy-mry5gbC8ypIR3YVGFfEpyFESummAta6sg/edit"", ""Sheet1!B:D""), 2, FALSE), ""Not Found"")"),"gɑʃ")</f>
        <v>gɑʃ</v>
      </c>
      <c r="E2339" s="2" t="str">
        <f>IFERROR(__xludf.DUMMYFUNCTION("IFERROR(VLOOKUP(A2339, IMPORTRANGE(""https://docs.google.com/spreadsheets/d/1-3Vjw2Cyy-mry5gbC8ypIR3YVGFfEpyFESummAta6sg/edit"", ""Sheet1!B:D""), 3, FALSE), ""Not Found"")"),"g ɑ ʃ ")</f>
        <v>g ɑ ʃ </v>
      </c>
    </row>
    <row r="2340">
      <c r="A2340" s="1" t="s">
        <v>2343</v>
      </c>
      <c r="B2340" s="1" t="s">
        <v>5</v>
      </c>
      <c r="C2340" s="2">
        <f>IFERROR(__xludf.DUMMYFUNCTION("IFERROR(VLOOKUP(A2340, IMPORTRANGE(""https://docs.google.com/spreadsheets/d/1AVX9GT0dgogEBStecCXMMQ29tWz3gBrtNB8yIromXbY/edit?gid=741673867"", ""out1g!A:B""), 2, FALSE), 0)"),41.0)</f>
        <v>41</v>
      </c>
      <c r="D2340" s="2" t="str">
        <f>IFERROR(__xludf.DUMMYFUNCTION("IFERROR(VLOOKUP(A2340, IMPORTRANGE(""https://docs.google.com/spreadsheets/d/1-3Vjw2Cyy-mry5gbC8ypIR3YVGFfEpyFESummAta6sg/edit"", ""Sheet1!B:D""), 2, FALSE), ""Not Found"")"),"glɪb")</f>
        <v>glɪb</v>
      </c>
      <c r="E2340" s="2" t="str">
        <f>IFERROR(__xludf.DUMMYFUNCTION("IFERROR(VLOOKUP(A2340, IMPORTRANGE(""https://docs.google.com/spreadsheets/d/1-3Vjw2Cyy-mry5gbC8ypIR3YVGFfEpyFESummAta6sg/edit"", ""Sheet1!B:D""), 3, FALSE), ""Not Found"")"),"g l ɪ b ")</f>
        <v>g l ɪ b </v>
      </c>
    </row>
    <row r="2341">
      <c r="A2341" s="1" t="s">
        <v>2344</v>
      </c>
      <c r="B2341" s="1" t="s">
        <v>5</v>
      </c>
      <c r="C2341" s="2">
        <f>IFERROR(__xludf.DUMMYFUNCTION("IFERROR(VLOOKUP(A2341, IMPORTRANGE(""https://docs.google.com/spreadsheets/d/1AVX9GT0dgogEBStecCXMMQ29tWz3gBrtNB8yIromXbY/edit?gid=741673867"", ""out1g!A:B""), 2, FALSE), 0)"),47.0)</f>
        <v>47</v>
      </c>
      <c r="D2341" s="2" t="str">
        <f>IFERROR(__xludf.DUMMYFUNCTION("IFERROR(VLOOKUP(A2341, IMPORTRANGE(""https://docs.google.com/spreadsheets/d/1-3Vjw2Cyy-mry5gbC8ypIR3YVGFfEpyFESummAta6sg/edit"", ""Sheet1!B:D""), 2, FALSE), ""Not Found"")"),"lɑts")</f>
        <v>lɑts</v>
      </c>
      <c r="E2341" s="2" t="str">
        <f>IFERROR(__xludf.DUMMYFUNCTION("IFERROR(VLOOKUP(A2341, IMPORTRANGE(""https://docs.google.com/spreadsheets/d/1-3Vjw2Cyy-mry5gbC8ypIR3YVGFfEpyFESummAta6sg/edit"", ""Sheet1!B:D""), 3, FALSE), ""Not Found"")"),"l ɑ t s ")</f>
        <v>l ɑ t s </v>
      </c>
    </row>
    <row r="2342">
      <c r="A2342" s="1" t="s">
        <v>2345</v>
      </c>
      <c r="B2342" s="1" t="s">
        <v>5</v>
      </c>
      <c r="C2342" s="2">
        <f>IFERROR(__xludf.DUMMYFUNCTION("IFERROR(VLOOKUP(A2342, IMPORTRANGE(""https://docs.google.com/spreadsheets/d/1AVX9GT0dgogEBStecCXMMQ29tWz3gBrtNB8yIromXbY/edit?gid=741673867"", ""out1g!A:B""), 2, FALSE), 0)"),69.0)</f>
        <v>69</v>
      </c>
      <c r="D2342" s="2" t="str">
        <f>IFERROR(__xludf.DUMMYFUNCTION("IFERROR(VLOOKUP(A2342, IMPORTRANGE(""https://docs.google.com/spreadsheets/d/1-3Vjw2Cyy-mry5gbC8ypIR3YVGFfEpyFESummAta6sg/edit"", ""Sheet1!B:D""), 2, FALSE), ""Not Found"")"),"hoʊli")</f>
        <v>hoʊli</v>
      </c>
      <c r="E2342" s="2" t="str">
        <f>IFERROR(__xludf.DUMMYFUNCTION("IFERROR(VLOOKUP(A2342, IMPORTRANGE(""https://docs.google.com/spreadsheets/d/1-3Vjw2Cyy-mry5gbC8ypIR3YVGFfEpyFESummAta6sg/edit"", ""Sheet1!B:D""), 3, FALSE), ""Not Found"")"),"h o ʊ l i ")</f>
        <v>h o ʊ l i </v>
      </c>
    </row>
    <row r="2343">
      <c r="A2343" s="1" t="s">
        <v>2346</v>
      </c>
      <c r="B2343" s="1" t="s">
        <v>5</v>
      </c>
      <c r="C2343" s="2">
        <f>IFERROR(__xludf.DUMMYFUNCTION("IFERROR(VLOOKUP(A2343, IMPORTRANGE(""https://docs.google.com/spreadsheets/d/1AVX9GT0dgogEBStecCXMMQ29tWz3gBrtNB8yIromXbY/edit?gid=741673867"", ""out1g!A:B""), 2, FALSE), 0)"),23090.0)</f>
        <v>23090</v>
      </c>
      <c r="D2343" s="2" t="str">
        <f>IFERROR(__xludf.DUMMYFUNCTION("IFERROR(VLOOKUP(A2343, IMPORTRANGE(""https://docs.google.com/spreadsheets/d/1-3Vjw2Cyy-mry5gbC8ypIR3YVGFfEpyFESummAta6sg/edit"", ""Sheet1!B:D""), 2, FALSE), ""Not Found"")"),"nɛkst")</f>
        <v>nɛkst</v>
      </c>
      <c r="E2343" s="2" t="str">
        <f>IFERROR(__xludf.DUMMYFUNCTION("IFERROR(VLOOKUP(A2343, IMPORTRANGE(""https://docs.google.com/spreadsheets/d/1-3Vjw2Cyy-mry5gbC8ypIR3YVGFfEpyFESummAta6sg/edit"", ""Sheet1!B:D""), 3, FALSE), ""Not Found"")"),"n ɛ k s t ")</f>
        <v>n ɛ k s t </v>
      </c>
    </row>
    <row r="2344">
      <c r="A2344" s="1" t="s">
        <v>2347</v>
      </c>
      <c r="B2344" s="1" t="s">
        <v>5</v>
      </c>
      <c r="C2344" s="2">
        <f>IFERROR(__xludf.DUMMYFUNCTION("IFERROR(VLOOKUP(A2344, IMPORTRANGE(""https://docs.google.com/spreadsheets/d/1AVX9GT0dgogEBStecCXMMQ29tWz3gBrtNB8yIromXbY/edit?gid=741673867"", ""out1g!A:B""), 2, FALSE), 0)"),590439.0)</f>
        <v>590439</v>
      </c>
      <c r="D2344" s="2" t="str">
        <f>IFERROR(__xludf.DUMMYFUNCTION("IFERROR(VLOOKUP(A2344, IMPORTRANGE(""https://docs.google.com/spreadsheets/d/1-3Vjw2Cyy-mry5gbC8ypIR3YVGFfEpyFESummAta6sg/edit"", ""Sheet1!B:D""), 2, FALSE), ""Not Found"")"),"əv")</f>
        <v>əv</v>
      </c>
      <c r="E2344" s="2" t="str">
        <f>IFERROR(__xludf.DUMMYFUNCTION("IFERROR(VLOOKUP(A2344, IMPORTRANGE(""https://docs.google.com/spreadsheets/d/1-3Vjw2Cyy-mry5gbC8ypIR3YVGFfEpyFESummAta6sg/edit"", ""Sheet1!B:D""), 3, FALSE), ""Not Found"")"),"ə v ")</f>
        <v>ə v </v>
      </c>
    </row>
    <row r="2345">
      <c r="A2345" s="1" t="s">
        <v>2348</v>
      </c>
      <c r="B2345" s="1" t="s">
        <v>5</v>
      </c>
      <c r="C2345" s="2">
        <f>IFERROR(__xludf.DUMMYFUNCTION("IFERROR(VLOOKUP(A2345, IMPORTRANGE(""https://docs.google.com/spreadsheets/d/1AVX9GT0dgogEBStecCXMMQ29tWz3gBrtNB8yIromXbY/edit?gid=741673867"", ""out1g!A:B""), 2, FALSE), 0)"),319.0)</f>
        <v>319</v>
      </c>
      <c r="D2345" s="2" t="str">
        <f>IFERROR(__xludf.DUMMYFUNCTION("IFERROR(VLOOKUP(A2345, IMPORTRANGE(""https://docs.google.com/spreadsheets/d/1-3Vjw2Cyy-mry5gbC8ypIR3YVGFfEpyFESummAta6sg/edit"", ""Sheet1!B:D""), 2, FALSE), ""Not Found"")"),"sərvz")</f>
        <v>sərvz</v>
      </c>
      <c r="E2345" s="2" t="str">
        <f>IFERROR(__xludf.DUMMYFUNCTION("IFERROR(VLOOKUP(A2345, IMPORTRANGE(""https://docs.google.com/spreadsheets/d/1-3Vjw2Cyy-mry5gbC8ypIR3YVGFfEpyFESummAta6sg/edit"", ""Sheet1!B:D""), 3, FALSE), ""Not Found"")"),"s ə r v z ")</f>
        <v>s ə r v z </v>
      </c>
    </row>
    <row r="2346">
      <c r="A2346" s="1" t="s">
        <v>2349</v>
      </c>
      <c r="B2346" s="1" t="s">
        <v>5</v>
      </c>
      <c r="C2346" s="2">
        <f>IFERROR(__xludf.DUMMYFUNCTION("IFERROR(VLOOKUP(A2346, IMPORTRANGE(""https://docs.google.com/spreadsheets/d/1AVX9GT0dgogEBStecCXMMQ29tWz3gBrtNB8yIromXbY/edit?gid=741673867"", ""out1g!A:B""), 2, FALSE), 0)"),115.0)</f>
        <v>115</v>
      </c>
      <c r="D2346" s="2" t="str">
        <f>IFERROR(__xludf.DUMMYFUNCTION("IFERROR(VLOOKUP(A2346, IMPORTRANGE(""https://docs.google.com/spreadsheets/d/1-3Vjw2Cyy-mry5gbC8ypIR3YVGFfEpyFESummAta6sg/edit"", ""Sheet1!B:D""), 2, FALSE), ""Not Found"")"),"nɪtɪŋ")</f>
        <v>nɪtɪŋ</v>
      </c>
      <c r="E2346" s="2" t="str">
        <f>IFERROR(__xludf.DUMMYFUNCTION("IFERROR(VLOOKUP(A2346, IMPORTRANGE(""https://docs.google.com/spreadsheets/d/1-3Vjw2Cyy-mry5gbC8ypIR3YVGFfEpyFESummAta6sg/edit"", ""Sheet1!B:D""), 3, FALSE), ""Not Found"")"),"n ɪ t ɪ ŋ ")</f>
        <v>n ɪ t ɪ ŋ </v>
      </c>
    </row>
    <row r="2347">
      <c r="A2347" s="1" t="s">
        <v>2350</v>
      </c>
      <c r="B2347" s="1" t="s">
        <v>5</v>
      </c>
      <c r="C2347" s="2">
        <f>IFERROR(__xludf.DUMMYFUNCTION("IFERROR(VLOOKUP(A2347, IMPORTRANGE(""https://docs.google.com/spreadsheets/d/1AVX9GT0dgogEBStecCXMMQ29tWz3gBrtNB8yIromXbY/edit?gid=741673867"", ""out1g!A:B""), 2, FALSE), 0)"),209.0)</f>
        <v>209</v>
      </c>
      <c r="D2347" s="2" t="str">
        <f>IFERROR(__xludf.DUMMYFUNCTION("IFERROR(VLOOKUP(A2347, IMPORTRANGE(""https://docs.google.com/spreadsheets/d/1-3Vjw2Cyy-mry5gbC8ypIR3YVGFfEpyFESummAta6sg/edit"", ""Sheet1!B:D""), 2, FALSE), ""Not Found"")"),"gɪvɪn")</f>
        <v>gɪvɪn</v>
      </c>
      <c r="E2347" s="2" t="str">
        <f>IFERROR(__xludf.DUMMYFUNCTION("IFERROR(VLOOKUP(A2347, IMPORTRANGE(""https://docs.google.com/spreadsheets/d/1-3Vjw2Cyy-mry5gbC8ypIR3YVGFfEpyFESummAta6sg/edit"", ""Sheet1!B:D""), 3, FALSE), ""Not Found"")"),"g ɪ v ɪ n ")</f>
        <v>g ɪ v ɪ n </v>
      </c>
    </row>
    <row r="2348">
      <c r="A2348" s="1" t="s">
        <v>2351</v>
      </c>
      <c r="B2348" s="1" t="s">
        <v>5</v>
      </c>
      <c r="C2348" s="2">
        <f>IFERROR(__xludf.DUMMYFUNCTION("IFERROR(VLOOKUP(A2348, IMPORTRANGE(""https://docs.google.com/spreadsheets/d/1AVX9GT0dgogEBStecCXMMQ29tWz3gBrtNB8yIromXbY/edit?gid=741673867"", ""out1g!A:B""), 2, FALSE), 0)"),58.0)</f>
        <v>58</v>
      </c>
      <c r="D2348" s="2" t="str">
        <f>IFERROR(__xludf.DUMMYFUNCTION("IFERROR(VLOOKUP(A2348, IMPORTRANGE(""https://docs.google.com/spreadsheets/d/1-3Vjw2Cyy-mry5gbC8ypIR3YVGFfEpyFESummAta6sg/edit"", ""Sheet1!B:D""), 2, FALSE), ""Not Found"")"),"grezɪŋ")</f>
        <v>grezɪŋ</v>
      </c>
      <c r="E2348" s="2" t="str">
        <f>IFERROR(__xludf.DUMMYFUNCTION("IFERROR(VLOOKUP(A2348, IMPORTRANGE(""https://docs.google.com/spreadsheets/d/1-3Vjw2Cyy-mry5gbC8ypIR3YVGFfEpyFESummAta6sg/edit"", ""Sheet1!B:D""), 3, FALSE), ""Not Found"")"),"g r e z ɪ ŋ ")</f>
        <v>g r e z ɪ ŋ </v>
      </c>
    </row>
    <row r="2349">
      <c r="A2349" s="1" t="s">
        <v>2352</v>
      </c>
      <c r="B2349" s="1" t="s">
        <v>5</v>
      </c>
      <c r="C2349" s="2">
        <f>IFERROR(__xludf.DUMMYFUNCTION("IFERROR(VLOOKUP(A2349, IMPORTRANGE(""https://docs.google.com/spreadsheets/d/1AVX9GT0dgogEBStecCXMMQ29tWz3gBrtNB8yIromXbY/edit?gid=741673867"", ""out1g!A:B""), 2, FALSE), 0)"),1967.0)</f>
        <v>1967</v>
      </c>
      <c r="D2349" s="2" t="str">
        <f>IFERROR(__xludf.DUMMYFUNCTION("IFERROR(VLOOKUP(A2349, IMPORTRANGE(""https://docs.google.com/spreadsheets/d/1-3Vjw2Cyy-mry5gbC8ypIR3YVGFfEpyFESummAta6sg/edit"", ""Sheet1!B:D""), 2, FALSE), ""Not Found"")"),"bət")</f>
        <v>bət</v>
      </c>
      <c r="E2349" s="2" t="str">
        <f>IFERROR(__xludf.DUMMYFUNCTION("IFERROR(VLOOKUP(A2349, IMPORTRANGE(""https://docs.google.com/spreadsheets/d/1-3Vjw2Cyy-mry5gbC8ypIR3YVGFfEpyFESummAta6sg/edit"", ""Sheet1!B:D""), 3, FALSE), ""Not Found"")"),"b ə t ")</f>
        <v>b ə t </v>
      </c>
    </row>
    <row r="2350">
      <c r="A2350" s="1" t="s">
        <v>2353</v>
      </c>
      <c r="B2350" s="1" t="s">
        <v>5</v>
      </c>
      <c r="C2350" s="2">
        <f>IFERROR(__xludf.DUMMYFUNCTION("IFERROR(VLOOKUP(A2350, IMPORTRANGE(""https://docs.google.com/spreadsheets/d/1AVX9GT0dgogEBStecCXMMQ29tWz3gBrtNB8yIromXbY/edit?gid=741673867"", ""out1g!A:B""), 2, FALSE), 0)"),354.0)</f>
        <v>354</v>
      </c>
      <c r="D2350" s="2" t="str">
        <f>IFERROR(__xludf.DUMMYFUNCTION("IFERROR(VLOOKUP(A2350, IMPORTRANGE(""https://docs.google.com/spreadsheets/d/1-3Vjw2Cyy-mry5gbC8ypIR3YVGFfEpyFESummAta6sg/edit"", ""Sheet1!B:D""), 2, FALSE), ""Not Found"")"),"sətəl")</f>
        <v>sətəl</v>
      </c>
      <c r="E2350" s="2" t="str">
        <f>IFERROR(__xludf.DUMMYFUNCTION("IFERROR(VLOOKUP(A2350, IMPORTRANGE(""https://docs.google.com/spreadsheets/d/1-3Vjw2Cyy-mry5gbC8ypIR3YVGFfEpyFESummAta6sg/edit"", ""Sheet1!B:D""), 3, FALSE), ""Not Found"")"),"s ə t ə l ")</f>
        <v>s ə t ə l </v>
      </c>
    </row>
    <row r="2351">
      <c r="A2351" s="1" t="s">
        <v>2354</v>
      </c>
      <c r="B2351" s="1" t="s">
        <v>5</v>
      </c>
      <c r="C2351" s="2">
        <f>IFERROR(__xludf.DUMMYFUNCTION("IFERROR(VLOOKUP(A2351, IMPORTRANGE(""https://docs.google.com/spreadsheets/d/1AVX9GT0dgogEBStecCXMMQ29tWz3gBrtNB8yIromXbY/edit?gid=741673867"", ""out1g!A:B""), 2, FALSE), 0)"),54.0)</f>
        <v>54</v>
      </c>
      <c r="D2351" s="2" t="str">
        <f>IFERROR(__xludf.DUMMYFUNCTION("IFERROR(VLOOKUP(A2351, IMPORTRANGE(""https://docs.google.com/spreadsheets/d/1-3Vjw2Cyy-mry5gbC8ypIR3YVGFfEpyFESummAta6sg/edit"", ""Sheet1!B:D""), 2, FALSE), ""Not Found"")"),"straʊd")</f>
        <v>straʊd</v>
      </c>
      <c r="E2351" s="2" t="str">
        <f>IFERROR(__xludf.DUMMYFUNCTION("IFERROR(VLOOKUP(A2351, IMPORTRANGE(""https://docs.google.com/spreadsheets/d/1-3Vjw2Cyy-mry5gbC8ypIR3YVGFfEpyFESummAta6sg/edit"", ""Sheet1!B:D""), 3, FALSE), ""Not Found"")"),"s t r a ʊ d ")</f>
        <v>s t r a ʊ d </v>
      </c>
    </row>
    <row r="2352">
      <c r="A2352" s="1" t="s">
        <v>2355</v>
      </c>
      <c r="B2352" s="1" t="s">
        <v>5</v>
      </c>
      <c r="C2352" s="2">
        <f>IFERROR(__xludf.DUMMYFUNCTION("IFERROR(VLOOKUP(A2352, IMPORTRANGE(""https://docs.google.com/spreadsheets/d/1AVX9GT0dgogEBStecCXMMQ29tWz3gBrtNB8yIromXbY/edit?gid=741673867"", ""out1g!A:B""), 2, FALSE), 0)"),139.0)</f>
        <v>139</v>
      </c>
      <c r="D2352" s="2" t="str">
        <f>IFERROR(__xludf.DUMMYFUNCTION("IFERROR(VLOOKUP(A2352, IMPORTRANGE(""https://docs.google.com/spreadsheets/d/1-3Vjw2Cyy-mry5gbC8ypIR3YVGFfEpyFESummAta6sg/edit"", ""Sheet1!B:D""), 2, FALSE), ""Not Found"")"),"tɑd")</f>
        <v>tɑd</v>
      </c>
      <c r="E2352" s="2" t="str">
        <f>IFERROR(__xludf.DUMMYFUNCTION("IFERROR(VLOOKUP(A2352, IMPORTRANGE(""https://docs.google.com/spreadsheets/d/1-3Vjw2Cyy-mry5gbC8ypIR3YVGFfEpyFESummAta6sg/edit"", ""Sheet1!B:D""), 3, FALSE), ""Not Found"")"),"t ɑ d ")</f>
        <v>t ɑ d </v>
      </c>
    </row>
    <row r="2353">
      <c r="A2353" s="1" t="s">
        <v>2356</v>
      </c>
      <c r="B2353" s="1" t="s">
        <v>5</v>
      </c>
      <c r="C2353" s="2">
        <f>IFERROR(__xludf.DUMMYFUNCTION("IFERROR(VLOOKUP(A2353, IMPORTRANGE(""https://docs.google.com/spreadsheets/d/1AVX9GT0dgogEBStecCXMMQ29tWz3gBrtNB8yIromXbY/edit?gid=741673867"", ""out1g!A:B""), 2, FALSE), 0)"),134.0)</f>
        <v>134</v>
      </c>
      <c r="D2353" s="2" t="str">
        <f>IFERROR(__xludf.DUMMYFUNCTION("IFERROR(VLOOKUP(A2353, IMPORTRANGE(""https://docs.google.com/spreadsheets/d/1-3Vjw2Cyy-mry5gbC8ypIR3YVGFfEpyFESummAta6sg/edit"", ""Sheet1!B:D""), 2, FALSE), ""Not Found"")"),"ʤəg")</f>
        <v>ʤəg</v>
      </c>
      <c r="E2353" s="2" t="str">
        <f>IFERROR(__xludf.DUMMYFUNCTION("IFERROR(VLOOKUP(A2353, IMPORTRANGE(""https://docs.google.com/spreadsheets/d/1-3Vjw2Cyy-mry5gbC8ypIR3YVGFfEpyFESummAta6sg/edit"", ""Sheet1!B:D""), 3, FALSE), ""Not Found"")"),"ʤ ə g ")</f>
        <v>ʤ ə g </v>
      </c>
    </row>
    <row r="2354">
      <c r="A2354" s="1" t="s">
        <v>2357</v>
      </c>
      <c r="B2354" s="1" t="s">
        <v>5</v>
      </c>
      <c r="C2354" s="2">
        <f>IFERROR(__xludf.DUMMYFUNCTION("IFERROR(VLOOKUP(A2354, IMPORTRANGE(""https://docs.google.com/spreadsheets/d/1AVX9GT0dgogEBStecCXMMQ29tWz3gBrtNB8yIromXbY/edit?gid=741673867"", ""out1g!A:B""), 2, FALSE), 0)"),941.0)</f>
        <v>941</v>
      </c>
      <c r="D2354" s="2" t="str">
        <f>IFERROR(__xludf.DUMMYFUNCTION("IFERROR(VLOOKUP(A2354, IMPORTRANGE(""https://docs.google.com/spreadsheets/d/1-3Vjw2Cyy-mry5gbC8ypIR3YVGFfEpyFESummAta6sg/edit"", ""Sheet1!B:D""), 2, FALSE), ""Not Found"")"),"stil")</f>
        <v>stil</v>
      </c>
      <c r="E2354" s="2" t="str">
        <f>IFERROR(__xludf.DUMMYFUNCTION("IFERROR(VLOOKUP(A2354, IMPORTRANGE(""https://docs.google.com/spreadsheets/d/1-3Vjw2Cyy-mry5gbC8ypIR3YVGFfEpyFESummAta6sg/edit"", ""Sheet1!B:D""), 3, FALSE), ""Not Found"")"),"s t i l ")</f>
        <v>s t i l </v>
      </c>
    </row>
    <row r="2355">
      <c r="A2355" s="1" t="s">
        <v>2358</v>
      </c>
      <c r="B2355" s="1" t="s">
        <v>5</v>
      </c>
      <c r="C2355" s="2">
        <f>IFERROR(__xludf.DUMMYFUNCTION("IFERROR(VLOOKUP(A2355, IMPORTRANGE(""https://docs.google.com/spreadsheets/d/1AVX9GT0dgogEBStecCXMMQ29tWz3gBrtNB8yIromXbY/edit?gid=741673867"", ""out1g!A:B""), 2, FALSE), 0)"),233.0)</f>
        <v>233</v>
      </c>
      <c r="D2355" s="2" t="str">
        <f>IFERROR(__xludf.DUMMYFUNCTION("IFERROR(VLOOKUP(A2355, IMPORTRANGE(""https://docs.google.com/spreadsheets/d/1-3Vjw2Cyy-mry5gbC8ypIR3YVGFfEpyFESummAta6sg/edit"", ""Sheet1!B:D""), 2, FALSE), ""Not Found"")"),"fli")</f>
        <v>fli</v>
      </c>
      <c r="E2355" s="2" t="str">
        <f>IFERROR(__xludf.DUMMYFUNCTION("IFERROR(VLOOKUP(A2355, IMPORTRANGE(""https://docs.google.com/spreadsheets/d/1-3Vjw2Cyy-mry5gbC8ypIR3YVGFfEpyFESummAta6sg/edit"", ""Sheet1!B:D""), 3, FALSE), ""Not Found"")"),"f l i ")</f>
        <v>f l i </v>
      </c>
    </row>
    <row r="2356">
      <c r="A2356" s="1" t="s">
        <v>2359</v>
      </c>
      <c r="B2356" s="1" t="s">
        <v>5</v>
      </c>
      <c r="C2356" s="2">
        <f>IFERROR(__xludf.DUMMYFUNCTION("IFERROR(VLOOKUP(A2356, IMPORTRANGE(""https://docs.google.com/spreadsheets/d/1AVX9GT0dgogEBStecCXMMQ29tWz3gBrtNB8yIromXbY/edit?gid=741673867"", ""out1g!A:B""), 2, FALSE), 0)"),2395.0)</f>
        <v>2395</v>
      </c>
      <c r="D2356" s="2" t="str">
        <f>IFERROR(__xludf.DUMMYFUNCTION("IFERROR(VLOOKUP(A2356, IMPORTRANGE(""https://docs.google.com/spreadsheets/d/1-3Vjw2Cyy-mry5gbC8ypIR3YVGFfEpyFESummAta6sg/edit"", ""Sheet1!B:D""), 2, FALSE), ""Not Found"")"),"dəm")</f>
        <v>dəm</v>
      </c>
      <c r="E2356" s="2" t="str">
        <f>IFERROR(__xludf.DUMMYFUNCTION("IFERROR(VLOOKUP(A2356, IMPORTRANGE(""https://docs.google.com/spreadsheets/d/1-3Vjw2Cyy-mry5gbC8ypIR3YVGFfEpyFESummAta6sg/edit"", ""Sheet1!B:D""), 3, FALSE), ""Not Found"")"),"d ə m ")</f>
        <v>d ə m </v>
      </c>
    </row>
    <row r="2357">
      <c r="A2357" s="1" t="s">
        <v>2360</v>
      </c>
      <c r="B2357" s="1" t="s">
        <v>5</v>
      </c>
      <c r="C2357" s="2">
        <f>IFERROR(__xludf.DUMMYFUNCTION("IFERROR(VLOOKUP(A2357, IMPORTRANGE(""https://docs.google.com/spreadsheets/d/1AVX9GT0dgogEBStecCXMMQ29tWz3gBrtNB8yIromXbY/edit?gid=741673867"", ""out1g!A:B""), 2, FALSE), 0)"),70.0)</f>
        <v>70</v>
      </c>
      <c r="D2357" s="2" t="str">
        <f>IFERROR(__xludf.DUMMYFUNCTION("IFERROR(VLOOKUP(A2357, IMPORTRANGE(""https://docs.google.com/spreadsheets/d/1-3Vjw2Cyy-mry5gbC8ypIR3YVGFfEpyFESummAta6sg/edit"", ""Sheet1!B:D""), 2, FALSE), ""Not Found"")"),"prud")</f>
        <v>prud</v>
      </c>
      <c r="E2357" s="2" t="str">
        <f>IFERROR(__xludf.DUMMYFUNCTION("IFERROR(VLOOKUP(A2357, IMPORTRANGE(""https://docs.google.com/spreadsheets/d/1-3Vjw2Cyy-mry5gbC8ypIR3YVGFfEpyFESummAta6sg/edit"", ""Sheet1!B:D""), 3, FALSE), ""Not Found"")"),"p r u d ")</f>
        <v>p r u d </v>
      </c>
    </row>
    <row r="2358">
      <c r="A2358" s="1" t="s">
        <v>2361</v>
      </c>
      <c r="B2358" s="1" t="s">
        <v>5</v>
      </c>
      <c r="C2358" s="2">
        <f>IFERROR(__xludf.DUMMYFUNCTION("IFERROR(VLOOKUP(A2358, IMPORTRANGE(""https://docs.google.com/spreadsheets/d/1AVX9GT0dgogEBStecCXMMQ29tWz3gBrtNB8yIromXbY/edit?gid=741673867"", ""out1g!A:B""), 2, FALSE), 0)"),828.0)</f>
        <v>828</v>
      </c>
      <c r="D2358" s="2" t="str">
        <f>IFERROR(__xludf.DUMMYFUNCTION("IFERROR(VLOOKUP(A2358, IMPORTRANGE(""https://docs.google.com/spreadsheets/d/1-3Vjw2Cyy-mry5gbC8ypIR3YVGFfEpyFESummAta6sg/edit"", ""Sheet1!B:D""), 2, FALSE), ""Not Found"")"),"ʧɪl")</f>
        <v>ʧɪl</v>
      </c>
      <c r="E2358" s="2" t="str">
        <f>IFERROR(__xludf.DUMMYFUNCTION("IFERROR(VLOOKUP(A2358, IMPORTRANGE(""https://docs.google.com/spreadsheets/d/1-3Vjw2Cyy-mry5gbC8ypIR3YVGFfEpyFESummAta6sg/edit"", ""Sheet1!B:D""), 3, FALSE), ""Not Found"")"),"ʧ ɪ l ")</f>
        <v>ʧ ɪ l </v>
      </c>
    </row>
    <row r="2359">
      <c r="A2359" s="1" t="s">
        <v>2362</v>
      </c>
      <c r="B2359" s="1" t="s">
        <v>5</v>
      </c>
      <c r="C2359" s="2">
        <f>IFERROR(__xludf.DUMMYFUNCTION("IFERROR(VLOOKUP(A2359, IMPORTRANGE(""https://docs.google.com/spreadsheets/d/1AVX9GT0dgogEBStecCXMMQ29tWz3gBrtNB8yIromXbY/edit?gid=741673867"", ""out1g!A:B""), 2, FALSE), 0)"),1171.0)</f>
        <v>1171</v>
      </c>
      <c r="D2359" s="2" t="str">
        <f>IFERROR(__xludf.DUMMYFUNCTION("IFERROR(VLOOKUP(A2359, IMPORTRANGE(""https://docs.google.com/spreadsheets/d/1-3Vjw2Cyy-mry5gbC8ypIR3YVGFfEpyFESummAta6sg/edit"", ""Sheet1!B:D""), 2, FALSE), ""Not Found"")"),"mɪstəri")</f>
        <v>mɪstəri</v>
      </c>
      <c r="E2359" s="2" t="str">
        <f>IFERROR(__xludf.DUMMYFUNCTION("IFERROR(VLOOKUP(A2359, IMPORTRANGE(""https://docs.google.com/spreadsheets/d/1-3Vjw2Cyy-mry5gbC8ypIR3YVGFfEpyFESummAta6sg/edit"", ""Sheet1!B:D""), 3, FALSE), ""Not Found"")"),"m ɪ s t ə r i ")</f>
        <v>m ɪ s t ə r i </v>
      </c>
    </row>
    <row r="2360">
      <c r="A2360" s="1" t="s">
        <v>2363</v>
      </c>
      <c r="B2360" s="1" t="s">
        <v>5</v>
      </c>
      <c r="C2360" s="2">
        <f>IFERROR(__xludf.DUMMYFUNCTION("IFERROR(VLOOKUP(A2360, IMPORTRANGE(""https://docs.google.com/spreadsheets/d/1AVX9GT0dgogEBStecCXMMQ29tWz3gBrtNB8yIromXbY/edit?gid=741673867"", ""out1g!A:B""), 2, FALSE), 0)"),95.0)</f>
        <v>95</v>
      </c>
      <c r="D2360" s="2" t="str">
        <f>IFERROR(__xludf.DUMMYFUNCTION("IFERROR(VLOOKUP(A2360, IMPORTRANGE(""https://docs.google.com/spreadsheets/d/1-3Vjw2Cyy-mry5gbC8ypIR3YVGFfEpyFESummAta6sg/edit"", ""Sheet1!B:D""), 2, FALSE), ""Not Found"")"),"fɑ")</f>
        <v>fɑ</v>
      </c>
      <c r="E2360" s="2" t="str">
        <f>IFERROR(__xludf.DUMMYFUNCTION("IFERROR(VLOOKUP(A2360, IMPORTRANGE(""https://docs.google.com/spreadsheets/d/1-3Vjw2Cyy-mry5gbC8ypIR3YVGFfEpyFESummAta6sg/edit"", ""Sheet1!B:D""), 3, FALSE), ""Not Found"")"),"f ɑ ")</f>
        <v>f ɑ </v>
      </c>
    </row>
    <row r="2361">
      <c r="A2361" s="1" t="s">
        <v>2364</v>
      </c>
      <c r="B2361" s="1" t="s">
        <v>5</v>
      </c>
      <c r="C2361" s="2">
        <f>IFERROR(__xludf.DUMMYFUNCTION("IFERROR(VLOOKUP(A2361, IMPORTRANGE(""https://docs.google.com/spreadsheets/d/1AVX9GT0dgogEBStecCXMMQ29tWz3gBrtNB8yIromXbY/edit?gid=741673867"", ""out1g!A:B""), 2, FALSE), 0)"),537.0)</f>
        <v>537</v>
      </c>
      <c r="D2361" s="2" t="str">
        <f>IFERROR(__xludf.DUMMYFUNCTION("IFERROR(VLOOKUP(A2361, IMPORTRANGE(""https://docs.google.com/spreadsheets/d/1-3Vjw2Cyy-mry5gbC8ypIR3YVGFfEpyFESummAta6sg/edit"", ""Sheet1!B:D""), 2, FALSE), ""Not Found"")"),"pɔrk")</f>
        <v>pɔrk</v>
      </c>
      <c r="E2361" s="2" t="str">
        <f>IFERROR(__xludf.DUMMYFUNCTION("IFERROR(VLOOKUP(A2361, IMPORTRANGE(""https://docs.google.com/spreadsheets/d/1-3Vjw2Cyy-mry5gbC8ypIR3YVGFfEpyFESummAta6sg/edit"", ""Sheet1!B:D""), 3, FALSE), ""Not Found"")"),"p ɔ r k ")</f>
        <v>p ɔ r k </v>
      </c>
    </row>
    <row r="2362">
      <c r="A2362" s="1" t="s">
        <v>2365</v>
      </c>
      <c r="B2362" s="1" t="s">
        <v>5</v>
      </c>
      <c r="C2362" s="2">
        <f>IFERROR(__xludf.DUMMYFUNCTION("IFERROR(VLOOKUP(A2362, IMPORTRANGE(""https://docs.google.com/spreadsheets/d/1AVX9GT0dgogEBStecCXMMQ29tWz3gBrtNB8yIromXbY/edit?gid=741673867"", ""out1g!A:B""), 2, FALSE), 0)"),1171.0)</f>
        <v>1171</v>
      </c>
      <c r="D2362" s="2" t="str">
        <f>IFERROR(__xludf.DUMMYFUNCTION("IFERROR(VLOOKUP(A2362, IMPORTRANGE(""https://docs.google.com/spreadsheets/d/1-3Vjw2Cyy-mry5gbC8ypIR3YVGFfEpyFESummAta6sg/edit"", ""Sheet1!B:D""), 2, FALSE), ""Not Found"")"),"nərv")</f>
        <v>nərv</v>
      </c>
      <c r="E2362" s="2" t="str">
        <f>IFERROR(__xludf.DUMMYFUNCTION("IFERROR(VLOOKUP(A2362, IMPORTRANGE(""https://docs.google.com/spreadsheets/d/1-3Vjw2Cyy-mry5gbC8ypIR3YVGFfEpyFESummAta6sg/edit"", ""Sheet1!B:D""), 3, FALSE), ""Not Found"")"),"n ə r v ")</f>
        <v>n ə r v </v>
      </c>
    </row>
    <row r="2363">
      <c r="A2363" s="1" t="s">
        <v>2366</v>
      </c>
      <c r="B2363" s="1" t="s">
        <v>5</v>
      </c>
      <c r="C2363" s="2">
        <f>IFERROR(__xludf.DUMMYFUNCTION("IFERROR(VLOOKUP(A2363, IMPORTRANGE(""https://docs.google.com/spreadsheets/d/1AVX9GT0dgogEBStecCXMMQ29tWz3gBrtNB8yIromXbY/edit?gid=741673867"", ""out1g!A:B""), 2, FALSE), 0)"),84.0)</f>
        <v>84</v>
      </c>
      <c r="D2363" s="2" t="str">
        <f>IFERROR(__xludf.DUMMYFUNCTION("IFERROR(VLOOKUP(A2363, IMPORTRANGE(""https://docs.google.com/spreadsheets/d/1-3Vjw2Cyy-mry5gbC8ypIR3YVGFfEpyFESummAta6sg/edit"", ""Sheet1!B:D""), 2, FALSE), ""Not Found"")"),"suʧərz")</f>
        <v>suʧərz</v>
      </c>
      <c r="E2363" s="2" t="str">
        <f>IFERROR(__xludf.DUMMYFUNCTION("IFERROR(VLOOKUP(A2363, IMPORTRANGE(""https://docs.google.com/spreadsheets/d/1-3Vjw2Cyy-mry5gbC8ypIR3YVGFfEpyFESummAta6sg/edit"", ""Sheet1!B:D""), 3, FALSE), ""Not Found"")"),"s u ʧ ə r z ")</f>
        <v>s u ʧ ə r z </v>
      </c>
    </row>
    <row r="2364">
      <c r="A2364" s="1" t="s">
        <v>2367</v>
      </c>
      <c r="B2364" s="1" t="s">
        <v>5</v>
      </c>
      <c r="C2364" s="2">
        <f>IFERROR(__xludf.DUMMYFUNCTION("IFERROR(VLOOKUP(A2364, IMPORTRANGE(""https://docs.google.com/spreadsheets/d/1AVX9GT0dgogEBStecCXMMQ29tWz3gBrtNB8yIromXbY/edit?gid=741673867"", ""out1g!A:B""), 2, FALSE), 0)"),853.0)</f>
        <v>853</v>
      </c>
      <c r="D2364" s="2" t="str">
        <f>IFERROR(__xludf.DUMMYFUNCTION("IFERROR(VLOOKUP(A2364, IMPORTRANGE(""https://docs.google.com/spreadsheets/d/1-3Vjw2Cyy-mry5gbC8ypIR3YVGFfEpyFESummAta6sg/edit"", ""Sheet1!B:D""), 2, FALSE), ""Not Found"")"),"mɛst")</f>
        <v>mɛst</v>
      </c>
      <c r="E2364" s="2" t="str">
        <f>IFERROR(__xludf.DUMMYFUNCTION("IFERROR(VLOOKUP(A2364, IMPORTRANGE(""https://docs.google.com/spreadsheets/d/1-3Vjw2Cyy-mry5gbC8ypIR3YVGFfEpyFESummAta6sg/edit"", ""Sheet1!B:D""), 3, FALSE), ""Not Found"")"),"m ɛ s t ")</f>
        <v>m ɛ s t </v>
      </c>
    </row>
    <row r="2365">
      <c r="A2365" s="1" t="s">
        <v>2368</v>
      </c>
      <c r="B2365" s="1" t="s">
        <v>5</v>
      </c>
      <c r="C2365" s="2">
        <f>IFERROR(__xludf.DUMMYFUNCTION("IFERROR(VLOOKUP(A2365, IMPORTRANGE(""https://docs.google.com/spreadsheets/d/1AVX9GT0dgogEBStecCXMMQ29tWz3gBrtNB8yIromXbY/edit?gid=741673867"", ""out1g!A:B""), 2, FALSE), 0)"),1312.0)</f>
        <v>1312</v>
      </c>
      <c r="D2365" s="2" t="str">
        <f>IFERROR(__xludf.DUMMYFUNCTION("IFERROR(VLOOKUP(A2365, IMPORTRANGE(""https://docs.google.com/spreadsheets/d/1-3Vjw2Cyy-mry5gbC8ypIR3YVGFfEpyFESummAta6sg/edit"", ""Sheet1!B:D""), 2, FALSE), ""Not Found"")"),"rezd")</f>
        <v>rezd</v>
      </c>
      <c r="E2365" s="2" t="str">
        <f>IFERROR(__xludf.DUMMYFUNCTION("IFERROR(VLOOKUP(A2365, IMPORTRANGE(""https://docs.google.com/spreadsheets/d/1-3Vjw2Cyy-mry5gbC8ypIR3YVGFfEpyFESummAta6sg/edit"", ""Sheet1!B:D""), 3, FALSE), ""Not Found"")"),"r e z d ")</f>
        <v>r e z d </v>
      </c>
    </row>
    <row r="2366">
      <c r="A2366" s="1" t="s">
        <v>2369</v>
      </c>
      <c r="B2366" s="1" t="s">
        <v>5</v>
      </c>
      <c r="C2366" s="2">
        <f>IFERROR(__xludf.DUMMYFUNCTION("IFERROR(VLOOKUP(A2366, IMPORTRANGE(""https://docs.google.com/spreadsheets/d/1AVX9GT0dgogEBStecCXMMQ29tWz3gBrtNB8yIromXbY/edit?gid=741673867"", ""out1g!A:B""), 2, FALSE), 0)"),48.0)</f>
        <v>48</v>
      </c>
      <c r="D2366" s="2" t="str">
        <f>IFERROR(__xludf.DUMMYFUNCTION("IFERROR(VLOOKUP(A2366, IMPORTRANGE(""https://docs.google.com/spreadsheets/d/1-3Vjw2Cyy-mry5gbC8ypIR3YVGFfEpyFESummAta6sg/edit"", ""Sheet1!B:D""), 2, FALSE), ""Not Found"")"),"fre")</f>
        <v>fre</v>
      </c>
      <c r="E2366" s="2" t="str">
        <f>IFERROR(__xludf.DUMMYFUNCTION("IFERROR(VLOOKUP(A2366, IMPORTRANGE(""https://docs.google.com/spreadsheets/d/1-3Vjw2Cyy-mry5gbC8ypIR3YVGFfEpyFESummAta6sg/edit"", ""Sheet1!B:D""), 3, FALSE), ""Not Found"")"),"f r e ")</f>
        <v>f r e </v>
      </c>
    </row>
    <row r="2367">
      <c r="A2367" s="1" t="s">
        <v>2370</v>
      </c>
      <c r="B2367" s="1" t="s">
        <v>5</v>
      </c>
      <c r="C2367" s="2">
        <f>IFERROR(__xludf.DUMMYFUNCTION("IFERROR(VLOOKUP(A2367, IMPORTRANGE(""https://docs.google.com/spreadsheets/d/1AVX9GT0dgogEBStecCXMMQ29tWz3gBrtNB8yIromXbY/edit?gid=741673867"", ""out1g!A:B""), 2, FALSE), 0)"),22907.0)</f>
        <v>22907</v>
      </c>
      <c r="D2367" s="2" t="str">
        <f>IFERROR(__xludf.DUMMYFUNCTION("IFERROR(VLOOKUP(A2367, IMPORTRANGE(""https://docs.google.com/spreadsheets/d/1-3Vjw2Cyy-mry5gbC8ypIR3YVGFfEpyFESummAta6sg/edit"", ""Sheet1!B:D""), 2, FALSE), ""Not Found"")"),"ɛls")</f>
        <v>ɛls</v>
      </c>
      <c r="E2367" s="2" t="str">
        <f>IFERROR(__xludf.DUMMYFUNCTION("IFERROR(VLOOKUP(A2367, IMPORTRANGE(""https://docs.google.com/spreadsheets/d/1-3Vjw2Cyy-mry5gbC8ypIR3YVGFfEpyFESummAta6sg/edit"", ""Sheet1!B:D""), 3, FALSE), ""Not Found"")"),"ɛ l s ")</f>
        <v>ɛ l s </v>
      </c>
    </row>
    <row r="2368">
      <c r="A2368" s="1" t="s">
        <v>2371</v>
      </c>
      <c r="B2368" s="1" t="s">
        <v>5</v>
      </c>
      <c r="C2368" s="2">
        <f>IFERROR(__xludf.DUMMYFUNCTION("IFERROR(VLOOKUP(A2368, IMPORTRANGE(""https://docs.google.com/spreadsheets/d/1AVX9GT0dgogEBStecCXMMQ29tWz3gBrtNB8yIromXbY/edit?gid=741673867"", ""out1g!A:B""), 2, FALSE), 0)"),136.0)</f>
        <v>136</v>
      </c>
      <c r="D2368" s="2" t="str">
        <f>IFERROR(__xludf.DUMMYFUNCTION("IFERROR(VLOOKUP(A2368, IMPORTRANGE(""https://docs.google.com/spreadsheets/d/1-3Vjw2Cyy-mry5gbC8ypIR3YVGFfEpyFESummAta6sg/edit"", ""Sheet1!B:D""), 2, FALSE), ""Not Found"")"),"slaɪ")</f>
        <v>slaɪ</v>
      </c>
      <c r="E2368" s="2" t="str">
        <f>IFERROR(__xludf.DUMMYFUNCTION("IFERROR(VLOOKUP(A2368, IMPORTRANGE(""https://docs.google.com/spreadsheets/d/1-3Vjw2Cyy-mry5gbC8ypIR3YVGFfEpyFESummAta6sg/edit"", ""Sheet1!B:D""), 3, FALSE), ""Not Found"")"),"s l a ɪ ")</f>
        <v>s l a ɪ </v>
      </c>
    </row>
    <row r="2369">
      <c r="A2369" s="1" t="s">
        <v>2372</v>
      </c>
      <c r="B2369" s="1" t="s">
        <v>5</v>
      </c>
      <c r="C2369" s="2">
        <f>IFERROR(__xludf.DUMMYFUNCTION("IFERROR(VLOOKUP(A2369, IMPORTRANGE(""https://docs.google.com/spreadsheets/d/1AVX9GT0dgogEBStecCXMMQ29tWz3gBrtNB8yIromXbY/edit?gid=741673867"", ""out1g!A:B""), 2, FALSE), 0)"),87.0)</f>
        <v>87</v>
      </c>
      <c r="D2369" s="2" t="str">
        <f>IFERROR(__xludf.DUMMYFUNCTION("IFERROR(VLOOKUP(A2369, IMPORTRANGE(""https://docs.google.com/spreadsheets/d/1-3Vjw2Cyy-mry5gbC8ypIR3YVGFfEpyFESummAta6sg/edit"", ""Sheet1!B:D""), 2, FALSE), ""Not Found"")"),"soʊd")</f>
        <v>soʊd</v>
      </c>
      <c r="E2369" s="2" t="str">
        <f>IFERROR(__xludf.DUMMYFUNCTION("IFERROR(VLOOKUP(A2369, IMPORTRANGE(""https://docs.google.com/spreadsheets/d/1-3Vjw2Cyy-mry5gbC8ypIR3YVGFfEpyFESummAta6sg/edit"", ""Sheet1!B:D""), 3, FALSE), ""Not Found"")"),"s o ʊ d ")</f>
        <v>s o ʊ d </v>
      </c>
    </row>
    <row r="2370">
      <c r="A2370" s="1" t="s">
        <v>2373</v>
      </c>
      <c r="B2370" s="1" t="s">
        <v>5</v>
      </c>
      <c r="C2370" s="2">
        <f>IFERROR(__xludf.DUMMYFUNCTION("IFERROR(VLOOKUP(A2370, IMPORTRANGE(""https://docs.google.com/spreadsheets/d/1AVX9GT0dgogEBStecCXMMQ29tWz3gBrtNB8yIromXbY/edit?gid=741673867"", ""out1g!A:B""), 2, FALSE), 0)"),1096.0)</f>
        <v>1096</v>
      </c>
      <c r="D2370" s="2" t="str">
        <f>IFERROR(__xludf.DUMMYFUNCTION("IFERROR(VLOOKUP(A2370, IMPORTRANGE(""https://docs.google.com/spreadsheets/d/1-3Vjw2Cyy-mry5gbC8ypIR3YVGFfEpyFESummAta6sg/edit"", ""Sheet1!B:D""), 2, FALSE), ""Not Found"")"),"bɪlz")</f>
        <v>bɪlz</v>
      </c>
      <c r="E2370" s="2" t="str">
        <f>IFERROR(__xludf.DUMMYFUNCTION("IFERROR(VLOOKUP(A2370, IMPORTRANGE(""https://docs.google.com/spreadsheets/d/1-3Vjw2Cyy-mry5gbC8ypIR3YVGFfEpyFESummAta6sg/edit"", ""Sheet1!B:D""), 3, FALSE), ""Not Found"")"),"b ɪ l z ")</f>
        <v>b ɪ l z </v>
      </c>
    </row>
    <row r="2371">
      <c r="A2371" s="1" t="s">
        <v>2374</v>
      </c>
      <c r="B2371" s="1" t="s">
        <v>5</v>
      </c>
      <c r="C2371" s="2">
        <f>IFERROR(__xludf.DUMMYFUNCTION("IFERROR(VLOOKUP(A2371, IMPORTRANGE(""https://docs.google.com/spreadsheets/d/1AVX9GT0dgogEBStecCXMMQ29tWz3gBrtNB8yIromXbY/edit?gid=741673867"", ""out1g!A:B""), 2, FALSE), 0)"),132.0)</f>
        <v>132</v>
      </c>
      <c r="D2371" s="2" t="str">
        <f>IFERROR(__xludf.DUMMYFUNCTION("IFERROR(VLOOKUP(A2371, IMPORTRANGE(""https://docs.google.com/spreadsheets/d/1-3Vjw2Cyy-mry5gbC8ypIR3YVGFfEpyFESummAta6sg/edit"", ""Sheet1!B:D""), 2, FALSE), ""Not Found"")"),"græm")</f>
        <v>græm</v>
      </c>
      <c r="E2371" s="2" t="str">
        <f>IFERROR(__xludf.DUMMYFUNCTION("IFERROR(VLOOKUP(A2371, IMPORTRANGE(""https://docs.google.com/spreadsheets/d/1-3Vjw2Cyy-mry5gbC8ypIR3YVGFfEpyFESummAta6sg/edit"", ""Sheet1!B:D""), 3, FALSE), ""Not Found"")"),"g r æ m ")</f>
        <v>g r æ m </v>
      </c>
    </row>
    <row r="2372">
      <c r="A2372" s="1" t="s">
        <v>2375</v>
      </c>
      <c r="B2372" s="1" t="s">
        <v>5</v>
      </c>
      <c r="C2372" s="2">
        <f>IFERROR(__xludf.DUMMYFUNCTION("IFERROR(VLOOKUP(A2372, IMPORTRANGE(""https://docs.google.com/spreadsheets/d/1AVX9GT0dgogEBStecCXMMQ29tWz3gBrtNB8yIromXbY/edit?gid=741673867"", ""out1g!A:B""), 2, FALSE), 0)"),365.0)</f>
        <v>365</v>
      </c>
      <c r="D2372" s="2" t="str">
        <f>IFERROR(__xludf.DUMMYFUNCTION("IFERROR(VLOOKUP(A2372, IMPORTRANGE(""https://docs.google.com/spreadsheets/d/1-3Vjw2Cyy-mry5gbC8ypIR3YVGFfEpyFESummAta6sg/edit"", ""Sheet1!B:D""), 2, FALSE), ""Not Found"")"),"foʊk")</f>
        <v>foʊk</v>
      </c>
      <c r="E2372" s="2" t="str">
        <f>IFERROR(__xludf.DUMMYFUNCTION("IFERROR(VLOOKUP(A2372, IMPORTRANGE(""https://docs.google.com/spreadsheets/d/1-3Vjw2Cyy-mry5gbC8ypIR3YVGFfEpyFESummAta6sg/edit"", ""Sheet1!B:D""), 3, FALSE), ""Not Found"")"),"f o ʊ k ")</f>
        <v>f o ʊ k </v>
      </c>
    </row>
    <row r="2373">
      <c r="A2373" s="1" t="s">
        <v>2376</v>
      </c>
      <c r="B2373" s="1" t="s">
        <v>5</v>
      </c>
      <c r="C2373" s="2">
        <f>IFERROR(__xludf.DUMMYFUNCTION("IFERROR(VLOOKUP(A2373, IMPORTRANGE(""https://docs.google.com/spreadsheets/d/1AVX9GT0dgogEBStecCXMMQ29tWz3gBrtNB8yIromXbY/edit?gid=741673867"", ""out1g!A:B""), 2, FALSE), 0)"),92.0)</f>
        <v>92</v>
      </c>
      <c r="D2373" s="2" t="str">
        <f>IFERROR(__xludf.DUMMYFUNCTION("IFERROR(VLOOKUP(A2373, IMPORTRANGE(""https://docs.google.com/spreadsheets/d/1-3Vjw2Cyy-mry5gbC8ypIR3YVGFfEpyFESummAta6sg/edit"", ""Sheet1!B:D""), 2, FALSE), ""Not Found"")"),"slen")</f>
        <v>slen</v>
      </c>
      <c r="E2373" s="2" t="str">
        <f>IFERROR(__xludf.DUMMYFUNCTION("IFERROR(VLOOKUP(A2373, IMPORTRANGE(""https://docs.google.com/spreadsheets/d/1-3Vjw2Cyy-mry5gbC8ypIR3YVGFfEpyFESummAta6sg/edit"", ""Sheet1!B:D""), 3, FALSE), ""Not Found"")"),"s l e n ")</f>
        <v>s l e n </v>
      </c>
    </row>
    <row r="2374">
      <c r="A2374" s="1" t="s">
        <v>2377</v>
      </c>
      <c r="B2374" s="1" t="s">
        <v>5</v>
      </c>
      <c r="C2374" s="2">
        <f>IFERROR(__xludf.DUMMYFUNCTION("IFERROR(VLOOKUP(A2374, IMPORTRANGE(""https://docs.google.com/spreadsheets/d/1AVX9GT0dgogEBStecCXMMQ29tWz3gBrtNB8yIromXbY/edit?gid=741673867"", ""out1g!A:B""), 2, FALSE), 0)"),242.0)</f>
        <v>242</v>
      </c>
      <c r="D2374" s="2" t="str">
        <f>IFERROR(__xludf.DUMMYFUNCTION("IFERROR(VLOOKUP(A2374, IMPORTRANGE(""https://docs.google.com/spreadsheets/d/1-3Vjw2Cyy-mry5gbC8ypIR3YVGFfEpyFESummAta6sg/edit"", ""Sheet1!B:D""), 2, FALSE), ""Not Found"")"),"kɑljər")</f>
        <v>kɑljər</v>
      </c>
      <c r="E2374" s="2" t="str">
        <f>IFERROR(__xludf.DUMMYFUNCTION("IFERROR(VLOOKUP(A2374, IMPORTRANGE(""https://docs.google.com/spreadsheets/d/1-3Vjw2Cyy-mry5gbC8ypIR3YVGFfEpyFESummAta6sg/edit"", ""Sheet1!B:D""), 3, FALSE), ""Not Found"")"),"k ɑ l j ə r ")</f>
        <v>k ɑ l j ə r </v>
      </c>
    </row>
    <row r="2375">
      <c r="A2375" s="1" t="s">
        <v>2378</v>
      </c>
      <c r="B2375" s="1" t="s">
        <v>5</v>
      </c>
      <c r="C2375" s="2">
        <f>IFERROR(__xludf.DUMMYFUNCTION("IFERROR(VLOOKUP(A2375, IMPORTRANGE(""https://docs.google.com/spreadsheets/d/1AVX9GT0dgogEBStecCXMMQ29tWz3gBrtNB8yIromXbY/edit?gid=741673867"", ""out1g!A:B""), 2, FALSE), 0)"),349.0)</f>
        <v>349</v>
      </c>
      <c r="D2375" s="2" t="str">
        <f>IFERROR(__xludf.DUMMYFUNCTION("IFERROR(VLOOKUP(A2375, IMPORTRANGE(""https://docs.google.com/spreadsheets/d/1-3Vjw2Cyy-mry5gbC8ypIR3YVGFfEpyFESummAta6sg/edit"", ""Sheet1!B:D""), 2, FALSE), ""Not Found"")"),"bin")</f>
        <v>bin</v>
      </c>
      <c r="E2375" s="2" t="str">
        <f>IFERROR(__xludf.DUMMYFUNCTION("IFERROR(VLOOKUP(A2375, IMPORTRANGE(""https://docs.google.com/spreadsheets/d/1-3Vjw2Cyy-mry5gbC8ypIR3YVGFfEpyFESummAta6sg/edit"", ""Sheet1!B:D""), 3, FALSE), ""Not Found"")"),"b i n ")</f>
        <v>b i n </v>
      </c>
    </row>
    <row r="2376">
      <c r="A2376" s="1" t="s">
        <v>2379</v>
      </c>
      <c r="B2376" s="1" t="s">
        <v>5</v>
      </c>
      <c r="C2376" s="2">
        <f>IFERROR(__xludf.DUMMYFUNCTION("IFERROR(VLOOKUP(A2376, IMPORTRANGE(""https://docs.google.com/spreadsheets/d/1AVX9GT0dgogEBStecCXMMQ29tWz3gBrtNB8yIromXbY/edit?gid=741673867"", ""out1g!A:B""), 2, FALSE), 0)"),1003.0)</f>
        <v>1003</v>
      </c>
      <c r="D2376" s="2" t="str">
        <f>IFERROR(__xludf.DUMMYFUNCTION("IFERROR(VLOOKUP(A2376, IMPORTRANGE(""https://docs.google.com/spreadsheets/d/1-3Vjw2Cyy-mry5gbC8ypIR3YVGFfEpyFESummAta6sg/edit"", ""Sheet1!B:D""), 2, FALSE), ""Not Found"")"),"bɑrni")</f>
        <v>bɑrni</v>
      </c>
      <c r="E2376" s="2" t="str">
        <f>IFERROR(__xludf.DUMMYFUNCTION("IFERROR(VLOOKUP(A2376, IMPORTRANGE(""https://docs.google.com/spreadsheets/d/1-3Vjw2Cyy-mry5gbC8ypIR3YVGFfEpyFESummAta6sg/edit"", ""Sheet1!B:D""), 3, FALSE), ""Not Found"")"),"b ɑ r n i ")</f>
        <v>b ɑ r n i </v>
      </c>
    </row>
    <row r="2377">
      <c r="A2377" s="1" t="s">
        <v>2380</v>
      </c>
      <c r="B2377" s="1" t="s">
        <v>5</v>
      </c>
      <c r="C2377" s="2">
        <f>IFERROR(__xludf.DUMMYFUNCTION("IFERROR(VLOOKUP(A2377, IMPORTRANGE(""https://docs.google.com/spreadsheets/d/1AVX9GT0dgogEBStecCXMMQ29tWz3gBrtNB8yIromXbY/edit?gid=741673867"", ""out1g!A:B""), 2, FALSE), 0)"),152.0)</f>
        <v>152</v>
      </c>
      <c r="D2377" s="2" t="str">
        <f>IFERROR(__xludf.DUMMYFUNCTION("IFERROR(VLOOKUP(A2377, IMPORTRANGE(""https://docs.google.com/spreadsheets/d/1-3Vjw2Cyy-mry5gbC8ypIR3YVGFfEpyFESummAta6sg/edit"", ""Sheet1!B:D""), 2, FALSE), ""Not Found"")"),"dreps")</f>
        <v>dreps</v>
      </c>
      <c r="E2377" s="2" t="str">
        <f>IFERROR(__xludf.DUMMYFUNCTION("IFERROR(VLOOKUP(A2377, IMPORTRANGE(""https://docs.google.com/spreadsheets/d/1-3Vjw2Cyy-mry5gbC8ypIR3YVGFfEpyFESummAta6sg/edit"", ""Sheet1!B:D""), 3, FALSE), ""Not Found"")"),"d r e p s ")</f>
        <v>d r e p s </v>
      </c>
    </row>
    <row r="2378">
      <c r="A2378" s="1" t="s">
        <v>2381</v>
      </c>
      <c r="B2378" s="1" t="s">
        <v>5</v>
      </c>
      <c r="C2378" s="2">
        <f>IFERROR(__xludf.DUMMYFUNCTION("IFERROR(VLOOKUP(A2378, IMPORTRANGE(""https://docs.google.com/spreadsheets/d/1AVX9GT0dgogEBStecCXMMQ29tWz3gBrtNB8yIromXbY/edit?gid=741673867"", ""out1g!A:B""), 2, FALSE), 0)"),111.0)</f>
        <v>111</v>
      </c>
      <c r="D2378" s="2" t="str">
        <f>IFERROR(__xludf.DUMMYFUNCTION("IFERROR(VLOOKUP(A2378, IMPORTRANGE(""https://docs.google.com/spreadsheets/d/1-3Vjw2Cyy-mry5gbC8ypIR3YVGFfEpyFESummAta6sg/edit"", ""Sheet1!B:D""), 2, FALSE), ""Not Found"")"),"juɑn")</f>
        <v>juɑn</v>
      </c>
      <c r="E2378" s="2" t="str">
        <f>IFERROR(__xludf.DUMMYFUNCTION("IFERROR(VLOOKUP(A2378, IMPORTRANGE(""https://docs.google.com/spreadsheets/d/1-3Vjw2Cyy-mry5gbC8ypIR3YVGFfEpyFESummAta6sg/edit"", ""Sheet1!B:D""), 3, FALSE), ""Not Found"")"),"j u ɑ n ")</f>
        <v>j u ɑ n </v>
      </c>
    </row>
    <row r="2379">
      <c r="A2379" s="1" t="s">
        <v>2382</v>
      </c>
      <c r="B2379" s="1" t="s">
        <v>5</v>
      </c>
      <c r="C2379" s="2">
        <f>IFERROR(__xludf.DUMMYFUNCTION("IFERROR(VLOOKUP(A2379, IMPORTRANGE(""https://docs.google.com/spreadsheets/d/1AVX9GT0dgogEBStecCXMMQ29tWz3gBrtNB8yIromXbY/edit?gid=741673867"", ""out1g!A:B""), 2, FALSE), 0)"),17345.0)</f>
        <v>17345</v>
      </c>
      <c r="D2379" s="2" t="str">
        <f>IFERROR(__xludf.DUMMYFUNCTION("IFERROR(VLOOKUP(A2379, IMPORTRANGE(""https://docs.google.com/spreadsheets/d/1-3Vjw2Cyy-mry5gbC8ypIR3YVGFfEpyFESummAta6sg/edit"", ""Sheet1!B:D""), 2, FALSE), ""Not Found"")"),"stɑrt")</f>
        <v>stɑrt</v>
      </c>
      <c r="E2379" s="2" t="str">
        <f>IFERROR(__xludf.DUMMYFUNCTION("IFERROR(VLOOKUP(A2379, IMPORTRANGE(""https://docs.google.com/spreadsheets/d/1-3Vjw2Cyy-mry5gbC8ypIR3YVGFfEpyFESummAta6sg/edit"", ""Sheet1!B:D""), 3, FALSE), ""Not Found"")"),"s t ɑ r t ")</f>
        <v>s t ɑ r t </v>
      </c>
    </row>
    <row r="2380">
      <c r="A2380" s="1" t="s">
        <v>2383</v>
      </c>
      <c r="B2380" s="1" t="s">
        <v>5</v>
      </c>
      <c r="C2380" s="2">
        <f>IFERROR(__xludf.DUMMYFUNCTION("IFERROR(VLOOKUP(A2380, IMPORTRANGE(""https://docs.google.com/spreadsheets/d/1AVX9GT0dgogEBStecCXMMQ29tWz3gBrtNB8yIromXbY/edit?gid=741673867"", ""out1g!A:B""), 2, FALSE), 0)"),59.0)</f>
        <v>59</v>
      </c>
      <c r="D2380" s="2" t="str">
        <f>IFERROR(__xludf.DUMMYFUNCTION("IFERROR(VLOOKUP(A2380, IMPORTRANGE(""https://docs.google.com/spreadsheets/d/1-3Vjw2Cyy-mry5gbC8ypIR3YVGFfEpyFESummAta6sg/edit"", ""Sheet1!B:D""), 2, FALSE), ""Not Found"")"),"snɔrt")</f>
        <v>snɔrt</v>
      </c>
      <c r="E2380" s="2" t="str">
        <f>IFERROR(__xludf.DUMMYFUNCTION("IFERROR(VLOOKUP(A2380, IMPORTRANGE(""https://docs.google.com/spreadsheets/d/1-3Vjw2Cyy-mry5gbC8ypIR3YVGFfEpyFESummAta6sg/edit"", ""Sheet1!B:D""), 3, FALSE), ""Not Found"")"),"s n ɔ r t ")</f>
        <v>s n ɔ r t </v>
      </c>
    </row>
    <row r="2381">
      <c r="A2381" s="1" t="s">
        <v>2384</v>
      </c>
      <c r="B2381" s="1" t="s">
        <v>5</v>
      </c>
      <c r="C2381" s="2">
        <f>IFERROR(__xludf.DUMMYFUNCTION("IFERROR(VLOOKUP(A2381, IMPORTRANGE(""https://docs.google.com/spreadsheets/d/1AVX9GT0dgogEBStecCXMMQ29tWz3gBrtNB8yIromXbY/edit?gid=741673867"", ""out1g!A:B""), 2, FALSE), 0)"),82.0)</f>
        <v>82</v>
      </c>
      <c r="D2381" s="2" t="str">
        <f>IFERROR(__xludf.DUMMYFUNCTION("IFERROR(VLOOKUP(A2381, IMPORTRANGE(""https://docs.google.com/spreadsheets/d/1-3Vjw2Cyy-mry5gbC8ypIR3YVGFfEpyFESummAta6sg/edit"", ""Sheet1!B:D""), 2, FALSE), ""Not Found"")"),"swaɪp")</f>
        <v>swaɪp</v>
      </c>
      <c r="E2381" s="2" t="str">
        <f>IFERROR(__xludf.DUMMYFUNCTION("IFERROR(VLOOKUP(A2381, IMPORTRANGE(""https://docs.google.com/spreadsheets/d/1-3Vjw2Cyy-mry5gbC8ypIR3YVGFfEpyFESummAta6sg/edit"", ""Sheet1!B:D""), 3, FALSE), ""Not Found"")"),"s w a ɪ p ")</f>
        <v>s w a ɪ p </v>
      </c>
    </row>
    <row r="2382">
      <c r="A2382" s="1" t="s">
        <v>2385</v>
      </c>
      <c r="B2382" s="1" t="s">
        <v>5</v>
      </c>
      <c r="C2382" s="2">
        <f>IFERROR(__xludf.DUMMYFUNCTION("IFERROR(VLOOKUP(A2382, IMPORTRANGE(""https://docs.google.com/spreadsheets/d/1AVX9GT0dgogEBStecCXMMQ29tWz3gBrtNB8yIromXbY/edit?gid=741673867"", ""out1g!A:B""), 2, FALSE), 0)"),725.0)</f>
        <v>725</v>
      </c>
      <c r="D2382" s="2" t="str">
        <f>IFERROR(__xludf.DUMMYFUNCTION("IFERROR(VLOOKUP(A2382, IMPORTRANGE(""https://docs.google.com/spreadsheets/d/1-3Vjw2Cyy-mry5gbC8ypIR3YVGFfEpyFESummAta6sg/edit"", ""Sheet1!B:D""), 2, FALSE), ""Not Found"")"),"dɛt")</f>
        <v>dɛt</v>
      </c>
      <c r="E2382" s="2" t="str">
        <f>IFERROR(__xludf.DUMMYFUNCTION("IFERROR(VLOOKUP(A2382, IMPORTRANGE(""https://docs.google.com/spreadsheets/d/1-3Vjw2Cyy-mry5gbC8ypIR3YVGFfEpyFESummAta6sg/edit"", ""Sheet1!B:D""), 3, FALSE), ""Not Found"")"),"d ɛ t ")</f>
        <v>d ɛ t </v>
      </c>
    </row>
    <row r="2383">
      <c r="A2383" s="1" t="s">
        <v>2386</v>
      </c>
      <c r="B2383" s="1" t="s">
        <v>5</v>
      </c>
      <c r="C2383" s="2">
        <f>IFERROR(__xludf.DUMMYFUNCTION("IFERROR(VLOOKUP(A2383, IMPORTRANGE(""https://docs.google.com/spreadsheets/d/1AVX9GT0dgogEBStecCXMMQ29tWz3gBrtNB8yIromXbY/edit?gid=741673867"", ""out1g!A:B""), 2, FALSE), 0)"),173.0)</f>
        <v>173</v>
      </c>
      <c r="D2383" s="2" t="str">
        <f>IFERROR(__xludf.DUMMYFUNCTION("IFERROR(VLOOKUP(A2383, IMPORTRANGE(""https://docs.google.com/spreadsheets/d/1-3Vjw2Cyy-mry5gbC8ypIR3YVGFfEpyFESummAta6sg/edit"", ""Sheet1!B:D""), 2, FALSE), ""Not Found"")"),"θəgz")</f>
        <v>θəgz</v>
      </c>
      <c r="E2383" s="2" t="str">
        <f>IFERROR(__xludf.DUMMYFUNCTION("IFERROR(VLOOKUP(A2383, IMPORTRANGE(""https://docs.google.com/spreadsheets/d/1-3Vjw2Cyy-mry5gbC8ypIR3YVGFfEpyFESummAta6sg/edit"", ""Sheet1!B:D""), 3, FALSE), ""Not Found"")"),"θ ə g z ")</f>
        <v>θ ə g z </v>
      </c>
    </row>
    <row r="2384">
      <c r="A2384" s="1" t="s">
        <v>2387</v>
      </c>
      <c r="B2384" s="1" t="s">
        <v>5</v>
      </c>
      <c r="C2384" s="2">
        <f>IFERROR(__xludf.DUMMYFUNCTION("IFERROR(VLOOKUP(A2384, IMPORTRANGE(""https://docs.google.com/spreadsheets/d/1AVX9GT0dgogEBStecCXMMQ29tWz3gBrtNB8yIromXbY/edit?gid=741673867"", ""out1g!A:B""), 2, FALSE), 0)"),2180.0)</f>
        <v>2180</v>
      </c>
      <c r="D2384" s="2" t="str">
        <f>IFERROR(__xludf.DUMMYFUNCTION("IFERROR(VLOOKUP(A2384, IMPORTRANGE(""https://docs.google.com/spreadsheets/d/1-3Vjw2Cyy-mry5gbC8ypIR3YVGFfEpyFESummAta6sg/edit"", ""Sheet1!B:D""), 2, FALSE), ""Not Found"")"),"fɔrm")</f>
        <v>fɔrm</v>
      </c>
      <c r="E2384" s="2" t="str">
        <f>IFERROR(__xludf.DUMMYFUNCTION("IFERROR(VLOOKUP(A2384, IMPORTRANGE(""https://docs.google.com/spreadsheets/d/1-3Vjw2Cyy-mry5gbC8ypIR3YVGFfEpyFESummAta6sg/edit"", ""Sheet1!B:D""), 3, FALSE), ""Not Found"")"),"f ɔ r m ")</f>
        <v>f ɔ r m </v>
      </c>
    </row>
    <row r="2385">
      <c r="A2385" s="1" t="s">
        <v>2388</v>
      </c>
      <c r="B2385" s="1" t="s">
        <v>5</v>
      </c>
      <c r="C2385" s="2">
        <f>IFERROR(__xludf.DUMMYFUNCTION("IFERROR(VLOOKUP(A2385, IMPORTRANGE(""https://docs.google.com/spreadsheets/d/1AVX9GT0dgogEBStecCXMMQ29tWz3gBrtNB8yIromXbY/edit?gid=741673867"", ""out1g!A:B""), 2, FALSE), 0)"),10.0)</f>
        <v>10</v>
      </c>
      <c r="D2385" s="2" t="str">
        <f>IFERROR(__xludf.DUMMYFUNCTION("IFERROR(VLOOKUP(A2385, IMPORTRANGE(""https://docs.google.com/spreadsheets/d/1-3Vjw2Cyy-mry5gbC8ypIR3YVGFfEpyFESummAta6sg/edit"", ""Sheet1!B:D""), 2, FALSE), ""Not Found"")"),"kɑʤər")</f>
        <v>kɑʤər</v>
      </c>
      <c r="E2385" s="2" t="str">
        <f>IFERROR(__xludf.DUMMYFUNCTION("IFERROR(VLOOKUP(A2385, IMPORTRANGE(""https://docs.google.com/spreadsheets/d/1-3Vjw2Cyy-mry5gbC8ypIR3YVGFfEpyFESummAta6sg/edit"", ""Sheet1!B:D""), 3, FALSE), ""Not Found"")"),"k ɑ ʤ ə r ")</f>
        <v>k ɑ ʤ ə r </v>
      </c>
    </row>
    <row r="2386">
      <c r="A2386" s="1" t="s">
        <v>2389</v>
      </c>
      <c r="B2386" s="1" t="s">
        <v>5</v>
      </c>
      <c r="C2386" s="2">
        <f>IFERROR(__xludf.DUMMYFUNCTION("IFERROR(VLOOKUP(A2386, IMPORTRANGE(""https://docs.google.com/spreadsheets/d/1AVX9GT0dgogEBStecCXMMQ29tWz3gBrtNB8yIromXbY/edit?gid=741673867"", ""out1g!A:B""), 2, FALSE), 0)"),296.0)</f>
        <v>296</v>
      </c>
      <c r="D2386" s="2" t="str">
        <f>IFERROR(__xludf.DUMMYFUNCTION("IFERROR(VLOOKUP(A2386, IMPORTRANGE(""https://docs.google.com/spreadsheets/d/1-3Vjw2Cyy-mry5gbC8ypIR3YVGFfEpyFESummAta6sg/edit"", ""Sheet1!B:D""), 2, FALSE), ""Not Found"")"),"rɑ")</f>
        <v>rɑ</v>
      </c>
      <c r="E2386" s="2" t="str">
        <f>IFERROR(__xludf.DUMMYFUNCTION("IFERROR(VLOOKUP(A2386, IMPORTRANGE(""https://docs.google.com/spreadsheets/d/1-3Vjw2Cyy-mry5gbC8ypIR3YVGFfEpyFESummAta6sg/edit"", ""Sheet1!B:D""), 3, FALSE), ""Not Found"")"),"r ɑ ")</f>
        <v>r ɑ </v>
      </c>
    </row>
    <row r="2387">
      <c r="A2387" s="1" t="s">
        <v>2390</v>
      </c>
      <c r="B2387" s="1" t="s">
        <v>5</v>
      </c>
      <c r="C2387" s="2">
        <f>IFERROR(__xludf.DUMMYFUNCTION("IFERROR(VLOOKUP(A2387, IMPORTRANGE(""https://docs.google.com/spreadsheets/d/1AVX9GT0dgogEBStecCXMMQ29tWz3gBrtNB8yIromXbY/edit?gid=741673867"", ""out1g!A:B""), 2, FALSE), 0)"),233772.0)</f>
        <v>233772</v>
      </c>
      <c r="D2387" s="2" t="str">
        <f>IFERROR(__xludf.DUMMYFUNCTION("IFERROR(VLOOKUP(A2387, IMPORTRANGE(""https://docs.google.com/spreadsheets/d/1-3Vjw2Cyy-mry5gbC8ypIR3YVGFfEpyFESummAta6sg/edit"", ""Sheet1!B:D""), 2, FALSE), ""Not Found"")"),"gɪt")</f>
        <v>gɪt</v>
      </c>
      <c r="E2387" s="2" t="str">
        <f>IFERROR(__xludf.DUMMYFUNCTION("IFERROR(VLOOKUP(A2387, IMPORTRANGE(""https://docs.google.com/spreadsheets/d/1-3Vjw2Cyy-mry5gbC8ypIR3YVGFfEpyFESummAta6sg/edit"", ""Sheet1!B:D""), 3, FALSE), ""Not Found"")"),"g ɪ t ")</f>
        <v>g ɪ t </v>
      </c>
    </row>
    <row r="2388">
      <c r="A2388" s="1" t="s">
        <v>2391</v>
      </c>
      <c r="B2388" s="1" t="s">
        <v>5</v>
      </c>
      <c r="C2388" s="2">
        <f>IFERROR(__xludf.DUMMYFUNCTION("IFERROR(VLOOKUP(A2388, IMPORTRANGE(""https://docs.google.com/spreadsheets/d/1AVX9GT0dgogEBStecCXMMQ29tWz3gBrtNB8yIromXbY/edit?gid=741673867"", ""out1g!A:B""), 2, FALSE), 0)"),74.0)</f>
        <v>74</v>
      </c>
      <c r="D2388" s="2" t="str">
        <f>IFERROR(__xludf.DUMMYFUNCTION("IFERROR(VLOOKUP(A2388, IMPORTRANGE(""https://docs.google.com/spreadsheets/d/1-3Vjw2Cyy-mry5gbC8ypIR3YVGFfEpyFESummAta6sg/edit"", ""Sheet1!B:D""), 2, FALSE), ""Not Found"")"),"hoʊz")</f>
        <v>hoʊz</v>
      </c>
      <c r="E2388" s="2" t="str">
        <f>IFERROR(__xludf.DUMMYFUNCTION("IFERROR(VLOOKUP(A2388, IMPORTRANGE(""https://docs.google.com/spreadsheets/d/1-3Vjw2Cyy-mry5gbC8ypIR3YVGFfEpyFESummAta6sg/edit"", ""Sheet1!B:D""), 3, FALSE), ""Not Found"")"),"h o ʊ z ")</f>
        <v>h o ʊ z </v>
      </c>
    </row>
    <row r="2389">
      <c r="A2389" s="1" t="s">
        <v>2392</v>
      </c>
      <c r="B2389" s="1" t="s">
        <v>5</v>
      </c>
      <c r="C2389" s="2">
        <f>IFERROR(__xludf.DUMMYFUNCTION("IFERROR(VLOOKUP(A2389, IMPORTRANGE(""https://docs.google.com/spreadsheets/d/1AVX9GT0dgogEBStecCXMMQ29tWz3gBrtNB8yIromXbY/edit?gid=741673867"", ""out1g!A:B""), 2, FALSE), 0)"),106.0)</f>
        <v>106</v>
      </c>
      <c r="D2389" s="2" t="str">
        <f>IFERROR(__xludf.DUMMYFUNCTION("IFERROR(VLOOKUP(A2389, IMPORTRANGE(""https://docs.google.com/spreadsheets/d/1-3Vjw2Cyy-mry5gbC8ypIR3YVGFfEpyFESummAta6sg/edit"", ""Sheet1!B:D""), 2, FALSE), ""Not Found"")"),"hest")</f>
        <v>hest</v>
      </c>
      <c r="E2389" s="2" t="str">
        <f>IFERROR(__xludf.DUMMYFUNCTION("IFERROR(VLOOKUP(A2389, IMPORTRANGE(""https://docs.google.com/spreadsheets/d/1-3Vjw2Cyy-mry5gbC8ypIR3YVGFfEpyFESummAta6sg/edit"", ""Sheet1!B:D""), 3, FALSE), ""Not Found"")"),"h e s t ")</f>
        <v>h e s t </v>
      </c>
    </row>
    <row r="2390">
      <c r="A2390" s="1" t="s">
        <v>2393</v>
      </c>
      <c r="B2390" s="1" t="s">
        <v>5</v>
      </c>
      <c r="C2390" s="2">
        <f>IFERROR(__xludf.DUMMYFUNCTION("IFERROR(VLOOKUP(A2390, IMPORTRANGE(""https://docs.google.com/spreadsheets/d/1AVX9GT0dgogEBStecCXMMQ29tWz3gBrtNB8yIromXbY/edit?gid=741673867"", ""out1g!A:B""), 2, FALSE), 0)"),574.0)</f>
        <v>574</v>
      </c>
      <c r="D2390" s="2" t="str">
        <f>IFERROR(__xludf.DUMMYFUNCTION("IFERROR(VLOOKUP(A2390, IMPORTRANGE(""https://docs.google.com/spreadsheets/d/1-3Vjw2Cyy-mry5gbC8ypIR3YVGFfEpyFESummAta6sg/edit"", ""Sheet1!B:D""), 2, FALSE), ""Not Found"")"),"tərnər")</f>
        <v>tərnər</v>
      </c>
      <c r="E2390" s="2" t="str">
        <f>IFERROR(__xludf.DUMMYFUNCTION("IFERROR(VLOOKUP(A2390, IMPORTRANGE(""https://docs.google.com/spreadsheets/d/1-3Vjw2Cyy-mry5gbC8ypIR3YVGFfEpyFESummAta6sg/edit"", ""Sheet1!B:D""), 3, FALSE), ""Not Found"")"),"t ə r n ə r ")</f>
        <v>t ə r n ə r </v>
      </c>
    </row>
    <row r="2391">
      <c r="A2391" s="1" t="s">
        <v>2394</v>
      </c>
      <c r="B2391" s="1" t="s">
        <v>5</v>
      </c>
      <c r="C2391" s="2">
        <f>IFERROR(__xludf.DUMMYFUNCTION("IFERROR(VLOOKUP(A2391, IMPORTRANGE(""https://docs.google.com/spreadsheets/d/1AVX9GT0dgogEBStecCXMMQ29tWz3gBrtNB8yIromXbY/edit?gid=741673867"", ""out1g!A:B""), 2, FALSE), 0)"),357.0)</f>
        <v>357</v>
      </c>
      <c r="D2391" s="2" t="str">
        <f>IFERROR(__xludf.DUMMYFUNCTION("IFERROR(VLOOKUP(A2391, IMPORTRANGE(""https://docs.google.com/spreadsheets/d/1-3Vjw2Cyy-mry5gbC8ypIR3YVGFfEpyFESummAta6sg/edit"", ""Sheet1!B:D""), 2, FALSE), ""Not Found"")"),"fæks")</f>
        <v>fæks</v>
      </c>
      <c r="E2391" s="2" t="str">
        <f>IFERROR(__xludf.DUMMYFUNCTION("IFERROR(VLOOKUP(A2391, IMPORTRANGE(""https://docs.google.com/spreadsheets/d/1-3Vjw2Cyy-mry5gbC8ypIR3YVGFfEpyFESummAta6sg/edit"", ""Sheet1!B:D""), 3, FALSE), ""Not Found"")"),"f æ k s ")</f>
        <v>f æ k s </v>
      </c>
    </row>
    <row r="2392">
      <c r="A2392" s="1" t="s">
        <v>2395</v>
      </c>
      <c r="B2392" s="1" t="s">
        <v>5</v>
      </c>
      <c r="C2392" s="2">
        <f>IFERROR(__xludf.DUMMYFUNCTION("IFERROR(VLOOKUP(A2392, IMPORTRANGE(""https://docs.google.com/spreadsheets/d/1AVX9GT0dgogEBStecCXMMQ29tWz3gBrtNB8yIromXbY/edit?gid=741673867"", ""out1g!A:B""), 2, FALSE), 0)"),1041179.0)</f>
        <v>1041179</v>
      </c>
      <c r="D2392" s="2" t="str">
        <f>IFERROR(__xludf.DUMMYFUNCTION("IFERROR(VLOOKUP(A2392, IMPORTRANGE(""https://docs.google.com/spreadsheets/d/1-3Vjw2Cyy-mry5gbC8ypIR3YVGFfEpyFESummAta6sg/edit"", ""Sheet1!B:D""), 2, FALSE), ""Not Found"")"),"ə")</f>
        <v>ə</v>
      </c>
      <c r="E2392" s="2" t="str">
        <f>IFERROR(__xludf.DUMMYFUNCTION("IFERROR(VLOOKUP(A2392, IMPORTRANGE(""https://docs.google.com/spreadsheets/d/1-3Vjw2Cyy-mry5gbC8ypIR3YVGFfEpyFESummAta6sg/edit"", ""Sheet1!B:D""), 3, FALSE), ""Not Found"")"),"ə ")</f>
        <v>ə </v>
      </c>
    </row>
    <row r="2393">
      <c r="A2393" s="1" t="s">
        <v>2396</v>
      </c>
      <c r="B2393" s="1" t="s">
        <v>5</v>
      </c>
      <c r="C2393" s="2">
        <f>IFERROR(__xludf.DUMMYFUNCTION("IFERROR(VLOOKUP(A2393, IMPORTRANGE(""https://docs.google.com/spreadsheets/d/1AVX9GT0dgogEBStecCXMMQ29tWz3gBrtNB8yIromXbY/edit?gid=741673867"", ""out1g!A:B""), 2, FALSE), 0)"),496.0)</f>
        <v>496</v>
      </c>
      <c r="D2393" s="2" t="str">
        <f>IFERROR(__xludf.DUMMYFUNCTION("IFERROR(VLOOKUP(A2393, IMPORTRANGE(""https://docs.google.com/spreadsheets/d/1-3Vjw2Cyy-mry5gbC8ypIR3YVGFfEpyFESummAta6sg/edit"", ""Sheet1!B:D""), 2, FALSE), ""Not Found"")"),"hæts")</f>
        <v>hæts</v>
      </c>
      <c r="E2393" s="2" t="str">
        <f>IFERROR(__xludf.DUMMYFUNCTION("IFERROR(VLOOKUP(A2393, IMPORTRANGE(""https://docs.google.com/spreadsheets/d/1-3Vjw2Cyy-mry5gbC8ypIR3YVGFfEpyFESummAta6sg/edit"", ""Sheet1!B:D""), 3, FALSE), ""Not Found"")"),"h æ t s ")</f>
        <v>h æ t s </v>
      </c>
    </row>
    <row r="2394">
      <c r="A2394" s="1" t="s">
        <v>2397</v>
      </c>
      <c r="B2394" s="1" t="s">
        <v>5</v>
      </c>
      <c r="C2394" s="2">
        <f>IFERROR(__xludf.DUMMYFUNCTION("IFERROR(VLOOKUP(A2394, IMPORTRANGE(""https://docs.google.com/spreadsheets/d/1AVX9GT0dgogEBStecCXMMQ29tWz3gBrtNB8yIromXbY/edit?gid=741673867"", ""out1g!A:B""), 2, FALSE), 0)"),49.0)</f>
        <v>49</v>
      </c>
      <c r="D2394" s="2" t="str">
        <f>IFERROR(__xludf.DUMMYFUNCTION("IFERROR(VLOOKUP(A2394, IMPORTRANGE(""https://docs.google.com/spreadsheets/d/1-3Vjw2Cyy-mry5gbC8ypIR3YVGFfEpyFESummAta6sg/edit"", ""Sheet1!B:D""), 2, FALSE), ""Not Found"")"),"næpə")</f>
        <v>næpə</v>
      </c>
      <c r="E2394" s="2" t="str">
        <f>IFERROR(__xludf.DUMMYFUNCTION("IFERROR(VLOOKUP(A2394, IMPORTRANGE(""https://docs.google.com/spreadsheets/d/1-3Vjw2Cyy-mry5gbC8ypIR3YVGFfEpyFESummAta6sg/edit"", ""Sheet1!B:D""), 3, FALSE), ""Not Found"")"),"n æ p ə ")</f>
        <v>n æ p ə </v>
      </c>
    </row>
    <row r="2395">
      <c r="A2395" s="1" t="s">
        <v>2398</v>
      </c>
      <c r="B2395" s="1" t="s">
        <v>5</v>
      </c>
      <c r="C2395" s="2">
        <f>IFERROR(__xludf.DUMMYFUNCTION("IFERROR(VLOOKUP(A2395, IMPORTRANGE(""https://docs.google.com/spreadsheets/d/1AVX9GT0dgogEBStecCXMMQ29tWz3gBrtNB8yIromXbY/edit?gid=741673867"", ""out1g!A:B""), 2, FALSE), 0)"),177.0)</f>
        <v>177</v>
      </c>
      <c r="D2395" s="2" t="str">
        <f>IFERROR(__xludf.DUMMYFUNCTION("IFERROR(VLOOKUP(A2395, IMPORTRANGE(""https://docs.google.com/spreadsheets/d/1-3Vjw2Cyy-mry5gbC8ypIR3YVGFfEpyFESummAta6sg/edit"", ""Sheet1!B:D""), 2, FALSE), ""Not Found"")"),"təmi")</f>
        <v>təmi</v>
      </c>
      <c r="E2395" s="2" t="str">
        <f>IFERROR(__xludf.DUMMYFUNCTION("IFERROR(VLOOKUP(A2395, IMPORTRANGE(""https://docs.google.com/spreadsheets/d/1-3Vjw2Cyy-mry5gbC8ypIR3YVGFfEpyFESummAta6sg/edit"", ""Sheet1!B:D""), 3, FALSE), ""Not Found"")"),"t ə m i ")</f>
        <v>t ə m i </v>
      </c>
    </row>
    <row r="2396">
      <c r="A2396" s="1" t="s">
        <v>2399</v>
      </c>
      <c r="B2396" s="1" t="s">
        <v>5</v>
      </c>
      <c r="C2396" s="2">
        <f>IFERROR(__xludf.DUMMYFUNCTION("IFERROR(VLOOKUP(A2396, IMPORTRANGE(""https://docs.google.com/spreadsheets/d/1AVX9GT0dgogEBStecCXMMQ29tWz3gBrtNB8yIromXbY/edit?gid=741673867"", ""out1g!A:B""), 2, FALSE), 0)"),139.0)</f>
        <v>139</v>
      </c>
      <c r="D2396" s="2" t="str">
        <f>IFERROR(__xludf.DUMMYFUNCTION("IFERROR(VLOOKUP(A2396, IMPORTRANGE(""https://docs.google.com/spreadsheets/d/1-3Vjw2Cyy-mry5gbC8ypIR3YVGFfEpyFESummAta6sg/edit"", ""Sheet1!B:D""), 2, FALSE), ""Not Found"")"),"sərmən")</f>
        <v>sərmən</v>
      </c>
      <c r="E2396" s="2" t="str">
        <f>IFERROR(__xludf.DUMMYFUNCTION("IFERROR(VLOOKUP(A2396, IMPORTRANGE(""https://docs.google.com/spreadsheets/d/1-3Vjw2Cyy-mry5gbC8ypIR3YVGFfEpyFESummAta6sg/edit"", ""Sheet1!B:D""), 3, FALSE), ""Not Found"")"),"s ə r m ə n ")</f>
        <v>s ə r m ə n </v>
      </c>
    </row>
    <row r="2397">
      <c r="A2397" s="1" t="s">
        <v>2400</v>
      </c>
      <c r="B2397" s="1" t="s">
        <v>5</v>
      </c>
      <c r="C2397" s="2">
        <f>IFERROR(__xludf.DUMMYFUNCTION("IFERROR(VLOOKUP(A2397, IMPORTRANGE(""https://docs.google.com/spreadsheets/d/1AVX9GT0dgogEBStecCXMMQ29tWz3gBrtNB8yIromXbY/edit?gid=741673867"", ""out1g!A:B""), 2, FALSE), 0)"),207.0)</f>
        <v>207</v>
      </c>
      <c r="D2397" s="2" t="str">
        <f>IFERROR(__xludf.DUMMYFUNCTION("IFERROR(VLOOKUP(A2397, IMPORTRANGE(""https://docs.google.com/spreadsheets/d/1-3Vjw2Cyy-mry5gbC8ypIR3YVGFfEpyFESummAta6sg/edit"", ""Sheet1!B:D""), 2, FALSE), ""Not Found"")"),"stɪrɪŋ")</f>
        <v>stɪrɪŋ</v>
      </c>
      <c r="E2397" s="2" t="str">
        <f>IFERROR(__xludf.DUMMYFUNCTION("IFERROR(VLOOKUP(A2397, IMPORTRANGE(""https://docs.google.com/spreadsheets/d/1-3Vjw2Cyy-mry5gbC8ypIR3YVGFfEpyFESummAta6sg/edit"", ""Sheet1!B:D""), 3, FALSE), ""Not Found"")"),"s t ɪ r ɪ ŋ ")</f>
        <v>s t ɪ r ɪ ŋ </v>
      </c>
    </row>
    <row r="2398">
      <c r="A2398" s="1" t="s">
        <v>2401</v>
      </c>
      <c r="B2398" s="1" t="s">
        <v>5</v>
      </c>
      <c r="C2398" s="2">
        <f>IFERROR(__xludf.DUMMYFUNCTION("IFERROR(VLOOKUP(A2398, IMPORTRANGE(""https://docs.google.com/spreadsheets/d/1AVX9GT0dgogEBStecCXMMQ29tWz3gBrtNB8yIromXbY/edit?gid=741673867"", ""out1g!A:B""), 2, FALSE), 0)"),212.0)</f>
        <v>212</v>
      </c>
      <c r="D2398" s="2" t="str">
        <f>IFERROR(__xludf.DUMMYFUNCTION("IFERROR(VLOOKUP(A2398, IMPORTRANGE(""https://docs.google.com/spreadsheets/d/1-3Vjw2Cyy-mry5gbC8ypIR3YVGFfEpyFESummAta6sg/edit"", ""Sheet1!B:D""), 2, FALSE), ""Not Found"")"),"tɛnθ")</f>
        <v>tɛnθ</v>
      </c>
      <c r="E2398" s="2" t="str">
        <f>IFERROR(__xludf.DUMMYFUNCTION("IFERROR(VLOOKUP(A2398, IMPORTRANGE(""https://docs.google.com/spreadsheets/d/1-3Vjw2Cyy-mry5gbC8ypIR3YVGFfEpyFESummAta6sg/edit"", ""Sheet1!B:D""), 3, FALSE), ""Not Found"")"),"t ɛ n θ ")</f>
        <v>t ɛ n θ </v>
      </c>
    </row>
    <row r="2399">
      <c r="A2399" s="1" t="s">
        <v>2402</v>
      </c>
      <c r="B2399" s="1" t="s">
        <v>5</v>
      </c>
      <c r="C2399" s="2">
        <f>IFERROR(__xludf.DUMMYFUNCTION("IFERROR(VLOOKUP(A2399, IMPORTRANGE(""https://docs.google.com/spreadsheets/d/1AVX9GT0dgogEBStecCXMMQ29tWz3gBrtNB8yIromXbY/edit?gid=741673867"", ""out1g!A:B""), 2, FALSE), 0)"),188.0)</f>
        <v>188</v>
      </c>
      <c r="D2399" s="2" t="str">
        <f>IFERROR(__xludf.DUMMYFUNCTION("IFERROR(VLOOKUP(A2399, IMPORTRANGE(""https://docs.google.com/spreadsheets/d/1-3Vjw2Cyy-mry5gbC8ypIR3YVGFfEpyFESummAta6sg/edit"", ""Sheet1!B:D""), 2, FALSE), ""Not Found"")"),"bɪtən")</f>
        <v>bɪtən</v>
      </c>
      <c r="E2399" s="2" t="str">
        <f>IFERROR(__xludf.DUMMYFUNCTION("IFERROR(VLOOKUP(A2399, IMPORTRANGE(""https://docs.google.com/spreadsheets/d/1-3Vjw2Cyy-mry5gbC8ypIR3YVGFfEpyFESummAta6sg/edit"", ""Sheet1!B:D""), 3, FALSE), ""Not Found"")"),"b ɪ t ə n ")</f>
        <v>b ɪ t ə n </v>
      </c>
    </row>
    <row r="2400">
      <c r="A2400" s="1" t="s">
        <v>2403</v>
      </c>
      <c r="B2400" s="1" t="s">
        <v>5</v>
      </c>
      <c r="C2400" s="2">
        <f>IFERROR(__xludf.DUMMYFUNCTION("IFERROR(VLOOKUP(A2400, IMPORTRANGE(""https://docs.google.com/spreadsheets/d/1AVX9GT0dgogEBStecCXMMQ29tWz3gBrtNB8yIromXbY/edit?gid=741673867"", ""out1g!A:B""), 2, FALSE), 0)"),60.0)</f>
        <v>60</v>
      </c>
      <c r="D2400" s="2" t="str">
        <f>IFERROR(__xludf.DUMMYFUNCTION("IFERROR(VLOOKUP(A2400, IMPORTRANGE(""https://docs.google.com/spreadsheets/d/1-3Vjw2Cyy-mry5gbC8ypIR3YVGFfEpyFESummAta6sg/edit"", ""Sheet1!B:D""), 2, FALSE), ""Not Found"")"),"bɔrn")</f>
        <v>bɔrn</v>
      </c>
      <c r="E2400" s="2" t="str">
        <f>IFERROR(__xludf.DUMMYFUNCTION("IFERROR(VLOOKUP(A2400, IMPORTRANGE(""https://docs.google.com/spreadsheets/d/1-3Vjw2Cyy-mry5gbC8ypIR3YVGFfEpyFESummAta6sg/edit"", ""Sheet1!B:D""), 3, FALSE), ""Not Found"")"),"b ɔ r n ")</f>
        <v>b ɔ r n </v>
      </c>
    </row>
    <row r="2401">
      <c r="A2401" s="1" t="s">
        <v>2404</v>
      </c>
      <c r="B2401" s="1" t="s">
        <v>5</v>
      </c>
      <c r="C2401" s="2">
        <f>IFERROR(__xludf.DUMMYFUNCTION("IFERROR(VLOOKUP(A2401, IMPORTRANGE(""https://docs.google.com/spreadsheets/d/1AVX9GT0dgogEBStecCXMMQ29tWz3gBrtNB8yIromXbY/edit?gid=741673867"", ""out1g!A:B""), 2, FALSE), 0)"),66.0)</f>
        <v>66</v>
      </c>
      <c r="D2401" s="2" t="str">
        <f>IFERROR(__xludf.DUMMYFUNCTION("IFERROR(VLOOKUP(A2401, IMPORTRANGE(""https://docs.google.com/spreadsheets/d/1-3Vjw2Cyy-mry5gbC8ypIR3YVGFfEpyFESummAta6sg/edit"", ""Sheet1!B:D""), 2, FALSE), ""Not Found"")"),"bərp")</f>
        <v>bərp</v>
      </c>
      <c r="E2401" s="2" t="str">
        <f>IFERROR(__xludf.DUMMYFUNCTION("IFERROR(VLOOKUP(A2401, IMPORTRANGE(""https://docs.google.com/spreadsheets/d/1-3Vjw2Cyy-mry5gbC8ypIR3YVGFfEpyFESummAta6sg/edit"", ""Sheet1!B:D""), 3, FALSE), ""Not Found"")"),"b ə r p ")</f>
        <v>b ə r p </v>
      </c>
    </row>
    <row r="2402">
      <c r="A2402" s="1" t="s">
        <v>2405</v>
      </c>
      <c r="B2402" s="1" t="s">
        <v>5</v>
      </c>
      <c r="C2402" s="2">
        <f>IFERROR(__xludf.DUMMYFUNCTION("IFERROR(VLOOKUP(A2402, IMPORTRANGE(""https://docs.google.com/spreadsheets/d/1AVX9GT0dgogEBStecCXMMQ29tWz3gBrtNB8yIromXbY/edit?gid=741673867"", ""out1g!A:B""), 2, FALSE), 0)"),646.0)</f>
        <v>646</v>
      </c>
      <c r="D2402" s="2" t="str">
        <f>IFERROR(__xludf.DUMMYFUNCTION("IFERROR(VLOOKUP(A2402, IMPORTRANGE(""https://docs.google.com/spreadsheets/d/1-3Vjw2Cyy-mry5gbC8ypIR3YVGFfEpyFESummAta6sg/edit"", ""Sheet1!B:D""), 2, FALSE), ""Not Found"")"),"strɪŋ")</f>
        <v>strɪŋ</v>
      </c>
      <c r="E2402" s="2" t="str">
        <f>IFERROR(__xludf.DUMMYFUNCTION("IFERROR(VLOOKUP(A2402, IMPORTRANGE(""https://docs.google.com/spreadsheets/d/1-3Vjw2Cyy-mry5gbC8ypIR3YVGFfEpyFESummAta6sg/edit"", ""Sheet1!B:D""), 3, FALSE), ""Not Found"")"),"s t r ɪ ŋ ")</f>
        <v>s t r ɪ ŋ </v>
      </c>
    </row>
    <row r="2403">
      <c r="A2403" s="1" t="s">
        <v>2406</v>
      </c>
      <c r="B2403" s="1" t="s">
        <v>5</v>
      </c>
      <c r="C2403" s="2">
        <f>IFERROR(__xludf.DUMMYFUNCTION("IFERROR(VLOOKUP(A2403, IMPORTRANGE(""https://docs.google.com/spreadsheets/d/1AVX9GT0dgogEBStecCXMMQ29tWz3gBrtNB8yIromXbY/edit?gid=741673867"", ""out1g!A:B""), 2, FALSE), 0)"),50.0)</f>
        <v>50</v>
      </c>
      <c r="D2403" s="2" t="str">
        <f>IFERROR(__xludf.DUMMYFUNCTION("IFERROR(VLOOKUP(A2403, IMPORTRANGE(""https://docs.google.com/spreadsheets/d/1-3Vjw2Cyy-mry5gbC8ypIR3YVGFfEpyFESummAta6sg/edit"", ""Sheet1!B:D""), 2, FALSE), ""Not Found"")"),"stɪʧt")</f>
        <v>stɪʧt</v>
      </c>
      <c r="E2403" s="2" t="str">
        <f>IFERROR(__xludf.DUMMYFUNCTION("IFERROR(VLOOKUP(A2403, IMPORTRANGE(""https://docs.google.com/spreadsheets/d/1-3Vjw2Cyy-mry5gbC8ypIR3YVGFfEpyFESummAta6sg/edit"", ""Sheet1!B:D""), 3, FALSE), ""Not Found"")"),"s t ɪ ʧ t ")</f>
        <v>s t ɪ ʧ t </v>
      </c>
    </row>
    <row r="2404">
      <c r="A2404" s="1" t="s">
        <v>2407</v>
      </c>
      <c r="B2404" s="1" t="s">
        <v>5</v>
      </c>
      <c r="C2404" s="2">
        <f>IFERROR(__xludf.DUMMYFUNCTION("IFERROR(VLOOKUP(A2404, IMPORTRANGE(""https://docs.google.com/spreadsheets/d/1AVX9GT0dgogEBStecCXMMQ29tWz3gBrtNB8yIromXbY/edit?gid=741673867"", ""out1g!A:B""), 2, FALSE), 0)"),289.0)</f>
        <v>289</v>
      </c>
      <c r="D2404" s="2" t="str">
        <f>IFERROR(__xludf.DUMMYFUNCTION("IFERROR(VLOOKUP(A2404, IMPORTRANGE(""https://docs.google.com/spreadsheets/d/1-3Vjw2Cyy-mry5gbC8ypIR3YVGFfEpyFESummAta6sg/edit"", ""Sheet1!B:D""), 2, FALSE), ""Not Found"")"),"soʊfiə")</f>
        <v>soʊfiə</v>
      </c>
      <c r="E2404" s="2" t="str">
        <f>IFERROR(__xludf.DUMMYFUNCTION("IFERROR(VLOOKUP(A2404, IMPORTRANGE(""https://docs.google.com/spreadsheets/d/1-3Vjw2Cyy-mry5gbC8ypIR3YVGFfEpyFESummAta6sg/edit"", ""Sheet1!B:D""), 3, FALSE), ""Not Found"")"),"s o ʊ f i ə ")</f>
        <v>s o ʊ f i ə </v>
      </c>
    </row>
    <row r="2405">
      <c r="A2405" s="1" t="s">
        <v>2408</v>
      </c>
      <c r="B2405" s="1" t="s">
        <v>5</v>
      </c>
      <c r="C2405" s="2">
        <f>IFERROR(__xludf.DUMMYFUNCTION("IFERROR(VLOOKUP(A2405, IMPORTRANGE(""https://docs.google.com/spreadsheets/d/1AVX9GT0dgogEBStecCXMMQ29tWz3gBrtNB8yIromXbY/edit?gid=741673867"", ""out1g!A:B""), 2, FALSE), 0)"),10767.0)</f>
        <v>10767</v>
      </c>
      <c r="D2405" s="2" t="str">
        <f>IFERROR(__xludf.DUMMYFUNCTION("IFERROR(VLOOKUP(A2405, IMPORTRANGE(""https://docs.google.com/spreadsheets/d/1-3Vjw2Cyy-mry5gbC8ypIR3YVGFfEpyFESummAta6sg/edit"", ""Sheet1!B:D""), 2, FALSE), ""Not Found"")"),"wetɪŋ")</f>
        <v>wetɪŋ</v>
      </c>
      <c r="E2405" s="2" t="str">
        <f>IFERROR(__xludf.DUMMYFUNCTION("IFERROR(VLOOKUP(A2405, IMPORTRANGE(""https://docs.google.com/spreadsheets/d/1-3Vjw2Cyy-mry5gbC8ypIR3YVGFfEpyFESummAta6sg/edit"", ""Sheet1!B:D""), 3, FALSE), ""Not Found"")"),"w e t ɪ ŋ ")</f>
        <v>w e t ɪ ŋ </v>
      </c>
    </row>
    <row r="2406">
      <c r="A2406" s="1" t="s">
        <v>2409</v>
      </c>
      <c r="B2406" s="1" t="s">
        <v>5</v>
      </c>
      <c r="C2406" s="2">
        <f>IFERROR(__xludf.DUMMYFUNCTION("IFERROR(VLOOKUP(A2406, IMPORTRANGE(""https://docs.google.com/spreadsheets/d/1AVX9GT0dgogEBStecCXMMQ29tWz3gBrtNB8yIromXbY/edit?gid=741673867"", ""out1g!A:B""), 2, FALSE), 0)"),104.0)</f>
        <v>104</v>
      </c>
      <c r="D2406" s="2" t="str">
        <f>IFERROR(__xludf.DUMMYFUNCTION("IFERROR(VLOOKUP(A2406, IMPORTRANGE(""https://docs.google.com/spreadsheets/d/1-3Vjw2Cyy-mry5gbC8ypIR3YVGFfEpyFESummAta6sg/edit"", ""Sheet1!B:D""), 2, FALSE), ""Not Found"")"),"sɔl")</f>
        <v>sɔl</v>
      </c>
      <c r="E2406" s="2" t="str">
        <f>IFERROR(__xludf.DUMMYFUNCTION("IFERROR(VLOOKUP(A2406, IMPORTRANGE(""https://docs.google.com/spreadsheets/d/1-3Vjw2Cyy-mry5gbC8ypIR3YVGFfEpyFESummAta6sg/edit"", ""Sheet1!B:D""), 3, FALSE), ""Not Found"")"),"s ɔ l ")</f>
        <v>s ɔ l </v>
      </c>
    </row>
    <row r="2407">
      <c r="A2407" s="1" t="s">
        <v>2410</v>
      </c>
      <c r="B2407" s="1" t="s">
        <v>5</v>
      </c>
      <c r="C2407" s="2">
        <f>IFERROR(__xludf.DUMMYFUNCTION("IFERROR(VLOOKUP(A2407, IMPORTRANGE(""https://docs.google.com/spreadsheets/d/1AVX9GT0dgogEBStecCXMMQ29tWz3gBrtNB8yIromXbY/edit?gid=741673867"", ""out1g!A:B""), 2, FALSE), 0)"),437.0)</f>
        <v>437</v>
      </c>
      <c r="D2407" s="2" t="str">
        <f>IFERROR(__xludf.DUMMYFUNCTION("IFERROR(VLOOKUP(A2407, IMPORTRANGE(""https://docs.google.com/spreadsheets/d/1-3Vjw2Cyy-mry5gbC8ypIR3YVGFfEpyFESummAta6sg/edit"", ""Sheet1!B:D""), 2, FALSE), ""Not Found"")"),"bɛdz")</f>
        <v>bɛdz</v>
      </c>
      <c r="E2407" s="2" t="str">
        <f>IFERROR(__xludf.DUMMYFUNCTION("IFERROR(VLOOKUP(A2407, IMPORTRANGE(""https://docs.google.com/spreadsheets/d/1-3Vjw2Cyy-mry5gbC8ypIR3YVGFfEpyFESummAta6sg/edit"", ""Sheet1!B:D""), 3, FALSE), ""Not Found"")"),"b ɛ d z ")</f>
        <v>b ɛ d z </v>
      </c>
    </row>
    <row r="2408">
      <c r="A2408" s="1" t="s">
        <v>2411</v>
      </c>
      <c r="B2408" s="1" t="s">
        <v>5</v>
      </c>
      <c r="C2408" s="2">
        <f>IFERROR(__xludf.DUMMYFUNCTION("IFERROR(VLOOKUP(A2408, IMPORTRANGE(""https://docs.google.com/spreadsheets/d/1AVX9GT0dgogEBStecCXMMQ29tWz3gBrtNB8yIromXbY/edit?gid=741673867"", ""out1g!A:B""), 2, FALSE), 0)"),2299.0)</f>
        <v>2299</v>
      </c>
      <c r="D2408" s="2" t="str">
        <f>IFERROR(__xludf.DUMMYFUNCTION("IFERROR(VLOOKUP(A2408, IMPORTRANGE(""https://docs.google.com/spreadsheets/d/1-3Vjw2Cyy-mry5gbC8ypIR3YVGFfEpyFESummAta6sg/edit"", ""Sheet1!B:D""), 2, FALSE), ""Not Found"")"),"prɪns")</f>
        <v>prɪns</v>
      </c>
      <c r="E2408" s="2" t="str">
        <f>IFERROR(__xludf.DUMMYFUNCTION("IFERROR(VLOOKUP(A2408, IMPORTRANGE(""https://docs.google.com/spreadsheets/d/1-3Vjw2Cyy-mry5gbC8ypIR3YVGFfEpyFESummAta6sg/edit"", ""Sheet1!B:D""), 3, FALSE), ""Not Found"")"),"p r ɪ n s ")</f>
        <v>p r ɪ n s </v>
      </c>
    </row>
    <row r="2409">
      <c r="A2409" s="1" t="s">
        <v>2412</v>
      </c>
      <c r="B2409" s="1" t="s">
        <v>5</v>
      </c>
      <c r="C2409" s="2">
        <f>IFERROR(__xludf.DUMMYFUNCTION("IFERROR(VLOOKUP(A2409, IMPORTRANGE(""https://docs.google.com/spreadsheets/d/1AVX9GT0dgogEBStecCXMMQ29tWz3gBrtNB8yIromXbY/edit?gid=741673867"", ""out1g!A:B""), 2, FALSE), 0)"),83.0)</f>
        <v>83</v>
      </c>
      <c r="D2409" s="2" t="str">
        <f>IFERROR(__xludf.DUMMYFUNCTION("IFERROR(VLOOKUP(A2409, IMPORTRANGE(""https://docs.google.com/spreadsheets/d/1-3Vjw2Cyy-mry5gbC8ypIR3YVGFfEpyFESummAta6sg/edit"", ""Sheet1!B:D""), 2, FALSE), ""Not Found"")"),"gɪgz")</f>
        <v>gɪgz</v>
      </c>
      <c r="E2409" s="2" t="str">
        <f>IFERROR(__xludf.DUMMYFUNCTION("IFERROR(VLOOKUP(A2409, IMPORTRANGE(""https://docs.google.com/spreadsheets/d/1-3Vjw2Cyy-mry5gbC8ypIR3YVGFfEpyFESummAta6sg/edit"", ""Sheet1!B:D""), 3, FALSE), ""Not Found"")"),"g ɪ g z ")</f>
        <v>g ɪ g z </v>
      </c>
    </row>
    <row r="2410">
      <c r="A2410" s="1" t="s">
        <v>2413</v>
      </c>
      <c r="B2410" s="1" t="s">
        <v>5</v>
      </c>
      <c r="C2410" s="2">
        <f>IFERROR(__xludf.DUMMYFUNCTION("IFERROR(VLOOKUP(A2410, IMPORTRANGE(""https://docs.google.com/spreadsheets/d/1AVX9GT0dgogEBStecCXMMQ29tWz3gBrtNB8yIromXbY/edit?gid=741673867"", ""out1g!A:B""), 2, FALSE), 0)"),2311.0)</f>
        <v>2311</v>
      </c>
      <c r="D2410" s="2" t="str">
        <f>IFERROR(__xludf.DUMMYFUNCTION("IFERROR(VLOOKUP(A2410, IMPORTRANGE(""https://docs.google.com/spreadsheets/d/1-3Vjw2Cyy-mry5gbC8ypIR3YVGFfEpyFESummAta6sg/edit"", ""Sheet1!B:D""), 2, FALSE), ""Not Found"")"),"saɪt")</f>
        <v>saɪt</v>
      </c>
      <c r="E2410" s="2" t="str">
        <f>IFERROR(__xludf.DUMMYFUNCTION("IFERROR(VLOOKUP(A2410, IMPORTRANGE(""https://docs.google.com/spreadsheets/d/1-3Vjw2Cyy-mry5gbC8ypIR3YVGFfEpyFESummAta6sg/edit"", ""Sheet1!B:D""), 3, FALSE), ""Not Found"")"),"s a ɪ t ")</f>
        <v>s a ɪ t </v>
      </c>
    </row>
    <row r="2411">
      <c r="A2411" s="1" t="s">
        <v>2414</v>
      </c>
      <c r="B2411" s="1" t="s">
        <v>5</v>
      </c>
      <c r="C2411" s="2">
        <f>IFERROR(__xludf.DUMMYFUNCTION("IFERROR(VLOOKUP(A2411, IMPORTRANGE(""https://docs.google.com/spreadsheets/d/1AVX9GT0dgogEBStecCXMMQ29tWz3gBrtNB8yIromXbY/edit?gid=741673867"", ""out1g!A:B""), 2, FALSE), 0)"),129.0)</f>
        <v>129</v>
      </c>
      <c r="D2411" s="2" t="str">
        <f>IFERROR(__xludf.DUMMYFUNCTION("IFERROR(VLOOKUP(A2411, IMPORTRANGE(""https://docs.google.com/spreadsheets/d/1-3Vjw2Cyy-mry5gbC8ypIR3YVGFfEpyFESummAta6sg/edit"", ""Sheet1!B:D""), 2, FALSE), ""Not Found"")"),"swe")</f>
        <v>swe</v>
      </c>
      <c r="E2411" s="2" t="str">
        <f>IFERROR(__xludf.DUMMYFUNCTION("IFERROR(VLOOKUP(A2411, IMPORTRANGE(""https://docs.google.com/spreadsheets/d/1-3Vjw2Cyy-mry5gbC8ypIR3YVGFfEpyFESummAta6sg/edit"", ""Sheet1!B:D""), 3, FALSE), ""Not Found"")"),"s w e ")</f>
        <v>s w e </v>
      </c>
    </row>
    <row r="2412">
      <c r="A2412" s="1" t="s">
        <v>2415</v>
      </c>
      <c r="B2412" s="1" t="s">
        <v>5</v>
      </c>
      <c r="C2412" s="2">
        <f>IFERROR(__xludf.DUMMYFUNCTION("IFERROR(VLOOKUP(A2412, IMPORTRANGE(""https://docs.google.com/spreadsheets/d/1AVX9GT0dgogEBStecCXMMQ29tWz3gBrtNB8yIromXbY/edit?gid=741673867"", ""out1g!A:B""), 2, FALSE), 0)"),1057301.0)</f>
        <v>1057301</v>
      </c>
      <c r="D2412" s="2" t="str">
        <f>IFERROR(__xludf.DUMMYFUNCTION("IFERROR(VLOOKUP(A2412, IMPORTRANGE(""https://docs.google.com/spreadsheets/d/1-3Vjw2Cyy-mry5gbC8ypIR3YVGFfEpyFESummAta6sg/edit"", ""Sheet1!B:D""), 2, FALSE), ""Not Found"")"),"ɛs")</f>
        <v>ɛs</v>
      </c>
      <c r="E2412" s="2" t="str">
        <f>IFERROR(__xludf.DUMMYFUNCTION("IFERROR(VLOOKUP(A2412, IMPORTRANGE(""https://docs.google.com/spreadsheets/d/1-3Vjw2Cyy-mry5gbC8ypIR3YVGFfEpyFESummAta6sg/edit"", ""Sheet1!B:D""), 3, FALSE), ""Not Found"")"),"ɛ s ")</f>
        <v>ɛ s </v>
      </c>
    </row>
    <row r="2413">
      <c r="A2413" s="1" t="s">
        <v>2416</v>
      </c>
      <c r="B2413" s="1" t="s">
        <v>5</v>
      </c>
      <c r="C2413" s="2">
        <f>IFERROR(__xludf.DUMMYFUNCTION("IFERROR(VLOOKUP(A2413, IMPORTRANGE(""https://docs.google.com/spreadsheets/d/1AVX9GT0dgogEBStecCXMMQ29tWz3gBrtNB8yIromXbY/edit?gid=741673867"", ""out1g!A:B""), 2, FALSE), 0)"),1013.0)</f>
        <v>1013</v>
      </c>
      <c r="D2413" s="2" t="str">
        <f>IFERROR(__xludf.DUMMYFUNCTION("IFERROR(VLOOKUP(A2413, IMPORTRANGE(""https://docs.google.com/spreadsheets/d/1-3Vjw2Cyy-mry5gbC8ypIR3YVGFfEpyFESummAta6sg/edit"", ""Sheet1!B:D""), 2, FALSE), ""Not Found"")"),"bɛri")</f>
        <v>bɛri</v>
      </c>
      <c r="E2413" s="2" t="str">
        <f>IFERROR(__xludf.DUMMYFUNCTION("IFERROR(VLOOKUP(A2413, IMPORTRANGE(""https://docs.google.com/spreadsheets/d/1-3Vjw2Cyy-mry5gbC8ypIR3YVGFfEpyFESummAta6sg/edit"", ""Sheet1!B:D""), 3, FALSE), ""Not Found"")"),"b ɛ r i ")</f>
        <v>b ɛ r i </v>
      </c>
    </row>
    <row r="2414">
      <c r="A2414" s="1" t="s">
        <v>2417</v>
      </c>
      <c r="B2414" s="1" t="s">
        <v>5</v>
      </c>
      <c r="C2414" s="2">
        <f>IFERROR(__xludf.DUMMYFUNCTION("IFERROR(VLOOKUP(A2414, IMPORTRANGE(""https://docs.google.com/spreadsheets/d/1AVX9GT0dgogEBStecCXMMQ29tWz3gBrtNB8yIromXbY/edit?gid=741673867"", ""out1g!A:B""), 2, FALSE), 0)"),1224.0)</f>
        <v>1224</v>
      </c>
      <c r="D2414" s="2" t="str">
        <f>IFERROR(__xludf.DUMMYFUNCTION("IFERROR(VLOOKUP(A2414, IMPORTRANGE(""https://docs.google.com/spreadsheets/d/1-3Vjw2Cyy-mry5gbC8ypIR3YVGFfEpyFESummAta6sg/edit"", ""Sheet1!B:D""), 2, FALSE), ""Not Found"")"),"pʊts")</f>
        <v>pʊts</v>
      </c>
      <c r="E2414" s="2" t="str">
        <f>IFERROR(__xludf.DUMMYFUNCTION("IFERROR(VLOOKUP(A2414, IMPORTRANGE(""https://docs.google.com/spreadsheets/d/1-3Vjw2Cyy-mry5gbC8ypIR3YVGFfEpyFESummAta6sg/edit"", ""Sheet1!B:D""), 3, FALSE), ""Not Found"")"),"p ʊ t s ")</f>
        <v>p ʊ t s </v>
      </c>
    </row>
    <row r="2415">
      <c r="A2415" s="1" t="s">
        <v>2418</v>
      </c>
      <c r="B2415" s="1" t="s">
        <v>5</v>
      </c>
      <c r="C2415" s="2">
        <f>IFERROR(__xludf.DUMMYFUNCTION("IFERROR(VLOOKUP(A2415, IMPORTRANGE(""https://docs.google.com/spreadsheets/d/1AVX9GT0dgogEBStecCXMMQ29tWz3gBrtNB8yIromXbY/edit?gid=741673867"", ""out1g!A:B""), 2, FALSE), 0)"),366.0)</f>
        <v>366</v>
      </c>
      <c r="D2415" s="2" t="str">
        <f>IFERROR(__xludf.DUMMYFUNCTION("IFERROR(VLOOKUP(A2415, IMPORTRANGE(""https://docs.google.com/spreadsheets/d/1-3Vjw2Cyy-mry5gbC8ypIR3YVGFfEpyFESummAta6sg/edit"", ""Sheet1!B:D""), 2, FALSE), ""Not Found"")"),"raɪdz")</f>
        <v>raɪdz</v>
      </c>
      <c r="E2415" s="2" t="str">
        <f>IFERROR(__xludf.DUMMYFUNCTION("IFERROR(VLOOKUP(A2415, IMPORTRANGE(""https://docs.google.com/spreadsheets/d/1-3Vjw2Cyy-mry5gbC8ypIR3YVGFfEpyFESummAta6sg/edit"", ""Sheet1!B:D""), 3, FALSE), ""Not Found"")"),"r a ɪ d z ")</f>
        <v>r a ɪ d z </v>
      </c>
    </row>
    <row r="2416">
      <c r="A2416" s="1" t="s">
        <v>2419</v>
      </c>
      <c r="B2416" s="1" t="s">
        <v>5</v>
      </c>
      <c r="C2416" s="2">
        <f>IFERROR(__xludf.DUMMYFUNCTION("IFERROR(VLOOKUP(A2416, IMPORTRANGE(""https://docs.google.com/spreadsheets/d/1AVX9GT0dgogEBStecCXMMQ29tWz3gBrtNB8yIromXbY/edit?gid=741673867"", ""out1g!A:B""), 2, FALSE), 0)"),253.0)</f>
        <v>253</v>
      </c>
      <c r="D2416" s="2" t="str">
        <f>IFERROR(__xludf.DUMMYFUNCTION("IFERROR(VLOOKUP(A2416, IMPORTRANGE(""https://docs.google.com/spreadsheets/d/1-3Vjw2Cyy-mry5gbC8ypIR3YVGFfEpyFESummAta6sg/edit"", ""Sheet1!B:D""), 2, FALSE), ""Not Found"")"),"nɑ")</f>
        <v>nɑ</v>
      </c>
      <c r="E2416" s="2" t="str">
        <f>IFERROR(__xludf.DUMMYFUNCTION("IFERROR(VLOOKUP(A2416, IMPORTRANGE(""https://docs.google.com/spreadsheets/d/1-3Vjw2Cyy-mry5gbC8ypIR3YVGFfEpyFESummAta6sg/edit"", ""Sheet1!B:D""), 3, FALSE), ""Not Found"")"),"n ɑ ")</f>
        <v>n ɑ </v>
      </c>
    </row>
    <row r="2417">
      <c r="A2417" s="1" t="s">
        <v>2420</v>
      </c>
      <c r="B2417" s="1" t="s">
        <v>5</v>
      </c>
      <c r="C2417" s="2">
        <f>IFERROR(__xludf.DUMMYFUNCTION("IFERROR(VLOOKUP(A2417, IMPORTRANGE(""https://docs.google.com/spreadsheets/d/1AVX9GT0dgogEBStecCXMMQ29tWz3gBrtNB8yIromXbY/edit?gid=741673867"", ""out1g!A:B""), 2, FALSE), 0)"),722.0)</f>
        <v>722</v>
      </c>
      <c r="D2417" s="2" t="str">
        <f>IFERROR(__xludf.DUMMYFUNCTION("IFERROR(VLOOKUP(A2417, IMPORTRANGE(""https://docs.google.com/spreadsheets/d/1-3Vjw2Cyy-mry5gbC8ypIR3YVGFfEpyFESummAta6sg/edit"", ""Sheet1!B:D""), 2, FALSE), ""Not Found"")"),"hoʊmz")</f>
        <v>hoʊmz</v>
      </c>
      <c r="E2417" s="2" t="str">
        <f>IFERROR(__xludf.DUMMYFUNCTION("IFERROR(VLOOKUP(A2417, IMPORTRANGE(""https://docs.google.com/spreadsheets/d/1-3Vjw2Cyy-mry5gbC8ypIR3YVGFfEpyFESummAta6sg/edit"", ""Sheet1!B:D""), 3, FALSE), ""Not Found"")"),"h o ʊ m z ")</f>
        <v>h o ʊ m z </v>
      </c>
    </row>
    <row r="2418">
      <c r="A2418" s="1" t="s">
        <v>2421</v>
      </c>
      <c r="B2418" s="1" t="s">
        <v>5</v>
      </c>
      <c r="C2418" s="2">
        <f>IFERROR(__xludf.DUMMYFUNCTION("IFERROR(VLOOKUP(A2418, IMPORTRANGE(""https://docs.google.com/spreadsheets/d/1AVX9GT0dgogEBStecCXMMQ29tWz3gBrtNB8yIromXbY/edit?gid=741673867"", ""out1g!A:B""), 2, FALSE), 0)"),12.0)</f>
        <v>12</v>
      </c>
      <c r="D2418" s="2" t="str">
        <f>IFERROR(__xludf.DUMMYFUNCTION("IFERROR(VLOOKUP(A2418, IMPORTRANGE(""https://docs.google.com/spreadsheets/d/1-3Vjw2Cyy-mry5gbC8ypIR3YVGFfEpyFESummAta6sg/edit"", ""Sheet1!B:D""), 2, FALSE), ""Not Found"")"),"sæks")</f>
        <v>sæks</v>
      </c>
      <c r="E2418" s="2" t="str">
        <f>IFERROR(__xludf.DUMMYFUNCTION("IFERROR(VLOOKUP(A2418, IMPORTRANGE(""https://docs.google.com/spreadsheets/d/1-3Vjw2Cyy-mry5gbC8ypIR3YVGFfEpyFESummAta6sg/edit"", ""Sheet1!B:D""), 3, FALSE), ""Not Found"")"),"s æ k s ")</f>
        <v>s æ k s </v>
      </c>
    </row>
    <row r="2419">
      <c r="A2419" s="1" t="s">
        <v>2422</v>
      </c>
      <c r="B2419" s="1" t="s">
        <v>5</v>
      </c>
      <c r="C2419" s="2">
        <f>IFERROR(__xludf.DUMMYFUNCTION("IFERROR(VLOOKUP(A2419, IMPORTRANGE(""https://docs.google.com/spreadsheets/d/1AVX9GT0dgogEBStecCXMMQ29tWz3gBrtNB8yIromXbY/edit?gid=741673867"", ""out1g!A:B""), 2, FALSE), 0)"),53.0)</f>
        <v>53</v>
      </c>
      <c r="D2419" s="2" t="str">
        <f>IFERROR(__xludf.DUMMYFUNCTION("IFERROR(VLOOKUP(A2419, IMPORTRANGE(""https://docs.google.com/spreadsheets/d/1-3Vjw2Cyy-mry5gbC8ypIR3YVGFfEpyFESummAta6sg/edit"", ""Sheet1!B:D""), 2, FALSE), ""Not Found"")"),"strets")</f>
        <v>strets</v>
      </c>
      <c r="E2419" s="2" t="str">
        <f>IFERROR(__xludf.DUMMYFUNCTION("IFERROR(VLOOKUP(A2419, IMPORTRANGE(""https://docs.google.com/spreadsheets/d/1-3Vjw2Cyy-mry5gbC8ypIR3YVGFfEpyFESummAta6sg/edit"", ""Sheet1!B:D""), 3, FALSE), ""Not Found"")"),"s t r e t s ")</f>
        <v>s t r e t s </v>
      </c>
    </row>
    <row r="2420">
      <c r="A2420" s="1" t="s">
        <v>2423</v>
      </c>
      <c r="B2420" s="1" t="s">
        <v>5</v>
      </c>
      <c r="C2420" s="2">
        <f>IFERROR(__xludf.DUMMYFUNCTION("IFERROR(VLOOKUP(A2420, IMPORTRANGE(""https://docs.google.com/spreadsheets/d/1AVX9GT0dgogEBStecCXMMQ29tWz3gBrtNB8yIromXbY/edit?gid=741673867"", ""out1g!A:B""), 2, FALSE), 0)"),71.0)</f>
        <v>71</v>
      </c>
      <c r="D2420" s="2" t="str">
        <f>IFERROR(__xludf.DUMMYFUNCTION("IFERROR(VLOOKUP(A2420, IMPORTRANGE(""https://docs.google.com/spreadsheets/d/1-3Vjw2Cyy-mry5gbC8ypIR3YVGFfEpyFESummAta6sg/edit"", ""Sheet1!B:D""), 2, FALSE), ""Not Found"")"),"kədli")</f>
        <v>kədli</v>
      </c>
      <c r="E2420" s="2" t="str">
        <f>IFERROR(__xludf.DUMMYFUNCTION("IFERROR(VLOOKUP(A2420, IMPORTRANGE(""https://docs.google.com/spreadsheets/d/1-3Vjw2Cyy-mry5gbC8ypIR3YVGFfEpyFESummAta6sg/edit"", ""Sheet1!B:D""), 3, FALSE), ""Not Found"")"),"k ə d l i ")</f>
        <v>k ə d l i </v>
      </c>
    </row>
    <row r="2421">
      <c r="A2421" s="1" t="s">
        <v>2424</v>
      </c>
      <c r="B2421" s="1" t="s">
        <v>5</v>
      </c>
      <c r="C2421" s="2">
        <f>IFERROR(__xludf.DUMMYFUNCTION("IFERROR(VLOOKUP(A2421, IMPORTRANGE(""https://docs.google.com/spreadsheets/d/1AVX9GT0dgogEBStecCXMMQ29tWz3gBrtNB8yIromXbY/edit?gid=741673867"", ""out1g!A:B""), 2, FALSE), 0)"),203.0)</f>
        <v>203</v>
      </c>
      <c r="D2421" s="2" t="str">
        <f>IFERROR(__xludf.DUMMYFUNCTION("IFERROR(VLOOKUP(A2421, IMPORTRANGE(""https://docs.google.com/spreadsheets/d/1-3Vjw2Cyy-mry5gbC8ypIR3YVGFfEpyFESummAta6sg/edit"", ""Sheet1!B:D""), 2, FALSE), ""Not Found"")"),"bætər")</f>
        <v>bætər</v>
      </c>
      <c r="E2421" s="2" t="str">
        <f>IFERROR(__xludf.DUMMYFUNCTION("IFERROR(VLOOKUP(A2421, IMPORTRANGE(""https://docs.google.com/spreadsheets/d/1-3Vjw2Cyy-mry5gbC8ypIR3YVGFfEpyFESummAta6sg/edit"", ""Sheet1!B:D""), 3, FALSE), ""Not Found"")"),"b æ t ə r ")</f>
        <v>b æ t ə r </v>
      </c>
    </row>
    <row r="2422">
      <c r="A2422" s="1" t="s">
        <v>2425</v>
      </c>
      <c r="B2422" s="1" t="s">
        <v>5</v>
      </c>
      <c r="C2422" s="2">
        <f>IFERROR(__xludf.DUMMYFUNCTION("IFERROR(VLOOKUP(A2422, IMPORTRANGE(""https://docs.google.com/spreadsheets/d/1AVX9GT0dgogEBStecCXMMQ29tWz3gBrtNB8yIromXbY/edit?gid=741673867"", ""out1g!A:B""), 2, FALSE), 0)"),38.0)</f>
        <v>38</v>
      </c>
      <c r="D2422" s="2" t="str">
        <f>IFERROR(__xludf.DUMMYFUNCTION("IFERROR(VLOOKUP(A2422, IMPORTRANGE(""https://docs.google.com/spreadsheets/d/1-3Vjw2Cyy-mry5gbC8ypIR3YVGFfEpyFESummAta6sg/edit"", ""Sheet1!B:D""), 2, FALSE), ""Not Found"")"),"gəmi")</f>
        <v>gəmi</v>
      </c>
      <c r="E2422" s="2" t="str">
        <f>IFERROR(__xludf.DUMMYFUNCTION("IFERROR(VLOOKUP(A2422, IMPORTRANGE(""https://docs.google.com/spreadsheets/d/1-3Vjw2Cyy-mry5gbC8ypIR3YVGFfEpyFESummAta6sg/edit"", ""Sheet1!B:D""), 3, FALSE), ""Not Found"")"),"g ə m i ")</f>
        <v>g ə m i </v>
      </c>
    </row>
    <row r="2423">
      <c r="A2423" s="1" t="s">
        <v>2426</v>
      </c>
      <c r="B2423" s="1" t="s">
        <v>5</v>
      </c>
      <c r="C2423" s="2">
        <f>IFERROR(__xludf.DUMMYFUNCTION("IFERROR(VLOOKUP(A2423, IMPORTRANGE(""https://docs.google.com/spreadsheets/d/1AVX9GT0dgogEBStecCXMMQ29tWz3gBrtNB8yIromXbY/edit?gid=741673867"", ""out1g!A:B""), 2, FALSE), 0)"),53.0)</f>
        <v>53</v>
      </c>
      <c r="D2423" s="2" t="str">
        <f>IFERROR(__xludf.DUMMYFUNCTION("IFERROR(VLOOKUP(A2423, IMPORTRANGE(""https://docs.google.com/spreadsheets/d/1-3Vjw2Cyy-mry5gbC8ypIR3YVGFfEpyFESummAta6sg/edit"", ""Sheet1!B:D""), 2, FALSE), ""Not Found"")"),"hezɪŋ")</f>
        <v>hezɪŋ</v>
      </c>
      <c r="E2423" s="2" t="str">
        <f>IFERROR(__xludf.DUMMYFUNCTION("IFERROR(VLOOKUP(A2423, IMPORTRANGE(""https://docs.google.com/spreadsheets/d/1-3Vjw2Cyy-mry5gbC8ypIR3YVGFfEpyFESummAta6sg/edit"", ""Sheet1!B:D""), 3, FALSE), ""Not Found"")"),"h e z ɪ ŋ ")</f>
        <v>h e z ɪ ŋ </v>
      </c>
    </row>
    <row r="2424">
      <c r="A2424" s="1" t="s">
        <v>2427</v>
      </c>
      <c r="B2424" s="1" t="s">
        <v>5</v>
      </c>
      <c r="C2424" s="2">
        <f>IFERROR(__xludf.DUMMYFUNCTION("IFERROR(VLOOKUP(A2424, IMPORTRANGE(""https://docs.google.com/spreadsheets/d/1AVX9GT0dgogEBStecCXMMQ29tWz3gBrtNB8yIromXbY/edit?gid=741673867"", ""out1g!A:B""), 2, FALSE), 0)"),349.0)</f>
        <v>349</v>
      </c>
      <c r="D2424" s="2" t="str">
        <f>IFERROR(__xludf.DUMMYFUNCTION("IFERROR(VLOOKUP(A2424, IMPORTRANGE(""https://docs.google.com/spreadsheets/d/1-3Vjw2Cyy-mry5gbC8ypIR3YVGFfEpyFESummAta6sg/edit"", ""Sheet1!B:D""), 2, FALSE), ""Not Found"")"),"ʃɔrti")</f>
        <v>ʃɔrti</v>
      </c>
      <c r="E2424" s="2" t="str">
        <f>IFERROR(__xludf.DUMMYFUNCTION("IFERROR(VLOOKUP(A2424, IMPORTRANGE(""https://docs.google.com/spreadsheets/d/1-3Vjw2Cyy-mry5gbC8ypIR3YVGFfEpyFESummAta6sg/edit"", ""Sheet1!B:D""), 3, FALSE), ""Not Found"")"),"ʃ ɔ r t i ")</f>
        <v>ʃ ɔ r t i </v>
      </c>
    </row>
    <row r="2425">
      <c r="A2425" s="1" t="s">
        <v>2428</v>
      </c>
      <c r="B2425" s="1" t="s">
        <v>5</v>
      </c>
      <c r="C2425" s="2">
        <f>IFERROR(__xludf.DUMMYFUNCTION("IFERROR(VLOOKUP(A2425, IMPORTRANGE(""https://docs.google.com/spreadsheets/d/1AVX9GT0dgogEBStecCXMMQ29tWz3gBrtNB8yIromXbY/edit?gid=741673867"", ""out1g!A:B""), 2, FALSE), 0)"),1213.0)</f>
        <v>1213</v>
      </c>
      <c r="D2425" s="2" t="str">
        <f>IFERROR(__xludf.DUMMYFUNCTION("IFERROR(VLOOKUP(A2425, IMPORTRANGE(""https://docs.google.com/spreadsheets/d/1-3Vjw2Cyy-mry5gbC8ypIR3YVGFfEpyFESummAta6sg/edit"", ""Sheet1!B:D""), 2, FALSE), ""Not Found"")"),"ɑnər")</f>
        <v>ɑnər</v>
      </c>
      <c r="E2425" s="2" t="str">
        <f>IFERROR(__xludf.DUMMYFUNCTION("IFERROR(VLOOKUP(A2425, IMPORTRANGE(""https://docs.google.com/spreadsheets/d/1-3Vjw2Cyy-mry5gbC8ypIR3YVGFfEpyFESummAta6sg/edit"", ""Sheet1!B:D""), 3, FALSE), ""Not Found"")"),"ɑ n ə r ")</f>
        <v>ɑ n ə r </v>
      </c>
    </row>
    <row r="2426">
      <c r="A2426" s="1" t="s">
        <v>2429</v>
      </c>
      <c r="B2426" s="1" t="s">
        <v>5</v>
      </c>
      <c r="C2426" s="2">
        <f>IFERROR(__xludf.DUMMYFUNCTION("IFERROR(VLOOKUP(A2426, IMPORTRANGE(""https://docs.google.com/spreadsheets/d/1AVX9GT0dgogEBStecCXMMQ29tWz3gBrtNB8yIromXbY/edit?gid=741673867"", ""out1g!A:B""), 2, FALSE), 0)"),621.0)</f>
        <v>621</v>
      </c>
      <c r="D2426" s="2" t="str">
        <f>IFERROR(__xludf.DUMMYFUNCTION("IFERROR(VLOOKUP(A2426, IMPORTRANGE(""https://docs.google.com/spreadsheets/d/1-3Vjw2Cyy-mry5gbC8ypIR3YVGFfEpyFESummAta6sg/edit"", ""Sheet1!B:D""), 2, FALSE), ""Not Found"")"),"lebər")</f>
        <v>lebər</v>
      </c>
      <c r="E2426" s="2" t="str">
        <f>IFERROR(__xludf.DUMMYFUNCTION("IFERROR(VLOOKUP(A2426, IMPORTRANGE(""https://docs.google.com/spreadsheets/d/1-3Vjw2Cyy-mry5gbC8ypIR3YVGFfEpyFESummAta6sg/edit"", ""Sheet1!B:D""), 3, FALSE), ""Not Found"")"),"l e b ə r ")</f>
        <v>l e b ə r </v>
      </c>
    </row>
    <row r="2427">
      <c r="A2427" s="1" t="s">
        <v>2430</v>
      </c>
      <c r="B2427" s="1" t="s">
        <v>5</v>
      </c>
      <c r="C2427" s="2">
        <f>IFERROR(__xludf.DUMMYFUNCTION("IFERROR(VLOOKUP(A2427, IMPORTRANGE(""https://docs.google.com/spreadsheets/d/1AVX9GT0dgogEBStecCXMMQ29tWz3gBrtNB8yIromXbY/edit?gid=741673867"", ""out1g!A:B""), 2, FALSE), 0)"),60.0)</f>
        <v>60</v>
      </c>
      <c r="D2427" s="2" t="str">
        <f>IFERROR(__xludf.DUMMYFUNCTION("IFERROR(VLOOKUP(A2427, IMPORTRANGE(""https://docs.google.com/spreadsheets/d/1-3Vjw2Cyy-mry5gbC8ypIR3YVGFfEpyFESummAta6sg/edit"", ""Sheet1!B:D""), 2, FALSE), ""Not Found"")"),"wuʃ")</f>
        <v>wuʃ</v>
      </c>
      <c r="E2427" s="2" t="str">
        <f>IFERROR(__xludf.DUMMYFUNCTION("IFERROR(VLOOKUP(A2427, IMPORTRANGE(""https://docs.google.com/spreadsheets/d/1-3Vjw2Cyy-mry5gbC8ypIR3YVGFfEpyFESummAta6sg/edit"", ""Sheet1!B:D""), 3, FALSE), ""Not Found"")"),"w u ʃ ")</f>
        <v>w u ʃ </v>
      </c>
    </row>
    <row r="2428">
      <c r="A2428" s="1" t="s">
        <v>2431</v>
      </c>
      <c r="B2428" s="1" t="s">
        <v>5</v>
      </c>
      <c r="C2428" s="2">
        <f>IFERROR(__xludf.DUMMYFUNCTION("IFERROR(VLOOKUP(A2428, IMPORTRANGE(""https://docs.google.com/spreadsheets/d/1AVX9GT0dgogEBStecCXMMQ29tWz3gBrtNB8yIromXbY/edit?gid=741673867"", ""out1g!A:B""), 2, FALSE), 0)"),9.0)</f>
        <v>9</v>
      </c>
      <c r="D2428" s="2" t="str">
        <f>IFERROR(__xludf.DUMMYFUNCTION("IFERROR(VLOOKUP(A2428, IMPORTRANGE(""https://docs.google.com/spreadsheets/d/1-3Vjw2Cyy-mry5gbC8ypIR3YVGFfEpyFESummAta6sg/edit"", ""Sheet1!B:D""), 2, FALSE), ""Not Found"")"),"drəʤ")</f>
        <v>drəʤ</v>
      </c>
      <c r="E2428" s="2" t="str">
        <f>IFERROR(__xludf.DUMMYFUNCTION("IFERROR(VLOOKUP(A2428, IMPORTRANGE(""https://docs.google.com/spreadsheets/d/1-3Vjw2Cyy-mry5gbC8ypIR3YVGFfEpyFESummAta6sg/edit"", ""Sheet1!B:D""), 3, FALSE), ""Not Found"")"),"d r ə ʤ ")</f>
        <v>d r ə ʤ </v>
      </c>
    </row>
    <row r="2429">
      <c r="A2429" s="1" t="s">
        <v>2432</v>
      </c>
      <c r="B2429" s="1" t="s">
        <v>5</v>
      </c>
      <c r="C2429" s="2">
        <f>IFERROR(__xludf.DUMMYFUNCTION("IFERROR(VLOOKUP(A2429, IMPORTRANGE(""https://docs.google.com/spreadsheets/d/1AVX9GT0dgogEBStecCXMMQ29tWz3gBrtNB8yIromXbY/edit?gid=741673867"", ""out1g!A:B""), 2, FALSE), 0)"),887.0)</f>
        <v>887</v>
      </c>
      <c r="D2429" s="2" t="str">
        <f>IFERROR(__xludf.DUMMYFUNCTION("IFERROR(VLOOKUP(A2429, IMPORTRANGE(""https://docs.google.com/spreadsheets/d/1-3Vjw2Cyy-mry5gbC8ypIR3YVGFfEpyFESummAta6sg/edit"", ""Sheet1!B:D""), 2, FALSE), ""Not Found"")"),"kupər")</f>
        <v>kupər</v>
      </c>
      <c r="E2429" s="2" t="str">
        <f>IFERROR(__xludf.DUMMYFUNCTION("IFERROR(VLOOKUP(A2429, IMPORTRANGE(""https://docs.google.com/spreadsheets/d/1-3Vjw2Cyy-mry5gbC8ypIR3YVGFfEpyFESummAta6sg/edit"", ""Sheet1!B:D""), 3, FALSE), ""Not Found"")"),"k u p ə r ")</f>
        <v>k u p ə r </v>
      </c>
    </row>
    <row r="2430">
      <c r="A2430" s="1" t="s">
        <v>2433</v>
      </c>
      <c r="B2430" s="1" t="s">
        <v>5</v>
      </c>
      <c r="C2430" s="2">
        <f>IFERROR(__xludf.DUMMYFUNCTION("IFERROR(VLOOKUP(A2430, IMPORTRANGE(""https://docs.google.com/spreadsheets/d/1AVX9GT0dgogEBStecCXMMQ29tWz3gBrtNB8yIromXbY/edit?gid=741673867"", ""out1g!A:B""), 2, FALSE), 0)"),629.0)</f>
        <v>629</v>
      </c>
      <c r="D2430" s="2" t="str">
        <f>IFERROR(__xludf.DUMMYFUNCTION("IFERROR(VLOOKUP(A2430, IMPORTRANGE(""https://docs.google.com/spreadsheets/d/1-3Vjw2Cyy-mry5gbC8ypIR3YVGFfEpyFESummAta6sg/edit"", ""Sheet1!B:D""), 2, FALSE), ""Not Found"")"),"denə")</f>
        <v>denə</v>
      </c>
      <c r="E2430" s="2" t="str">
        <f>IFERROR(__xludf.DUMMYFUNCTION("IFERROR(VLOOKUP(A2430, IMPORTRANGE(""https://docs.google.com/spreadsheets/d/1-3Vjw2Cyy-mry5gbC8ypIR3YVGFfEpyFESummAta6sg/edit"", ""Sheet1!B:D""), 3, FALSE), ""Not Found"")"),"d e n ə ")</f>
        <v>d e n ə </v>
      </c>
    </row>
    <row r="2431">
      <c r="A2431" s="1" t="s">
        <v>2434</v>
      </c>
      <c r="B2431" s="1" t="s">
        <v>5</v>
      </c>
      <c r="C2431" s="2">
        <f>IFERROR(__xludf.DUMMYFUNCTION("IFERROR(VLOOKUP(A2431, IMPORTRANGE(""https://docs.google.com/spreadsheets/d/1AVX9GT0dgogEBStecCXMMQ29tWz3gBrtNB8yIromXbY/edit?gid=741673867"", ""out1g!A:B""), 2, FALSE), 0)"),195.0)</f>
        <v>195</v>
      </c>
      <c r="D2431" s="2" t="str">
        <f>IFERROR(__xludf.DUMMYFUNCTION("IFERROR(VLOOKUP(A2431, IMPORTRANGE(""https://docs.google.com/spreadsheets/d/1-3Vjw2Cyy-mry5gbC8ypIR3YVGFfEpyFESummAta6sg/edit"", ""Sheet1!B:D""), 2, FALSE), ""Not Found"")"),"lɪkt")</f>
        <v>lɪkt</v>
      </c>
      <c r="E2431" s="2" t="str">
        <f>IFERROR(__xludf.DUMMYFUNCTION("IFERROR(VLOOKUP(A2431, IMPORTRANGE(""https://docs.google.com/spreadsheets/d/1-3Vjw2Cyy-mry5gbC8ypIR3YVGFfEpyFESummAta6sg/edit"", ""Sheet1!B:D""), 3, FALSE), ""Not Found"")"),"l ɪ k t ")</f>
        <v>l ɪ k t </v>
      </c>
    </row>
    <row r="2432">
      <c r="A2432" s="1" t="s">
        <v>2435</v>
      </c>
      <c r="B2432" s="1" t="s">
        <v>5</v>
      </c>
      <c r="C2432" s="2">
        <f>IFERROR(__xludf.DUMMYFUNCTION("IFERROR(VLOOKUP(A2432, IMPORTRANGE(""https://docs.google.com/spreadsheets/d/1AVX9GT0dgogEBStecCXMMQ29tWz3gBrtNB8yIromXbY/edit?gid=741673867"", ""out1g!A:B""), 2, FALSE), 0)"),101.0)</f>
        <v>101</v>
      </c>
      <c r="D2432" s="2" t="str">
        <f>IFERROR(__xludf.DUMMYFUNCTION("IFERROR(VLOOKUP(A2432, IMPORTRANGE(""https://docs.google.com/spreadsheets/d/1-3Vjw2Cyy-mry5gbC8ypIR3YVGFfEpyFESummAta6sg/edit"", ""Sheet1!B:D""), 2, FALSE), ""Not Found"")"),"nərdz")</f>
        <v>nərdz</v>
      </c>
      <c r="E2432" s="2" t="str">
        <f>IFERROR(__xludf.DUMMYFUNCTION("IFERROR(VLOOKUP(A2432, IMPORTRANGE(""https://docs.google.com/spreadsheets/d/1-3Vjw2Cyy-mry5gbC8ypIR3YVGFfEpyFESummAta6sg/edit"", ""Sheet1!B:D""), 3, FALSE), ""Not Found"")"),"n ə r d z ")</f>
        <v>n ə r d z </v>
      </c>
    </row>
    <row r="2433">
      <c r="A2433" s="1" t="s">
        <v>2436</v>
      </c>
      <c r="B2433" s="1" t="s">
        <v>5</v>
      </c>
      <c r="C2433" s="2">
        <f>IFERROR(__xludf.DUMMYFUNCTION("IFERROR(VLOOKUP(A2433, IMPORTRANGE(""https://docs.google.com/spreadsheets/d/1AVX9GT0dgogEBStecCXMMQ29tWz3gBrtNB8yIromXbY/edit?gid=741673867"", ""out1g!A:B""), 2, FALSE), 0)"),810.0)</f>
        <v>810</v>
      </c>
      <c r="D2433" s="2" t="str">
        <f>IFERROR(__xludf.DUMMYFUNCTION("IFERROR(VLOOKUP(A2433, IMPORTRANGE(""https://docs.google.com/spreadsheets/d/1-3Vjw2Cyy-mry5gbC8ypIR3YVGFfEpyFESummAta6sg/edit"", ""Sheet1!B:D""), 2, FALSE), ""Not Found"")"),"doʊ")</f>
        <v>doʊ</v>
      </c>
      <c r="E2433" s="2" t="str">
        <f>IFERROR(__xludf.DUMMYFUNCTION("IFERROR(VLOOKUP(A2433, IMPORTRANGE(""https://docs.google.com/spreadsheets/d/1-3Vjw2Cyy-mry5gbC8ypIR3YVGFfEpyFESummAta6sg/edit"", ""Sheet1!B:D""), 3, FALSE), ""Not Found"")"),"d o ʊ ")</f>
        <v>d o ʊ </v>
      </c>
    </row>
    <row r="2434">
      <c r="A2434" s="1" t="s">
        <v>2437</v>
      </c>
      <c r="B2434" s="1" t="s">
        <v>5</v>
      </c>
      <c r="C2434" s="2">
        <f>IFERROR(__xludf.DUMMYFUNCTION("IFERROR(VLOOKUP(A2434, IMPORTRANGE(""https://docs.google.com/spreadsheets/d/1AVX9GT0dgogEBStecCXMMQ29tWz3gBrtNB8yIromXbY/edit?gid=741673867"", ""out1g!A:B""), 2, FALSE), 0)"),112.0)</f>
        <v>112</v>
      </c>
      <c r="D2434" s="2" t="str">
        <f>IFERROR(__xludf.DUMMYFUNCTION("IFERROR(VLOOKUP(A2434, IMPORTRANGE(""https://docs.google.com/spreadsheets/d/1-3Vjw2Cyy-mry5gbC8ypIR3YVGFfEpyFESummAta6sg/edit"", ""Sheet1!B:D""), 2, FALSE), ""Not Found"")"),"geʤ")</f>
        <v>geʤ</v>
      </c>
      <c r="E2434" s="2" t="str">
        <f>IFERROR(__xludf.DUMMYFUNCTION("IFERROR(VLOOKUP(A2434, IMPORTRANGE(""https://docs.google.com/spreadsheets/d/1-3Vjw2Cyy-mry5gbC8ypIR3YVGFfEpyFESummAta6sg/edit"", ""Sheet1!B:D""), 3, FALSE), ""Not Found"")"),"g e ʤ ")</f>
        <v>g e ʤ </v>
      </c>
    </row>
    <row r="2435">
      <c r="A2435" s="1" t="s">
        <v>2438</v>
      </c>
      <c r="B2435" s="1" t="s">
        <v>5</v>
      </c>
      <c r="C2435" s="2">
        <f>IFERROR(__xludf.DUMMYFUNCTION("IFERROR(VLOOKUP(A2435, IMPORTRANGE(""https://docs.google.com/spreadsheets/d/1AVX9GT0dgogEBStecCXMMQ29tWz3gBrtNB8yIromXbY/edit?gid=741673867"", ""out1g!A:B""), 2, FALSE), 0)"),830.0)</f>
        <v>830</v>
      </c>
      <c r="D2435" s="2" t="str">
        <f>IFERROR(__xludf.DUMMYFUNCTION("IFERROR(VLOOKUP(A2435, IMPORTRANGE(""https://docs.google.com/spreadsheets/d/1-3Vjw2Cyy-mry5gbC8ypIR3YVGFfEpyFESummAta6sg/edit"", ""Sheet1!B:D""), 2, FALSE), ""Not Found"")"),"hoʊpt")</f>
        <v>hoʊpt</v>
      </c>
      <c r="E2435" s="2" t="str">
        <f>IFERROR(__xludf.DUMMYFUNCTION("IFERROR(VLOOKUP(A2435, IMPORTRANGE(""https://docs.google.com/spreadsheets/d/1-3Vjw2Cyy-mry5gbC8ypIR3YVGFfEpyFESummAta6sg/edit"", ""Sheet1!B:D""), 3, FALSE), ""Not Found"")"),"h o ʊ p t ")</f>
        <v>h o ʊ p t </v>
      </c>
    </row>
    <row r="2436">
      <c r="A2436" s="1" t="s">
        <v>2439</v>
      </c>
      <c r="B2436" s="1" t="s">
        <v>5</v>
      </c>
      <c r="C2436" s="2">
        <f>IFERROR(__xludf.DUMMYFUNCTION("IFERROR(VLOOKUP(A2436, IMPORTRANGE(""https://docs.google.com/spreadsheets/d/1AVX9GT0dgogEBStecCXMMQ29tWz3gBrtNB8yIromXbY/edit?gid=741673867"", ""out1g!A:B""), 2, FALSE), 0)"),268.0)</f>
        <v>268</v>
      </c>
      <c r="D2436" s="2" t="str">
        <f>IFERROR(__xludf.DUMMYFUNCTION("IFERROR(VLOOKUP(A2436, IMPORTRANGE(""https://docs.google.com/spreadsheets/d/1-3Vjw2Cyy-mry5gbC8ypIR3YVGFfEpyFESummAta6sg/edit"", ""Sheet1!B:D""), 2, FALSE), ""Not Found"")"),"kəŋ")</f>
        <v>kəŋ</v>
      </c>
      <c r="E2436" s="2" t="str">
        <f>IFERROR(__xludf.DUMMYFUNCTION("IFERROR(VLOOKUP(A2436, IMPORTRANGE(""https://docs.google.com/spreadsheets/d/1-3Vjw2Cyy-mry5gbC8ypIR3YVGFfEpyFESummAta6sg/edit"", ""Sheet1!B:D""), 3, FALSE), ""Not Found"")"),"k ə ŋ ")</f>
        <v>k ə ŋ </v>
      </c>
    </row>
    <row r="2437">
      <c r="A2437" s="1" t="s">
        <v>2440</v>
      </c>
      <c r="B2437" s="1" t="s">
        <v>5</v>
      </c>
      <c r="C2437" s="2">
        <f>IFERROR(__xludf.DUMMYFUNCTION("IFERROR(VLOOKUP(A2437, IMPORTRANGE(""https://docs.google.com/spreadsheets/d/1AVX9GT0dgogEBStecCXMMQ29tWz3gBrtNB8yIromXbY/edit?gid=741673867"", ""out1g!A:B""), 2, FALSE), 0)"),33.0)</f>
        <v>33</v>
      </c>
      <c r="D2437" s="2" t="str">
        <f>IFERROR(__xludf.DUMMYFUNCTION("IFERROR(VLOOKUP(A2437, IMPORTRANGE(""https://docs.google.com/spreadsheets/d/1-3Vjw2Cyy-mry5gbC8ypIR3YVGFfEpyFESummAta6sg/edit"", ""Sheet1!B:D""), 2, FALSE), ""Not Found"")"),"pɛrd")</f>
        <v>pɛrd</v>
      </c>
      <c r="E2437" s="2" t="str">
        <f>IFERROR(__xludf.DUMMYFUNCTION("IFERROR(VLOOKUP(A2437, IMPORTRANGE(""https://docs.google.com/spreadsheets/d/1-3Vjw2Cyy-mry5gbC8ypIR3YVGFfEpyFESummAta6sg/edit"", ""Sheet1!B:D""), 3, FALSE), ""Not Found"")"),"p ɛ r d ")</f>
        <v>p ɛ r d </v>
      </c>
    </row>
    <row r="2438">
      <c r="A2438" s="1" t="s">
        <v>2441</v>
      </c>
      <c r="B2438" s="1" t="s">
        <v>5</v>
      </c>
      <c r="C2438" s="2">
        <f>IFERROR(__xludf.DUMMYFUNCTION("IFERROR(VLOOKUP(A2438, IMPORTRANGE(""https://docs.google.com/spreadsheets/d/1AVX9GT0dgogEBStecCXMMQ29tWz3gBrtNB8yIromXbY/edit?gid=741673867"", ""out1g!A:B""), 2, FALSE), 0)"),8382.0)</f>
        <v>8382</v>
      </c>
      <c r="D2438" s="2" t="str">
        <f>IFERROR(__xludf.DUMMYFUNCTION("IFERROR(VLOOKUP(A2438, IMPORTRANGE(""https://docs.google.com/spreadsheets/d/1-3Vjw2Cyy-mry5gbC8ypIR3YVGFfEpyFESummAta6sg/edit"", ""Sheet1!B:D""), 2, FALSE), ""Not Found"")"),"luz")</f>
        <v>luz</v>
      </c>
      <c r="E2438" s="2" t="str">
        <f>IFERROR(__xludf.DUMMYFUNCTION("IFERROR(VLOOKUP(A2438, IMPORTRANGE(""https://docs.google.com/spreadsheets/d/1-3Vjw2Cyy-mry5gbC8ypIR3YVGFfEpyFESummAta6sg/edit"", ""Sheet1!B:D""), 3, FALSE), ""Not Found"")"),"l u z ")</f>
        <v>l u z </v>
      </c>
    </row>
    <row r="2439">
      <c r="A2439" s="1" t="s">
        <v>2442</v>
      </c>
      <c r="B2439" s="1" t="s">
        <v>5</v>
      </c>
      <c r="C2439" s="2">
        <f>IFERROR(__xludf.DUMMYFUNCTION("IFERROR(VLOOKUP(A2439, IMPORTRANGE(""https://docs.google.com/spreadsheets/d/1AVX9GT0dgogEBStecCXMMQ29tWz3gBrtNB8yIromXbY/edit?gid=741673867"", ""out1g!A:B""), 2, FALSE), 0)"),94.0)</f>
        <v>94</v>
      </c>
      <c r="D2439" s="2" t="str">
        <f>IFERROR(__xludf.DUMMYFUNCTION("IFERROR(VLOOKUP(A2439, IMPORTRANGE(""https://docs.google.com/spreadsheets/d/1-3Vjw2Cyy-mry5gbC8ypIR3YVGFfEpyFESummAta6sg/edit"", ""Sheet1!B:D""), 2, FALSE), ""Not Found"")"),"slæb")</f>
        <v>slæb</v>
      </c>
      <c r="E2439" s="2" t="str">
        <f>IFERROR(__xludf.DUMMYFUNCTION("IFERROR(VLOOKUP(A2439, IMPORTRANGE(""https://docs.google.com/spreadsheets/d/1-3Vjw2Cyy-mry5gbC8ypIR3YVGFfEpyFESummAta6sg/edit"", ""Sheet1!B:D""), 3, FALSE), ""Not Found"")"),"s l æ b ")</f>
        <v>s l æ b </v>
      </c>
    </row>
    <row r="2440">
      <c r="A2440" s="1" t="s">
        <v>2443</v>
      </c>
      <c r="B2440" s="1" t="s">
        <v>5</v>
      </c>
      <c r="C2440" s="2">
        <f>IFERROR(__xludf.DUMMYFUNCTION("IFERROR(VLOOKUP(A2440, IMPORTRANGE(""https://docs.google.com/spreadsheets/d/1AVX9GT0dgogEBStecCXMMQ29tWz3gBrtNB8yIromXbY/edit?gid=741673867"", ""out1g!A:B""), 2, FALSE), 0)"),609.0)</f>
        <v>609</v>
      </c>
      <c r="D2440" s="2" t="str">
        <f>IFERROR(__xludf.DUMMYFUNCTION("IFERROR(VLOOKUP(A2440, IMPORTRANGE(""https://docs.google.com/spreadsheets/d/1-3Vjw2Cyy-mry5gbC8ypIR3YVGFfEpyFESummAta6sg/edit"", ""Sheet1!B:D""), 2, FALSE), ""Not Found"")"),"ælən")</f>
        <v>ælən</v>
      </c>
      <c r="E2440" s="2" t="str">
        <f>IFERROR(__xludf.DUMMYFUNCTION("IFERROR(VLOOKUP(A2440, IMPORTRANGE(""https://docs.google.com/spreadsheets/d/1-3Vjw2Cyy-mry5gbC8ypIR3YVGFfEpyFESummAta6sg/edit"", ""Sheet1!B:D""), 3, FALSE), ""Not Found"")"),"æ l ə n ")</f>
        <v>æ l ə n </v>
      </c>
    </row>
    <row r="2441">
      <c r="A2441" s="1" t="s">
        <v>2444</v>
      </c>
      <c r="B2441" s="1" t="s">
        <v>5</v>
      </c>
      <c r="C2441" s="2">
        <f>IFERROR(__xludf.DUMMYFUNCTION("IFERROR(VLOOKUP(A2441, IMPORTRANGE(""https://docs.google.com/spreadsheets/d/1AVX9GT0dgogEBStecCXMMQ29tWz3gBrtNB8yIromXbY/edit?gid=741673867"", ""out1g!A:B""), 2, FALSE), 0)"),67488.0)</f>
        <v>67488</v>
      </c>
      <c r="D2441" s="2" t="str">
        <f>IFERROR(__xludf.DUMMYFUNCTION("IFERROR(VLOOKUP(A2441, IMPORTRANGE(""https://docs.google.com/spreadsheets/d/1-3Vjw2Cyy-mry5gbC8ypIR3YVGFfEpyFESummAta6sg/edit"", ""Sheet1!B:D""), 2, FALSE), ""Not Found"")"),"oʊvər")</f>
        <v>oʊvər</v>
      </c>
      <c r="E2441" s="2" t="str">
        <f>IFERROR(__xludf.DUMMYFUNCTION("IFERROR(VLOOKUP(A2441, IMPORTRANGE(""https://docs.google.com/spreadsheets/d/1-3Vjw2Cyy-mry5gbC8ypIR3YVGFfEpyFESummAta6sg/edit"", ""Sheet1!B:D""), 3, FALSE), ""Not Found"")"),"o ʊ v ə r ")</f>
        <v>o ʊ v ə r </v>
      </c>
    </row>
    <row r="2442">
      <c r="A2442" s="1" t="s">
        <v>2445</v>
      </c>
      <c r="B2442" s="1" t="s">
        <v>5</v>
      </c>
      <c r="C2442" s="2">
        <f>IFERROR(__xludf.DUMMYFUNCTION("IFERROR(VLOOKUP(A2442, IMPORTRANGE(""https://docs.google.com/spreadsheets/d/1AVX9GT0dgogEBStecCXMMQ29tWz3gBrtNB8yIromXbY/edit?gid=741673867"", ""out1g!A:B""), 2, FALSE), 0)"),319.0)</f>
        <v>319</v>
      </c>
      <c r="D2442" s="2" t="str">
        <f>IFERROR(__xludf.DUMMYFUNCTION("IFERROR(VLOOKUP(A2442, IMPORTRANGE(""https://docs.google.com/spreadsheets/d/1-3Vjw2Cyy-mry5gbC8ypIR3YVGFfEpyFESummAta6sg/edit"", ""Sheet1!B:D""), 2, FALSE), ""Not Found"")"),"taɪmər")</f>
        <v>taɪmər</v>
      </c>
      <c r="E2442" s="2" t="str">
        <f>IFERROR(__xludf.DUMMYFUNCTION("IFERROR(VLOOKUP(A2442, IMPORTRANGE(""https://docs.google.com/spreadsheets/d/1-3Vjw2Cyy-mry5gbC8ypIR3YVGFfEpyFESummAta6sg/edit"", ""Sheet1!B:D""), 3, FALSE), ""Not Found"")"),"t a ɪ m ə r ")</f>
        <v>t a ɪ m ə r </v>
      </c>
    </row>
    <row r="2443">
      <c r="A2443" s="1" t="s">
        <v>2446</v>
      </c>
      <c r="B2443" s="1" t="s">
        <v>5</v>
      </c>
      <c r="C2443" s="2">
        <f>IFERROR(__xludf.DUMMYFUNCTION("IFERROR(VLOOKUP(A2443, IMPORTRANGE(""https://docs.google.com/spreadsheets/d/1AVX9GT0dgogEBStecCXMMQ29tWz3gBrtNB8yIromXbY/edit?gid=741673867"", ""out1g!A:B""), 2, FALSE), 0)"),55.0)</f>
        <v>55</v>
      </c>
      <c r="D2443" s="2" t="str">
        <f>IFERROR(__xludf.DUMMYFUNCTION("IFERROR(VLOOKUP(A2443, IMPORTRANGE(""https://docs.google.com/spreadsheets/d/1-3Vjw2Cyy-mry5gbC8ypIR3YVGFfEpyFESummAta6sg/edit"", ""Sheet1!B:D""), 2, FALSE), ""Not Found"")"),"taɪmli")</f>
        <v>taɪmli</v>
      </c>
      <c r="E2443" s="2" t="str">
        <f>IFERROR(__xludf.DUMMYFUNCTION("IFERROR(VLOOKUP(A2443, IMPORTRANGE(""https://docs.google.com/spreadsheets/d/1-3Vjw2Cyy-mry5gbC8ypIR3YVGFfEpyFESummAta6sg/edit"", ""Sheet1!B:D""), 3, FALSE), ""Not Found"")"),"t a ɪ m l i ")</f>
        <v>t a ɪ m l i </v>
      </c>
    </row>
    <row r="2444">
      <c r="A2444" s="1" t="s">
        <v>2447</v>
      </c>
      <c r="B2444" s="1" t="s">
        <v>5</v>
      </c>
      <c r="C2444" s="2">
        <f>IFERROR(__xludf.DUMMYFUNCTION("IFERROR(VLOOKUP(A2444, IMPORTRANGE(""https://docs.google.com/spreadsheets/d/1AVX9GT0dgogEBStecCXMMQ29tWz3gBrtNB8yIromXbY/edit?gid=741673867"", ""out1g!A:B""), 2, FALSE), 0)"),87.0)</f>
        <v>87</v>
      </c>
      <c r="D2444" s="2" t="str">
        <f>IFERROR(__xludf.DUMMYFUNCTION("IFERROR(VLOOKUP(A2444, IMPORTRANGE(""https://docs.google.com/spreadsheets/d/1-3Vjw2Cyy-mry5gbC8ypIR3YVGFfEpyFESummAta6sg/edit"", ""Sheet1!B:D""), 2, FALSE), ""Not Found"")"),"ʤɪg")</f>
        <v>ʤɪg</v>
      </c>
      <c r="E2444" s="2" t="str">
        <f>IFERROR(__xludf.DUMMYFUNCTION("IFERROR(VLOOKUP(A2444, IMPORTRANGE(""https://docs.google.com/spreadsheets/d/1-3Vjw2Cyy-mry5gbC8ypIR3YVGFfEpyFESummAta6sg/edit"", ""Sheet1!B:D""), 3, FALSE), ""Not Found"")"),"ʤ ɪ g ")</f>
        <v>ʤ ɪ g </v>
      </c>
    </row>
    <row r="2445">
      <c r="A2445" s="1" t="s">
        <v>2448</v>
      </c>
      <c r="B2445" s="1" t="s">
        <v>5</v>
      </c>
      <c r="C2445" s="2">
        <f>IFERROR(__xludf.DUMMYFUNCTION("IFERROR(VLOOKUP(A2445, IMPORTRANGE(""https://docs.google.com/spreadsheets/d/1AVX9GT0dgogEBStecCXMMQ29tWz3gBrtNB8yIromXbY/edit?gid=741673867"", ""out1g!A:B""), 2, FALSE), 0)"),97.0)</f>
        <v>97</v>
      </c>
      <c r="D2445" s="2" t="str">
        <f>IFERROR(__xludf.DUMMYFUNCTION("IFERROR(VLOOKUP(A2445, IMPORTRANGE(""https://docs.google.com/spreadsheets/d/1-3Vjw2Cyy-mry5gbC8ypIR3YVGFfEpyFESummAta6sg/edit"", ""Sheet1!B:D""), 2, FALSE), ""Not Found"")"),"hɛp")</f>
        <v>hɛp</v>
      </c>
      <c r="E2445" s="2" t="str">
        <f>IFERROR(__xludf.DUMMYFUNCTION("IFERROR(VLOOKUP(A2445, IMPORTRANGE(""https://docs.google.com/spreadsheets/d/1-3Vjw2Cyy-mry5gbC8ypIR3YVGFfEpyFESummAta6sg/edit"", ""Sheet1!B:D""), 3, FALSE), ""Not Found"")"),"h ɛ p ")</f>
        <v>h ɛ p </v>
      </c>
    </row>
    <row r="2446">
      <c r="A2446" s="1" t="s">
        <v>2449</v>
      </c>
      <c r="B2446" s="1" t="s">
        <v>5</v>
      </c>
      <c r="C2446" s="2">
        <f>IFERROR(__xludf.DUMMYFUNCTION("IFERROR(VLOOKUP(A2446, IMPORTRANGE(""https://docs.google.com/spreadsheets/d/1AVX9GT0dgogEBStecCXMMQ29tWz3gBrtNB8yIromXbY/edit?gid=741673867"", ""out1g!A:B""), 2, FALSE), 0)"),459.0)</f>
        <v>459</v>
      </c>
      <c r="D2446" s="2" t="str">
        <f>IFERROR(__xludf.DUMMYFUNCTION("IFERROR(VLOOKUP(A2446, IMPORTRANGE(""https://docs.google.com/spreadsheets/d/1-3Vjw2Cyy-mry5gbC8ypIR3YVGFfEpyFESummAta6sg/edit"", ""Sheet1!B:D""), 2, FALSE), ""Not Found"")"),"kɑrgoʊ")</f>
        <v>kɑrgoʊ</v>
      </c>
      <c r="E2446" s="2" t="str">
        <f>IFERROR(__xludf.DUMMYFUNCTION("IFERROR(VLOOKUP(A2446, IMPORTRANGE(""https://docs.google.com/spreadsheets/d/1-3Vjw2Cyy-mry5gbC8ypIR3YVGFfEpyFESummAta6sg/edit"", ""Sheet1!B:D""), 3, FALSE), ""Not Found"")"),"k ɑ r g o ʊ ")</f>
        <v>k ɑ r g o ʊ </v>
      </c>
    </row>
    <row r="2447">
      <c r="A2447" s="1" t="s">
        <v>2450</v>
      </c>
      <c r="B2447" s="1" t="s">
        <v>5</v>
      </c>
      <c r="C2447" s="2">
        <f>IFERROR(__xludf.DUMMYFUNCTION("IFERROR(VLOOKUP(A2447, IMPORTRANGE(""https://docs.google.com/spreadsheets/d/1AVX9GT0dgogEBStecCXMMQ29tWz3gBrtNB8yIromXbY/edit?gid=741673867"", ""out1g!A:B""), 2, FALSE), 0)"),28.0)</f>
        <v>28</v>
      </c>
      <c r="D2447" s="2" t="str">
        <f>IFERROR(__xludf.DUMMYFUNCTION("IFERROR(VLOOKUP(A2447, IMPORTRANGE(""https://docs.google.com/spreadsheets/d/1-3Vjw2Cyy-mry5gbC8ypIR3YVGFfEpyFESummAta6sg/edit"", ""Sheet1!B:D""), 2, FALSE), ""Not Found"")"),"trepsɪŋ")</f>
        <v>trepsɪŋ</v>
      </c>
      <c r="E2447" s="2" t="str">
        <f>IFERROR(__xludf.DUMMYFUNCTION("IFERROR(VLOOKUP(A2447, IMPORTRANGE(""https://docs.google.com/spreadsheets/d/1-3Vjw2Cyy-mry5gbC8ypIR3YVGFfEpyFESummAta6sg/edit"", ""Sheet1!B:D""), 3, FALSE), ""Not Found"")"),"t r e p s ɪ ŋ ")</f>
        <v>t r e p s ɪ ŋ </v>
      </c>
    </row>
    <row r="2448">
      <c r="A2448" s="1" t="s">
        <v>2451</v>
      </c>
      <c r="B2448" s="1" t="s">
        <v>5</v>
      </c>
      <c r="C2448" s="2">
        <f>IFERROR(__xludf.DUMMYFUNCTION("IFERROR(VLOOKUP(A2448, IMPORTRANGE(""https://docs.google.com/spreadsheets/d/1AVX9GT0dgogEBStecCXMMQ29tWz3gBrtNB8yIromXbY/edit?gid=741673867"", ""out1g!A:B""), 2, FALSE), 0)"),1318.0)</f>
        <v>1318</v>
      </c>
      <c r="D2448" s="2" t="str">
        <f>IFERROR(__xludf.DUMMYFUNCTION("IFERROR(VLOOKUP(A2448, IMPORTRANGE(""https://docs.google.com/spreadsheets/d/1-3Vjw2Cyy-mry5gbC8ypIR3YVGFfEpyFESummAta6sg/edit"", ""Sheet1!B:D""), 2, FALSE), ""Not Found"")"),"tæksi")</f>
        <v>tæksi</v>
      </c>
      <c r="E2448" s="2" t="str">
        <f>IFERROR(__xludf.DUMMYFUNCTION("IFERROR(VLOOKUP(A2448, IMPORTRANGE(""https://docs.google.com/spreadsheets/d/1-3Vjw2Cyy-mry5gbC8ypIR3YVGFfEpyFESummAta6sg/edit"", ""Sheet1!B:D""), 3, FALSE), ""Not Found"")"),"t æ k s i ")</f>
        <v>t æ k s i </v>
      </c>
    </row>
    <row r="2449">
      <c r="A2449" s="1" t="s">
        <v>2452</v>
      </c>
      <c r="B2449" s="1" t="s">
        <v>5</v>
      </c>
      <c r="C2449" s="2">
        <f>IFERROR(__xludf.DUMMYFUNCTION("IFERROR(VLOOKUP(A2449, IMPORTRANGE(""https://docs.google.com/spreadsheets/d/1AVX9GT0dgogEBStecCXMMQ29tWz3gBrtNB8yIromXbY/edit?gid=741673867"", ""out1g!A:B""), 2, FALSE), 0)"),95.0)</f>
        <v>95</v>
      </c>
      <c r="D2449" s="2" t="str">
        <f>IFERROR(__xludf.DUMMYFUNCTION("IFERROR(VLOOKUP(A2449, IMPORTRANGE(""https://docs.google.com/spreadsheets/d/1-3Vjw2Cyy-mry5gbC8ypIR3YVGFfEpyFESummAta6sg/edit"", ""Sheet1!B:D""), 2, FALSE), ""Not Found"")"),"dɪri")</f>
        <v>dɪri</v>
      </c>
      <c r="E2449" s="2" t="str">
        <f>IFERROR(__xludf.DUMMYFUNCTION("IFERROR(VLOOKUP(A2449, IMPORTRANGE(""https://docs.google.com/spreadsheets/d/1-3Vjw2Cyy-mry5gbC8ypIR3YVGFfEpyFESummAta6sg/edit"", ""Sheet1!B:D""), 3, FALSE), ""Not Found"")"),"d ɪ r i ")</f>
        <v>d ɪ r i </v>
      </c>
    </row>
    <row r="2450">
      <c r="A2450" s="1" t="s">
        <v>2453</v>
      </c>
      <c r="B2450" s="1" t="s">
        <v>5</v>
      </c>
      <c r="C2450" s="2">
        <f>IFERROR(__xludf.DUMMYFUNCTION("IFERROR(VLOOKUP(A2450, IMPORTRANGE(""https://docs.google.com/spreadsheets/d/1AVX9GT0dgogEBStecCXMMQ29tWz3gBrtNB8yIromXbY/edit?gid=741673867"", ""out1g!A:B""), 2, FALSE), 0)"),233.0)</f>
        <v>233</v>
      </c>
      <c r="D2450" s="2" t="str">
        <f>IFERROR(__xludf.DUMMYFUNCTION("IFERROR(VLOOKUP(A2450, IMPORTRANGE(""https://docs.google.com/spreadsheets/d/1-3Vjw2Cyy-mry5gbC8ypIR3YVGFfEpyFESummAta6sg/edit"", ""Sheet1!B:D""), 2, FALSE), ""Not Found"")"),"ʃɪr")</f>
        <v>ʃɪr</v>
      </c>
      <c r="E2450" s="2" t="str">
        <f>IFERROR(__xludf.DUMMYFUNCTION("IFERROR(VLOOKUP(A2450, IMPORTRANGE(""https://docs.google.com/spreadsheets/d/1-3Vjw2Cyy-mry5gbC8ypIR3YVGFfEpyFESummAta6sg/edit"", ""Sheet1!B:D""), 3, FALSE), ""Not Found"")"),"ʃ ɪ r ")</f>
        <v>ʃ ɪ r </v>
      </c>
    </row>
    <row r="2451">
      <c r="A2451" s="1" t="s">
        <v>2454</v>
      </c>
      <c r="B2451" s="1" t="s">
        <v>5</v>
      </c>
      <c r="C2451" s="2">
        <f>IFERROR(__xludf.DUMMYFUNCTION("IFERROR(VLOOKUP(A2451, IMPORTRANGE(""https://docs.google.com/spreadsheets/d/1AVX9GT0dgogEBStecCXMMQ29tWz3gBrtNB8yIromXbY/edit?gid=741673867"", ""out1g!A:B""), 2, FALSE), 0)"),86.0)</f>
        <v>86</v>
      </c>
      <c r="D2451" s="2" t="str">
        <f>IFERROR(__xludf.DUMMYFUNCTION("IFERROR(VLOOKUP(A2451, IMPORTRANGE(""https://docs.google.com/spreadsheets/d/1-3Vjw2Cyy-mry5gbC8ypIR3YVGFfEpyFESummAta6sg/edit"", ""Sheet1!B:D""), 2, FALSE), ""Not Found"")"),"bʊlid")</f>
        <v>bʊlid</v>
      </c>
      <c r="E2451" s="2" t="str">
        <f>IFERROR(__xludf.DUMMYFUNCTION("IFERROR(VLOOKUP(A2451, IMPORTRANGE(""https://docs.google.com/spreadsheets/d/1-3Vjw2Cyy-mry5gbC8ypIR3YVGFfEpyFESummAta6sg/edit"", ""Sheet1!B:D""), 3, FALSE), ""Not Found"")"),"b ʊ l i d ")</f>
        <v>b ʊ l i d </v>
      </c>
    </row>
    <row r="2452">
      <c r="A2452" s="1" t="s">
        <v>2455</v>
      </c>
      <c r="B2452" s="1" t="s">
        <v>5</v>
      </c>
      <c r="C2452" s="2">
        <f>IFERROR(__xludf.DUMMYFUNCTION("IFERROR(VLOOKUP(A2452, IMPORTRANGE(""https://docs.google.com/spreadsheets/d/1AVX9GT0dgogEBStecCXMMQ29tWz3gBrtNB8yIromXbY/edit?gid=741673867"", ""out1g!A:B""), 2, FALSE), 0)"),53.0)</f>
        <v>53</v>
      </c>
      <c r="D2452" s="2" t="str">
        <f>IFERROR(__xludf.DUMMYFUNCTION("IFERROR(VLOOKUP(A2452, IMPORTRANGE(""https://docs.google.com/spreadsheets/d/1-3Vjw2Cyy-mry5gbC8ypIR3YVGFfEpyFESummAta6sg/edit"", ""Sheet1!B:D""), 2, FALSE), ""Not Found"")"),"kwɪki")</f>
        <v>kwɪki</v>
      </c>
      <c r="E2452" s="2" t="str">
        <f>IFERROR(__xludf.DUMMYFUNCTION("IFERROR(VLOOKUP(A2452, IMPORTRANGE(""https://docs.google.com/spreadsheets/d/1-3Vjw2Cyy-mry5gbC8ypIR3YVGFfEpyFESummAta6sg/edit"", ""Sheet1!B:D""), 3, FALSE), ""Not Found"")"),"k w ɪ k i ")</f>
        <v>k w ɪ k i </v>
      </c>
    </row>
    <row r="2453">
      <c r="A2453" s="1" t="s">
        <v>2456</v>
      </c>
      <c r="B2453" s="1" t="s">
        <v>5</v>
      </c>
      <c r="C2453" s="2">
        <f>IFERROR(__xludf.DUMMYFUNCTION("IFERROR(VLOOKUP(A2453, IMPORTRANGE(""https://docs.google.com/spreadsheets/d/1AVX9GT0dgogEBStecCXMMQ29tWz3gBrtNB8yIromXbY/edit?gid=741673867"", ""out1g!A:B""), 2, FALSE), 0)"),50.0)</f>
        <v>50</v>
      </c>
      <c r="D2453" s="2" t="str">
        <f>IFERROR(__xludf.DUMMYFUNCTION("IFERROR(VLOOKUP(A2453, IMPORTRANGE(""https://docs.google.com/spreadsheets/d/1-3Vjw2Cyy-mry5gbC8ypIR3YVGFfEpyFESummAta6sg/edit"", ""Sheet1!B:D""), 2, FALSE), ""Not Found"")"),"floʊtər")</f>
        <v>floʊtər</v>
      </c>
      <c r="E2453" s="2" t="str">
        <f>IFERROR(__xludf.DUMMYFUNCTION("IFERROR(VLOOKUP(A2453, IMPORTRANGE(""https://docs.google.com/spreadsheets/d/1-3Vjw2Cyy-mry5gbC8ypIR3YVGFfEpyFESummAta6sg/edit"", ""Sheet1!B:D""), 3, FALSE), ""Not Found"")"),"f l o ʊ t ə r ")</f>
        <v>f l o ʊ t ə r </v>
      </c>
    </row>
    <row r="2454">
      <c r="A2454" s="1" t="s">
        <v>2457</v>
      </c>
      <c r="B2454" s="1" t="s">
        <v>5</v>
      </c>
      <c r="C2454" s="2">
        <f>IFERROR(__xludf.DUMMYFUNCTION("IFERROR(VLOOKUP(A2454, IMPORTRANGE(""https://docs.google.com/spreadsheets/d/1AVX9GT0dgogEBStecCXMMQ29tWz3gBrtNB8yIromXbY/edit?gid=741673867"", ""out1g!A:B""), 2, FALSE), 0)"),184.0)</f>
        <v>184</v>
      </c>
      <c r="D2454" s="2" t="str">
        <f>IFERROR(__xludf.DUMMYFUNCTION("IFERROR(VLOOKUP(A2454, IMPORTRANGE(""https://docs.google.com/spreadsheets/d/1-3Vjw2Cyy-mry5gbC8ypIR3YVGFfEpyFESummAta6sg/edit"", ""Sheet1!B:D""), 2, FALSE), ""Not Found"")"),"ʃut")</f>
        <v>ʃut</v>
      </c>
      <c r="E2454" s="2" t="str">
        <f>IFERROR(__xludf.DUMMYFUNCTION("IFERROR(VLOOKUP(A2454, IMPORTRANGE(""https://docs.google.com/spreadsheets/d/1-3Vjw2Cyy-mry5gbC8ypIR3YVGFfEpyFESummAta6sg/edit"", ""Sheet1!B:D""), 3, FALSE), ""Not Found"")"),"ʃ u t ")</f>
        <v>ʃ u t </v>
      </c>
    </row>
    <row r="2455">
      <c r="A2455" s="1" t="s">
        <v>2458</v>
      </c>
      <c r="B2455" s="1" t="s">
        <v>5</v>
      </c>
      <c r="C2455" s="2">
        <f>IFERROR(__xludf.DUMMYFUNCTION("IFERROR(VLOOKUP(A2455, IMPORTRANGE(""https://docs.google.com/spreadsheets/d/1AVX9GT0dgogEBStecCXMMQ29tWz3gBrtNB8yIromXbY/edit?gid=741673867"", ""out1g!A:B""), 2, FALSE), 0)"),930.0)</f>
        <v>930</v>
      </c>
      <c r="D2455" s="2" t="str">
        <f>IFERROR(__xludf.DUMMYFUNCTION("IFERROR(VLOOKUP(A2455, IMPORTRANGE(""https://docs.google.com/spreadsheets/d/1-3Vjw2Cyy-mry5gbC8ypIR3YVGFfEpyFESummAta6sg/edit"", ""Sheet1!B:D""), 2, FALSE), ""Not Found"")"),"ʤudi")</f>
        <v>ʤudi</v>
      </c>
      <c r="E2455" s="2" t="str">
        <f>IFERROR(__xludf.DUMMYFUNCTION("IFERROR(VLOOKUP(A2455, IMPORTRANGE(""https://docs.google.com/spreadsheets/d/1-3Vjw2Cyy-mry5gbC8ypIR3YVGFfEpyFESummAta6sg/edit"", ""Sheet1!B:D""), 3, FALSE), ""Not Found"")"),"ʤ u d i ")</f>
        <v>ʤ u d i </v>
      </c>
    </row>
    <row r="2456">
      <c r="A2456" s="1" t="s">
        <v>2459</v>
      </c>
      <c r="B2456" s="1" t="s">
        <v>5</v>
      </c>
      <c r="C2456" s="2">
        <f>IFERROR(__xludf.DUMMYFUNCTION("IFERROR(VLOOKUP(A2456, IMPORTRANGE(""https://docs.google.com/spreadsheets/d/1AVX9GT0dgogEBStecCXMMQ29tWz3gBrtNB8yIromXbY/edit?gid=741673867"", ""out1g!A:B""), 2, FALSE), 0)"),104.0)</f>
        <v>104</v>
      </c>
      <c r="D2456" s="2" t="str">
        <f>IFERROR(__xludf.DUMMYFUNCTION("IFERROR(VLOOKUP(A2456, IMPORTRANGE(""https://docs.google.com/spreadsheets/d/1-3Vjw2Cyy-mry5gbC8ypIR3YVGFfEpyFESummAta6sg/edit"", ""Sheet1!B:D""), 2, FALSE), ""Not Found"")"),"əpɔɪnt")</f>
        <v>əpɔɪnt</v>
      </c>
      <c r="E2456" s="2" t="str">
        <f>IFERROR(__xludf.DUMMYFUNCTION("IFERROR(VLOOKUP(A2456, IMPORTRANGE(""https://docs.google.com/spreadsheets/d/1-3Vjw2Cyy-mry5gbC8ypIR3YVGFfEpyFESummAta6sg/edit"", ""Sheet1!B:D""), 3, FALSE), ""Not Found"")"),"ə p ɔ ɪ n t ")</f>
        <v>ə p ɔ ɪ n t </v>
      </c>
    </row>
    <row r="2457">
      <c r="A2457" s="1" t="s">
        <v>2460</v>
      </c>
      <c r="B2457" s="1" t="s">
        <v>5</v>
      </c>
      <c r="C2457" s="2">
        <f>IFERROR(__xludf.DUMMYFUNCTION("IFERROR(VLOOKUP(A2457, IMPORTRANGE(""https://docs.google.com/spreadsheets/d/1AVX9GT0dgogEBStecCXMMQ29tWz3gBrtNB8yIromXbY/edit?gid=741673867"", ""out1g!A:B""), 2, FALSE), 0)"),180.0)</f>
        <v>180</v>
      </c>
      <c r="D2457" s="2" t="str">
        <f>IFERROR(__xludf.DUMMYFUNCTION("IFERROR(VLOOKUP(A2457, IMPORTRANGE(""https://docs.google.com/spreadsheets/d/1-3Vjw2Cyy-mry5gbC8ypIR3YVGFfEpyFESummAta6sg/edit"", ""Sheet1!B:D""), 2, FALSE), ""Not Found"")"),"bidz")</f>
        <v>bidz</v>
      </c>
      <c r="E2457" s="2" t="str">
        <f>IFERROR(__xludf.DUMMYFUNCTION("IFERROR(VLOOKUP(A2457, IMPORTRANGE(""https://docs.google.com/spreadsheets/d/1-3Vjw2Cyy-mry5gbC8ypIR3YVGFfEpyFESummAta6sg/edit"", ""Sheet1!B:D""), 3, FALSE), ""Not Found"")"),"b i d z ")</f>
        <v>b i d z </v>
      </c>
    </row>
    <row r="2458">
      <c r="A2458" s="1" t="s">
        <v>2461</v>
      </c>
      <c r="B2458" s="1" t="s">
        <v>5</v>
      </c>
      <c r="C2458" s="2">
        <f>IFERROR(__xludf.DUMMYFUNCTION("IFERROR(VLOOKUP(A2458, IMPORTRANGE(""https://docs.google.com/spreadsheets/d/1AVX9GT0dgogEBStecCXMMQ29tWz3gBrtNB8yIromXbY/edit?gid=741673867"", ""out1g!A:B""), 2, FALSE), 0)"),824.0)</f>
        <v>824</v>
      </c>
      <c r="D2458" s="2" t="str">
        <f>IFERROR(__xludf.DUMMYFUNCTION("IFERROR(VLOOKUP(A2458, IMPORTRANGE(""https://docs.google.com/spreadsheets/d/1-3Vjw2Cyy-mry5gbC8ypIR3YVGFfEpyFESummAta6sg/edit"", ""Sheet1!B:D""), 2, FALSE), ""Not Found"")"),"ərenʤd")</f>
        <v>ərenʤd</v>
      </c>
      <c r="E2458" s="2" t="str">
        <f>IFERROR(__xludf.DUMMYFUNCTION("IFERROR(VLOOKUP(A2458, IMPORTRANGE(""https://docs.google.com/spreadsheets/d/1-3Vjw2Cyy-mry5gbC8ypIR3YVGFfEpyFESummAta6sg/edit"", ""Sheet1!B:D""), 3, FALSE), ""Not Found"")"),"ə r e n ʤ d ")</f>
        <v>ə r e n ʤ d </v>
      </c>
    </row>
    <row r="2459">
      <c r="A2459" s="1" t="s">
        <v>2462</v>
      </c>
      <c r="B2459" s="1" t="s">
        <v>5</v>
      </c>
      <c r="C2459" s="2">
        <f>IFERROR(__xludf.DUMMYFUNCTION("IFERROR(VLOOKUP(A2459, IMPORTRANGE(""https://docs.google.com/spreadsheets/d/1AVX9GT0dgogEBStecCXMMQ29tWz3gBrtNB8yIromXbY/edit?gid=741673867"", ""out1g!A:B""), 2, FALSE), 0)"),46.0)</f>
        <v>46</v>
      </c>
      <c r="D2459" s="2" t="str">
        <f>IFERROR(__xludf.DUMMYFUNCTION("IFERROR(VLOOKUP(A2459, IMPORTRANGE(""https://docs.google.com/spreadsheets/d/1-3Vjw2Cyy-mry5gbC8ypIR3YVGFfEpyFESummAta6sg/edit"", ""Sheet1!B:D""), 2, FALSE), ""Not Found"")"),"grezd")</f>
        <v>grezd</v>
      </c>
      <c r="E2459" s="2" t="str">
        <f>IFERROR(__xludf.DUMMYFUNCTION("IFERROR(VLOOKUP(A2459, IMPORTRANGE(""https://docs.google.com/spreadsheets/d/1-3Vjw2Cyy-mry5gbC8ypIR3YVGFfEpyFESummAta6sg/edit"", ""Sheet1!B:D""), 3, FALSE), ""Not Found"")"),"g r e z d ")</f>
        <v>g r e z d </v>
      </c>
    </row>
    <row r="2460">
      <c r="A2460" s="1" t="s">
        <v>2463</v>
      </c>
      <c r="B2460" s="1" t="s">
        <v>5</v>
      </c>
      <c r="C2460" s="2">
        <f>IFERROR(__xludf.DUMMYFUNCTION("IFERROR(VLOOKUP(A2460, IMPORTRANGE(""https://docs.google.com/spreadsheets/d/1AVX9GT0dgogEBStecCXMMQ29tWz3gBrtNB8yIromXbY/edit?gid=741673867"", ""out1g!A:B""), 2, FALSE), 0)"),63.0)</f>
        <v>63</v>
      </c>
      <c r="D2460" s="2" t="str">
        <f>IFERROR(__xludf.DUMMYFUNCTION("IFERROR(VLOOKUP(A2460, IMPORTRANGE(""https://docs.google.com/spreadsheets/d/1-3Vjw2Cyy-mry5gbC8ypIR3YVGFfEpyFESummAta6sg/edit"", ""Sheet1!B:D""), 2, FALSE), ""Not Found"")"),"strez")</f>
        <v>strez</v>
      </c>
      <c r="E2460" s="2" t="str">
        <f>IFERROR(__xludf.DUMMYFUNCTION("IFERROR(VLOOKUP(A2460, IMPORTRANGE(""https://docs.google.com/spreadsheets/d/1-3Vjw2Cyy-mry5gbC8ypIR3YVGFfEpyFESummAta6sg/edit"", ""Sheet1!B:D""), 3, FALSE), ""Not Found"")"),"s t r e z ")</f>
        <v>s t r e z </v>
      </c>
    </row>
    <row r="2461">
      <c r="A2461" s="1" t="s">
        <v>2464</v>
      </c>
      <c r="B2461" s="1" t="s">
        <v>5</v>
      </c>
      <c r="C2461" s="2">
        <f>IFERROR(__xludf.DUMMYFUNCTION("IFERROR(VLOOKUP(A2461, IMPORTRANGE(""https://docs.google.com/spreadsheets/d/1AVX9GT0dgogEBStecCXMMQ29tWz3gBrtNB8yIromXbY/edit?gid=741673867"", ""out1g!A:B""), 2, FALSE), 0)"),48.0)</f>
        <v>48</v>
      </c>
      <c r="D2461" s="2" t="str">
        <f>IFERROR(__xludf.DUMMYFUNCTION("IFERROR(VLOOKUP(A2461, IMPORTRANGE(""https://docs.google.com/spreadsheets/d/1-3Vjw2Cyy-mry5gbC8ypIR3YVGFfEpyFESummAta6sg/edit"", ""Sheet1!B:D""), 2, FALSE), ""Not Found"")"),"klaʊt")</f>
        <v>klaʊt</v>
      </c>
      <c r="E2461" s="2" t="str">
        <f>IFERROR(__xludf.DUMMYFUNCTION("IFERROR(VLOOKUP(A2461, IMPORTRANGE(""https://docs.google.com/spreadsheets/d/1-3Vjw2Cyy-mry5gbC8ypIR3YVGFfEpyFESummAta6sg/edit"", ""Sheet1!B:D""), 3, FALSE), ""Not Found"")"),"k l a ʊ t ")</f>
        <v>k l a ʊ t </v>
      </c>
    </row>
    <row r="2462">
      <c r="A2462" s="1" t="s">
        <v>2465</v>
      </c>
      <c r="B2462" s="1" t="s">
        <v>5</v>
      </c>
      <c r="C2462" s="2">
        <f>IFERROR(__xludf.DUMMYFUNCTION("IFERROR(VLOOKUP(A2462, IMPORTRANGE(""https://docs.google.com/spreadsheets/d/1AVX9GT0dgogEBStecCXMMQ29tWz3gBrtNB8yIromXbY/edit?gid=741673867"", ""out1g!A:B""), 2, FALSE), 0)"),68.0)</f>
        <v>68</v>
      </c>
      <c r="D2462" s="2" t="str">
        <f>IFERROR(__xludf.DUMMYFUNCTION("IFERROR(VLOOKUP(A2462, IMPORTRANGE(""https://docs.google.com/spreadsheets/d/1-3Vjw2Cyy-mry5gbC8ypIR3YVGFfEpyFESummAta6sg/edit"", ""Sheet1!B:D""), 2, FALSE), ""Not Found"")"),"dæft")</f>
        <v>dæft</v>
      </c>
      <c r="E2462" s="2" t="str">
        <f>IFERROR(__xludf.DUMMYFUNCTION("IFERROR(VLOOKUP(A2462, IMPORTRANGE(""https://docs.google.com/spreadsheets/d/1-3Vjw2Cyy-mry5gbC8ypIR3YVGFfEpyFESummAta6sg/edit"", ""Sheet1!B:D""), 3, FALSE), ""Not Found"")"),"d æ f t ")</f>
        <v>d æ f t </v>
      </c>
    </row>
    <row r="2463">
      <c r="A2463" s="1" t="s">
        <v>2466</v>
      </c>
      <c r="B2463" s="1" t="s">
        <v>5</v>
      </c>
      <c r="C2463" s="2">
        <f>IFERROR(__xludf.DUMMYFUNCTION("IFERROR(VLOOKUP(A2463, IMPORTRANGE(""https://docs.google.com/spreadsheets/d/1AVX9GT0dgogEBStecCXMMQ29tWz3gBrtNB8yIromXbY/edit?gid=741673867"", ""out1g!A:B""), 2, FALSE), 0)"),198.0)</f>
        <v>198</v>
      </c>
      <c r="D2463" s="2" t="str">
        <f>IFERROR(__xludf.DUMMYFUNCTION("IFERROR(VLOOKUP(A2463, IMPORTRANGE(""https://docs.google.com/spreadsheets/d/1-3Vjw2Cyy-mry5gbC8ypIR3YVGFfEpyFESummAta6sg/edit"", ""Sheet1!B:D""), 2, FALSE), ""Not Found"")"),"rɛg")</f>
        <v>rɛg</v>
      </c>
      <c r="E2463" s="2" t="str">
        <f>IFERROR(__xludf.DUMMYFUNCTION("IFERROR(VLOOKUP(A2463, IMPORTRANGE(""https://docs.google.com/spreadsheets/d/1-3Vjw2Cyy-mry5gbC8ypIR3YVGFfEpyFESummAta6sg/edit"", ""Sheet1!B:D""), 3, FALSE), ""Not Found"")"),"r ɛ g ")</f>
        <v>r ɛ g </v>
      </c>
    </row>
    <row r="2464">
      <c r="A2464" s="1" t="s">
        <v>2467</v>
      </c>
      <c r="B2464" s="1" t="s">
        <v>5</v>
      </c>
      <c r="C2464" s="2">
        <f>IFERROR(__xludf.DUMMYFUNCTION("IFERROR(VLOOKUP(A2464, IMPORTRANGE(""https://docs.google.com/spreadsheets/d/1AVX9GT0dgogEBStecCXMMQ29tWz3gBrtNB8yIromXbY/edit?gid=741673867"", ""out1g!A:B""), 2, FALSE), 0)"),157.0)</f>
        <v>157</v>
      </c>
      <c r="D2464" s="2" t="str">
        <f>IFERROR(__xludf.DUMMYFUNCTION("IFERROR(VLOOKUP(A2464, IMPORTRANGE(""https://docs.google.com/spreadsheets/d/1-3Vjw2Cyy-mry5gbC8ypIR3YVGFfEpyFESummAta6sg/edit"", ""Sheet1!B:D""), 2, FALSE), ""Not Found"")"),"wɑnd")</f>
        <v>wɑnd</v>
      </c>
      <c r="E2464" s="2" t="str">
        <f>IFERROR(__xludf.DUMMYFUNCTION("IFERROR(VLOOKUP(A2464, IMPORTRANGE(""https://docs.google.com/spreadsheets/d/1-3Vjw2Cyy-mry5gbC8ypIR3YVGFfEpyFESummAta6sg/edit"", ""Sheet1!B:D""), 3, FALSE), ""Not Found"")"),"w ɑ n d ")</f>
        <v>w ɑ n d </v>
      </c>
    </row>
    <row r="2465">
      <c r="A2465" s="1" t="s">
        <v>2468</v>
      </c>
      <c r="B2465" s="1" t="s">
        <v>5</v>
      </c>
      <c r="C2465" s="2">
        <f>IFERROR(__xludf.DUMMYFUNCTION("IFERROR(VLOOKUP(A2465, IMPORTRANGE(""https://docs.google.com/spreadsheets/d/1AVX9GT0dgogEBStecCXMMQ29tWz3gBrtNB8yIromXbY/edit?gid=741673867"", ""out1g!A:B""), 2, FALSE), 0)"),213.0)</f>
        <v>213</v>
      </c>
      <c r="D2465" s="2" t="str">
        <f>IFERROR(__xludf.DUMMYFUNCTION("IFERROR(VLOOKUP(A2465, IMPORTRANGE(""https://docs.google.com/spreadsheets/d/1-3Vjw2Cyy-mry5gbC8ypIR3YVGFfEpyFESummAta6sg/edit"", ""Sheet1!B:D""), 2, FALSE), ""Not Found"")"),"ɪʧ")</f>
        <v>ɪʧ</v>
      </c>
      <c r="E2465" s="2" t="str">
        <f>IFERROR(__xludf.DUMMYFUNCTION("IFERROR(VLOOKUP(A2465, IMPORTRANGE(""https://docs.google.com/spreadsheets/d/1-3Vjw2Cyy-mry5gbC8ypIR3YVGFfEpyFESummAta6sg/edit"", ""Sheet1!B:D""), 3, FALSE), ""Not Found"")"),"ɪ ʧ ")</f>
        <v>ɪ ʧ </v>
      </c>
    </row>
    <row r="2466">
      <c r="A2466" s="1" t="s">
        <v>2469</v>
      </c>
      <c r="B2466" s="1" t="s">
        <v>5</v>
      </c>
      <c r="C2466" s="2">
        <f>IFERROR(__xludf.DUMMYFUNCTION("IFERROR(VLOOKUP(A2466, IMPORTRANGE(""https://docs.google.com/spreadsheets/d/1AVX9GT0dgogEBStecCXMMQ29tWz3gBrtNB8yIromXbY/edit?gid=741673867"", ""out1g!A:B""), 2, FALSE), 0)"),53.0)</f>
        <v>53</v>
      </c>
      <c r="D2466" s="2" t="str">
        <f>IFERROR(__xludf.DUMMYFUNCTION("IFERROR(VLOOKUP(A2466, IMPORTRANGE(""https://docs.google.com/spreadsheets/d/1-3Vjw2Cyy-mry5gbC8ypIR3YVGFfEpyFESummAta6sg/edit"", ""Sheet1!B:D""), 2, FALSE), ""Not Found"")"),"taɪdəl")</f>
        <v>taɪdəl</v>
      </c>
      <c r="E2466" s="2" t="str">
        <f>IFERROR(__xludf.DUMMYFUNCTION("IFERROR(VLOOKUP(A2466, IMPORTRANGE(""https://docs.google.com/spreadsheets/d/1-3Vjw2Cyy-mry5gbC8ypIR3YVGFfEpyFESummAta6sg/edit"", ""Sheet1!B:D""), 3, FALSE), ""Not Found"")"),"t a ɪ d ə l ")</f>
        <v>t a ɪ d ə l </v>
      </c>
    </row>
    <row r="2467">
      <c r="A2467" s="1" t="s">
        <v>2470</v>
      </c>
      <c r="B2467" s="1" t="s">
        <v>5</v>
      </c>
      <c r="C2467" s="2">
        <f>IFERROR(__xludf.DUMMYFUNCTION("IFERROR(VLOOKUP(A2467, IMPORTRANGE(""https://docs.google.com/spreadsheets/d/1AVX9GT0dgogEBStecCXMMQ29tWz3gBrtNB8yIromXbY/edit?gid=741673867"", ""out1g!A:B""), 2, FALSE), 0)"),91.0)</f>
        <v>91</v>
      </c>
      <c r="D2467" s="2" t="str">
        <f>IFERROR(__xludf.DUMMYFUNCTION("IFERROR(VLOOKUP(A2467, IMPORTRANGE(""https://docs.google.com/spreadsheets/d/1-3Vjw2Cyy-mry5gbC8ypIR3YVGFfEpyFESummAta6sg/edit"", ""Sheet1!B:D""), 2, FALSE), ""Not Found"")"),"daɪmz")</f>
        <v>daɪmz</v>
      </c>
      <c r="E2467" s="2" t="str">
        <f>IFERROR(__xludf.DUMMYFUNCTION("IFERROR(VLOOKUP(A2467, IMPORTRANGE(""https://docs.google.com/spreadsheets/d/1-3Vjw2Cyy-mry5gbC8ypIR3YVGFfEpyFESummAta6sg/edit"", ""Sheet1!B:D""), 3, FALSE), ""Not Found"")"),"d a ɪ m z ")</f>
        <v>d a ɪ m z </v>
      </c>
    </row>
    <row r="2468">
      <c r="A2468" s="1" t="s">
        <v>2471</v>
      </c>
      <c r="B2468" s="1" t="s">
        <v>5</v>
      </c>
      <c r="C2468" s="2">
        <f>IFERROR(__xludf.DUMMYFUNCTION("IFERROR(VLOOKUP(A2468, IMPORTRANGE(""https://docs.google.com/spreadsheets/d/1AVX9GT0dgogEBStecCXMMQ29tWz3gBrtNB8yIromXbY/edit?gid=741673867"", ""out1g!A:B""), 2, FALSE), 0)"),1624.0)</f>
        <v>1624</v>
      </c>
      <c r="D2468" s="2" t="str">
        <f>IFERROR(__xludf.DUMMYFUNCTION("IFERROR(VLOOKUP(A2468, IMPORTRANGE(""https://docs.google.com/spreadsheets/d/1-3Vjw2Cyy-mry5gbC8ypIR3YVGFfEpyFESummAta6sg/edit"", ""Sheet1!B:D""), 2, FALSE), ""Not Found"")"),"plænd")</f>
        <v>plænd</v>
      </c>
      <c r="E2468" s="2" t="str">
        <f>IFERROR(__xludf.DUMMYFUNCTION("IFERROR(VLOOKUP(A2468, IMPORTRANGE(""https://docs.google.com/spreadsheets/d/1-3Vjw2Cyy-mry5gbC8ypIR3YVGFfEpyFESummAta6sg/edit"", ""Sheet1!B:D""), 3, FALSE), ""Not Found"")"),"p l æ n d ")</f>
        <v>p l æ n d </v>
      </c>
    </row>
    <row r="2469">
      <c r="A2469" s="1" t="s">
        <v>2472</v>
      </c>
      <c r="B2469" s="1" t="s">
        <v>5</v>
      </c>
      <c r="C2469" s="2">
        <f>IFERROR(__xludf.DUMMYFUNCTION("IFERROR(VLOOKUP(A2469, IMPORTRANGE(""https://docs.google.com/spreadsheets/d/1AVX9GT0dgogEBStecCXMMQ29tWz3gBrtNB8yIromXbY/edit?gid=741673867"", ""out1g!A:B""), 2, FALSE), 0)"),221.0)</f>
        <v>221</v>
      </c>
      <c r="D2469" s="2" t="str">
        <f>IFERROR(__xludf.DUMMYFUNCTION("IFERROR(VLOOKUP(A2469, IMPORTRANGE(""https://docs.google.com/spreadsheets/d/1-3Vjw2Cyy-mry5gbC8ypIR3YVGFfEpyFESummAta6sg/edit"", ""Sheet1!B:D""), 2, FALSE), ""Not Found"")"),"rez")</f>
        <v>rez</v>
      </c>
      <c r="E2469" s="2" t="str">
        <f>IFERROR(__xludf.DUMMYFUNCTION("IFERROR(VLOOKUP(A2469, IMPORTRANGE(""https://docs.google.com/spreadsheets/d/1-3Vjw2Cyy-mry5gbC8ypIR3YVGFfEpyFESummAta6sg/edit"", ""Sheet1!B:D""), 3, FALSE), ""Not Found"")"),"r e z ")</f>
        <v>r e z </v>
      </c>
    </row>
    <row r="2470">
      <c r="A2470" s="1" t="s">
        <v>2473</v>
      </c>
      <c r="B2470" s="1" t="s">
        <v>5</v>
      </c>
      <c r="C2470" s="2">
        <f>IFERROR(__xludf.DUMMYFUNCTION("IFERROR(VLOOKUP(A2470, IMPORTRANGE(""https://docs.google.com/spreadsheets/d/1AVX9GT0dgogEBStecCXMMQ29tWz3gBrtNB8yIromXbY/edit?gid=741673867"", ""out1g!A:B""), 2, FALSE), 0)"),53.0)</f>
        <v>53</v>
      </c>
      <c r="D2470" s="2" t="str">
        <f>IFERROR(__xludf.DUMMYFUNCTION("IFERROR(VLOOKUP(A2470, IMPORTRANGE(""https://docs.google.com/spreadsheets/d/1-3Vjw2Cyy-mry5gbC8ypIR3YVGFfEpyFESummAta6sg/edit"", ""Sheet1!B:D""), 2, FALSE), ""Not Found"")"),"kæb")</f>
        <v>kæb</v>
      </c>
      <c r="E2470" s="2" t="str">
        <f>IFERROR(__xludf.DUMMYFUNCTION("IFERROR(VLOOKUP(A2470, IMPORTRANGE(""https://docs.google.com/spreadsheets/d/1-3Vjw2Cyy-mry5gbC8ypIR3YVGFfEpyFESummAta6sg/edit"", ""Sheet1!B:D""), 3, FALSE), ""Not Found"")"),"k æ b ")</f>
        <v>k æ b </v>
      </c>
    </row>
    <row r="2471">
      <c r="A2471" s="1" t="s">
        <v>2474</v>
      </c>
      <c r="B2471" s="1" t="s">
        <v>5</v>
      </c>
      <c r="C2471" s="2">
        <f>IFERROR(__xludf.DUMMYFUNCTION("IFERROR(VLOOKUP(A2471, IMPORTRANGE(""https://docs.google.com/spreadsheets/d/1AVX9GT0dgogEBStecCXMMQ29tWz3gBrtNB8yIromXbY/edit?gid=741673867"", ""out1g!A:B""), 2, FALSE), 0)"),785.0)</f>
        <v>785</v>
      </c>
      <c r="D2471" s="2" t="str">
        <f>IFERROR(__xludf.DUMMYFUNCTION("IFERROR(VLOOKUP(A2471, IMPORTRANGE(""https://docs.google.com/spreadsheets/d/1-3Vjw2Cyy-mry5gbC8ypIR3YVGFfEpyFESummAta6sg/edit"", ""Sheet1!B:D""), 2, FALSE), ""Not Found"")"),"hʊd")</f>
        <v>hʊd</v>
      </c>
      <c r="E2471" s="2" t="str">
        <f>IFERROR(__xludf.DUMMYFUNCTION("IFERROR(VLOOKUP(A2471, IMPORTRANGE(""https://docs.google.com/spreadsheets/d/1-3Vjw2Cyy-mry5gbC8ypIR3YVGFfEpyFESummAta6sg/edit"", ""Sheet1!B:D""), 3, FALSE), ""Not Found"")"),"h ʊ d ")</f>
        <v>h ʊ d </v>
      </c>
    </row>
    <row r="2472">
      <c r="A2472" s="1" t="s">
        <v>2475</v>
      </c>
      <c r="B2472" s="1" t="s">
        <v>5</v>
      </c>
      <c r="C2472" s="2">
        <f>IFERROR(__xludf.DUMMYFUNCTION("IFERROR(VLOOKUP(A2472, IMPORTRANGE(""https://docs.google.com/spreadsheets/d/1AVX9GT0dgogEBStecCXMMQ29tWz3gBrtNB8yIromXbY/edit?gid=741673867"", ""out1g!A:B""), 2, FALSE), 0)"),218.0)</f>
        <v>218</v>
      </c>
      <c r="D2472" s="2" t="str">
        <f>IFERROR(__xludf.DUMMYFUNCTION("IFERROR(VLOOKUP(A2472, IMPORTRANGE(""https://docs.google.com/spreadsheets/d/1-3Vjw2Cyy-mry5gbC8ypIR3YVGFfEpyFESummAta6sg/edit"", ""Sheet1!B:D""), 2, FALSE), ""Not Found"")"),"drɔrz")</f>
        <v>drɔrz</v>
      </c>
      <c r="E2472" s="2" t="str">
        <f>IFERROR(__xludf.DUMMYFUNCTION("IFERROR(VLOOKUP(A2472, IMPORTRANGE(""https://docs.google.com/spreadsheets/d/1-3Vjw2Cyy-mry5gbC8ypIR3YVGFfEpyFESummAta6sg/edit"", ""Sheet1!B:D""), 3, FALSE), ""Not Found"")"),"d r ɔ r z ")</f>
        <v>d r ɔ r z </v>
      </c>
    </row>
    <row r="2473">
      <c r="A2473" s="1" t="s">
        <v>2476</v>
      </c>
      <c r="B2473" s="1" t="s">
        <v>5</v>
      </c>
      <c r="C2473" s="2">
        <f>IFERROR(__xludf.DUMMYFUNCTION("IFERROR(VLOOKUP(A2473, IMPORTRANGE(""https://docs.google.com/spreadsheets/d/1AVX9GT0dgogEBStecCXMMQ29tWz3gBrtNB8yIromXbY/edit?gid=741673867"", ""out1g!A:B""), 2, FALSE), 0)"),100.0)</f>
        <v>100</v>
      </c>
      <c r="D2473" s="2" t="str">
        <f>IFERROR(__xludf.DUMMYFUNCTION("IFERROR(VLOOKUP(A2473, IMPORTRANGE(""https://docs.google.com/spreadsheets/d/1-3Vjw2Cyy-mry5gbC8ypIR3YVGFfEpyFESummAta6sg/edit"", ""Sheet1!B:D""), 2, FALSE), ""Not Found"")"),"bɑ")</f>
        <v>bɑ</v>
      </c>
      <c r="E2473" s="2" t="str">
        <f>IFERROR(__xludf.DUMMYFUNCTION("IFERROR(VLOOKUP(A2473, IMPORTRANGE(""https://docs.google.com/spreadsheets/d/1-3Vjw2Cyy-mry5gbC8ypIR3YVGFfEpyFESummAta6sg/edit"", ""Sheet1!B:D""), 3, FALSE), ""Not Found"")"),"b ɑ ")</f>
        <v>b ɑ </v>
      </c>
    </row>
    <row r="2474">
      <c r="A2474" s="1" t="s">
        <v>2477</v>
      </c>
      <c r="B2474" s="1" t="s">
        <v>5</v>
      </c>
      <c r="C2474" s="2">
        <f>IFERROR(__xludf.DUMMYFUNCTION("IFERROR(VLOOKUP(A2474, IMPORTRANGE(""https://docs.google.com/spreadsheets/d/1AVX9GT0dgogEBStecCXMMQ29tWz3gBrtNB8yIromXbY/edit?gid=741673867"", ""out1g!A:B""), 2, FALSE), 0)"),82.0)</f>
        <v>82</v>
      </c>
      <c r="D2474" s="2" t="str">
        <f>IFERROR(__xludf.DUMMYFUNCTION("IFERROR(VLOOKUP(A2474, IMPORTRANGE(""https://docs.google.com/spreadsheets/d/1-3Vjw2Cyy-mry5gbC8ypIR3YVGFfEpyFESummAta6sg/edit"", ""Sheet1!B:D""), 2, FALSE), ""Not Found"")"),"swɪfti")</f>
        <v>swɪfti</v>
      </c>
      <c r="E2474" s="2" t="str">
        <f>IFERROR(__xludf.DUMMYFUNCTION("IFERROR(VLOOKUP(A2474, IMPORTRANGE(""https://docs.google.com/spreadsheets/d/1-3Vjw2Cyy-mry5gbC8ypIR3YVGFfEpyFESummAta6sg/edit"", ""Sheet1!B:D""), 3, FALSE), ""Not Found"")"),"s w ɪ f t i ")</f>
        <v>s w ɪ f t i </v>
      </c>
    </row>
    <row r="2475">
      <c r="A2475" s="1" t="s">
        <v>2478</v>
      </c>
      <c r="B2475" s="1" t="s">
        <v>5</v>
      </c>
      <c r="C2475" s="2">
        <f>IFERROR(__xludf.DUMMYFUNCTION("IFERROR(VLOOKUP(A2475, IMPORTRANGE(""https://docs.google.com/spreadsheets/d/1AVX9GT0dgogEBStecCXMMQ29tWz3gBrtNB8yIromXbY/edit?gid=741673867"", ""out1g!A:B""), 2, FALSE), 0)"),54.0)</f>
        <v>54</v>
      </c>
      <c r="D2475" s="2" t="str">
        <f>IFERROR(__xludf.DUMMYFUNCTION("IFERROR(VLOOKUP(A2475, IMPORTRANGE(""https://docs.google.com/spreadsheets/d/1-3Vjw2Cyy-mry5gbC8ypIR3YVGFfEpyFESummAta6sg/edit"", ""Sheet1!B:D""), 2, FALSE), ""Not Found"")"),"nilɪŋ")</f>
        <v>nilɪŋ</v>
      </c>
      <c r="E2475" s="2" t="str">
        <f>IFERROR(__xludf.DUMMYFUNCTION("IFERROR(VLOOKUP(A2475, IMPORTRANGE(""https://docs.google.com/spreadsheets/d/1-3Vjw2Cyy-mry5gbC8ypIR3YVGFfEpyFESummAta6sg/edit"", ""Sheet1!B:D""), 3, FALSE), ""Not Found"")"),"n i l ɪ ŋ ")</f>
        <v>n i l ɪ ŋ </v>
      </c>
    </row>
    <row r="2476">
      <c r="A2476" s="1" t="s">
        <v>2479</v>
      </c>
      <c r="B2476" s="1" t="s">
        <v>5</v>
      </c>
      <c r="C2476" s="2">
        <f>IFERROR(__xludf.DUMMYFUNCTION("IFERROR(VLOOKUP(A2476, IMPORTRANGE(""https://docs.google.com/spreadsheets/d/1AVX9GT0dgogEBStecCXMMQ29tWz3gBrtNB8yIromXbY/edit?gid=741673867"", ""out1g!A:B""), 2, FALSE), 0)"),72.0)</f>
        <v>72</v>
      </c>
      <c r="D2476" s="2" t="str">
        <f>IFERROR(__xludf.DUMMYFUNCTION("IFERROR(VLOOKUP(A2476, IMPORTRANGE(""https://docs.google.com/spreadsheets/d/1-3Vjw2Cyy-mry5gbC8ypIR3YVGFfEpyFESummAta6sg/edit"", ""Sheet1!B:D""), 2, FALSE), ""Not Found"")"),"fləf")</f>
        <v>fləf</v>
      </c>
      <c r="E2476" s="2" t="str">
        <f>IFERROR(__xludf.DUMMYFUNCTION("IFERROR(VLOOKUP(A2476, IMPORTRANGE(""https://docs.google.com/spreadsheets/d/1-3Vjw2Cyy-mry5gbC8ypIR3YVGFfEpyFESummAta6sg/edit"", ""Sheet1!B:D""), 3, FALSE), ""Not Found"")"),"f l ə f ")</f>
        <v>f l ə f </v>
      </c>
    </row>
    <row r="2477">
      <c r="A2477" s="1" t="s">
        <v>2480</v>
      </c>
      <c r="B2477" s="1" t="s">
        <v>5</v>
      </c>
      <c r="C2477" s="2">
        <f>IFERROR(__xludf.DUMMYFUNCTION("IFERROR(VLOOKUP(A2477, IMPORTRANGE(""https://docs.google.com/spreadsheets/d/1AVX9GT0dgogEBStecCXMMQ29tWz3gBrtNB8yIromXbY/edit?gid=741673867"", ""out1g!A:B""), 2, FALSE), 0)"),540.0)</f>
        <v>540</v>
      </c>
      <c r="D2477" s="2" t="str">
        <f>IFERROR(__xludf.DUMMYFUNCTION("IFERROR(VLOOKUP(A2477, IMPORTRANGE(""https://docs.google.com/spreadsheets/d/1-3Vjw2Cyy-mry5gbC8ypIR3YVGFfEpyFESummAta6sg/edit"", ""Sheet1!B:D""), 2, FALSE), ""Not Found"")"),"flit")</f>
        <v>flit</v>
      </c>
      <c r="E2477" s="2" t="str">
        <f>IFERROR(__xludf.DUMMYFUNCTION("IFERROR(VLOOKUP(A2477, IMPORTRANGE(""https://docs.google.com/spreadsheets/d/1-3Vjw2Cyy-mry5gbC8ypIR3YVGFfEpyFESummAta6sg/edit"", ""Sheet1!B:D""), 3, FALSE), ""Not Found"")"),"f l i t ")</f>
        <v>f l i t </v>
      </c>
    </row>
    <row r="2478">
      <c r="A2478" s="1" t="s">
        <v>2481</v>
      </c>
      <c r="B2478" s="1" t="s">
        <v>5</v>
      </c>
      <c r="C2478" s="2">
        <f>IFERROR(__xludf.DUMMYFUNCTION("IFERROR(VLOOKUP(A2478, IMPORTRANGE(""https://docs.google.com/spreadsheets/d/1AVX9GT0dgogEBStecCXMMQ29tWz3gBrtNB8yIromXbY/edit?gid=741673867"", ""out1g!A:B""), 2, FALSE), 0)"),125.0)</f>
        <v>125</v>
      </c>
      <c r="D2478" s="2" t="str">
        <f>IFERROR(__xludf.DUMMYFUNCTION("IFERROR(VLOOKUP(A2478, IMPORTRANGE(""https://docs.google.com/spreadsheets/d/1-3Vjw2Cyy-mry5gbC8ypIR3YVGFfEpyFESummAta6sg/edit"", ""Sheet1!B:D""), 2, FALSE), ""Not Found"")"),"pikɪŋ")</f>
        <v>pikɪŋ</v>
      </c>
      <c r="E2478" s="2" t="str">
        <f>IFERROR(__xludf.DUMMYFUNCTION("IFERROR(VLOOKUP(A2478, IMPORTRANGE(""https://docs.google.com/spreadsheets/d/1-3Vjw2Cyy-mry5gbC8ypIR3YVGFfEpyFESummAta6sg/edit"", ""Sheet1!B:D""), 3, FALSE), ""Not Found"")"),"p i k ɪ ŋ ")</f>
        <v>p i k ɪ ŋ </v>
      </c>
    </row>
    <row r="2479">
      <c r="A2479" s="1" t="s">
        <v>2482</v>
      </c>
      <c r="B2479" s="1" t="s">
        <v>5</v>
      </c>
      <c r="C2479" s="2">
        <f>IFERROR(__xludf.DUMMYFUNCTION("IFERROR(VLOOKUP(A2479, IMPORTRANGE(""https://docs.google.com/spreadsheets/d/1AVX9GT0dgogEBStecCXMMQ29tWz3gBrtNB8yIromXbY/edit?gid=741673867"", ""out1g!A:B""), 2, FALSE), 0)"),24.0)</f>
        <v>24</v>
      </c>
      <c r="D2479" s="2" t="str">
        <f>IFERROR(__xludf.DUMMYFUNCTION("IFERROR(VLOOKUP(A2479, IMPORTRANGE(""https://docs.google.com/spreadsheets/d/1-3Vjw2Cyy-mry5gbC8ypIR3YVGFfEpyFESummAta6sg/edit"", ""Sheet1!B:D""), 2, FALSE), ""Not Found"")"),"əlaɪn")</f>
        <v>əlaɪn</v>
      </c>
      <c r="E2479" s="2" t="str">
        <f>IFERROR(__xludf.DUMMYFUNCTION("IFERROR(VLOOKUP(A2479, IMPORTRANGE(""https://docs.google.com/spreadsheets/d/1-3Vjw2Cyy-mry5gbC8ypIR3YVGFfEpyFESummAta6sg/edit"", ""Sheet1!B:D""), 3, FALSE), ""Not Found"")"),"ə l a ɪ n ")</f>
        <v>ə l a ɪ n </v>
      </c>
    </row>
    <row r="2480">
      <c r="A2480" s="1" t="s">
        <v>2483</v>
      </c>
      <c r="B2480" s="1" t="s">
        <v>5</v>
      </c>
      <c r="C2480" s="2">
        <f>IFERROR(__xludf.DUMMYFUNCTION("IFERROR(VLOOKUP(A2480, IMPORTRANGE(""https://docs.google.com/spreadsheets/d/1AVX9GT0dgogEBStecCXMMQ29tWz3gBrtNB8yIromXbY/edit?gid=741673867"", ""out1g!A:B""), 2, FALSE), 0)"),105.0)</f>
        <v>105</v>
      </c>
      <c r="D2480" s="2" t="str">
        <f>IFERROR(__xludf.DUMMYFUNCTION("IFERROR(VLOOKUP(A2480, IMPORTRANGE(""https://docs.google.com/spreadsheets/d/1-3Vjw2Cyy-mry5gbC8ypIR3YVGFfEpyFESummAta6sg/edit"", ""Sheet1!B:D""), 2, FALSE), ""Not Found"")"),"hɔɪst")</f>
        <v>hɔɪst</v>
      </c>
      <c r="E2480" s="2" t="str">
        <f>IFERROR(__xludf.DUMMYFUNCTION("IFERROR(VLOOKUP(A2480, IMPORTRANGE(""https://docs.google.com/spreadsheets/d/1-3Vjw2Cyy-mry5gbC8ypIR3YVGFfEpyFESummAta6sg/edit"", ""Sheet1!B:D""), 3, FALSE), ""Not Found"")"),"h ɔ ɪ s t ")</f>
        <v>h ɔ ɪ s t </v>
      </c>
    </row>
    <row r="2481">
      <c r="A2481" s="1" t="s">
        <v>2484</v>
      </c>
      <c r="B2481" s="1" t="s">
        <v>5</v>
      </c>
      <c r="C2481" s="2">
        <f>IFERROR(__xludf.DUMMYFUNCTION("IFERROR(VLOOKUP(A2481, IMPORTRANGE(""https://docs.google.com/spreadsheets/d/1AVX9GT0dgogEBStecCXMMQ29tWz3gBrtNB8yIromXbY/edit?gid=741673867"", ""out1g!A:B""), 2, FALSE), 0)"),219.0)</f>
        <v>219</v>
      </c>
      <c r="D2481" s="2" t="str">
        <f>IFERROR(__xludf.DUMMYFUNCTION("IFERROR(VLOOKUP(A2481, IMPORTRANGE(""https://docs.google.com/spreadsheets/d/1-3Vjw2Cyy-mry5gbC8ypIR3YVGFfEpyFESummAta6sg/edit"", ""Sheet1!B:D""), 2, FALSE), ""Not Found"")"),"bɑrbi")</f>
        <v>bɑrbi</v>
      </c>
      <c r="E2481" s="2" t="str">
        <f>IFERROR(__xludf.DUMMYFUNCTION("IFERROR(VLOOKUP(A2481, IMPORTRANGE(""https://docs.google.com/spreadsheets/d/1-3Vjw2Cyy-mry5gbC8ypIR3YVGFfEpyFESummAta6sg/edit"", ""Sheet1!B:D""), 3, FALSE), ""Not Found"")"),"b ɑ r b i ")</f>
        <v>b ɑ r b i </v>
      </c>
    </row>
    <row r="2482">
      <c r="A2482" s="1" t="s">
        <v>2485</v>
      </c>
      <c r="B2482" s="1" t="s">
        <v>5</v>
      </c>
      <c r="C2482" s="2">
        <f>IFERROR(__xludf.DUMMYFUNCTION("IFERROR(VLOOKUP(A2482, IMPORTRANGE(""https://docs.google.com/spreadsheets/d/1AVX9GT0dgogEBStecCXMMQ29tWz3gBrtNB8yIromXbY/edit?gid=741673867"", ""out1g!A:B""), 2, FALSE), 0)"),575.0)</f>
        <v>575</v>
      </c>
      <c r="D2482" s="2" t="str">
        <f>IFERROR(__xludf.DUMMYFUNCTION("IFERROR(VLOOKUP(A2482, IMPORTRANGE(""https://docs.google.com/spreadsheets/d/1-3Vjw2Cyy-mry5gbC8ypIR3YVGFfEpyFESummAta6sg/edit"", ""Sheet1!B:D""), 2, FALSE), ""Not Found"")"),"penɪŋz")</f>
        <v>penɪŋz</v>
      </c>
      <c r="E2482" s="2" t="str">
        <f>IFERROR(__xludf.DUMMYFUNCTION("IFERROR(VLOOKUP(A2482, IMPORTRANGE(""https://docs.google.com/spreadsheets/d/1-3Vjw2Cyy-mry5gbC8ypIR3YVGFfEpyFESummAta6sg/edit"", ""Sheet1!B:D""), 3, FALSE), ""Not Found"")"),"p e n ɪ ŋ z ")</f>
        <v>p e n ɪ ŋ z </v>
      </c>
    </row>
    <row r="2483">
      <c r="A2483" s="1" t="s">
        <v>2486</v>
      </c>
      <c r="B2483" s="1" t="s">
        <v>5</v>
      </c>
      <c r="C2483" s="2">
        <f>IFERROR(__xludf.DUMMYFUNCTION("IFERROR(VLOOKUP(A2483, IMPORTRANGE(""https://docs.google.com/spreadsheets/d/1AVX9GT0dgogEBStecCXMMQ29tWz3gBrtNB8yIromXbY/edit?gid=741673867"", ""out1g!A:B""), 2, FALSE), 0)"),892.0)</f>
        <v>892</v>
      </c>
      <c r="D2483" s="2" t="str">
        <f>IFERROR(__xludf.DUMMYFUNCTION("IFERROR(VLOOKUP(A2483, IMPORTRANGE(""https://docs.google.com/spreadsheets/d/1-3Vjw2Cyy-mry5gbC8ypIR3YVGFfEpyFESummAta6sg/edit"", ""Sheet1!B:D""), 2, FALSE), ""Not Found"")"),"tɛnt")</f>
        <v>tɛnt</v>
      </c>
      <c r="E2483" s="2" t="str">
        <f>IFERROR(__xludf.DUMMYFUNCTION("IFERROR(VLOOKUP(A2483, IMPORTRANGE(""https://docs.google.com/spreadsheets/d/1-3Vjw2Cyy-mry5gbC8ypIR3YVGFfEpyFESummAta6sg/edit"", ""Sheet1!B:D""), 3, FALSE), ""Not Found"")"),"t ɛ n t ")</f>
        <v>t ɛ n t </v>
      </c>
    </row>
    <row r="2484">
      <c r="A2484" s="1" t="s">
        <v>2487</v>
      </c>
      <c r="B2484" s="1" t="s">
        <v>5</v>
      </c>
      <c r="C2484" s="2">
        <f>IFERROR(__xludf.DUMMYFUNCTION("IFERROR(VLOOKUP(A2484, IMPORTRANGE(""https://docs.google.com/spreadsheets/d/1AVX9GT0dgogEBStecCXMMQ29tWz3gBrtNB8yIromXbY/edit?gid=741673867"", ""out1g!A:B""), 2, FALSE), 0)"),83.0)</f>
        <v>83</v>
      </c>
      <c r="D2484" s="2" t="str">
        <f>IFERROR(__xludf.DUMMYFUNCTION("IFERROR(VLOOKUP(A2484, IMPORTRANGE(""https://docs.google.com/spreadsheets/d/1-3Vjw2Cyy-mry5gbC8ypIR3YVGFfEpyFESummAta6sg/edit"", ""Sheet1!B:D""), 2, FALSE), ""Not Found"")"),"əkɔrd")</f>
        <v>əkɔrd</v>
      </c>
      <c r="E2484" s="2" t="str">
        <f>IFERROR(__xludf.DUMMYFUNCTION("IFERROR(VLOOKUP(A2484, IMPORTRANGE(""https://docs.google.com/spreadsheets/d/1-3Vjw2Cyy-mry5gbC8ypIR3YVGFfEpyFESummAta6sg/edit"", ""Sheet1!B:D""), 3, FALSE), ""Not Found"")"),"ə k ɔ r d ")</f>
        <v>ə k ɔ r d </v>
      </c>
    </row>
    <row r="2485">
      <c r="A2485" s="1" t="s">
        <v>2488</v>
      </c>
      <c r="B2485" s="1" t="s">
        <v>5</v>
      </c>
      <c r="C2485" s="2">
        <f>IFERROR(__xludf.DUMMYFUNCTION("IFERROR(VLOOKUP(A2485, IMPORTRANGE(""https://docs.google.com/spreadsheets/d/1AVX9GT0dgogEBStecCXMMQ29tWz3gBrtNB8yIromXbY/edit?gid=741673867"", ""out1g!A:B""), 2, FALSE), 0)"),11718.0)</f>
        <v>11718</v>
      </c>
      <c r="D2485" s="2" t="str">
        <f>IFERROR(__xludf.DUMMYFUNCTION("IFERROR(VLOOKUP(A2485, IMPORTRANGE(""https://docs.google.com/spreadsheets/d/1-3Vjw2Cyy-mry5gbC8ypIR3YVGFfEpyFESummAta6sg/edit"", ""Sheet1!B:D""), 2, FALSE), ""Not Found"")"),"kət")</f>
        <v>kət</v>
      </c>
      <c r="E2485" s="2" t="str">
        <f>IFERROR(__xludf.DUMMYFUNCTION("IFERROR(VLOOKUP(A2485, IMPORTRANGE(""https://docs.google.com/spreadsheets/d/1-3Vjw2Cyy-mry5gbC8ypIR3YVGFfEpyFESummAta6sg/edit"", ""Sheet1!B:D""), 3, FALSE), ""Not Found"")"),"k ə t ")</f>
        <v>k ə t </v>
      </c>
    </row>
    <row r="2486">
      <c r="A2486" s="1" t="s">
        <v>2489</v>
      </c>
      <c r="B2486" s="1" t="s">
        <v>5</v>
      </c>
      <c r="C2486" s="2">
        <f>IFERROR(__xludf.DUMMYFUNCTION("IFERROR(VLOOKUP(A2486, IMPORTRANGE(""https://docs.google.com/spreadsheets/d/1AVX9GT0dgogEBStecCXMMQ29tWz3gBrtNB8yIromXbY/edit?gid=741673867"", ""out1g!A:B""), 2, FALSE), 0)"),3096.0)</f>
        <v>3096</v>
      </c>
      <c r="D2486" s="2" t="str">
        <f>IFERROR(__xludf.DUMMYFUNCTION("IFERROR(VLOOKUP(A2486, IMPORTRANGE(""https://docs.google.com/spreadsheets/d/1-3Vjw2Cyy-mry5gbC8ypIR3YVGFfEpyFESummAta6sg/edit"", ""Sheet1!B:D""), 2, FALSE), ""Not Found"")"),"glæs")</f>
        <v>glæs</v>
      </c>
      <c r="E2486" s="2" t="str">
        <f>IFERROR(__xludf.DUMMYFUNCTION("IFERROR(VLOOKUP(A2486, IMPORTRANGE(""https://docs.google.com/spreadsheets/d/1-3Vjw2Cyy-mry5gbC8ypIR3YVGFfEpyFESummAta6sg/edit"", ""Sheet1!B:D""), 3, FALSE), ""Not Found"")"),"g l æ s ")</f>
        <v>g l æ s </v>
      </c>
    </row>
    <row r="2487">
      <c r="A2487" s="1" t="s">
        <v>2490</v>
      </c>
      <c r="B2487" s="1" t="s">
        <v>5</v>
      </c>
      <c r="C2487" s="2">
        <f>IFERROR(__xludf.DUMMYFUNCTION("IFERROR(VLOOKUP(A2487, IMPORTRANGE(""https://docs.google.com/spreadsheets/d/1AVX9GT0dgogEBStecCXMMQ29tWz3gBrtNB8yIromXbY/edit?gid=741673867"", ""out1g!A:B""), 2, FALSE), 0)"),275.0)</f>
        <v>275</v>
      </c>
      <c r="D2487" s="2" t="str">
        <f>IFERROR(__xludf.DUMMYFUNCTION("IFERROR(VLOOKUP(A2487, IMPORTRANGE(""https://docs.google.com/spreadsheets/d/1-3Vjw2Cyy-mry5gbC8ypIR3YVGFfEpyFESummAta6sg/edit"", ""Sheet1!B:D""), 2, FALSE), ""Not Found"")"),"fæg")</f>
        <v>fæg</v>
      </c>
      <c r="E2487" s="2" t="str">
        <f>IFERROR(__xludf.DUMMYFUNCTION("IFERROR(VLOOKUP(A2487, IMPORTRANGE(""https://docs.google.com/spreadsheets/d/1-3Vjw2Cyy-mry5gbC8ypIR3YVGFfEpyFESummAta6sg/edit"", ""Sheet1!B:D""), 3, FALSE), ""Not Found"")"),"f æ g ")</f>
        <v>f æ g </v>
      </c>
    </row>
    <row r="2488">
      <c r="A2488" s="1" t="s">
        <v>2491</v>
      </c>
      <c r="B2488" s="1" t="s">
        <v>5</v>
      </c>
      <c r="C2488" s="2">
        <f>IFERROR(__xludf.DUMMYFUNCTION("IFERROR(VLOOKUP(A2488, IMPORTRANGE(""https://docs.google.com/spreadsheets/d/1AVX9GT0dgogEBStecCXMMQ29tWz3gBrtNB8yIromXbY/edit?gid=741673867"", ""out1g!A:B""), 2, FALSE), 0)"),2903.0)</f>
        <v>2903</v>
      </c>
      <c r="D2488" s="2" t="str">
        <f>IFERROR(__xludf.DUMMYFUNCTION("IFERROR(VLOOKUP(A2488, IMPORTRANGE(""https://docs.google.com/spreadsheets/d/1-3Vjw2Cyy-mry5gbC8ypIR3YVGFfEpyFESummAta6sg/edit"", ""Sheet1!B:D""), 2, FALSE), ""Not Found"")"),"oʊ")</f>
        <v>oʊ</v>
      </c>
      <c r="E2488" s="2" t="str">
        <f>IFERROR(__xludf.DUMMYFUNCTION("IFERROR(VLOOKUP(A2488, IMPORTRANGE(""https://docs.google.com/spreadsheets/d/1-3Vjw2Cyy-mry5gbC8ypIR3YVGFfEpyFESummAta6sg/edit"", ""Sheet1!B:D""), 3, FALSE), ""Not Found"")"),"o ʊ ")</f>
        <v>o ʊ </v>
      </c>
    </row>
    <row r="2489">
      <c r="A2489" s="1" t="s">
        <v>2492</v>
      </c>
      <c r="B2489" s="1" t="s">
        <v>5</v>
      </c>
      <c r="C2489" s="2">
        <f>IFERROR(__xludf.DUMMYFUNCTION("IFERROR(VLOOKUP(A2489, IMPORTRANGE(""https://docs.google.com/spreadsheets/d/1AVX9GT0dgogEBStecCXMMQ29tWz3gBrtNB8yIromXbY/edit?gid=741673867"", ""out1g!A:B""), 2, FALSE), 0)"),96.0)</f>
        <v>96</v>
      </c>
      <c r="D2489" s="2" t="str">
        <f>IFERROR(__xludf.DUMMYFUNCTION("IFERROR(VLOOKUP(A2489, IMPORTRANGE(""https://docs.google.com/spreadsheets/d/1-3Vjw2Cyy-mry5gbC8ypIR3YVGFfEpyFESummAta6sg/edit"", ""Sheet1!B:D""), 2, FALSE), ""Not Found"")"),"saɪprəs")</f>
        <v>saɪprəs</v>
      </c>
      <c r="E2489" s="2" t="str">
        <f>IFERROR(__xludf.DUMMYFUNCTION("IFERROR(VLOOKUP(A2489, IMPORTRANGE(""https://docs.google.com/spreadsheets/d/1-3Vjw2Cyy-mry5gbC8ypIR3YVGFfEpyFESummAta6sg/edit"", ""Sheet1!B:D""), 3, FALSE), ""Not Found"")"),"s a ɪ p r ə s ")</f>
        <v>s a ɪ p r ə s </v>
      </c>
    </row>
    <row r="2490">
      <c r="A2490" s="1" t="s">
        <v>2493</v>
      </c>
      <c r="B2490" s="1" t="s">
        <v>5</v>
      </c>
      <c r="C2490" s="2">
        <f>IFERROR(__xludf.DUMMYFUNCTION("IFERROR(VLOOKUP(A2490, IMPORTRANGE(""https://docs.google.com/spreadsheets/d/1AVX9GT0dgogEBStecCXMMQ29tWz3gBrtNB8yIromXbY/edit?gid=741673867"", ""out1g!A:B""), 2, FALSE), 0)"),683.0)</f>
        <v>683</v>
      </c>
      <c r="D2490" s="2" t="str">
        <f>IFERROR(__xludf.DUMMYFUNCTION("IFERROR(VLOOKUP(A2490, IMPORTRANGE(""https://docs.google.com/spreadsheets/d/1-3Vjw2Cyy-mry5gbC8ypIR3YVGFfEpyFESummAta6sg/edit"", ""Sheet1!B:D""), 2, FALSE), ""Not Found"")"),"sɑrʤ")</f>
        <v>sɑrʤ</v>
      </c>
      <c r="E2490" s="2" t="str">
        <f>IFERROR(__xludf.DUMMYFUNCTION("IFERROR(VLOOKUP(A2490, IMPORTRANGE(""https://docs.google.com/spreadsheets/d/1-3Vjw2Cyy-mry5gbC8ypIR3YVGFfEpyFESummAta6sg/edit"", ""Sheet1!B:D""), 3, FALSE), ""Not Found"")"),"s ɑ r ʤ ")</f>
        <v>s ɑ r ʤ </v>
      </c>
    </row>
    <row r="2491">
      <c r="A2491" s="1" t="s">
        <v>2494</v>
      </c>
      <c r="B2491" s="1" t="s">
        <v>5</v>
      </c>
      <c r="C2491" s="2">
        <f>IFERROR(__xludf.DUMMYFUNCTION("IFERROR(VLOOKUP(A2491, IMPORTRANGE(""https://docs.google.com/spreadsheets/d/1AVX9GT0dgogEBStecCXMMQ29tWz3gBrtNB8yIromXbY/edit?gid=741673867"", ""out1g!A:B""), 2, FALSE), 0)"),263.0)</f>
        <v>263</v>
      </c>
      <c r="D2491" s="2" t="str">
        <f>IFERROR(__xludf.DUMMYFUNCTION("IFERROR(VLOOKUP(A2491, IMPORTRANGE(""https://docs.google.com/spreadsheets/d/1-3Vjw2Cyy-mry5gbC8ypIR3YVGFfEpyFESummAta6sg/edit"", ""Sheet1!B:D""), 2, FALSE), ""Not Found"")"),"θrɛd")</f>
        <v>θrɛd</v>
      </c>
      <c r="E2491" s="2" t="str">
        <f>IFERROR(__xludf.DUMMYFUNCTION("IFERROR(VLOOKUP(A2491, IMPORTRANGE(""https://docs.google.com/spreadsheets/d/1-3Vjw2Cyy-mry5gbC8ypIR3YVGFfEpyFESummAta6sg/edit"", ""Sheet1!B:D""), 3, FALSE), ""Not Found"")"),"θ r ɛ d ")</f>
        <v>θ r ɛ d </v>
      </c>
    </row>
    <row r="2492">
      <c r="A2492" s="1" t="s">
        <v>2495</v>
      </c>
      <c r="B2492" s="1" t="s">
        <v>5</v>
      </c>
      <c r="C2492" s="2">
        <f>IFERROR(__xludf.DUMMYFUNCTION("IFERROR(VLOOKUP(A2492, IMPORTRANGE(""https://docs.google.com/spreadsheets/d/1AVX9GT0dgogEBStecCXMMQ29tWz3gBrtNB8yIromXbY/edit?gid=741673867"", ""out1g!A:B""), 2, FALSE), 0)"),38893.0)</f>
        <v>38893</v>
      </c>
      <c r="D2492" s="2" t="str">
        <f>IFERROR(__xludf.DUMMYFUNCTION("IFERROR(VLOOKUP(A2492, IMPORTRANGE(""https://docs.google.com/spreadsheets/d/1-3Vjw2Cyy-mry5gbC8ypIR3YVGFfEpyFESummAta6sg/edit"", ""Sheet1!B:D""), 2, FALSE), ""Not Found"")"),"gaɪ")</f>
        <v>gaɪ</v>
      </c>
      <c r="E2492" s="2" t="str">
        <f>IFERROR(__xludf.DUMMYFUNCTION("IFERROR(VLOOKUP(A2492, IMPORTRANGE(""https://docs.google.com/spreadsheets/d/1-3Vjw2Cyy-mry5gbC8ypIR3YVGFfEpyFESummAta6sg/edit"", ""Sheet1!B:D""), 3, FALSE), ""Not Found"")"),"g a ɪ ")</f>
        <v>g a ɪ </v>
      </c>
    </row>
    <row r="2493">
      <c r="A2493" s="1" t="s">
        <v>2496</v>
      </c>
      <c r="B2493" s="1" t="s">
        <v>5</v>
      </c>
      <c r="C2493" s="2">
        <f>IFERROR(__xludf.DUMMYFUNCTION("IFERROR(VLOOKUP(A2493, IMPORTRANGE(""https://docs.google.com/spreadsheets/d/1AVX9GT0dgogEBStecCXMMQ29tWz3gBrtNB8yIromXbY/edit?gid=741673867"", ""out1g!A:B""), 2, FALSE), 0)"),138.0)</f>
        <v>138</v>
      </c>
      <c r="D2493" s="2" t="str">
        <f>IFERROR(__xludf.DUMMYFUNCTION("IFERROR(VLOOKUP(A2493, IMPORTRANGE(""https://docs.google.com/spreadsheets/d/1-3Vjw2Cyy-mry5gbC8ypIR3YVGFfEpyFESummAta6sg/edit"", ""Sheet1!B:D""), 2, FALSE), ""Not Found"")"),"enəl")</f>
        <v>enəl</v>
      </c>
      <c r="E2493" s="2" t="str">
        <f>IFERROR(__xludf.DUMMYFUNCTION("IFERROR(VLOOKUP(A2493, IMPORTRANGE(""https://docs.google.com/spreadsheets/d/1-3Vjw2Cyy-mry5gbC8ypIR3YVGFfEpyFESummAta6sg/edit"", ""Sheet1!B:D""), 3, FALSE), ""Not Found"")"),"e n ə l ")</f>
        <v>e n ə l </v>
      </c>
    </row>
    <row r="2494">
      <c r="A2494" s="1" t="s">
        <v>2497</v>
      </c>
      <c r="B2494" s="1" t="s">
        <v>5</v>
      </c>
      <c r="C2494" s="2">
        <f>IFERROR(__xludf.DUMMYFUNCTION("IFERROR(VLOOKUP(A2494, IMPORTRANGE(""https://docs.google.com/spreadsheets/d/1AVX9GT0dgogEBStecCXMMQ29tWz3gBrtNB8yIromXbY/edit?gid=741673867"", ""out1g!A:B""), 2, FALSE), 0)"),4018.0)</f>
        <v>4018</v>
      </c>
      <c r="D2494" s="2" t="str">
        <f>IFERROR(__xludf.DUMMYFUNCTION("IFERROR(VLOOKUP(A2494, IMPORTRANGE(""https://docs.google.com/spreadsheets/d/1-3Vjw2Cyy-mry5gbC8ypIR3YVGFfEpyFESummAta6sg/edit"", ""Sheet1!B:D""), 2, FALSE), ""Not Found"")"),"sit")</f>
        <v>sit</v>
      </c>
      <c r="E2494" s="2" t="str">
        <f>IFERROR(__xludf.DUMMYFUNCTION("IFERROR(VLOOKUP(A2494, IMPORTRANGE(""https://docs.google.com/spreadsheets/d/1-3Vjw2Cyy-mry5gbC8ypIR3YVGFfEpyFESummAta6sg/edit"", ""Sheet1!B:D""), 3, FALSE), ""Not Found"")"),"s i t ")</f>
        <v>s i t </v>
      </c>
    </row>
    <row r="2495">
      <c r="A2495" s="1" t="s">
        <v>2498</v>
      </c>
      <c r="B2495" s="1" t="s">
        <v>5</v>
      </c>
      <c r="C2495" s="2">
        <f>IFERROR(__xludf.DUMMYFUNCTION("IFERROR(VLOOKUP(A2495, IMPORTRANGE(""https://docs.google.com/spreadsheets/d/1AVX9GT0dgogEBStecCXMMQ29tWz3gBrtNB8yIromXbY/edit?gid=741673867"", ""out1g!A:B""), 2, FALSE), 0)"),813.0)</f>
        <v>813</v>
      </c>
      <c r="D2495" s="2" t="str">
        <f>IFERROR(__xludf.DUMMYFUNCTION("IFERROR(VLOOKUP(A2495, IMPORTRANGE(""https://docs.google.com/spreadsheets/d/1-3Vjw2Cyy-mry5gbC8ypIR3YVGFfEpyFESummAta6sg/edit"", ""Sheet1!B:D""), 2, FALSE), ""Not Found"")"),"bɛθ")</f>
        <v>bɛθ</v>
      </c>
      <c r="E2495" s="2" t="str">
        <f>IFERROR(__xludf.DUMMYFUNCTION("IFERROR(VLOOKUP(A2495, IMPORTRANGE(""https://docs.google.com/spreadsheets/d/1-3Vjw2Cyy-mry5gbC8ypIR3YVGFfEpyFESummAta6sg/edit"", ""Sheet1!B:D""), 3, FALSE), ""Not Found"")"),"b ɛ θ ")</f>
        <v>b ɛ θ </v>
      </c>
    </row>
    <row r="2496">
      <c r="A2496" s="1" t="s">
        <v>2499</v>
      </c>
      <c r="B2496" s="1" t="s">
        <v>5</v>
      </c>
      <c r="C2496" s="2">
        <f>IFERROR(__xludf.DUMMYFUNCTION("IFERROR(VLOOKUP(A2496, IMPORTRANGE(""https://docs.google.com/spreadsheets/d/1AVX9GT0dgogEBStecCXMMQ29tWz3gBrtNB8yIromXbY/edit?gid=741673867"", ""out1g!A:B""), 2, FALSE), 0)"),992.0)</f>
        <v>992</v>
      </c>
      <c r="D2496" s="2" t="str">
        <f>IFERROR(__xludf.DUMMYFUNCTION("IFERROR(VLOOKUP(A2496, IMPORTRANGE(""https://docs.google.com/spreadsheets/d/1-3Vjw2Cyy-mry5gbC8ypIR3YVGFfEpyFESummAta6sg/edit"", ""Sheet1!B:D""), 2, FALSE), ""Not Found"")"),"rɪsiv")</f>
        <v>rɪsiv</v>
      </c>
      <c r="E2496" s="2" t="str">
        <f>IFERROR(__xludf.DUMMYFUNCTION("IFERROR(VLOOKUP(A2496, IMPORTRANGE(""https://docs.google.com/spreadsheets/d/1-3Vjw2Cyy-mry5gbC8ypIR3YVGFfEpyFESummAta6sg/edit"", ""Sheet1!B:D""), 3, FALSE), ""Not Found"")"),"r ɪ s i v ")</f>
        <v>r ɪ s i v </v>
      </c>
    </row>
    <row r="2497">
      <c r="A2497" s="1" t="s">
        <v>2500</v>
      </c>
      <c r="B2497" s="1" t="s">
        <v>5</v>
      </c>
      <c r="C2497" s="2">
        <f>IFERROR(__xludf.DUMMYFUNCTION("IFERROR(VLOOKUP(A2497, IMPORTRANGE(""https://docs.google.com/spreadsheets/d/1AVX9GT0dgogEBStecCXMMQ29tWz3gBrtNB8yIromXbY/edit?gid=741673867"", ""out1g!A:B""), 2, FALSE), 0)"),3540.0)</f>
        <v>3540</v>
      </c>
      <c r="D2497" s="2" t="str">
        <f>IFERROR(__xludf.DUMMYFUNCTION("IFERROR(VLOOKUP(A2497, IMPORTRANGE(""https://docs.google.com/spreadsheets/d/1-3Vjw2Cyy-mry5gbC8ypIR3YVGFfEpyFESummAta6sg/edit"", ""Sheet1!B:D""), 2, FALSE), ""Not Found"")"),"stiv")</f>
        <v>stiv</v>
      </c>
      <c r="E2497" s="2" t="str">
        <f>IFERROR(__xludf.DUMMYFUNCTION("IFERROR(VLOOKUP(A2497, IMPORTRANGE(""https://docs.google.com/spreadsheets/d/1-3Vjw2Cyy-mry5gbC8ypIR3YVGFfEpyFESummAta6sg/edit"", ""Sheet1!B:D""), 3, FALSE), ""Not Found"")"),"s t i v ")</f>
        <v>s t i v </v>
      </c>
    </row>
    <row r="2498">
      <c r="A2498" s="1" t="s">
        <v>2501</v>
      </c>
      <c r="B2498" s="1" t="s">
        <v>5</v>
      </c>
      <c r="C2498" s="2">
        <f>IFERROR(__xludf.DUMMYFUNCTION("IFERROR(VLOOKUP(A2498, IMPORTRANGE(""https://docs.google.com/spreadsheets/d/1AVX9GT0dgogEBStecCXMMQ29tWz3gBrtNB8yIromXbY/edit?gid=741673867"", ""out1g!A:B""), 2, FALSE), 0)"),146.0)</f>
        <v>146</v>
      </c>
      <c r="D2498" s="2" t="str">
        <f>IFERROR(__xludf.DUMMYFUNCTION("IFERROR(VLOOKUP(A2498, IMPORTRANGE(""https://docs.google.com/spreadsheets/d/1-3Vjw2Cyy-mry5gbC8ypIR3YVGFfEpyFESummAta6sg/edit"", ""Sheet1!B:D""), 2, FALSE), ""Not Found"")"),"mɪl")</f>
        <v>mɪl</v>
      </c>
      <c r="E2498" s="2" t="str">
        <f>IFERROR(__xludf.DUMMYFUNCTION("IFERROR(VLOOKUP(A2498, IMPORTRANGE(""https://docs.google.com/spreadsheets/d/1-3Vjw2Cyy-mry5gbC8ypIR3YVGFfEpyFESummAta6sg/edit"", ""Sheet1!B:D""), 3, FALSE), ""Not Found"")"),"m ɪ l ")</f>
        <v>m ɪ l </v>
      </c>
    </row>
    <row r="2499">
      <c r="A2499" s="1" t="s">
        <v>2502</v>
      </c>
      <c r="B2499" s="1" t="s">
        <v>5</v>
      </c>
      <c r="C2499" s="2">
        <f>IFERROR(__xludf.DUMMYFUNCTION("IFERROR(VLOOKUP(A2499, IMPORTRANGE(""https://docs.google.com/spreadsheets/d/1AVX9GT0dgogEBStecCXMMQ29tWz3gBrtNB8yIromXbY/edit?gid=741673867"", ""out1g!A:B""), 2, FALSE), 0)"),462.0)</f>
        <v>462</v>
      </c>
      <c r="D2499" s="2" t="str">
        <f>IFERROR(__xludf.DUMMYFUNCTION("IFERROR(VLOOKUP(A2499, IMPORTRANGE(""https://docs.google.com/spreadsheets/d/1-3Vjw2Cyy-mry5gbC8ypIR3YVGFfEpyFESummAta6sg/edit"", ""Sheet1!B:D""), 2, FALSE), ""Not Found"")"),"rɛks")</f>
        <v>rɛks</v>
      </c>
      <c r="E2499" s="2" t="str">
        <f>IFERROR(__xludf.DUMMYFUNCTION("IFERROR(VLOOKUP(A2499, IMPORTRANGE(""https://docs.google.com/spreadsheets/d/1-3Vjw2Cyy-mry5gbC8ypIR3YVGFfEpyFESummAta6sg/edit"", ""Sheet1!B:D""), 3, FALSE), ""Not Found"")"),"r ɛ k s ")</f>
        <v>r ɛ k s </v>
      </c>
    </row>
    <row r="2500">
      <c r="A2500" s="1" t="s">
        <v>2503</v>
      </c>
      <c r="B2500" s="1" t="s">
        <v>5</v>
      </c>
      <c r="C2500" s="2">
        <f>IFERROR(__xludf.DUMMYFUNCTION("IFERROR(VLOOKUP(A2500, IMPORTRANGE(""https://docs.google.com/spreadsheets/d/1AVX9GT0dgogEBStecCXMMQ29tWz3gBrtNB8yIromXbY/edit?gid=741673867"", ""out1g!A:B""), 2, FALSE), 0)"),1656.0)</f>
        <v>1656</v>
      </c>
      <c r="D2500" s="2" t="str">
        <f>IFERROR(__xludf.DUMMYFUNCTION("IFERROR(VLOOKUP(A2500, IMPORTRANGE(""https://docs.google.com/spreadsheets/d/1-3Vjw2Cyy-mry5gbC8ypIR3YVGFfEpyFESummAta6sg/edit"", ""Sheet1!B:D""), 2, FALSE), ""Not Found"")"),"ʧɛkɪŋ")</f>
        <v>ʧɛkɪŋ</v>
      </c>
      <c r="E2500" s="2" t="str">
        <f>IFERROR(__xludf.DUMMYFUNCTION("IFERROR(VLOOKUP(A2500, IMPORTRANGE(""https://docs.google.com/spreadsheets/d/1-3Vjw2Cyy-mry5gbC8ypIR3YVGFfEpyFESummAta6sg/edit"", ""Sheet1!B:D""), 3, FALSE), ""Not Found"")"),"ʧ ɛ k ɪ ŋ ")</f>
        <v>ʧ ɛ k ɪ ŋ </v>
      </c>
    </row>
    <row r="2501">
      <c r="A2501" s="1" t="s">
        <v>2504</v>
      </c>
      <c r="B2501" s="1" t="s">
        <v>5</v>
      </c>
      <c r="C2501" s="2">
        <f>IFERROR(__xludf.DUMMYFUNCTION("IFERROR(VLOOKUP(A2501, IMPORTRANGE(""https://docs.google.com/spreadsheets/d/1AVX9GT0dgogEBStecCXMMQ29tWz3gBrtNB8yIromXbY/edit?gid=741673867"", ""out1g!A:B""), 2, FALSE), 0)"),77.0)</f>
        <v>77</v>
      </c>
      <c r="D2501" s="2" t="str">
        <f>IFERROR(__xludf.DUMMYFUNCTION("IFERROR(VLOOKUP(A2501, IMPORTRANGE(""https://docs.google.com/spreadsheets/d/1-3Vjw2Cyy-mry5gbC8ypIR3YVGFfEpyFESummAta6sg/edit"", ""Sheet1!B:D""), 2, FALSE), ""Not Found"")"),"pɛtri")</f>
        <v>pɛtri</v>
      </c>
      <c r="E2501" s="2" t="str">
        <f>IFERROR(__xludf.DUMMYFUNCTION("IFERROR(VLOOKUP(A2501, IMPORTRANGE(""https://docs.google.com/spreadsheets/d/1-3Vjw2Cyy-mry5gbC8ypIR3YVGFfEpyFESummAta6sg/edit"", ""Sheet1!B:D""), 3, FALSE), ""Not Found"")"),"p ɛ t r i ")</f>
        <v>p ɛ t r i </v>
      </c>
    </row>
    <row r="2502">
      <c r="A2502" s="1" t="s">
        <v>2505</v>
      </c>
      <c r="B2502" s="1" t="s">
        <v>5</v>
      </c>
      <c r="C2502" s="2">
        <f>IFERROR(__xludf.DUMMYFUNCTION("IFERROR(VLOOKUP(A2502, IMPORTRANGE(""https://docs.google.com/spreadsheets/d/1AVX9GT0dgogEBStecCXMMQ29tWz3gBrtNB8yIromXbY/edit?gid=741673867"", ""out1g!A:B""), 2, FALSE), 0)"),1121.0)</f>
        <v>1121</v>
      </c>
      <c r="D2502" s="2" t="str">
        <f>IFERROR(__xludf.DUMMYFUNCTION("IFERROR(VLOOKUP(A2502, IMPORTRANGE(""https://docs.google.com/spreadsheets/d/1-3Vjw2Cyy-mry5gbC8ypIR3YVGFfEpyFESummAta6sg/edit"", ""Sheet1!B:D""), 2, FALSE), ""Not Found"")"),"kaɪnz")</f>
        <v>kaɪnz</v>
      </c>
      <c r="E2502" s="2" t="str">
        <f>IFERROR(__xludf.DUMMYFUNCTION("IFERROR(VLOOKUP(A2502, IMPORTRANGE(""https://docs.google.com/spreadsheets/d/1-3Vjw2Cyy-mry5gbC8ypIR3YVGFfEpyFESummAta6sg/edit"", ""Sheet1!B:D""), 3, FALSE), ""Not Found"")"),"k a ɪ n z ")</f>
        <v>k a ɪ n z </v>
      </c>
    </row>
    <row r="2503">
      <c r="A2503" s="1" t="s">
        <v>2506</v>
      </c>
      <c r="B2503" s="1" t="s">
        <v>5</v>
      </c>
      <c r="C2503" s="2">
        <f>IFERROR(__xludf.DUMMYFUNCTION("IFERROR(VLOOKUP(A2503, IMPORTRANGE(""https://docs.google.com/spreadsheets/d/1AVX9GT0dgogEBStecCXMMQ29tWz3gBrtNB8yIromXbY/edit?gid=741673867"", ""out1g!A:B""), 2, FALSE), 0)"),6592.0)</f>
        <v>6592</v>
      </c>
      <c r="D2503" s="2" t="str">
        <f>IFERROR(__xludf.DUMMYFUNCTION("IFERROR(VLOOKUP(A2503, IMPORTRANGE(""https://docs.google.com/spreadsheets/d/1-3Vjw2Cyy-mry5gbC8ypIR3YVGFfEpyFESummAta6sg/edit"", ""Sheet1!B:D""), 2, FALSE), ""Not Found"")"),"kɪŋ")</f>
        <v>kɪŋ</v>
      </c>
      <c r="E2503" s="2" t="str">
        <f>IFERROR(__xludf.DUMMYFUNCTION("IFERROR(VLOOKUP(A2503, IMPORTRANGE(""https://docs.google.com/spreadsheets/d/1-3Vjw2Cyy-mry5gbC8ypIR3YVGFfEpyFESummAta6sg/edit"", ""Sheet1!B:D""), 3, FALSE), ""Not Found"")"),"k ɪ ŋ ")</f>
        <v>k ɪ ŋ </v>
      </c>
    </row>
    <row r="2504">
      <c r="A2504" s="1" t="s">
        <v>2507</v>
      </c>
      <c r="B2504" s="1" t="s">
        <v>5</v>
      </c>
      <c r="C2504" s="2">
        <f>IFERROR(__xludf.DUMMYFUNCTION("IFERROR(VLOOKUP(A2504, IMPORTRANGE(""https://docs.google.com/spreadsheets/d/1AVX9GT0dgogEBStecCXMMQ29tWz3gBrtNB8yIromXbY/edit?gid=741673867"", ""out1g!A:B""), 2, FALSE), 0)"),50.0)</f>
        <v>50</v>
      </c>
      <c r="D2504" s="2" t="str">
        <f>IFERROR(__xludf.DUMMYFUNCTION("IFERROR(VLOOKUP(A2504, IMPORTRANGE(""https://docs.google.com/spreadsheets/d/1-3Vjw2Cyy-mry5gbC8ypIR3YVGFfEpyFESummAta6sg/edit"", ""Sheet1!B:D""), 2, FALSE), ""Not Found"")"),"vɪl")</f>
        <v>vɪl</v>
      </c>
      <c r="E2504" s="2" t="str">
        <f>IFERROR(__xludf.DUMMYFUNCTION("IFERROR(VLOOKUP(A2504, IMPORTRANGE(""https://docs.google.com/spreadsheets/d/1-3Vjw2Cyy-mry5gbC8ypIR3YVGFfEpyFESummAta6sg/edit"", ""Sheet1!B:D""), 3, FALSE), ""Not Found"")"),"v ɪ l ")</f>
        <v>v ɪ l </v>
      </c>
    </row>
    <row r="2505">
      <c r="A2505" s="1" t="s">
        <v>2508</v>
      </c>
      <c r="B2505" s="1" t="s">
        <v>5</v>
      </c>
      <c r="C2505" s="2">
        <f>IFERROR(__xludf.DUMMYFUNCTION("IFERROR(VLOOKUP(A2505, IMPORTRANGE(""https://docs.google.com/spreadsheets/d/1AVX9GT0dgogEBStecCXMMQ29tWz3gBrtNB8yIromXbY/edit?gid=741673867"", ""out1g!A:B""), 2, FALSE), 0)"),21.0)</f>
        <v>21</v>
      </c>
      <c r="D2505" s="2" t="str">
        <f>IFERROR(__xludf.DUMMYFUNCTION("IFERROR(VLOOKUP(A2505, IMPORTRANGE(""https://docs.google.com/spreadsheets/d/1-3Vjw2Cyy-mry5gbC8ypIR3YVGFfEpyFESummAta6sg/edit"", ""Sheet1!B:D""), 2, FALSE), ""Not Found"")"),"gɔdi")</f>
        <v>gɔdi</v>
      </c>
      <c r="E2505" s="2" t="str">
        <f>IFERROR(__xludf.DUMMYFUNCTION("IFERROR(VLOOKUP(A2505, IMPORTRANGE(""https://docs.google.com/spreadsheets/d/1-3Vjw2Cyy-mry5gbC8ypIR3YVGFfEpyFESummAta6sg/edit"", ""Sheet1!B:D""), 3, FALSE), ""Not Found"")"),"g ɔ d i ")</f>
        <v>g ɔ d i </v>
      </c>
    </row>
    <row r="2506">
      <c r="A2506" s="1" t="s">
        <v>2509</v>
      </c>
      <c r="B2506" s="1" t="s">
        <v>5</v>
      </c>
      <c r="C2506" s="2">
        <f>IFERROR(__xludf.DUMMYFUNCTION("IFERROR(VLOOKUP(A2506, IMPORTRANGE(""https://docs.google.com/spreadsheets/d/1AVX9GT0dgogEBStecCXMMQ29tWz3gBrtNB8yIromXbY/edit?gid=741673867"", ""out1g!A:B""), 2, FALSE), 0)"),57.0)</f>
        <v>57</v>
      </c>
      <c r="D2506" s="2" t="str">
        <f>IFERROR(__xludf.DUMMYFUNCTION("IFERROR(VLOOKUP(A2506, IMPORTRANGE(""https://docs.google.com/spreadsheets/d/1-3Vjw2Cyy-mry5gbC8ypIR3YVGFfEpyFESummAta6sg/edit"", ""Sheet1!B:D""), 2, FALSE), ""Not Found"")"),"θimz")</f>
        <v>θimz</v>
      </c>
      <c r="E2506" s="2" t="str">
        <f>IFERROR(__xludf.DUMMYFUNCTION("IFERROR(VLOOKUP(A2506, IMPORTRANGE(""https://docs.google.com/spreadsheets/d/1-3Vjw2Cyy-mry5gbC8ypIR3YVGFfEpyFESummAta6sg/edit"", ""Sheet1!B:D""), 3, FALSE), ""Not Found"")"),"θ i m z ")</f>
        <v>θ i m z </v>
      </c>
    </row>
    <row r="2507">
      <c r="A2507" s="1" t="s">
        <v>2510</v>
      </c>
      <c r="B2507" s="1" t="s">
        <v>5</v>
      </c>
      <c r="C2507" s="2">
        <f>IFERROR(__xludf.DUMMYFUNCTION("IFERROR(VLOOKUP(A2507, IMPORTRANGE(""https://docs.google.com/spreadsheets/d/1AVX9GT0dgogEBStecCXMMQ29tWz3gBrtNB8yIromXbY/edit?gid=741673867"", ""out1g!A:B""), 2, FALSE), 0)"),1236.0)</f>
        <v>1236</v>
      </c>
      <c r="D2507" s="2" t="str">
        <f>IFERROR(__xludf.DUMMYFUNCTION("IFERROR(VLOOKUP(A2507, IMPORTRANGE(""https://docs.google.com/spreadsheets/d/1-3Vjw2Cyy-mry5gbC8ypIR3YVGFfEpyFESummAta6sg/edit"", ""Sheet1!B:D""), 2, FALSE), ""Not Found"")"),"be")</f>
        <v>be</v>
      </c>
      <c r="E2507" s="2" t="str">
        <f>IFERROR(__xludf.DUMMYFUNCTION("IFERROR(VLOOKUP(A2507, IMPORTRANGE(""https://docs.google.com/spreadsheets/d/1-3Vjw2Cyy-mry5gbC8ypIR3YVGFfEpyFESummAta6sg/edit"", ""Sheet1!B:D""), 3, FALSE), ""Not Found"")"),"b e ")</f>
        <v>b e </v>
      </c>
    </row>
    <row r="2508">
      <c r="A2508" s="1" t="s">
        <v>2511</v>
      </c>
      <c r="B2508" s="1" t="s">
        <v>5</v>
      </c>
      <c r="C2508" s="2">
        <f>IFERROR(__xludf.DUMMYFUNCTION("IFERROR(VLOOKUP(A2508, IMPORTRANGE(""https://docs.google.com/spreadsheets/d/1AVX9GT0dgogEBStecCXMMQ29tWz3gBrtNB8yIromXbY/edit?gid=741673867"", ""out1g!A:B""), 2, FALSE), 0)"),1358.0)</f>
        <v>1358</v>
      </c>
      <c r="D2508" s="2" t="str">
        <f>IFERROR(__xludf.DUMMYFUNCTION("IFERROR(VLOOKUP(A2508, IMPORTRANGE(""https://docs.google.com/spreadsheets/d/1-3Vjw2Cyy-mry5gbC8ypIR3YVGFfEpyFESummAta6sg/edit"", ""Sheet1!B:D""), 2, FALSE), ""Not Found"")"),"ləvər")</f>
        <v>ləvər</v>
      </c>
      <c r="E2508" s="2" t="str">
        <f>IFERROR(__xludf.DUMMYFUNCTION("IFERROR(VLOOKUP(A2508, IMPORTRANGE(""https://docs.google.com/spreadsheets/d/1-3Vjw2Cyy-mry5gbC8ypIR3YVGFfEpyFESummAta6sg/edit"", ""Sheet1!B:D""), 3, FALSE), ""Not Found"")"),"l ə v ə r ")</f>
        <v>l ə v ə r </v>
      </c>
    </row>
    <row r="2509">
      <c r="A2509" s="1" t="s">
        <v>2512</v>
      </c>
      <c r="B2509" s="1" t="s">
        <v>5</v>
      </c>
      <c r="C2509" s="2">
        <f>IFERROR(__xludf.DUMMYFUNCTION("IFERROR(VLOOKUP(A2509, IMPORTRANGE(""https://docs.google.com/spreadsheets/d/1AVX9GT0dgogEBStecCXMMQ29tWz3gBrtNB8yIromXbY/edit?gid=741673867"", ""out1g!A:B""), 2, FALSE), 0)"),599.0)</f>
        <v>599</v>
      </c>
      <c r="D2509" s="2" t="str">
        <f>IFERROR(__xludf.DUMMYFUNCTION("IFERROR(VLOOKUP(A2509, IMPORTRANGE(""https://docs.google.com/spreadsheets/d/1-3Vjw2Cyy-mry5gbC8ypIR3YVGFfEpyFESummAta6sg/edit"", ""Sheet1!B:D""), 2, FALSE), ""Not Found"")"),"oʊnd")</f>
        <v>oʊnd</v>
      </c>
      <c r="E2509" s="2" t="str">
        <f>IFERROR(__xludf.DUMMYFUNCTION("IFERROR(VLOOKUP(A2509, IMPORTRANGE(""https://docs.google.com/spreadsheets/d/1-3Vjw2Cyy-mry5gbC8ypIR3YVGFfEpyFESummAta6sg/edit"", ""Sheet1!B:D""), 3, FALSE), ""Not Found"")"),"o ʊ n d ")</f>
        <v>o ʊ n d </v>
      </c>
    </row>
    <row r="2510">
      <c r="A2510" s="1" t="s">
        <v>2513</v>
      </c>
      <c r="B2510" s="1" t="s">
        <v>5</v>
      </c>
      <c r="C2510" s="2">
        <f>IFERROR(__xludf.DUMMYFUNCTION("IFERROR(VLOOKUP(A2510, IMPORTRANGE(""https://docs.google.com/spreadsheets/d/1AVX9GT0dgogEBStecCXMMQ29tWz3gBrtNB8yIromXbY/edit?gid=741673867"", ""out1g!A:B""), 2, FALSE), 0)"),1666.0)</f>
        <v>1666</v>
      </c>
      <c r="D2510" s="2" t="str">
        <f>IFERROR(__xludf.DUMMYFUNCTION("IFERROR(VLOOKUP(A2510, IMPORTRANGE(""https://docs.google.com/spreadsheets/d/1-3Vjw2Cyy-mry5gbC8ypIR3YVGFfEpyFESummAta6sg/edit"", ""Sheet1!B:D""), 2, FALSE), ""Not Found"")"),"ælaɪ")</f>
        <v>ælaɪ</v>
      </c>
      <c r="E2510" s="2" t="str">
        <f>IFERROR(__xludf.DUMMYFUNCTION("IFERROR(VLOOKUP(A2510, IMPORTRANGE(""https://docs.google.com/spreadsheets/d/1-3Vjw2Cyy-mry5gbC8ypIR3YVGFfEpyFESummAta6sg/edit"", ""Sheet1!B:D""), 3, FALSE), ""Not Found"")"),"æ l a ɪ ")</f>
        <v>æ l a ɪ </v>
      </c>
    </row>
    <row r="2511">
      <c r="A2511" s="1" t="s">
        <v>2514</v>
      </c>
      <c r="B2511" s="1" t="s">
        <v>5</v>
      </c>
      <c r="C2511" s="2">
        <f>IFERROR(__xludf.DUMMYFUNCTION("IFERROR(VLOOKUP(A2511, IMPORTRANGE(""https://docs.google.com/spreadsheets/d/1AVX9GT0dgogEBStecCXMMQ29tWz3gBrtNB8yIromXbY/edit?gid=741673867"", ""out1g!A:B""), 2, FALSE), 0)"),81.0)</f>
        <v>81</v>
      </c>
      <c r="D2511" s="2" t="str">
        <f>IFERROR(__xludf.DUMMYFUNCTION("IFERROR(VLOOKUP(A2511, IMPORTRANGE(""https://docs.google.com/spreadsheets/d/1-3Vjw2Cyy-mry5gbC8ypIR3YVGFfEpyFESummAta6sg/edit"", ""Sheet1!B:D""), 2, FALSE), ""Not Found"")"),"θetə")</f>
        <v>θetə</v>
      </c>
      <c r="E2511" s="2" t="str">
        <f>IFERROR(__xludf.DUMMYFUNCTION("IFERROR(VLOOKUP(A2511, IMPORTRANGE(""https://docs.google.com/spreadsheets/d/1-3Vjw2Cyy-mry5gbC8ypIR3YVGFfEpyFESummAta6sg/edit"", ""Sheet1!B:D""), 3, FALSE), ""Not Found"")"),"θ e t ə ")</f>
        <v>θ e t ə </v>
      </c>
    </row>
    <row r="2512">
      <c r="A2512" s="1" t="s">
        <v>2515</v>
      </c>
      <c r="B2512" s="1" t="s">
        <v>5</v>
      </c>
      <c r="C2512" s="2">
        <f>IFERROR(__xludf.DUMMYFUNCTION("IFERROR(VLOOKUP(A2512, IMPORTRANGE(""https://docs.google.com/spreadsheets/d/1AVX9GT0dgogEBStecCXMMQ29tWz3gBrtNB8yIromXbY/edit?gid=741673867"", ""out1g!A:B""), 2, FALSE), 0)"),293.0)</f>
        <v>293</v>
      </c>
      <c r="D2512" s="2" t="str">
        <f>IFERROR(__xludf.DUMMYFUNCTION("IFERROR(VLOOKUP(A2512, IMPORTRANGE(""https://docs.google.com/spreadsheets/d/1-3Vjw2Cyy-mry5gbC8ypIR3YVGFfEpyFESummAta6sg/edit"", ""Sheet1!B:D""), 2, FALSE), ""Not Found"")"),"wit")</f>
        <v>wit</v>
      </c>
      <c r="E2512" s="2" t="str">
        <f>IFERROR(__xludf.DUMMYFUNCTION("IFERROR(VLOOKUP(A2512, IMPORTRANGE(""https://docs.google.com/spreadsheets/d/1-3Vjw2Cyy-mry5gbC8ypIR3YVGFfEpyFESummAta6sg/edit"", ""Sheet1!B:D""), 3, FALSE), ""Not Found"")"),"w i t ")</f>
        <v>w i t </v>
      </c>
    </row>
    <row r="2513">
      <c r="A2513" s="1" t="s">
        <v>2516</v>
      </c>
      <c r="B2513" s="1" t="s">
        <v>5</v>
      </c>
      <c r="C2513" s="2">
        <f>IFERROR(__xludf.DUMMYFUNCTION("IFERROR(VLOOKUP(A2513, IMPORTRANGE(""https://docs.google.com/spreadsheets/d/1AVX9GT0dgogEBStecCXMMQ29tWz3gBrtNB8yIromXbY/edit?gid=741673867"", ""out1g!A:B""), 2, FALSE), 0)"),211.0)</f>
        <v>211</v>
      </c>
      <c r="D2513" s="2" t="str">
        <f>IFERROR(__xludf.DUMMYFUNCTION("IFERROR(VLOOKUP(A2513, IMPORTRANGE(""https://docs.google.com/spreadsheets/d/1-3Vjw2Cyy-mry5gbC8ypIR3YVGFfEpyFESummAta6sg/edit"", ""Sheet1!B:D""), 2, FALSE), ""Not Found"")"),"mɑp")</f>
        <v>mɑp</v>
      </c>
      <c r="E2513" s="2" t="str">
        <f>IFERROR(__xludf.DUMMYFUNCTION("IFERROR(VLOOKUP(A2513, IMPORTRANGE(""https://docs.google.com/spreadsheets/d/1-3Vjw2Cyy-mry5gbC8ypIR3YVGFfEpyFESummAta6sg/edit"", ""Sheet1!B:D""), 3, FALSE), ""Not Found"")"),"m ɑ p ")</f>
        <v>m ɑ p </v>
      </c>
    </row>
    <row r="2514">
      <c r="A2514" s="1" t="s">
        <v>2517</v>
      </c>
      <c r="B2514" s="1" t="s">
        <v>5</v>
      </c>
      <c r="C2514" s="2">
        <f>IFERROR(__xludf.DUMMYFUNCTION("IFERROR(VLOOKUP(A2514, IMPORTRANGE(""https://docs.google.com/spreadsheets/d/1AVX9GT0dgogEBStecCXMMQ29tWz3gBrtNB8yIromXbY/edit?gid=741673867"", ""out1g!A:B""), 2, FALSE), 0)"),171.0)</f>
        <v>171</v>
      </c>
      <c r="D2514" s="2" t="str">
        <f>IFERROR(__xludf.DUMMYFUNCTION("IFERROR(VLOOKUP(A2514, IMPORTRANGE(""https://docs.google.com/spreadsheets/d/1-3Vjw2Cyy-mry5gbC8ypIR3YVGFfEpyFESummAta6sg/edit"", ""Sheet1!B:D""), 2, FALSE), ""Not Found"")"),"ʧend")</f>
        <v>ʧend</v>
      </c>
      <c r="E2514" s="2" t="str">
        <f>IFERROR(__xludf.DUMMYFUNCTION("IFERROR(VLOOKUP(A2514, IMPORTRANGE(""https://docs.google.com/spreadsheets/d/1-3Vjw2Cyy-mry5gbC8ypIR3YVGFfEpyFESummAta6sg/edit"", ""Sheet1!B:D""), 3, FALSE), ""Not Found"")"),"ʧ e n d ")</f>
        <v>ʧ e n d </v>
      </c>
    </row>
    <row r="2515">
      <c r="A2515" s="1" t="s">
        <v>2518</v>
      </c>
      <c r="B2515" s="1" t="s">
        <v>5</v>
      </c>
      <c r="C2515" s="2">
        <f>IFERROR(__xludf.DUMMYFUNCTION("IFERROR(VLOOKUP(A2515, IMPORTRANGE(""https://docs.google.com/spreadsheets/d/1AVX9GT0dgogEBStecCXMMQ29tWz3gBrtNB8yIromXbY/edit?gid=741673867"", ""out1g!A:B""), 2, FALSE), 0)"),38.0)</f>
        <v>38</v>
      </c>
      <c r="D2515" s="2" t="str">
        <f>IFERROR(__xludf.DUMMYFUNCTION("IFERROR(VLOOKUP(A2515, IMPORTRANGE(""https://docs.google.com/spreadsheets/d/1-3Vjw2Cyy-mry5gbC8ypIR3YVGFfEpyFESummAta6sg/edit"", ""Sheet1!B:D""), 2, FALSE), ""Not Found"")"),"viv")</f>
        <v>viv</v>
      </c>
      <c r="E2515" s="2" t="str">
        <f>IFERROR(__xludf.DUMMYFUNCTION("IFERROR(VLOOKUP(A2515, IMPORTRANGE(""https://docs.google.com/spreadsheets/d/1-3Vjw2Cyy-mry5gbC8ypIR3YVGFfEpyFESummAta6sg/edit"", ""Sheet1!B:D""), 3, FALSE), ""Not Found"")"),"v i v ")</f>
        <v>v i v </v>
      </c>
    </row>
    <row r="2516">
      <c r="A2516" s="1" t="s">
        <v>2519</v>
      </c>
      <c r="B2516" s="1" t="s">
        <v>5</v>
      </c>
      <c r="C2516" s="2">
        <f>IFERROR(__xludf.DUMMYFUNCTION("IFERROR(VLOOKUP(A2516, IMPORTRANGE(""https://docs.google.com/spreadsheets/d/1AVX9GT0dgogEBStecCXMMQ29tWz3gBrtNB8yIromXbY/edit?gid=741673867"", ""out1g!A:B""), 2, FALSE), 0)"),593.0)</f>
        <v>593</v>
      </c>
      <c r="D2516" s="2" t="str">
        <f>IFERROR(__xludf.DUMMYFUNCTION("IFERROR(VLOOKUP(A2516, IMPORTRANGE(""https://docs.google.com/spreadsheets/d/1-3Vjw2Cyy-mry5gbC8ypIR3YVGFfEpyFESummAta6sg/edit"", ""Sheet1!B:D""), 2, FALSE), ""Not Found"")"),"spɔɪl")</f>
        <v>spɔɪl</v>
      </c>
      <c r="E2516" s="2" t="str">
        <f>IFERROR(__xludf.DUMMYFUNCTION("IFERROR(VLOOKUP(A2516, IMPORTRANGE(""https://docs.google.com/spreadsheets/d/1-3Vjw2Cyy-mry5gbC8ypIR3YVGFfEpyFESummAta6sg/edit"", ""Sheet1!B:D""), 3, FALSE), ""Not Found"")"),"s p ɔ ɪ l ")</f>
        <v>s p ɔ ɪ l </v>
      </c>
    </row>
    <row r="2517">
      <c r="A2517" s="1" t="s">
        <v>2520</v>
      </c>
      <c r="B2517" s="1" t="s">
        <v>5</v>
      </c>
      <c r="C2517" s="2">
        <f>IFERROR(__xludf.DUMMYFUNCTION("IFERROR(VLOOKUP(A2517, IMPORTRANGE(""https://docs.google.com/spreadsheets/d/1AVX9GT0dgogEBStecCXMMQ29tWz3gBrtNB8yIromXbY/edit?gid=741673867"", ""out1g!A:B""), 2, FALSE), 0)"),182.0)</f>
        <v>182</v>
      </c>
      <c r="D2517" s="2" t="str">
        <f>IFERROR(__xludf.DUMMYFUNCTION("IFERROR(VLOOKUP(A2517, IMPORTRANGE(""https://docs.google.com/spreadsheets/d/1-3Vjw2Cyy-mry5gbC8ypIR3YVGFfEpyFESummAta6sg/edit"", ""Sheet1!B:D""), 2, FALSE), ""Not Found"")"),"bərgləri")</f>
        <v>bərgləri</v>
      </c>
      <c r="E2517" s="2" t="str">
        <f>IFERROR(__xludf.DUMMYFUNCTION("IFERROR(VLOOKUP(A2517, IMPORTRANGE(""https://docs.google.com/spreadsheets/d/1-3Vjw2Cyy-mry5gbC8ypIR3YVGFfEpyFESummAta6sg/edit"", ""Sheet1!B:D""), 3, FALSE), ""Not Found"")"),"b ə r g l ə r i ")</f>
        <v>b ə r g l ə r i </v>
      </c>
    </row>
    <row r="2518">
      <c r="A2518" s="1" t="s">
        <v>2521</v>
      </c>
      <c r="B2518" s="1" t="s">
        <v>5</v>
      </c>
      <c r="C2518" s="2">
        <f>IFERROR(__xludf.DUMMYFUNCTION("IFERROR(VLOOKUP(A2518, IMPORTRANGE(""https://docs.google.com/spreadsheets/d/1AVX9GT0dgogEBStecCXMMQ29tWz3gBrtNB8yIromXbY/edit?gid=741673867"", ""out1g!A:B""), 2, FALSE), 0)"),603.0)</f>
        <v>603</v>
      </c>
      <c r="D2518" s="2" t="str">
        <f>IFERROR(__xludf.DUMMYFUNCTION("IFERROR(VLOOKUP(A2518, IMPORTRANGE(""https://docs.google.com/spreadsheets/d/1-3Vjw2Cyy-mry5gbC8ypIR3YVGFfEpyFESummAta6sg/edit"", ""Sheet1!B:D""), 2, FALSE), ""Not Found"")"),"θəm")</f>
        <v>θəm</v>
      </c>
      <c r="E2518" s="2" t="str">
        <f>IFERROR(__xludf.DUMMYFUNCTION("IFERROR(VLOOKUP(A2518, IMPORTRANGE(""https://docs.google.com/spreadsheets/d/1-3Vjw2Cyy-mry5gbC8ypIR3YVGFfEpyFESummAta6sg/edit"", ""Sheet1!B:D""), 3, FALSE), ""Not Found"")"),"θ ə m ")</f>
        <v>θ ə m </v>
      </c>
    </row>
    <row r="2519">
      <c r="A2519" s="1" t="s">
        <v>2522</v>
      </c>
      <c r="B2519" s="1" t="s">
        <v>5</v>
      </c>
      <c r="C2519" s="2">
        <f>IFERROR(__xludf.DUMMYFUNCTION("IFERROR(VLOOKUP(A2519, IMPORTRANGE(""https://docs.google.com/spreadsheets/d/1AVX9GT0dgogEBStecCXMMQ29tWz3gBrtNB8yIromXbY/edit?gid=741673867"", ""out1g!A:B""), 2, FALSE), 0)"),3066.0)</f>
        <v>3066</v>
      </c>
      <c r="D2519" s="2" t="str">
        <f>IFERROR(__xludf.DUMMYFUNCTION("IFERROR(VLOOKUP(A2519, IMPORTRANGE(""https://docs.google.com/spreadsheets/d/1-3Vjw2Cyy-mry5gbC8ypIR3YVGFfEpyFESummAta6sg/edit"", ""Sheet1!B:D""), 2, FALSE), ""Not Found"")"),"braʊn")</f>
        <v>braʊn</v>
      </c>
      <c r="E2519" s="2" t="str">
        <f>IFERROR(__xludf.DUMMYFUNCTION("IFERROR(VLOOKUP(A2519, IMPORTRANGE(""https://docs.google.com/spreadsheets/d/1-3Vjw2Cyy-mry5gbC8ypIR3YVGFfEpyFESummAta6sg/edit"", ""Sheet1!B:D""), 3, FALSE), ""Not Found"")"),"b r a ʊ n ")</f>
        <v>b r a ʊ n </v>
      </c>
    </row>
    <row r="2520">
      <c r="A2520" s="1" t="s">
        <v>2523</v>
      </c>
      <c r="B2520" s="1" t="s">
        <v>5</v>
      </c>
      <c r="C2520" s="2">
        <f>IFERROR(__xludf.DUMMYFUNCTION("IFERROR(VLOOKUP(A2520, IMPORTRANGE(""https://docs.google.com/spreadsheets/d/1AVX9GT0dgogEBStecCXMMQ29tWz3gBrtNB8yIromXbY/edit?gid=741673867"", ""out1g!A:B""), 2, FALSE), 0)"),5173.0)</f>
        <v>5173</v>
      </c>
      <c r="D2520" s="2" t="str">
        <f>IFERROR(__xludf.DUMMYFUNCTION("IFERROR(VLOOKUP(A2520, IMPORTRANGE(""https://docs.google.com/spreadsheets/d/1-3Vjw2Cyy-mry5gbC8ypIR3YVGFfEpyFESummAta6sg/edit"", ""Sheet1!B:D""), 2, FALSE), ""Not Found"")"),"wɛdɪŋ")</f>
        <v>wɛdɪŋ</v>
      </c>
      <c r="E2520" s="2" t="str">
        <f>IFERROR(__xludf.DUMMYFUNCTION("IFERROR(VLOOKUP(A2520, IMPORTRANGE(""https://docs.google.com/spreadsheets/d/1-3Vjw2Cyy-mry5gbC8ypIR3YVGFfEpyFESummAta6sg/edit"", ""Sheet1!B:D""), 3, FALSE), ""Not Found"")"),"w ɛ d ɪ ŋ ")</f>
        <v>w ɛ d ɪ ŋ </v>
      </c>
    </row>
    <row r="2521">
      <c r="A2521" s="1" t="s">
        <v>2524</v>
      </c>
      <c r="B2521" s="1" t="s">
        <v>5</v>
      </c>
      <c r="C2521" s="2">
        <f>IFERROR(__xludf.DUMMYFUNCTION("IFERROR(VLOOKUP(A2521, IMPORTRANGE(""https://docs.google.com/spreadsheets/d/1AVX9GT0dgogEBStecCXMMQ29tWz3gBrtNB8yIromXbY/edit?gid=741673867"", ""out1g!A:B""), 2, FALSE), 0)"),2080.0)</f>
        <v>2080</v>
      </c>
      <c r="D2521" s="2" t="str">
        <f>IFERROR(__xludf.DUMMYFUNCTION("IFERROR(VLOOKUP(A2521, IMPORTRANGE(""https://docs.google.com/spreadsheets/d/1-3Vjw2Cyy-mry5gbC8ypIR3YVGFfEpyFESummAta6sg/edit"", ""Sheet1!B:D""), 2, FALSE), ""Not Found"")"),"baɪt")</f>
        <v>baɪt</v>
      </c>
      <c r="E2521" s="2" t="str">
        <f>IFERROR(__xludf.DUMMYFUNCTION("IFERROR(VLOOKUP(A2521, IMPORTRANGE(""https://docs.google.com/spreadsheets/d/1-3Vjw2Cyy-mry5gbC8ypIR3YVGFfEpyFESummAta6sg/edit"", ""Sheet1!B:D""), 3, FALSE), ""Not Found"")"),"b a ɪ t ")</f>
        <v>b a ɪ t </v>
      </c>
    </row>
    <row r="2522">
      <c r="A2522" s="1" t="s">
        <v>2525</v>
      </c>
      <c r="B2522" s="1" t="s">
        <v>5</v>
      </c>
      <c r="C2522" s="2">
        <f>IFERROR(__xludf.DUMMYFUNCTION("IFERROR(VLOOKUP(A2522, IMPORTRANGE(""https://docs.google.com/spreadsheets/d/1AVX9GT0dgogEBStecCXMMQ29tWz3gBrtNB8yIromXbY/edit?gid=741673867"", ""out1g!A:B""), 2, FALSE), 0)"),56.0)</f>
        <v>56</v>
      </c>
      <c r="D2522" s="2" t="str">
        <f>IFERROR(__xludf.DUMMYFUNCTION("IFERROR(VLOOKUP(A2522, IMPORTRANGE(""https://docs.google.com/spreadsheets/d/1-3Vjw2Cyy-mry5gbC8ypIR3YVGFfEpyFESummAta6sg/edit"", ""Sheet1!B:D""), 2, FALSE), ""Not Found"")"),"həts")</f>
        <v>həts</v>
      </c>
      <c r="E2522" s="2" t="str">
        <f>IFERROR(__xludf.DUMMYFUNCTION("IFERROR(VLOOKUP(A2522, IMPORTRANGE(""https://docs.google.com/spreadsheets/d/1-3Vjw2Cyy-mry5gbC8ypIR3YVGFfEpyFESummAta6sg/edit"", ""Sheet1!B:D""), 3, FALSE), ""Not Found"")"),"h ə t s ")</f>
        <v>h ə t s </v>
      </c>
    </row>
    <row r="2523">
      <c r="A2523" s="1" t="s">
        <v>2526</v>
      </c>
      <c r="B2523" s="1" t="s">
        <v>5</v>
      </c>
      <c r="C2523" s="2">
        <f>IFERROR(__xludf.DUMMYFUNCTION("IFERROR(VLOOKUP(A2523, IMPORTRANGE(""https://docs.google.com/spreadsheets/d/1AVX9GT0dgogEBStecCXMMQ29tWz3gBrtNB8yIromXbY/edit?gid=741673867"", ""out1g!A:B""), 2, FALSE), 0)"),7395.0)</f>
        <v>7395</v>
      </c>
      <c r="D2523" s="2" t="str">
        <f>IFERROR(__xludf.DUMMYFUNCTION("IFERROR(VLOOKUP(A2523, IMPORTRANGE(""https://docs.google.com/spreadsheets/d/1-3Vjw2Cyy-mry5gbC8ypIR3YVGFfEpyFESummAta6sg/edit"", ""Sheet1!B:D""), 2, FALSE), ""Not Found"")"),"tɛn")</f>
        <v>tɛn</v>
      </c>
      <c r="E2523" s="2" t="str">
        <f>IFERROR(__xludf.DUMMYFUNCTION("IFERROR(VLOOKUP(A2523, IMPORTRANGE(""https://docs.google.com/spreadsheets/d/1-3Vjw2Cyy-mry5gbC8ypIR3YVGFfEpyFESummAta6sg/edit"", ""Sheet1!B:D""), 3, FALSE), ""Not Found"")"),"t ɛ n ")</f>
        <v>t ɛ n </v>
      </c>
    </row>
    <row r="2524">
      <c r="A2524" s="1" t="s">
        <v>2527</v>
      </c>
      <c r="B2524" s="1" t="s">
        <v>5</v>
      </c>
      <c r="C2524" s="2">
        <f>IFERROR(__xludf.DUMMYFUNCTION("IFERROR(VLOOKUP(A2524, IMPORTRANGE(""https://docs.google.com/spreadsheets/d/1AVX9GT0dgogEBStecCXMMQ29tWz3gBrtNB8yIromXbY/edit?gid=741673867"", ""out1g!A:B""), 2, FALSE), 0)"),2722.0)</f>
        <v>2722</v>
      </c>
      <c r="D2524" s="2" t="str">
        <f>IFERROR(__xludf.DUMMYFUNCTION("IFERROR(VLOOKUP(A2524, IMPORTRANGE(""https://docs.google.com/spreadsheets/d/1-3Vjw2Cyy-mry5gbC8ypIR3YVGFfEpyFESummAta6sg/edit"", ""Sheet1!B:D""), 2, FALSE), ""Not Found"")"),"luzɪŋ")</f>
        <v>luzɪŋ</v>
      </c>
      <c r="E2524" s="2" t="str">
        <f>IFERROR(__xludf.DUMMYFUNCTION("IFERROR(VLOOKUP(A2524, IMPORTRANGE(""https://docs.google.com/spreadsheets/d/1-3Vjw2Cyy-mry5gbC8ypIR3YVGFfEpyFESummAta6sg/edit"", ""Sheet1!B:D""), 3, FALSE), ""Not Found"")"),"l u z ɪ ŋ ")</f>
        <v>l u z ɪ ŋ </v>
      </c>
    </row>
    <row r="2525">
      <c r="A2525" s="1" t="s">
        <v>2528</v>
      </c>
      <c r="B2525" s="1" t="s">
        <v>5</v>
      </c>
      <c r="C2525" s="2">
        <f>IFERROR(__xludf.DUMMYFUNCTION("IFERROR(VLOOKUP(A2525, IMPORTRANGE(""https://docs.google.com/spreadsheets/d/1AVX9GT0dgogEBStecCXMMQ29tWz3gBrtNB8yIromXbY/edit?gid=741673867"", ""out1g!A:B""), 2, FALSE), 0)"),4778.0)</f>
        <v>4778</v>
      </c>
      <c r="D2525" s="2" t="str">
        <f>IFERROR(__xludf.DUMMYFUNCTION("IFERROR(VLOOKUP(A2525, IMPORTRANGE(""https://docs.google.com/spreadsheets/d/1-3Vjw2Cyy-mry5gbC8ypIR3YVGFfEpyFESummAta6sg/edit"", ""Sheet1!B:D""), 2, FALSE), ""Not Found"")"),"sɔŋ")</f>
        <v>sɔŋ</v>
      </c>
      <c r="E2525" s="2" t="str">
        <f>IFERROR(__xludf.DUMMYFUNCTION("IFERROR(VLOOKUP(A2525, IMPORTRANGE(""https://docs.google.com/spreadsheets/d/1-3Vjw2Cyy-mry5gbC8ypIR3YVGFfEpyFESummAta6sg/edit"", ""Sheet1!B:D""), 3, FALSE), ""Not Found"")"),"s ɔ ŋ ")</f>
        <v>s ɔ ŋ </v>
      </c>
    </row>
    <row r="2526">
      <c r="A2526" s="1" t="s">
        <v>2529</v>
      </c>
      <c r="B2526" s="1" t="s">
        <v>5</v>
      </c>
      <c r="C2526" s="2">
        <f>IFERROR(__xludf.DUMMYFUNCTION("IFERROR(VLOOKUP(A2526, IMPORTRANGE(""https://docs.google.com/spreadsheets/d/1AVX9GT0dgogEBStecCXMMQ29tWz3gBrtNB8yIromXbY/edit?gid=741673867"", ""out1g!A:B""), 2, FALSE), 0)"),125.0)</f>
        <v>125</v>
      </c>
      <c r="D2526" s="2" t="str">
        <f>IFERROR(__xludf.DUMMYFUNCTION("IFERROR(VLOOKUP(A2526, IMPORTRANGE(""https://docs.google.com/spreadsheets/d/1-3Vjw2Cyy-mry5gbC8ypIR3YVGFfEpyFESummAta6sg/edit"", ""Sheet1!B:D""), 2, FALSE), ""Not Found"")"),"stup")</f>
        <v>stup</v>
      </c>
      <c r="E2526" s="2" t="str">
        <f>IFERROR(__xludf.DUMMYFUNCTION("IFERROR(VLOOKUP(A2526, IMPORTRANGE(""https://docs.google.com/spreadsheets/d/1-3Vjw2Cyy-mry5gbC8ypIR3YVGFfEpyFESummAta6sg/edit"", ""Sheet1!B:D""), 3, FALSE), ""Not Found"")"),"s t u p ")</f>
        <v>s t u p </v>
      </c>
    </row>
    <row r="2527">
      <c r="A2527" s="1" t="s">
        <v>2530</v>
      </c>
      <c r="B2527" s="1" t="s">
        <v>5</v>
      </c>
      <c r="C2527" s="2">
        <f>IFERROR(__xludf.DUMMYFUNCTION("IFERROR(VLOOKUP(A2527, IMPORTRANGE(""https://docs.google.com/spreadsheets/d/1AVX9GT0dgogEBStecCXMMQ29tWz3gBrtNB8yIromXbY/edit?gid=741673867"", ""out1g!A:B""), 2, FALSE), 0)"),710.0)</f>
        <v>710</v>
      </c>
      <c r="D2527" s="2" t="str">
        <f>IFERROR(__xludf.DUMMYFUNCTION("IFERROR(VLOOKUP(A2527, IMPORTRANGE(""https://docs.google.com/spreadsheets/d/1-3Vjw2Cyy-mry5gbC8ypIR3YVGFfEpyFESummAta6sg/edit"", ""Sheet1!B:D""), 2, FALSE), ""Not Found"")"),"blɑnd")</f>
        <v>blɑnd</v>
      </c>
      <c r="E2527" s="2" t="str">
        <f>IFERROR(__xludf.DUMMYFUNCTION("IFERROR(VLOOKUP(A2527, IMPORTRANGE(""https://docs.google.com/spreadsheets/d/1-3Vjw2Cyy-mry5gbC8ypIR3YVGFfEpyFESummAta6sg/edit"", ""Sheet1!B:D""), 3, FALSE), ""Not Found"")"),"b l ɑ n d ")</f>
        <v>b l ɑ n d </v>
      </c>
    </row>
    <row r="2528">
      <c r="A2528" s="1" t="s">
        <v>2531</v>
      </c>
      <c r="B2528" s="1" t="s">
        <v>5</v>
      </c>
      <c r="C2528" s="2">
        <f>IFERROR(__xludf.DUMMYFUNCTION("IFERROR(VLOOKUP(A2528, IMPORTRANGE(""https://docs.google.com/spreadsheets/d/1AVX9GT0dgogEBStecCXMMQ29tWz3gBrtNB8yIromXbY/edit?gid=741673867"", ""out1g!A:B""), 2, FALSE), 0)"),811.0)</f>
        <v>811</v>
      </c>
      <c r="D2528" s="2" t="str">
        <f>IFERROR(__xludf.DUMMYFUNCTION("IFERROR(VLOOKUP(A2528, IMPORTRANGE(""https://docs.google.com/spreadsheets/d/1-3Vjw2Cyy-mry5gbC8ypIR3YVGFfEpyFESummAta6sg/edit"", ""Sheet1!B:D""), 2, FALSE), ""Not Found"")"),"tɛdi")</f>
        <v>tɛdi</v>
      </c>
      <c r="E2528" s="2" t="str">
        <f>IFERROR(__xludf.DUMMYFUNCTION("IFERROR(VLOOKUP(A2528, IMPORTRANGE(""https://docs.google.com/spreadsheets/d/1-3Vjw2Cyy-mry5gbC8ypIR3YVGFfEpyFESummAta6sg/edit"", ""Sheet1!B:D""), 3, FALSE), ""Not Found"")"),"t ɛ d i ")</f>
        <v>t ɛ d i </v>
      </c>
    </row>
    <row r="2529">
      <c r="A2529" s="1" t="s">
        <v>2532</v>
      </c>
      <c r="B2529" s="1" t="s">
        <v>5</v>
      </c>
      <c r="C2529" s="2">
        <f>IFERROR(__xludf.DUMMYFUNCTION("IFERROR(VLOOKUP(A2529, IMPORTRANGE(""https://docs.google.com/spreadsheets/d/1AVX9GT0dgogEBStecCXMMQ29tWz3gBrtNB8yIromXbY/edit?gid=741673867"", ""out1g!A:B""), 2, FALSE), 0)"),64.0)</f>
        <v>64</v>
      </c>
      <c r="D2529" s="2" t="str">
        <f>IFERROR(__xludf.DUMMYFUNCTION("IFERROR(VLOOKUP(A2529, IMPORTRANGE(""https://docs.google.com/spreadsheets/d/1-3Vjw2Cyy-mry5gbC8ypIR3YVGFfEpyFESummAta6sg/edit"", ""Sheet1!B:D""), 2, FALSE), ""Not Found"")"),"sæks")</f>
        <v>sæks</v>
      </c>
      <c r="E2529" s="2" t="str">
        <f>IFERROR(__xludf.DUMMYFUNCTION("IFERROR(VLOOKUP(A2529, IMPORTRANGE(""https://docs.google.com/spreadsheets/d/1-3Vjw2Cyy-mry5gbC8ypIR3YVGFfEpyFESummAta6sg/edit"", ""Sheet1!B:D""), 3, FALSE), ""Not Found"")"),"s æ k s ")</f>
        <v>s æ k s </v>
      </c>
    </row>
    <row r="2530">
      <c r="A2530" s="1" t="s">
        <v>2533</v>
      </c>
      <c r="B2530" s="1" t="s">
        <v>5</v>
      </c>
      <c r="C2530" s="2">
        <f>IFERROR(__xludf.DUMMYFUNCTION("IFERROR(VLOOKUP(A2530, IMPORTRANGE(""https://docs.google.com/spreadsheets/d/1AVX9GT0dgogEBStecCXMMQ29tWz3gBrtNB8yIromXbY/edit?gid=741673867"", ""out1g!A:B""), 2, FALSE), 0)"),572.0)</f>
        <v>572</v>
      </c>
      <c r="D2530" s="2" t="str">
        <f>IFERROR(__xludf.DUMMYFUNCTION("IFERROR(VLOOKUP(A2530, IMPORTRANGE(""https://docs.google.com/spreadsheets/d/1-3Vjw2Cyy-mry5gbC8ypIR3YVGFfEpyFESummAta6sg/edit"", ""Sheet1!B:D""), 2, FALSE), ""Not Found"")"),"ləvərz")</f>
        <v>ləvərz</v>
      </c>
      <c r="E2530" s="2" t="str">
        <f>IFERROR(__xludf.DUMMYFUNCTION("IFERROR(VLOOKUP(A2530, IMPORTRANGE(""https://docs.google.com/spreadsheets/d/1-3Vjw2Cyy-mry5gbC8ypIR3YVGFfEpyFESummAta6sg/edit"", ""Sheet1!B:D""), 3, FALSE), ""Not Found"")"),"l ə v ə r z ")</f>
        <v>l ə v ə r z </v>
      </c>
    </row>
    <row r="2531">
      <c r="A2531" s="1" t="s">
        <v>2534</v>
      </c>
      <c r="B2531" s="1" t="s">
        <v>5</v>
      </c>
      <c r="C2531" s="2">
        <f>IFERROR(__xludf.DUMMYFUNCTION("IFERROR(VLOOKUP(A2531, IMPORTRANGE(""https://docs.google.com/spreadsheets/d/1AVX9GT0dgogEBStecCXMMQ29tWz3gBrtNB8yIromXbY/edit?gid=741673867"", ""out1g!A:B""), 2, FALSE), 0)"),225.0)</f>
        <v>225</v>
      </c>
      <c r="D2531" s="2" t="str">
        <f>IFERROR(__xludf.DUMMYFUNCTION("IFERROR(VLOOKUP(A2531, IMPORTRANGE(""https://docs.google.com/spreadsheets/d/1-3Vjw2Cyy-mry5gbC8ypIR3YVGFfEpyFESummAta6sg/edit"", ""Sheet1!B:D""), 2, FALSE), ""Not Found"")"),"dɔgi")</f>
        <v>dɔgi</v>
      </c>
      <c r="E2531" s="2" t="str">
        <f>IFERROR(__xludf.DUMMYFUNCTION("IFERROR(VLOOKUP(A2531, IMPORTRANGE(""https://docs.google.com/spreadsheets/d/1-3Vjw2Cyy-mry5gbC8ypIR3YVGFfEpyFESummAta6sg/edit"", ""Sheet1!B:D""), 3, FALSE), ""Not Found"")"),"d ɔ g i ")</f>
        <v>d ɔ g i </v>
      </c>
    </row>
    <row r="2532">
      <c r="A2532" s="1" t="s">
        <v>2535</v>
      </c>
      <c r="B2532" s="1" t="s">
        <v>5</v>
      </c>
      <c r="C2532" s="2">
        <f>IFERROR(__xludf.DUMMYFUNCTION("IFERROR(VLOOKUP(A2532, IMPORTRANGE(""https://docs.google.com/spreadsheets/d/1AVX9GT0dgogEBStecCXMMQ29tWz3gBrtNB8yIromXbY/edit?gid=741673867"", ""out1g!A:B""), 2, FALSE), 0)"),742.0)</f>
        <v>742</v>
      </c>
      <c r="D2532" s="2" t="str">
        <f>IFERROR(__xludf.DUMMYFUNCTION("IFERROR(VLOOKUP(A2532, IMPORTRANGE(""https://docs.google.com/spreadsheets/d/1-3Vjw2Cyy-mry5gbC8ypIR3YVGFfEpyFESummAta6sg/edit"", ""Sheet1!B:D""), 2, FALSE), ""Not Found"")"),"tæks")</f>
        <v>tæks</v>
      </c>
      <c r="E2532" s="2" t="str">
        <f>IFERROR(__xludf.DUMMYFUNCTION("IFERROR(VLOOKUP(A2532, IMPORTRANGE(""https://docs.google.com/spreadsheets/d/1-3Vjw2Cyy-mry5gbC8ypIR3YVGFfEpyFESummAta6sg/edit"", ""Sheet1!B:D""), 3, FALSE), ""Not Found"")"),"t æ k s ")</f>
        <v>t æ k s </v>
      </c>
    </row>
    <row r="2533">
      <c r="A2533" s="1" t="s">
        <v>2536</v>
      </c>
      <c r="B2533" s="1" t="s">
        <v>5</v>
      </c>
      <c r="C2533" s="2">
        <f>IFERROR(__xludf.DUMMYFUNCTION("IFERROR(VLOOKUP(A2533, IMPORTRANGE(""https://docs.google.com/spreadsheets/d/1AVX9GT0dgogEBStecCXMMQ29tWz3gBrtNB8yIromXbY/edit?gid=741673867"", ""out1g!A:B""), 2, FALSE), 0)"),56.0)</f>
        <v>56</v>
      </c>
      <c r="D2533" s="2" t="str">
        <f>IFERROR(__xludf.DUMMYFUNCTION("IFERROR(VLOOKUP(A2533, IMPORTRANGE(""https://docs.google.com/spreadsheets/d/1-3Vjw2Cyy-mry5gbC8ypIR3YVGFfEpyFESummAta6sg/edit"", ""Sheet1!B:D""), 2, FALSE), ""Not Found"")"),"gʊks")</f>
        <v>gʊks</v>
      </c>
      <c r="E2533" s="2" t="str">
        <f>IFERROR(__xludf.DUMMYFUNCTION("IFERROR(VLOOKUP(A2533, IMPORTRANGE(""https://docs.google.com/spreadsheets/d/1-3Vjw2Cyy-mry5gbC8ypIR3YVGFfEpyFESummAta6sg/edit"", ""Sheet1!B:D""), 3, FALSE), ""Not Found"")"),"g ʊ k s ")</f>
        <v>g ʊ k s </v>
      </c>
    </row>
    <row r="2534">
      <c r="A2534" s="1" t="s">
        <v>2537</v>
      </c>
      <c r="B2534" s="1" t="s">
        <v>5</v>
      </c>
      <c r="C2534" s="2">
        <f>IFERROR(__xludf.DUMMYFUNCTION("IFERROR(VLOOKUP(A2534, IMPORTRANGE(""https://docs.google.com/spreadsheets/d/1AVX9GT0dgogEBStecCXMMQ29tWz3gBrtNB8yIromXbY/edit?gid=741673867"", ""out1g!A:B""), 2, FALSE), 0)"),505.0)</f>
        <v>505</v>
      </c>
      <c r="D2534" s="2" t="str">
        <f>IFERROR(__xludf.DUMMYFUNCTION("IFERROR(VLOOKUP(A2534, IMPORTRANGE(""https://docs.google.com/spreadsheets/d/1-3Vjw2Cyy-mry5gbC8ypIR3YVGFfEpyFESummAta6sg/edit"", ""Sheet1!B:D""), 2, FALSE), ""Not Found"")"),"skəm")</f>
        <v>skəm</v>
      </c>
      <c r="E2534" s="2" t="str">
        <f>IFERROR(__xludf.DUMMYFUNCTION("IFERROR(VLOOKUP(A2534, IMPORTRANGE(""https://docs.google.com/spreadsheets/d/1-3Vjw2Cyy-mry5gbC8ypIR3YVGFfEpyFESummAta6sg/edit"", ""Sheet1!B:D""), 3, FALSE), ""Not Found"")"),"s k ə m ")</f>
        <v>s k ə m </v>
      </c>
    </row>
    <row r="2535">
      <c r="A2535" s="1" t="s">
        <v>2538</v>
      </c>
      <c r="B2535" s="1" t="s">
        <v>5</v>
      </c>
      <c r="C2535" s="2">
        <f>IFERROR(__xludf.DUMMYFUNCTION("IFERROR(VLOOKUP(A2535, IMPORTRANGE(""https://docs.google.com/spreadsheets/d/1AVX9GT0dgogEBStecCXMMQ29tWz3gBrtNB8yIromXbY/edit?gid=741673867"", ""out1g!A:B""), 2, FALSE), 0)"),124.0)</f>
        <v>124</v>
      </c>
      <c r="D2535" s="2" t="str">
        <f>IFERROR(__xludf.DUMMYFUNCTION("IFERROR(VLOOKUP(A2535, IMPORTRANGE(""https://docs.google.com/spreadsheets/d/1-3Vjw2Cyy-mry5gbC8ypIR3YVGFfEpyFESummAta6sg/edit"", ""Sheet1!B:D""), 2, FALSE), ""Not Found"")"),"sɛnərz")</f>
        <v>sɛnərz</v>
      </c>
      <c r="E2535" s="2" t="str">
        <f>IFERROR(__xludf.DUMMYFUNCTION("IFERROR(VLOOKUP(A2535, IMPORTRANGE(""https://docs.google.com/spreadsheets/d/1-3Vjw2Cyy-mry5gbC8ypIR3YVGFfEpyFESummAta6sg/edit"", ""Sheet1!B:D""), 3, FALSE), ""Not Found"")"),"s ɛ n ə r z ")</f>
        <v>s ɛ n ə r z </v>
      </c>
    </row>
    <row r="2536">
      <c r="A2536" s="1" t="s">
        <v>2539</v>
      </c>
      <c r="B2536" s="1" t="s">
        <v>5</v>
      </c>
      <c r="C2536" s="2">
        <f>IFERROR(__xludf.DUMMYFUNCTION("IFERROR(VLOOKUP(A2536, IMPORTRANGE(""https://docs.google.com/spreadsheets/d/1AVX9GT0dgogEBStecCXMMQ29tWz3gBrtNB8yIromXbY/edit?gid=741673867"", ""out1g!A:B""), 2, FALSE), 0)"),564.0)</f>
        <v>564</v>
      </c>
      <c r="D2536" s="2" t="str">
        <f>IFERROR(__xludf.DUMMYFUNCTION("IFERROR(VLOOKUP(A2536, IMPORTRANGE(""https://docs.google.com/spreadsheets/d/1-3Vjw2Cyy-mry5gbC8ypIR3YVGFfEpyFESummAta6sg/edit"", ""Sheet1!B:D""), 2, FALSE), ""Not Found"")"),"pæti")</f>
        <v>pæti</v>
      </c>
      <c r="E2536" s="2" t="str">
        <f>IFERROR(__xludf.DUMMYFUNCTION("IFERROR(VLOOKUP(A2536, IMPORTRANGE(""https://docs.google.com/spreadsheets/d/1-3Vjw2Cyy-mry5gbC8ypIR3YVGFfEpyFESummAta6sg/edit"", ""Sheet1!B:D""), 3, FALSE), ""Not Found"")"),"p æ t i ")</f>
        <v>p æ t i </v>
      </c>
    </row>
    <row r="2537">
      <c r="A2537" s="1" t="s">
        <v>2540</v>
      </c>
      <c r="B2537" s="1" t="s">
        <v>5</v>
      </c>
      <c r="C2537" s="2">
        <f>IFERROR(__xludf.DUMMYFUNCTION("IFERROR(VLOOKUP(A2537, IMPORTRANGE(""https://docs.google.com/spreadsheets/d/1AVX9GT0dgogEBStecCXMMQ29tWz3gBrtNB8yIromXbY/edit?gid=741673867"", ""out1g!A:B""), 2, FALSE), 0)"),143.0)</f>
        <v>143</v>
      </c>
      <c r="D2537" s="2" t="str">
        <f>IFERROR(__xludf.DUMMYFUNCTION("IFERROR(VLOOKUP(A2537, IMPORTRANGE(""https://docs.google.com/spreadsheets/d/1-3Vjw2Cyy-mry5gbC8ypIR3YVGFfEpyFESummAta6sg/edit"", ""Sheet1!B:D""), 2, FALSE), ""Not Found"")"),"məʃ")</f>
        <v>məʃ</v>
      </c>
      <c r="E2537" s="2" t="str">
        <f>IFERROR(__xludf.DUMMYFUNCTION("IFERROR(VLOOKUP(A2537, IMPORTRANGE(""https://docs.google.com/spreadsheets/d/1-3Vjw2Cyy-mry5gbC8ypIR3YVGFfEpyFESummAta6sg/edit"", ""Sheet1!B:D""), 3, FALSE), ""Not Found"")"),"m ə ʃ ")</f>
        <v>m ə ʃ </v>
      </c>
    </row>
    <row r="2538">
      <c r="A2538" s="1" t="s">
        <v>2541</v>
      </c>
      <c r="B2538" s="1" t="s">
        <v>5</v>
      </c>
      <c r="C2538" s="2">
        <f>IFERROR(__xludf.DUMMYFUNCTION("IFERROR(VLOOKUP(A2538, IMPORTRANGE(""https://docs.google.com/spreadsheets/d/1AVX9GT0dgogEBStecCXMMQ29tWz3gBrtNB8yIromXbY/edit?gid=741673867"", ""out1g!A:B""), 2, FALSE), 0)"),105.0)</f>
        <v>105</v>
      </c>
      <c r="D2538" s="2" t="str">
        <f>IFERROR(__xludf.DUMMYFUNCTION("IFERROR(VLOOKUP(A2538, IMPORTRANGE(""https://docs.google.com/spreadsheets/d/1-3Vjw2Cyy-mry5gbC8ypIR3YVGFfEpyFESummAta6sg/edit"", ""Sheet1!B:D""), 2, FALSE), ""Not Found"")"),"lunər")</f>
        <v>lunər</v>
      </c>
      <c r="E2538" s="2" t="str">
        <f>IFERROR(__xludf.DUMMYFUNCTION("IFERROR(VLOOKUP(A2538, IMPORTRANGE(""https://docs.google.com/spreadsheets/d/1-3Vjw2Cyy-mry5gbC8ypIR3YVGFfEpyFESummAta6sg/edit"", ""Sheet1!B:D""), 3, FALSE), ""Not Found"")"),"l u n ə r ")</f>
        <v>l u n ə r </v>
      </c>
    </row>
    <row r="2539">
      <c r="A2539" s="1" t="s">
        <v>2542</v>
      </c>
      <c r="B2539" s="1" t="s">
        <v>5</v>
      </c>
      <c r="C2539" s="2">
        <f>IFERROR(__xludf.DUMMYFUNCTION("IFERROR(VLOOKUP(A2539, IMPORTRANGE(""https://docs.google.com/spreadsheets/d/1AVX9GT0dgogEBStecCXMMQ29tWz3gBrtNB8yIromXbY/edit?gid=741673867"", ""out1g!A:B""), 2, FALSE), 0)"),29066.0)</f>
        <v>29066</v>
      </c>
      <c r="D2539" s="2" t="str">
        <f>IFERROR(__xludf.DUMMYFUNCTION("IFERROR(VLOOKUP(A2539, IMPORTRANGE(""https://docs.google.com/spreadsheets/d/1-3Vjw2Cyy-mry5gbC8ypIR3YVGFfEpyFESummAta6sg/edit"", ""Sheet1!B:D""), 2, FALSE), ""Not Found"")"),"lɔt")</f>
        <v>lɔt</v>
      </c>
      <c r="E2539" s="2" t="str">
        <f>IFERROR(__xludf.DUMMYFUNCTION("IFERROR(VLOOKUP(A2539, IMPORTRANGE(""https://docs.google.com/spreadsheets/d/1-3Vjw2Cyy-mry5gbC8ypIR3YVGFfEpyFESummAta6sg/edit"", ""Sheet1!B:D""), 3, FALSE), ""Not Found"")"),"l ɔ t ")</f>
        <v>l ɔ t </v>
      </c>
    </row>
    <row r="2540">
      <c r="A2540" s="1" t="s">
        <v>2543</v>
      </c>
      <c r="B2540" s="1" t="s">
        <v>5</v>
      </c>
      <c r="C2540" s="2">
        <f>IFERROR(__xludf.DUMMYFUNCTION("IFERROR(VLOOKUP(A2540, IMPORTRANGE(""https://docs.google.com/spreadsheets/d/1AVX9GT0dgogEBStecCXMMQ29tWz3gBrtNB8yIromXbY/edit?gid=741673867"", ""out1g!A:B""), 2, FALSE), 0)"),288.0)</f>
        <v>288</v>
      </c>
      <c r="D2540" s="2" t="str">
        <f>IFERROR(__xludf.DUMMYFUNCTION("IFERROR(VLOOKUP(A2540, IMPORTRANGE(""https://docs.google.com/spreadsheets/d/1-3Vjw2Cyy-mry5gbC8ypIR3YVGFfEpyFESummAta6sg/edit"", ""Sheet1!B:D""), 2, FALSE), ""Not Found"")"),"kərbi")</f>
        <v>kərbi</v>
      </c>
      <c r="E2540" s="2" t="str">
        <f>IFERROR(__xludf.DUMMYFUNCTION("IFERROR(VLOOKUP(A2540, IMPORTRANGE(""https://docs.google.com/spreadsheets/d/1-3Vjw2Cyy-mry5gbC8ypIR3YVGFfEpyFESummAta6sg/edit"", ""Sheet1!B:D""), 3, FALSE), ""Not Found"")"),"k ə r b i ")</f>
        <v>k ə r b i </v>
      </c>
    </row>
    <row r="2541">
      <c r="A2541" s="1" t="s">
        <v>2544</v>
      </c>
      <c r="B2541" s="1" t="s">
        <v>5</v>
      </c>
      <c r="C2541" s="2">
        <f>IFERROR(__xludf.DUMMYFUNCTION("IFERROR(VLOOKUP(A2541, IMPORTRANGE(""https://docs.google.com/spreadsheets/d/1AVX9GT0dgogEBStecCXMMQ29tWz3gBrtNB8yIromXbY/edit?gid=741673867"", ""out1g!A:B""), 2, FALSE), 0)"),71.0)</f>
        <v>71</v>
      </c>
      <c r="D2541" s="2" t="str">
        <f>IFERROR(__xludf.DUMMYFUNCTION("IFERROR(VLOOKUP(A2541, IMPORTRANGE(""https://docs.google.com/spreadsheets/d/1-3Vjw2Cyy-mry5gbC8ypIR3YVGFfEpyFESummAta6sg/edit"", ""Sheet1!B:D""), 2, FALSE), ""Not Found"")"),"beðd")</f>
        <v>beðd</v>
      </c>
      <c r="E2541" s="2" t="str">
        <f>IFERROR(__xludf.DUMMYFUNCTION("IFERROR(VLOOKUP(A2541, IMPORTRANGE(""https://docs.google.com/spreadsheets/d/1-3Vjw2Cyy-mry5gbC8ypIR3YVGFfEpyFESummAta6sg/edit"", ""Sheet1!B:D""), 3, FALSE), ""Not Found"")"),"b e ð d ")</f>
        <v>b e ð d </v>
      </c>
    </row>
    <row r="2542">
      <c r="A2542" s="1" t="s">
        <v>2545</v>
      </c>
      <c r="B2542" s="1" t="s">
        <v>5</v>
      </c>
      <c r="C2542" s="2">
        <f>IFERROR(__xludf.DUMMYFUNCTION("IFERROR(VLOOKUP(A2542, IMPORTRANGE(""https://docs.google.com/spreadsheets/d/1AVX9GT0dgogEBStecCXMMQ29tWz3gBrtNB8yIromXbY/edit?gid=741673867"", ""out1g!A:B""), 2, FALSE), 0)"),167.0)</f>
        <v>167</v>
      </c>
      <c r="D2542" s="2" t="str">
        <f>IFERROR(__xludf.DUMMYFUNCTION("IFERROR(VLOOKUP(A2542, IMPORTRANGE(""https://docs.google.com/spreadsheets/d/1-3Vjw2Cyy-mry5gbC8ypIR3YVGFfEpyFESummAta6sg/edit"", ""Sheet1!B:D""), 2, FALSE), ""Not Found"")"),"paɪnt")</f>
        <v>paɪnt</v>
      </c>
      <c r="E2542" s="2" t="str">
        <f>IFERROR(__xludf.DUMMYFUNCTION("IFERROR(VLOOKUP(A2542, IMPORTRANGE(""https://docs.google.com/spreadsheets/d/1-3Vjw2Cyy-mry5gbC8ypIR3YVGFfEpyFESummAta6sg/edit"", ""Sheet1!B:D""), 3, FALSE), ""Not Found"")"),"p a ɪ n t ")</f>
        <v>p a ɪ n t </v>
      </c>
    </row>
    <row r="2543">
      <c r="A2543" s="1" t="s">
        <v>2546</v>
      </c>
      <c r="B2543" s="1" t="s">
        <v>5</v>
      </c>
      <c r="C2543" s="2">
        <f>IFERROR(__xludf.DUMMYFUNCTION("IFERROR(VLOOKUP(A2543, IMPORTRANGE(""https://docs.google.com/spreadsheets/d/1AVX9GT0dgogEBStecCXMMQ29tWz3gBrtNB8yIromXbY/edit?gid=741673867"", ""out1g!A:B""), 2, FALSE), 0)"),102.0)</f>
        <v>102</v>
      </c>
      <c r="D2543" s="2" t="str">
        <f>IFERROR(__xludf.DUMMYFUNCTION("IFERROR(VLOOKUP(A2543, IMPORTRANGE(""https://docs.google.com/spreadsheets/d/1-3Vjw2Cyy-mry5gbC8ypIR3YVGFfEpyFESummAta6sg/edit"", ""Sheet1!B:D""), 2, FALSE), ""Not Found"")"),"spunz")</f>
        <v>spunz</v>
      </c>
      <c r="E2543" s="2" t="str">
        <f>IFERROR(__xludf.DUMMYFUNCTION("IFERROR(VLOOKUP(A2543, IMPORTRANGE(""https://docs.google.com/spreadsheets/d/1-3Vjw2Cyy-mry5gbC8ypIR3YVGFfEpyFESummAta6sg/edit"", ""Sheet1!B:D""), 3, FALSE), ""Not Found"")"),"s p u n z ")</f>
        <v>s p u n z </v>
      </c>
    </row>
    <row r="2544">
      <c r="A2544" s="1" t="s">
        <v>2547</v>
      </c>
      <c r="B2544" s="1" t="s">
        <v>5</v>
      </c>
      <c r="C2544" s="2">
        <f>IFERROR(__xludf.DUMMYFUNCTION("IFERROR(VLOOKUP(A2544, IMPORTRANGE(""https://docs.google.com/spreadsheets/d/1AVX9GT0dgogEBStecCXMMQ29tWz3gBrtNB8yIromXbY/edit?gid=741673867"", ""out1g!A:B""), 2, FALSE), 0)"),104.0)</f>
        <v>104</v>
      </c>
      <c r="D2544" s="2" t="str">
        <f>IFERROR(__xludf.DUMMYFUNCTION("IFERROR(VLOOKUP(A2544, IMPORTRANGE(""https://docs.google.com/spreadsheets/d/1-3Vjw2Cyy-mry5gbC8ypIR3YVGFfEpyFESummAta6sg/edit"", ""Sheet1!B:D""), 2, FALSE), ""Not Found"")"),"fɔrəm")</f>
        <v>fɔrəm</v>
      </c>
      <c r="E2544" s="2" t="str">
        <f>IFERROR(__xludf.DUMMYFUNCTION("IFERROR(VLOOKUP(A2544, IMPORTRANGE(""https://docs.google.com/spreadsheets/d/1-3Vjw2Cyy-mry5gbC8ypIR3YVGFfEpyFESummAta6sg/edit"", ""Sheet1!B:D""), 3, FALSE), ""Not Found"")"),"f ɔ r ə m ")</f>
        <v>f ɔ r ə m </v>
      </c>
    </row>
    <row r="2545">
      <c r="A2545" s="1" t="s">
        <v>2548</v>
      </c>
      <c r="B2545" s="1" t="s">
        <v>5</v>
      </c>
      <c r="C2545" s="2">
        <f>IFERROR(__xludf.DUMMYFUNCTION("IFERROR(VLOOKUP(A2545, IMPORTRANGE(""https://docs.google.com/spreadsheets/d/1AVX9GT0dgogEBStecCXMMQ29tWz3gBrtNB8yIromXbY/edit?gid=741673867"", ""out1g!A:B""), 2, FALSE), 0)"),113.0)</f>
        <v>113</v>
      </c>
      <c r="D2545" s="2" t="str">
        <f>IFERROR(__xludf.DUMMYFUNCTION("IFERROR(VLOOKUP(A2545, IMPORTRANGE(""https://docs.google.com/spreadsheets/d/1-3Vjw2Cyy-mry5gbC8ypIR3YVGFfEpyFESummAta6sg/edit"", ""Sheet1!B:D""), 2, FALSE), ""Not Found"")"),"ʃɪt")</f>
        <v>ʃɪt</v>
      </c>
      <c r="E2545" s="2" t="str">
        <f>IFERROR(__xludf.DUMMYFUNCTION("IFERROR(VLOOKUP(A2545, IMPORTRANGE(""https://docs.google.com/spreadsheets/d/1-3Vjw2Cyy-mry5gbC8ypIR3YVGFfEpyFESummAta6sg/edit"", ""Sheet1!B:D""), 3, FALSE), ""Not Found"")"),"ʃ ɪ t ")</f>
        <v>ʃ ɪ t </v>
      </c>
    </row>
    <row r="2546">
      <c r="A2546" s="1" t="s">
        <v>2549</v>
      </c>
      <c r="B2546" s="1" t="s">
        <v>5</v>
      </c>
      <c r="C2546" s="2">
        <f>IFERROR(__xludf.DUMMYFUNCTION("IFERROR(VLOOKUP(A2546, IMPORTRANGE(""https://docs.google.com/spreadsheets/d/1AVX9GT0dgogEBStecCXMMQ29tWz3gBrtNB8yIromXbY/edit?gid=741673867"", ""out1g!A:B""), 2, FALSE), 0)"),262.0)</f>
        <v>262</v>
      </c>
      <c r="D2546" s="2" t="str">
        <f>IFERROR(__xludf.DUMMYFUNCTION("IFERROR(VLOOKUP(A2546, IMPORTRANGE(""https://docs.google.com/spreadsheets/d/1-3Vjw2Cyy-mry5gbC8ypIR3YVGFfEpyFESummAta6sg/edit"", ""Sheet1!B:D""), 2, FALSE), ""Not Found"")"),"sɑbɪŋ")</f>
        <v>sɑbɪŋ</v>
      </c>
      <c r="E2546" s="2" t="str">
        <f>IFERROR(__xludf.DUMMYFUNCTION("IFERROR(VLOOKUP(A2546, IMPORTRANGE(""https://docs.google.com/spreadsheets/d/1-3Vjw2Cyy-mry5gbC8ypIR3YVGFfEpyFESummAta6sg/edit"", ""Sheet1!B:D""), 3, FALSE), ""Not Found"")"),"s ɑ b ɪ ŋ ")</f>
        <v>s ɑ b ɪ ŋ </v>
      </c>
    </row>
    <row r="2547">
      <c r="A2547" s="1" t="s">
        <v>2550</v>
      </c>
      <c r="B2547" s="1" t="s">
        <v>5</v>
      </c>
      <c r="C2547" s="2">
        <f>IFERROR(__xludf.DUMMYFUNCTION("IFERROR(VLOOKUP(A2547, IMPORTRANGE(""https://docs.google.com/spreadsheets/d/1AVX9GT0dgogEBStecCXMMQ29tWz3gBrtNB8yIromXbY/edit?gid=741673867"", ""out1g!A:B""), 2, FALSE), 0)"),195.0)</f>
        <v>195</v>
      </c>
      <c r="D2547" s="2" t="str">
        <f>IFERROR(__xludf.DUMMYFUNCTION("IFERROR(VLOOKUP(A2547, IMPORTRANGE(""https://docs.google.com/spreadsheets/d/1-3Vjw2Cyy-mry5gbC8ypIR3YVGFfEpyFESummAta6sg/edit"", ""Sheet1!B:D""), 2, FALSE), ""Not Found"")"),"ʤɑni")</f>
        <v>ʤɑni</v>
      </c>
      <c r="E2547" s="2" t="str">
        <f>IFERROR(__xludf.DUMMYFUNCTION("IFERROR(VLOOKUP(A2547, IMPORTRANGE(""https://docs.google.com/spreadsheets/d/1-3Vjw2Cyy-mry5gbC8ypIR3YVGFfEpyFESummAta6sg/edit"", ""Sheet1!B:D""), 3, FALSE), ""Not Found"")"),"ʤ ɑ n i ")</f>
        <v>ʤ ɑ n i </v>
      </c>
    </row>
    <row r="2548">
      <c r="A2548" s="1" t="s">
        <v>2551</v>
      </c>
      <c r="B2548" s="1" t="s">
        <v>5</v>
      </c>
      <c r="C2548" s="2">
        <f>IFERROR(__xludf.DUMMYFUNCTION("IFERROR(VLOOKUP(A2548, IMPORTRANGE(""https://docs.google.com/spreadsheets/d/1AVX9GT0dgogEBStecCXMMQ29tWz3gBrtNB8yIromXbY/edit?gid=741673867"", ""out1g!A:B""), 2, FALSE), 0)"),294.0)</f>
        <v>294</v>
      </c>
      <c r="D2548" s="2" t="str">
        <f>IFERROR(__xludf.DUMMYFUNCTION("IFERROR(VLOOKUP(A2548, IMPORTRANGE(""https://docs.google.com/spreadsheets/d/1-3Vjw2Cyy-mry5gbC8ypIR3YVGFfEpyFESummAta6sg/edit"", ""Sheet1!B:D""), 2, FALSE), ""Not Found"")"),"klæsi")</f>
        <v>klæsi</v>
      </c>
      <c r="E2548" s="2" t="str">
        <f>IFERROR(__xludf.DUMMYFUNCTION("IFERROR(VLOOKUP(A2548, IMPORTRANGE(""https://docs.google.com/spreadsheets/d/1-3Vjw2Cyy-mry5gbC8ypIR3YVGFfEpyFESummAta6sg/edit"", ""Sheet1!B:D""), 3, FALSE), ""Not Found"")"),"k l æ s i ")</f>
        <v>k l æ s i </v>
      </c>
    </row>
    <row r="2549">
      <c r="A2549" s="1" t="s">
        <v>2552</v>
      </c>
      <c r="B2549" s="1" t="s">
        <v>5</v>
      </c>
      <c r="C2549" s="2">
        <f>IFERROR(__xludf.DUMMYFUNCTION("IFERROR(VLOOKUP(A2549, IMPORTRANGE(""https://docs.google.com/spreadsheets/d/1AVX9GT0dgogEBStecCXMMQ29tWz3gBrtNB8yIromXbY/edit?gid=741673867"", ""out1g!A:B""), 2, FALSE), 0)"),57.0)</f>
        <v>57</v>
      </c>
      <c r="D2549" s="2" t="str">
        <f>IFERROR(__xludf.DUMMYFUNCTION("IFERROR(VLOOKUP(A2549, IMPORTRANGE(""https://docs.google.com/spreadsheets/d/1-3Vjw2Cyy-mry5gbC8ypIR3YVGFfEpyFESummAta6sg/edit"", ""Sheet1!B:D""), 2, FALSE), ""Not Found"")"),"kevd")</f>
        <v>kevd</v>
      </c>
      <c r="E2549" s="2" t="str">
        <f>IFERROR(__xludf.DUMMYFUNCTION("IFERROR(VLOOKUP(A2549, IMPORTRANGE(""https://docs.google.com/spreadsheets/d/1-3Vjw2Cyy-mry5gbC8ypIR3YVGFfEpyFESummAta6sg/edit"", ""Sheet1!B:D""), 3, FALSE), ""Not Found"")"),"k e v d ")</f>
        <v>k e v d </v>
      </c>
    </row>
    <row r="2550">
      <c r="A2550" s="1" t="s">
        <v>2553</v>
      </c>
      <c r="B2550" s="1" t="s">
        <v>5</v>
      </c>
      <c r="C2550" s="2">
        <f>IFERROR(__xludf.DUMMYFUNCTION("IFERROR(VLOOKUP(A2550, IMPORTRANGE(""https://docs.google.com/spreadsheets/d/1AVX9GT0dgogEBStecCXMMQ29tWz3gBrtNB8yIromXbY/edit?gid=741673867"", ""out1g!A:B""), 2, FALSE), 0)"),48.0)</f>
        <v>48</v>
      </c>
      <c r="D2550" s="2" t="str">
        <f>IFERROR(__xludf.DUMMYFUNCTION("IFERROR(VLOOKUP(A2550, IMPORTRANGE(""https://docs.google.com/spreadsheets/d/1-3Vjw2Cyy-mry5gbC8ypIR3YVGFfEpyFESummAta6sg/edit"", ""Sheet1!B:D""), 2, FALSE), ""Not Found"")"),"sevər")</f>
        <v>sevər</v>
      </c>
      <c r="E2550" s="2" t="str">
        <f>IFERROR(__xludf.DUMMYFUNCTION("IFERROR(VLOOKUP(A2550, IMPORTRANGE(""https://docs.google.com/spreadsheets/d/1-3Vjw2Cyy-mry5gbC8ypIR3YVGFfEpyFESummAta6sg/edit"", ""Sheet1!B:D""), 3, FALSE), ""Not Found"")"),"s e v ə r ")</f>
        <v>s e v ə r </v>
      </c>
    </row>
    <row r="2551">
      <c r="A2551" s="1" t="s">
        <v>2554</v>
      </c>
      <c r="B2551" s="1" t="s">
        <v>5</v>
      </c>
      <c r="C2551" s="2">
        <f>IFERROR(__xludf.DUMMYFUNCTION("IFERROR(VLOOKUP(A2551, IMPORTRANGE(""https://docs.google.com/spreadsheets/d/1AVX9GT0dgogEBStecCXMMQ29tWz3gBrtNB8yIromXbY/edit?gid=741673867"", ""out1g!A:B""), 2, FALSE), 0)"),99.0)</f>
        <v>99</v>
      </c>
      <c r="D2551" s="2" t="str">
        <f>IFERROR(__xludf.DUMMYFUNCTION("IFERROR(VLOOKUP(A2551, IMPORTRANGE(""https://docs.google.com/spreadsheets/d/1-3Vjw2Cyy-mry5gbC8ypIR3YVGFfEpyFESummAta6sg/edit"", ""Sheet1!B:D""), 2, FALSE), ""Not Found"")"),"kjutər")</f>
        <v>kjutər</v>
      </c>
      <c r="E2551" s="2" t="str">
        <f>IFERROR(__xludf.DUMMYFUNCTION("IFERROR(VLOOKUP(A2551, IMPORTRANGE(""https://docs.google.com/spreadsheets/d/1-3Vjw2Cyy-mry5gbC8ypIR3YVGFfEpyFESummAta6sg/edit"", ""Sheet1!B:D""), 3, FALSE), ""Not Found"")"),"k j u t ə r ")</f>
        <v>k j u t ə r </v>
      </c>
    </row>
    <row r="2552">
      <c r="A2552" s="1" t="s">
        <v>2555</v>
      </c>
      <c r="B2552" s="1" t="s">
        <v>5</v>
      </c>
      <c r="C2552" s="2">
        <f>IFERROR(__xludf.DUMMYFUNCTION("IFERROR(VLOOKUP(A2552, IMPORTRANGE(""https://docs.google.com/spreadsheets/d/1AVX9GT0dgogEBStecCXMMQ29tWz3gBrtNB8yIromXbY/edit?gid=741673867"", ""out1g!A:B""), 2, FALSE), 0)"),4367.0)</f>
        <v>4367</v>
      </c>
      <c r="D2552" s="2" t="str">
        <f>IFERROR(__xludf.DUMMYFUNCTION("IFERROR(VLOOKUP(A2552, IMPORTRANGE(""https://docs.google.com/spreadsheets/d/1-3Vjw2Cyy-mry5gbC8ypIR3YVGFfEpyFESummAta6sg/edit"", ""Sheet1!B:D""), 2, FALSE), ""Not Found"")"),"ʃɔrt")</f>
        <v>ʃɔrt</v>
      </c>
      <c r="E2552" s="2" t="str">
        <f>IFERROR(__xludf.DUMMYFUNCTION("IFERROR(VLOOKUP(A2552, IMPORTRANGE(""https://docs.google.com/spreadsheets/d/1-3Vjw2Cyy-mry5gbC8ypIR3YVGFfEpyFESummAta6sg/edit"", ""Sheet1!B:D""), 3, FALSE), ""Not Found"")"),"ʃ ɔ r t ")</f>
        <v>ʃ ɔ r t </v>
      </c>
    </row>
    <row r="2553">
      <c r="A2553" s="1" t="s">
        <v>2556</v>
      </c>
      <c r="B2553" s="1" t="s">
        <v>5</v>
      </c>
      <c r="C2553" s="2">
        <f>IFERROR(__xludf.DUMMYFUNCTION("IFERROR(VLOOKUP(A2553, IMPORTRANGE(""https://docs.google.com/spreadsheets/d/1AVX9GT0dgogEBStecCXMMQ29tWz3gBrtNB8yIromXbY/edit?gid=741673867"", ""out1g!A:B""), 2, FALSE), 0)"),284.0)</f>
        <v>284</v>
      </c>
      <c r="D2553" s="2" t="str">
        <f>IFERROR(__xludf.DUMMYFUNCTION("IFERROR(VLOOKUP(A2553, IMPORTRANGE(""https://docs.google.com/spreadsheets/d/1-3Vjw2Cyy-mry5gbC8ypIR3YVGFfEpyFESummAta6sg/edit"", ""Sheet1!B:D""), 2, FALSE), ""Not Found"")"),"vɛst")</f>
        <v>vɛst</v>
      </c>
      <c r="E2553" s="2" t="str">
        <f>IFERROR(__xludf.DUMMYFUNCTION("IFERROR(VLOOKUP(A2553, IMPORTRANGE(""https://docs.google.com/spreadsheets/d/1-3Vjw2Cyy-mry5gbC8ypIR3YVGFfEpyFESummAta6sg/edit"", ""Sheet1!B:D""), 3, FALSE), ""Not Found"")"),"v ɛ s t ")</f>
        <v>v ɛ s t </v>
      </c>
    </row>
    <row r="2554">
      <c r="A2554" s="1" t="s">
        <v>2557</v>
      </c>
      <c r="B2554" s="1" t="s">
        <v>5</v>
      </c>
      <c r="C2554" s="2">
        <f>IFERROR(__xludf.DUMMYFUNCTION("IFERROR(VLOOKUP(A2554, IMPORTRANGE(""https://docs.google.com/spreadsheets/d/1AVX9GT0dgogEBStecCXMMQ29tWz3gBrtNB8yIromXbY/edit?gid=741673867"", ""out1g!A:B""), 2, FALSE), 0)"),2903.0)</f>
        <v>2903</v>
      </c>
      <c r="D2554" s="2" t="str">
        <f>IFERROR(__xludf.DUMMYFUNCTION("IFERROR(VLOOKUP(A2554, IMPORTRANGE(""https://docs.google.com/spreadsheets/d/1-3Vjw2Cyy-mry5gbC8ypIR3YVGFfEpyFESummAta6sg/edit"", ""Sheet1!B:D""), 2, FALSE), ""Not Found"")"),"riʧ")</f>
        <v>riʧ</v>
      </c>
      <c r="E2554" s="2" t="str">
        <f>IFERROR(__xludf.DUMMYFUNCTION("IFERROR(VLOOKUP(A2554, IMPORTRANGE(""https://docs.google.com/spreadsheets/d/1-3Vjw2Cyy-mry5gbC8ypIR3YVGFfEpyFESummAta6sg/edit"", ""Sheet1!B:D""), 3, FALSE), ""Not Found"")"),"r i ʧ ")</f>
        <v>r i ʧ </v>
      </c>
    </row>
    <row r="2555">
      <c r="A2555" s="1" t="s">
        <v>2558</v>
      </c>
      <c r="B2555" s="1" t="s">
        <v>5</v>
      </c>
      <c r="C2555" s="2">
        <f>IFERROR(__xludf.DUMMYFUNCTION("IFERROR(VLOOKUP(A2555, IMPORTRANGE(""https://docs.google.com/spreadsheets/d/1AVX9GT0dgogEBStecCXMMQ29tWz3gBrtNB8yIromXbY/edit?gid=741673867"", ""out1g!A:B""), 2, FALSE), 0)"),134.0)</f>
        <v>134</v>
      </c>
      <c r="D2555" s="2" t="str">
        <f>IFERROR(__xludf.DUMMYFUNCTION("IFERROR(VLOOKUP(A2555, IMPORTRANGE(""https://docs.google.com/spreadsheets/d/1-3Vjw2Cyy-mry5gbC8ypIR3YVGFfEpyFESummAta6sg/edit"", ""Sheet1!B:D""), 2, FALSE), ""Not Found"")"),"rɪts")</f>
        <v>rɪts</v>
      </c>
      <c r="E2555" s="2" t="str">
        <f>IFERROR(__xludf.DUMMYFUNCTION("IFERROR(VLOOKUP(A2555, IMPORTRANGE(""https://docs.google.com/spreadsheets/d/1-3Vjw2Cyy-mry5gbC8ypIR3YVGFfEpyFESummAta6sg/edit"", ""Sheet1!B:D""), 3, FALSE), ""Not Found"")"),"r ɪ t s ")</f>
        <v>r ɪ t s </v>
      </c>
    </row>
    <row r="2556">
      <c r="A2556" s="1" t="s">
        <v>2559</v>
      </c>
      <c r="B2556" s="1" t="s">
        <v>5</v>
      </c>
      <c r="C2556" s="2">
        <f>IFERROR(__xludf.DUMMYFUNCTION("IFERROR(VLOOKUP(A2556, IMPORTRANGE(""https://docs.google.com/spreadsheets/d/1AVX9GT0dgogEBStecCXMMQ29tWz3gBrtNB8yIromXbY/edit?gid=741673867"", ""out1g!A:B""), 2, FALSE), 0)"),163.0)</f>
        <v>163</v>
      </c>
      <c r="D2556" s="2" t="str">
        <f>IFERROR(__xludf.DUMMYFUNCTION("IFERROR(VLOOKUP(A2556, IMPORTRANGE(""https://docs.google.com/spreadsheets/d/1-3Vjw2Cyy-mry5gbC8ypIR3YVGFfEpyFESummAta6sg/edit"", ""Sheet1!B:D""), 2, FALSE), ""Not Found"")"),"wɪti")</f>
        <v>wɪti</v>
      </c>
      <c r="E2556" s="2" t="str">
        <f>IFERROR(__xludf.DUMMYFUNCTION("IFERROR(VLOOKUP(A2556, IMPORTRANGE(""https://docs.google.com/spreadsheets/d/1-3Vjw2Cyy-mry5gbC8ypIR3YVGFfEpyFESummAta6sg/edit"", ""Sheet1!B:D""), 3, FALSE), ""Not Found"")"),"w ɪ t i ")</f>
        <v>w ɪ t i </v>
      </c>
    </row>
    <row r="2557">
      <c r="A2557" s="1" t="s">
        <v>2560</v>
      </c>
      <c r="B2557" s="1" t="s">
        <v>5</v>
      </c>
      <c r="C2557" s="2">
        <f>IFERROR(__xludf.DUMMYFUNCTION("IFERROR(VLOOKUP(A2557, IMPORTRANGE(""https://docs.google.com/spreadsheets/d/1AVX9GT0dgogEBStecCXMMQ29tWz3gBrtNB8yIromXbY/edit?gid=741673867"", ""out1g!A:B""), 2, FALSE), 0)"),161.0)</f>
        <v>161</v>
      </c>
      <c r="D2557" s="2" t="str">
        <f>IFERROR(__xludf.DUMMYFUNCTION("IFERROR(VLOOKUP(A2557, IMPORTRANGE(""https://docs.google.com/spreadsheets/d/1-3Vjw2Cyy-mry5gbC8ypIR3YVGFfEpyFESummAta6sg/edit"", ""Sheet1!B:D""), 2, FALSE), ""Not Found"")"),"kəloʊn")</f>
        <v>kəloʊn</v>
      </c>
      <c r="E2557" s="2" t="str">
        <f>IFERROR(__xludf.DUMMYFUNCTION("IFERROR(VLOOKUP(A2557, IMPORTRANGE(""https://docs.google.com/spreadsheets/d/1-3Vjw2Cyy-mry5gbC8ypIR3YVGFfEpyFESummAta6sg/edit"", ""Sheet1!B:D""), 3, FALSE), ""Not Found"")"),"k ə l o ʊ n ")</f>
        <v>k ə l o ʊ n </v>
      </c>
    </row>
    <row r="2558">
      <c r="A2558" s="1" t="s">
        <v>2561</v>
      </c>
      <c r="B2558" s="1" t="s">
        <v>5</v>
      </c>
      <c r="C2558" s="2">
        <f>IFERROR(__xludf.DUMMYFUNCTION("IFERROR(VLOOKUP(A2558, IMPORTRANGE(""https://docs.google.com/spreadsheets/d/1AVX9GT0dgogEBStecCXMMQ29tWz3gBrtNB8yIromXbY/edit?gid=741673867"", ""out1g!A:B""), 2, FALSE), 0)"),188.0)</f>
        <v>188</v>
      </c>
      <c r="D2558" s="2" t="str">
        <f>IFERROR(__xludf.DUMMYFUNCTION("IFERROR(VLOOKUP(A2558, IMPORTRANGE(""https://docs.google.com/spreadsheets/d/1-3Vjw2Cyy-mry5gbC8ypIR3YVGFfEpyFESummAta6sg/edit"", ""Sheet1!B:D""), 2, FALSE), ""Not Found"")"),"ɑrʧ")</f>
        <v>ɑrʧ</v>
      </c>
      <c r="E2558" s="2" t="str">
        <f>IFERROR(__xludf.DUMMYFUNCTION("IFERROR(VLOOKUP(A2558, IMPORTRANGE(""https://docs.google.com/spreadsheets/d/1-3Vjw2Cyy-mry5gbC8ypIR3YVGFfEpyFESummAta6sg/edit"", ""Sheet1!B:D""), 3, FALSE), ""Not Found"")"),"ɑ r ʧ ")</f>
        <v>ɑ r ʧ </v>
      </c>
    </row>
    <row r="2559">
      <c r="A2559" s="1" t="s">
        <v>2562</v>
      </c>
      <c r="B2559" s="1" t="s">
        <v>5</v>
      </c>
      <c r="C2559" s="2">
        <f>IFERROR(__xludf.DUMMYFUNCTION("IFERROR(VLOOKUP(A2559, IMPORTRANGE(""https://docs.google.com/spreadsheets/d/1AVX9GT0dgogEBStecCXMMQ29tWz3gBrtNB8yIromXbY/edit?gid=741673867"", ""out1g!A:B""), 2, FALSE), 0)"),105.0)</f>
        <v>105</v>
      </c>
      <c r="D2559" s="2" t="str">
        <f>IFERROR(__xludf.DUMMYFUNCTION("IFERROR(VLOOKUP(A2559, IMPORTRANGE(""https://docs.google.com/spreadsheets/d/1-3Vjw2Cyy-mry5gbC8ypIR3YVGFfEpyFESummAta6sg/edit"", ""Sheet1!B:D""), 2, FALSE), ""Not Found"")"),"tepɪŋ")</f>
        <v>tepɪŋ</v>
      </c>
      <c r="E2559" s="2" t="str">
        <f>IFERROR(__xludf.DUMMYFUNCTION("IFERROR(VLOOKUP(A2559, IMPORTRANGE(""https://docs.google.com/spreadsheets/d/1-3Vjw2Cyy-mry5gbC8ypIR3YVGFfEpyFESummAta6sg/edit"", ""Sheet1!B:D""), 3, FALSE), ""Not Found"")"),"t e p ɪ ŋ ")</f>
        <v>t e p ɪ ŋ </v>
      </c>
    </row>
    <row r="2560">
      <c r="A2560" s="1" t="s">
        <v>2563</v>
      </c>
      <c r="B2560" s="1" t="s">
        <v>5</v>
      </c>
      <c r="C2560" s="2">
        <f>IFERROR(__xludf.DUMMYFUNCTION("IFERROR(VLOOKUP(A2560, IMPORTRANGE(""https://docs.google.com/spreadsheets/d/1AVX9GT0dgogEBStecCXMMQ29tWz3gBrtNB8yIromXbY/edit?gid=741673867"", ""out1g!A:B""), 2, FALSE), 0)"),10115.0)</f>
        <v>10115</v>
      </c>
      <c r="D2560" s="2" t="str">
        <f>IFERROR(__xludf.DUMMYFUNCTION("IFERROR(VLOOKUP(A2560, IMPORTRANGE(""https://docs.google.com/spreadsheets/d/1-3Vjw2Cyy-mry5gbC8ypIR3YVGFfEpyFESummAta6sg/edit"", ""Sheet1!B:D""), 2, FALSE), ""Not Found"")"),"əhɛd")</f>
        <v>əhɛd</v>
      </c>
      <c r="E2560" s="2" t="str">
        <f>IFERROR(__xludf.DUMMYFUNCTION("IFERROR(VLOOKUP(A2560, IMPORTRANGE(""https://docs.google.com/spreadsheets/d/1-3Vjw2Cyy-mry5gbC8ypIR3YVGFfEpyFESummAta6sg/edit"", ""Sheet1!B:D""), 3, FALSE), ""Not Found"")"),"ə h ɛ d ")</f>
        <v>ə h ɛ d </v>
      </c>
    </row>
    <row r="2561">
      <c r="A2561" s="1" t="s">
        <v>2564</v>
      </c>
      <c r="B2561" s="1" t="s">
        <v>5</v>
      </c>
      <c r="C2561" s="2">
        <f>IFERROR(__xludf.DUMMYFUNCTION("IFERROR(VLOOKUP(A2561, IMPORTRANGE(""https://docs.google.com/spreadsheets/d/1AVX9GT0dgogEBStecCXMMQ29tWz3gBrtNB8yIromXbY/edit?gid=741673867"", ""out1g!A:B""), 2, FALSE), 0)"),73.0)</f>
        <v>73</v>
      </c>
      <c r="D2561" s="2" t="str">
        <f>IFERROR(__xludf.DUMMYFUNCTION("IFERROR(VLOOKUP(A2561, IMPORTRANGE(""https://docs.google.com/spreadsheets/d/1-3Vjw2Cyy-mry5gbC8ypIR3YVGFfEpyFESummAta6sg/edit"", ""Sheet1!B:D""), 2, FALSE), ""Not Found"")"),"jæp")</f>
        <v>jæp</v>
      </c>
      <c r="E2561" s="2" t="str">
        <f>IFERROR(__xludf.DUMMYFUNCTION("IFERROR(VLOOKUP(A2561, IMPORTRANGE(""https://docs.google.com/spreadsheets/d/1-3Vjw2Cyy-mry5gbC8ypIR3YVGFfEpyFESummAta6sg/edit"", ""Sheet1!B:D""), 3, FALSE), ""Not Found"")"),"j æ p ")</f>
        <v>j æ p </v>
      </c>
    </row>
    <row r="2562">
      <c r="A2562" s="1" t="s">
        <v>2565</v>
      </c>
      <c r="B2562" s="1" t="s">
        <v>5</v>
      </c>
      <c r="C2562" s="2">
        <f>IFERROR(__xludf.DUMMYFUNCTION("IFERROR(VLOOKUP(A2562, IMPORTRANGE(""https://docs.google.com/spreadsheets/d/1AVX9GT0dgogEBStecCXMMQ29tWz3gBrtNB8yIromXbY/edit?gid=741673867"", ""out1g!A:B""), 2, FALSE), 0)"),54.0)</f>
        <v>54</v>
      </c>
      <c r="D2562" s="2" t="str">
        <f>IFERROR(__xludf.DUMMYFUNCTION("IFERROR(VLOOKUP(A2562, IMPORTRANGE(""https://docs.google.com/spreadsheets/d/1-3Vjw2Cyy-mry5gbC8ypIR3YVGFfEpyFESummAta6sg/edit"", ""Sheet1!B:D""), 2, FALSE), ""Not Found"")"),"dɛsks")</f>
        <v>dɛsks</v>
      </c>
      <c r="E2562" s="2" t="str">
        <f>IFERROR(__xludf.DUMMYFUNCTION("IFERROR(VLOOKUP(A2562, IMPORTRANGE(""https://docs.google.com/spreadsheets/d/1-3Vjw2Cyy-mry5gbC8ypIR3YVGFfEpyFESummAta6sg/edit"", ""Sheet1!B:D""), 3, FALSE), ""Not Found"")"),"d ɛ s k s ")</f>
        <v>d ɛ s k s </v>
      </c>
    </row>
    <row r="2563">
      <c r="A2563" s="1" t="s">
        <v>2566</v>
      </c>
      <c r="B2563" s="1" t="s">
        <v>5</v>
      </c>
      <c r="C2563" s="2">
        <f>IFERROR(__xludf.DUMMYFUNCTION("IFERROR(VLOOKUP(A2563, IMPORTRANGE(""https://docs.google.com/spreadsheets/d/1AVX9GT0dgogEBStecCXMMQ29tWz3gBrtNB8yIromXbY/edit?gid=741673867"", ""out1g!A:B""), 2, FALSE), 0)"),58.0)</f>
        <v>58</v>
      </c>
      <c r="D2563" s="2" t="str">
        <f>IFERROR(__xludf.DUMMYFUNCTION("IFERROR(VLOOKUP(A2563, IMPORTRANGE(""https://docs.google.com/spreadsheets/d/1-3Vjw2Cyy-mry5gbC8ypIR3YVGFfEpyFESummAta6sg/edit"", ""Sheet1!B:D""), 2, FALSE), ""Not Found"")"),"maɪm")</f>
        <v>maɪm</v>
      </c>
      <c r="E2563" s="2" t="str">
        <f>IFERROR(__xludf.DUMMYFUNCTION("IFERROR(VLOOKUP(A2563, IMPORTRANGE(""https://docs.google.com/spreadsheets/d/1-3Vjw2Cyy-mry5gbC8ypIR3YVGFfEpyFESummAta6sg/edit"", ""Sheet1!B:D""), 3, FALSE), ""Not Found"")"),"m a ɪ m ")</f>
        <v>m a ɪ m </v>
      </c>
    </row>
    <row r="2564">
      <c r="A2564" s="1" t="s">
        <v>2567</v>
      </c>
      <c r="B2564" s="1" t="s">
        <v>5</v>
      </c>
      <c r="C2564" s="2">
        <f>IFERROR(__xludf.DUMMYFUNCTION("IFERROR(VLOOKUP(A2564, IMPORTRANGE(""https://docs.google.com/spreadsheets/d/1AVX9GT0dgogEBStecCXMMQ29tWz3gBrtNB8yIromXbY/edit?gid=741673867"", ""out1g!A:B""), 2, FALSE), 0)"),422.0)</f>
        <v>422</v>
      </c>
      <c r="D2564" s="2" t="str">
        <f>IFERROR(__xludf.DUMMYFUNCTION("IFERROR(VLOOKUP(A2564, IMPORTRANGE(""https://docs.google.com/spreadsheets/d/1-3Vjw2Cyy-mry5gbC8ypIR3YVGFfEpyFESummAta6sg/edit"", ""Sheet1!B:D""), 2, FALSE), ""Not Found"")"),"fər")</f>
        <v>fər</v>
      </c>
      <c r="E2564" s="2" t="str">
        <f>IFERROR(__xludf.DUMMYFUNCTION("IFERROR(VLOOKUP(A2564, IMPORTRANGE(""https://docs.google.com/spreadsheets/d/1-3Vjw2Cyy-mry5gbC8ypIR3YVGFfEpyFESummAta6sg/edit"", ""Sheet1!B:D""), 3, FALSE), ""Not Found"")"),"f ə r ")</f>
        <v>f ə r </v>
      </c>
    </row>
    <row r="2565">
      <c r="A2565" s="1" t="s">
        <v>2568</v>
      </c>
      <c r="B2565" s="1" t="s">
        <v>5</v>
      </c>
      <c r="C2565" s="2">
        <f>IFERROR(__xludf.DUMMYFUNCTION("IFERROR(VLOOKUP(A2565, IMPORTRANGE(""https://docs.google.com/spreadsheets/d/1AVX9GT0dgogEBStecCXMMQ29tWz3gBrtNB8yIromXbY/edit?gid=741673867"", ""out1g!A:B""), 2, FALSE), 0)"),2870.0)</f>
        <v>2870</v>
      </c>
      <c r="D2565" s="2" t="str">
        <f>IFERROR(__xludf.DUMMYFUNCTION("IFERROR(VLOOKUP(A2565, IMPORTRANGE(""https://docs.google.com/spreadsheets/d/1-3Vjw2Cyy-mry5gbC8ypIR3YVGFfEpyFESummAta6sg/edit"", ""Sheet1!B:D""), 2, FALSE), ""Not Found"")"),"pled")</f>
        <v>pled</v>
      </c>
      <c r="E2565" s="2" t="str">
        <f>IFERROR(__xludf.DUMMYFUNCTION("IFERROR(VLOOKUP(A2565, IMPORTRANGE(""https://docs.google.com/spreadsheets/d/1-3Vjw2Cyy-mry5gbC8ypIR3YVGFfEpyFESummAta6sg/edit"", ""Sheet1!B:D""), 3, FALSE), ""Not Found"")"),"p l e d ")</f>
        <v>p l e d </v>
      </c>
    </row>
    <row r="2566">
      <c r="A2566" s="1" t="s">
        <v>2569</v>
      </c>
      <c r="B2566" s="1" t="s">
        <v>5</v>
      </c>
      <c r="C2566" s="2">
        <f>IFERROR(__xludf.DUMMYFUNCTION("IFERROR(VLOOKUP(A2566, IMPORTRANGE(""https://docs.google.com/spreadsheets/d/1AVX9GT0dgogEBStecCXMMQ29tWz3gBrtNB8yIromXbY/edit?gid=741673867"", ""out1g!A:B""), 2, FALSE), 0)"),64.0)</f>
        <v>64</v>
      </c>
      <c r="D2566" s="2" t="str">
        <f>IFERROR(__xludf.DUMMYFUNCTION("IFERROR(VLOOKUP(A2566, IMPORTRANGE(""https://docs.google.com/spreadsheets/d/1-3Vjw2Cyy-mry5gbC8ypIR3YVGFfEpyFESummAta6sg/edit"", ""Sheet1!B:D""), 2, FALSE), ""Not Found"")"),"wɔlnəts")</f>
        <v>wɔlnəts</v>
      </c>
      <c r="E2566" s="2" t="str">
        <f>IFERROR(__xludf.DUMMYFUNCTION("IFERROR(VLOOKUP(A2566, IMPORTRANGE(""https://docs.google.com/spreadsheets/d/1-3Vjw2Cyy-mry5gbC8ypIR3YVGFfEpyFESummAta6sg/edit"", ""Sheet1!B:D""), 3, FALSE), ""Not Found"")"),"w ɔ l n ə t s ")</f>
        <v>w ɔ l n ə t s </v>
      </c>
    </row>
    <row r="2567">
      <c r="A2567" s="1" t="s">
        <v>2570</v>
      </c>
      <c r="B2567" s="1" t="s">
        <v>5</v>
      </c>
      <c r="C2567" s="2">
        <f>IFERROR(__xludf.DUMMYFUNCTION("IFERROR(VLOOKUP(A2567, IMPORTRANGE(""https://docs.google.com/spreadsheets/d/1AVX9GT0dgogEBStecCXMMQ29tWz3gBrtNB8yIromXbY/edit?gid=741673867"", ""out1g!A:B""), 2, FALSE), 0)"),24012.0)</f>
        <v>24012</v>
      </c>
      <c r="D2567" s="2" t="str">
        <f>IFERROR(__xludf.DUMMYFUNCTION("IFERROR(VLOOKUP(A2567, IMPORTRANGE(""https://docs.google.com/spreadsheets/d/1-3Vjw2Cyy-mry5gbC8ypIR3YVGFfEpyFESummAta6sg/edit"", ""Sheet1!B:D""), 2, FALSE), ""Not Found"")"),"hɛl")</f>
        <v>hɛl</v>
      </c>
      <c r="E2567" s="2" t="str">
        <f>IFERROR(__xludf.DUMMYFUNCTION("IFERROR(VLOOKUP(A2567, IMPORTRANGE(""https://docs.google.com/spreadsheets/d/1-3Vjw2Cyy-mry5gbC8ypIR3YVGFfEpyFESummAta6sg/edit"", ""Sheet1!B:D""), 3, FALSE), ""Not Found"")"),"h ɛ l ")</f>
        <v>h ɛ l </v>
      </c>
    </row>
    <row r="2568">
      <c r="A2568" s="1" t="s">
        <v>2571</v>
      </c>
      <c r="B2568" s="1" t="s">
        <v>5</v>
      </c>
      <c r="C2568" s="2">
        <f>IFERROR(__xludf.DUMMYFUNCTION("IFERROR(VLOOKUP(A2568, IMPORTRANGE(""https://docs.google.com/spreadsheets/d/1AVX9GT0dgogEBStecCXMMQ29tWz3gBrtNB8yIromXbY/edit?gid=741673867"", ""out1g!A:B""), 2, FALSE), 0)"),300.0)</f>
        <v>300</v>
      </c>
      <c r="D2568" s="2" t="str">
        <f>IFERROR(__xludf.DUMMYFUNCTION("IFERROR(VLOOKUP(A2568, IMPORTRANGE(""https://docs.google.com/spreadsheets/d/1-3Vjw2Cyy-mry5gbC8ypIR3YVGFfEpyFESummAta6sg/edit"", ""Sheet1!B:D""), 2, FALSE), ""Not Found"")"),"koʊts")</f>
        <v>koʊts</v>
      </c>
      <c r="E2568" s="2" t="str">
        <f>IFERROR(__xludf.DUMMYFUNCTION("IFERROR(VLOOKUP(A2568, IMPORTRANGE(""https://docs.google.com/spreadsheets/d/1-3Vjw2Cyy-mry5gbC8ypIR3YVGFfEpyFESummAta6sg/edit"", ""Sheet1!B:D""), 3, FALSE), ""Not Found"")"),"k o ʊ t s ")</f>
        <v>k o ʊ t s </v>
      </c>
    </row>
    <row r="2569">
      <c r="A2569" s="1" t="s">
        <v>2572</v>
      </c>
      <c r="B2569" s="1" t="s">
        <v>5</v>
      </c>
      <c r="C2569" s="2">
        <f>IFERROR(__xludf.DUMMYFUNCTION("IFERROR(VLOOKUP(A2569, IMPORTRANGE(""https://docs.google.com/spreadsheets/d/1AVX9GT0dgogEBStecCXMMQ29tWz3gBrtNB8yIromXbY/edit?gid=741673867"", ""out1g!A:B""), 2, FALSE), 0)"),606.0)</f>
        <v>606</v>
      </c>
      <c r="D2569" s="2" t="str">
        <f>IFERROR(__xludf.DUMMYFUNCTION("IFERROR(VLOOKUP(A2569, IMPORTRANGE(""https://docs.google.com/spreadsheets/d/1-3Vjw2Cyy-mry5gbC8ypIR3YVGFfEpyFESummAta6sg/edit"", ""Sheet1!B:D""), 2, FALSE), ""Not Found"")"),"ʃɛf")</f>
        <v>ʃɛf</v>
      </c>
      <c r="E2569" s="2" t="str">
        <f>IFERROR(__xludf.DUMMYFUNCTION("IFERROR(VLOOKUP(A2569, IMPORTRANGE(""https://docs.google.com/spreadsheets/d/1-3Vjw2Cyy-mry5gbC8ypIR3YVGFfEpyFESummAta6sg/edit"", ""Sheet1!B:D""), 3, FALSE), ""Not Found"")"),"ʃ ɛ f ")</f>
        <v>ʃ ɛ f </v>
      </c>
    </row>
    <row r="2570">
      <c r="A2570" s="1" t="s">
        <v>2573</v>
      </c>
      <c r="B2570" s="1" t="s">
        <v>5</v>
      </c>
      <c r="C2570" s="2">
        <f>IFERROR(__xludf.DUMMYFUNCTION("IFERROR(VLOOKUP(A2570, IMPORTRANGE(""https://docs.google.com/spreadsheets/d/1AVX9GT0dgogEBStecCXMMQ29tWz3gBrtNB8yIromXbY/edit?gid=741673867"", ""out1g!A:B""), 2, FALSE), 0)"),79.0)</f>
        <v>79</v>
      </c>
      <c r="D2570" s="2" t="str">
        <f>IFERROR(__xludf.DUMMYFUNCTION("IFERROR(VLOOKUP(A2570, IMPORTRANGE(""https://docs.google.com/spreadsheets/d/1-3Vjw2Cyy-mry5gbC8ypIR3YVGFfEpyFESummAta6sg/edit"", ""Sheet1!B:D""), 2, FALSE), ""Not Found"")"),"bərʧ")</f>
        <v>bərʧ</v>
      </c>
      <c r="E2570" s="2" t="str">
        <f>IFERROR(__xludf.DUMMYFUNCTION("IFERROR(VLOOKUP(A2570, IMPORTRANGE(""https://docs.google.com/spreadsheets/d/1-3Vjw2Cyy-mry5gbC8ypIR3YVGFfEpyFESummAta6sg/edit"", ""Sheet1!B:D""), 3, FALSE), ""Not Found"")"),"b ə r ʧ ")</f>
        <v>b ə r ʧ </v>
      </c>
    </row>
    <row r="2571">
      <c r="A2571" s="1" t="s">
        <v>2574</v>
      </c>
      <c r="B2571" s="1" t="s">
        <v>5</v>
      </c>
      <c r="C2571" s="2">
        <f>IFERROR(__xludf.DUMMYFUNCTION("IFERROR(VLOOKUP(A2571, IMPORTRANGE(""https://docs.google.com/spreadsheets/d/1AVX9GT0dgogEBStecCXMMQ29tWz3gBrtNB8yIromXbY/edit?gid=741673867"", ""out1g!A:B""), 2, FALSE), 0)"),182.0)</f>
        <v>182</v>
      </c>
      <c r="D2571" s="2" t="str">
        <f>IFERROR(__xludf.DUMMYFUNCTION("IFERROR(VLOOKUP(A2571, IMPORTRANGE(""https://docs.google.com/spreadsheets/d/1-3Vjw2Cyy-mry5gbC8ypIR3YVGFfEpyFESummAta6sg/edit"", ""Sheet1!B:D""), 2, FALSE), ""Not Found"")"),"næt")</f>
        <v>næt</v>
      </c>
      <c r="E2571" s="2" t="str">
        <f>IFERROR(__xludf.DUMMYFUNCTION("IFERROR(VLOOKUP(A2571, IMPORTRANGE(""https://docs.google.com/spreadsheets/d/1-3Vjw2Cyy-mry5gbC8ypIR3YVGFfEpyFESummAta6sg/edit"", ""Sheet1!B:D""), 3, FALSE), ""Not Found"")"),"n æ t ")</f>
        <v>n æ t </v>
      </c>
    </row>
    <row r="2572">
      <c r="A2572" s="1" t="s">
        <v>2575</v>
      </c>
      <c r="B2572" s="1" t="s">
        <v>5</v>
      </c>
      <c r="C2572" s="2">
        <f>IFERROR(__xludf.DUMMYFUNCTION("IFERROR(VLOOKUP(A2572, IMPORTRANGE(""https://docs.google.com/spreadsheets/d/1AVX9GT0dgogEBStecCXMMQ29tWz3gBrtNB8yIromXbY/edit?gid=741673867"", ""out1g!A:B""), 2, FALSE), 0)"),118.0)</f>
        <v>118</v>
      </c>
      <c r="D2572" s="2" t="str">
        <f>IFERROR(__xludf.DUMMYFUNCTION("IFERROR(VLOOKUP(A2572, IMPORTRANGE(""https://docs.google.com/spreadsheets/d/1-3Vjw2Cyy-mry5gbC8ypIR3YVGFfEpyFESummAta6sg/edit"", ""Sheet1!B:D""), 2, FALSE), ""Not Found"")"),"sped")</f>
        <v>sped</v>
      </c>
      <c r="E2572" s="2" t="str">
        <f>IFERROR(__xludf.DUMMYFUNCTION("IFERROR(VLOOKUP(A2572, IMPORTRANGE(""https://docs.google.com/spreadsheets/d/1-3Vjw2Cyy-mry5gbC8ypIR3YVGFfEpyFESummAta6sg/edit"", ""Sheet1!B:D""), 3, FALSE), ""Not Found"")"),"s p e d ")</f>
        <v>s p e d </v>
      </c>
    </row>
    <row r="2573">
      <c r="A2573" s="1" t="s">
        <v>2576</v>
      </c>
      <c r="B2573" s="1" t="s">
        <v>5</v>
      </c>
      <c r="C2573" s="2">
        <f>IFERROR(__xludf.DUMMYFUNCTION("IFERROR(VLOOKUP(A2573, IMPORTRANGE(""https://docs.google.com/spreadsheets/d/1AVX9GT0dgogEBStecCXMMQ29tWz3gBrtNB8yIromXbY/edit?gid=741673867"", ""out1g!A:B""), 2, FALSE), 0)"),129.0)</f>
        <v>129</v>
      </c>
      <c r="D2573" s="2" t="str">
        <f>IFERROR(__xludf.DUMMYFUNCTION("IFERROR(VLOOKUP(A2573, IMPORTRANGE(""https://docs.google.com/spreadsheets/d/1-3Vjw2Cyy-mry5gbC8ypIR3YVGFfEpyFESummAta6sg/edit"", ""Sheet1!B:D""), 2, FALSE), ""Not Found"")"),"sizd")</f>
        <v>sizd</v>
      </c>
      <c r="E2573" s="2" t="str">
        <f>IFERROR(__xludf.DUMMYFUNCTION("IFERROR(VLOOKUP(A2573, IMPORTRANGE(""https://docs.google.com/spreadsheets/d/1-3Vjw2Cyy-mry5gbC8ypIR3YVGFfEpyFESummAta6sg/edit"", ""Sheet1!B:D""), 3, FALSE), ""Not Found"")"),"s i z d ")</f>
        <v>s i z d </v>
      </c>
    </row>
    <row r="2574">
      <c r="A2574" s="1" t="s">
        <v>2577</v>
      </c>
      <c r="B2574" s="1" t="s">
        <v>5</v>
      </c>
      <c r="C2574" s="2">
        <f>IFERROR(__xludf.DUMMYFUNCTION("IFERROR(VLOOKUP(A2574, IMPORTRANGE(""https://docs.google.com/spreadsheets/d/1AVX9GT0dgogEBStecCXMMQ29tWz3gBrtNB8yIromXbY/edit?gid=741673867"", ""out1g!A:B""), 2, FALSE), 0)"),98.0)</f>
        <v>98</v>
      </c>
      <c r="D2574" s="2" t="str">
        <f>IFERROR(__xludf.DUMMYFUNCTION("IFERROR(VLOOKUP(A2574, IMPORTRANGE(""https://docs.google.com/spreadsheets/d/1-3Vjw2Cyy-mry5gbC8ypIR3YVGFfEpyFESummAta6sg/edit"", ""Sheet1!B:D""), 2, FALSE), ""Not Found"")"),"kɑks")</f>
        <v>kɑks</v>
      </c>
      <c r="E2574" s="2" t="str">
        <f>IFERROR(__xludf.DUMMYFUNCTION("IFERROR(VLOOKUP(A2574, IMPORTRANGE(""https://docs.google.com/spreadsheets/d/1-3Vjw2Cyy-mry5gbC8ypIR3YVGFfEpyFESummAta6sg/edit"", ""Sheet1!B:D""), 3, FALSE), ""Not Found"")"),"k ɑ k s ")</f>
        <v>k ɑ k s </v>
      </c>
    </row>
    <row r="2575">
      <c r="A2575" s="1" t="s">
        <v>2578</v>
      </c>
      <c r="B2575" s="1" t="s">
        <v>5</v>
      </c>
      <c r="C2575" s="2">
        <f>IFERROR(__xludf.DUMMYFUNCTION("IFERROR(VLOOKUP(A2575, IMPORTRANGE(""https://docs.google.com/spreadsheets/d/1AVX9GT0dgogEBStecCXMMQ29tWz3gBrtNB8yIromXbY/edit?gid=741673867"", ""out1g!A:B""), 2, FALSE), 0)"),529.0)</f>
        <v>529</v>
      </c>
      <c r="D2575" s="2" t="str">
        <f>IFERROR(__xludf.DUMMYFUNCTION("IFERROR(VLOOKUP(A2575, IMPORTRANGE(""https://docs.google.com/spreadsheets/d/1-3Vjw2Cyy-mry5gbC8ypIR3YVGFfEpyFESummAta6sg/edit"", ""Sheet1!B:D""), 2, FALSE), ""Not Found"")"),"lin")</f>
        <v>lin</v>
      </c>
      <c r="E2575" s="2" t="str">
        <f>IFERROR(__xludf.DUMMYFUNCTION("IFERROR(VLOOKUP(A2575, IMPORTRANGE(""https://docs.google.com/spreadsheets/d/1-3Vjw2Cyy-mry5gbC8ypIR3YVGFfEpyFESummAta6sg/edit"", ""Sheet1!B:D""), 3, FALSE), ""Not Found"")"),"l i n ")</f>
        <v>l i n </v>
      </c>
    </row>
    <row r="2576">
      <c r="A2576" s="1" t="s">
        <v>2579</v>
      </c>
      <c r="B2576" s="1" t="s">
        <v>5</v>
      </c>
      <c r="C2576" s="2">
        <f>IFERROR(__xludf.DUMMYFUNCTION("IFERROR(VLOOKUP(A2576, IMPORTRANGE(""https://docs.google.com/spreadsheets/d/1AVX9GT0dgogEBStecCXMMQ29tWz3gBrtNB8yIromXbY/edit?gid=741673867"", ""out1g!A:B""), 2, FALSE), 0)"),52.0)</f>
        <v>52</v>
      </c>
      <c r="D2576" s="2" t="str">
        <f>IFERROR(__xludf.DUMMYFUNCTION("IFERROR(VLOOKUP(A2576, IMPORTRANGE(""https://docs.google.com/spreadsheets/d/1-3Vjw2Cyy-mry5gbC8ypIR3YVGFfEpyFESummAta6sg/edit"", ""Sheet1!B:D""), 2, FALSE), ""Not Found"")"),"ælɔɪ")</f>
        <v>ælɔɪ</v>
      </c>
      <c r="E2576" s="2" t="str">
        <f>IFERROR(__xludf.DUMMYFUNCTION("IFERROR(VLOOKUP(A2576, IMPORTRANGE(""https://docs.google.com/spreadsheets/d/1-3Vjw2Cyy-mry5gbC8ypIR3YVGFfEpyFESummAta6sg/edit"", ""Sheet1!B:D""), 3, FALSE), ""Not Found"")"),"æ l ɔ ɪ ")</f>
        <v>æ l ɔ ɪ </v>
      </c>
    </row>
    <row r="2577">
      <c r="A2577" s="1" t="s">
        <v>2580</v>
      </c>
      <c r="B2577" s="1" t="s">
        <v>5</v>
      </c>
      <c r="C2577" s="2">
        <f>IFERROR(__xludf.DUMMYFUNCTION("IFERROR(VLOOKUP(A2577, IMPORTRANGE(""https://docs.google.com/spreadsheets/d/1AVX9GT0dgogEBStecCXMMQ29tWz3gBrtNB8yIromXbY/edit?gid=741673867"", ""out1g!A:B""), 2, FALSE), 0)"),226.0)</f>
        <v>226</v>
      </c>
      <c r="D2577" s="2" t="str">
        <f>IFERROR(__xludf.DUMMYFUNCTION("IFERROR(VLOOKUP(A2577, IMPORTRANGE(""https://docs.google.com/spreadsheets/d/1-3Vjw2Cyy-mry5gbC8ypIR3YVGFfEpyFESummAta6sg/edit"", ""Sheet1!B:D""), 2, FALSE), ""Not Found"")"),"klɔz")</f>
        <v>klɔz</v>
      </c>
      <c r="E2577" s="2" t="str">
        <f>IFERROR(__xludf.DUMMYFUNCTION("IFERROR(VLOOKUP(A2577, IMPORTRANGE(""https://docs.google.com/spreadsheets/d/1-3Vjw2Cyy-mry5gbC8ypIR3YVGFfEpyFESummAta6sg/edit"", ""Sheet1!B:D""), 3, FALSE), ""Not Found"")"),"k l ɔ z ")</f>
        <v>k l ɔ z </v>
      </c>
    </row>
    <row r="2578">
      <c r="A2578" s="1" t="s">
        <v>2581</v>
      </c>
      <c r="B2578" s="1" t="s">
        <v>5</v>
      </c>
      <c r="C2578" s="2">
        <f>IFERROR(__xludf.DUMMYFUNCTION("IFERROR(VLOOKUP(A2578, IMPORTRANGE(""https://docs.google.com/spreadsheets/d/1AVX9GT0dgogEBStecCXMMQ29tWz3gBrtNB8yIromXbY/edit?gid=741673867"", ""out1g!A:B""), 2, FALSE), 0)"),1552.0)</f>
        <v>1552</v>
      </c>
      <c r="D2578" s="2" t="str">
        <f>IFERROR(__xludf.DUMMYFUNCTION("IFERROR(VLOOKUP(A2578, IMPORTRANGE(""https://docs.google.com/spreadsheets/d/1-3Vjw2Cyy-mry5gbC8ypIR3YVGFfEpyFESummAta6sg/edit"", ""Sheet1!B:D""), 2, FALSE), ""Not Found"")"),"skɔr")</f>
        <v>skɔr</v>
      </c>
      <c r="E2578" s="2" t="str">
        <f>IFERROR(__xludf.DUMMYFUNCTION("IFERROR(VLOOKUP(A2578, IMPORTRANGE(""https://docs.google.com/spreadsheets/d/1-3Vjw2Cyy-mry5gbC8ypIR3YVGFfEpyFESummAta6sg/edit"", ""Sheet1!B:D""), 3, FALSE), ""Not Found"")"),"s k ɔ r ")</f>
        <v>s k ɔ r </v>
      </c>
    </row>
    <row r="2579">
      <c r="A2579" s="1" t="s">
        <v>2582</v>
      </c>
      <c r="B2579" s="1" t="s">
        <v>5</v>
      </c>
      <c r="C2579" s="2">
        <f>IFERROR(__xludf.DUMMYFUNCTION("IFERROR(VLOOKUP(A2579, IMPORTRANGE(""https://docs.google.com/spreadsheets/d/1AVX9GT0dgogEBStecCXMMQ29tWz3gBrtNB8yIromXbY/edit?gid=741673867"", ""out1g!A:B""), 2, FALSE), 0)"),105.0)</f>
        <v>105</v>
      </c>
      <c r="D2579" s="2" t="str">
        <f>IFERROR(__xludf.DUMMYFUNCTION("IFERROR(VLOOKUP(A2579, IMPORTRANGE(""https://docs.google.com/spreadsheets/d/1-3Vjw2Cyy-mry5gbC8ypIR3YVGFfEpyFESummAta6sg/edit"", ""Sheet1!B:D""), 2, FALSE), ""Not Found"")"),"evə")</f>
        <v>evə</v>
      </c>
      <c r="E2579" s="2" t="str">
        <f>IFERROR(__xludf.DUMMYFUNCTION("IFERROR(VLOOKUP(A2579, IMPORTRANGE(""https://docs.google.com/spreadsheets/d/1-3Vjw2Cyy-mry5gbC8ypIR3YVGFfEpyFESummAta6sg/edit"", ""Sheet1!B:D""), 3, FALSE), ""Not Found"")"),"e v ə ")</f>
        <v>e v ə </v>
      </c>
    </row>
    <row r="2580">
      <c r="A2580" s="1" t="s">
        <v>2583</v>
      </c>
      <c r="B2580" s="1" t="s">
        <v>5</v>
      </c>
      <c r="C2580" s="2">
        <f>IFERROR(__xludf.DUMMYFUNCTION("IFERROR(VLOOKUP(A2580, IMPORTRANGE(""https://docs.google.com/spreadsheets/d/1AVX9GT0dgogEBStecCXMMQ29tWz3gBrtNB8yIromXbY/edit?gid=741673867"", ""out1g!A:B""), 2, FALSE), 0)"),785.0)</f>
        <v>785</v>
      </c>
      <c r="D2580" s="2" t="str">
        <f>IFERROR(__xludf.DUMMYFUNCTION("IFERROR(VLOOKUP(A2580, IMPORTRANGE(""https://docs.google.com/spreadsheets/d/1-3Vjw2Cyy-mry5gbC8ypIR3YVGFfEpyFESummAta6sg/edit"", ""Sheet1!B:D""), 2, FALSE), ""Not Found"")"),"flu")</f>
        <v>flu</v>
      </c>
      <c r="E2580" s="2" t="str">
        <f>IFERROR(__xludf.DUMMYFUNCTION("IFERROR(VLOOKUP(A2580, IMPORTRANGE(""https://docs.google.com/spreadsheets/d/1-3Vjw2Cyy-mry5gbC8ypIR3YVGFfEpyFESummAta6sg/edit"", ""Sheet1!B:D""), 3, FALSE), ""Not Found"")"),"f l u ")</f>
        <v>f l u </v>
      </c>
    </row>
    <row r="2581">
      <c r="A2581" s="1" t="s">
        <v>2584</v>
      </c>
      <c r="B2581" s="1" t="s">
        <v>5</v>
      </c>
      <c r="C2581" s="2">
        <f>IFERROR(__xludf.DUMMYFUNCTION("IFERROR(VLOOKUP(A2581, IMPORTRANGE(""https://docs.google.com/spreadsheets/d/1AVX9GT0dgogEBStecCXMMQ29tWz3gBrtNB8yIromXbY/edit?gid=741673867"", ""out1g!A:B""), 2, FALSE), 0)"),755.0)</f>
        <v>755</v>
      </c>
      <c r="D2581" s="2" t="str">
        <f>IFERROR(__xludf.DUMMYFUNCTION("IFERROR(VLOOKUP(A2581, IMPORTRANGE(""https://docs.google.com/spreadsheets/d/1-3Vjw2Cyy-mry5gbC8ypIR3YVGFfEpyFESummAta6sg/edit"", ""Sheet1!B:D""), 2, FALSE), ""Not Found"")"),"hɛ")</f>
        <v>hɛ</v>
      </c>
      <c r="E2581" s="2" t="str">
        <f>IFERROR(__xludf.DUMMYFUNCTION("IFERROR(VLOOKUP(A2581, IMPORTRANGE(""https://docs.google.com/spreadsheets/d/1-3Vjw2Cyy-mry5gbC8ypIR3YVGFfEpyFESummAta6sg/edit"", ""Sheet1!B:D""), 3, FALSE), ""Not Found"")"),"h ɛ ")</f>
        <v>h ɛ </v>
      </c>
    </row>
    <row r="2582">
      <c r="A2582" s="1" t="s">
        <v>2585</v>
      </c>
      <c r="B2582" s="1" t="s">
        <v>5</v>
      </c>
      <c r="C2582" s="2">
        <f>IFERROR(__xludf.DUMMYFUNCTION("IFERROR(VLOOKUP(A2582, IMPORTRANGE(""https://docs.google.com/spreadsheets/d/1AVX9GT0dgogEBStecCXMMQ29tWz3gBrtNB8yIromXbY/edit?gid=741673867"", ""out1g!A:B""), 2, FALSE), 0)"),1491.0)</f>
        <v>1491</v>
      </c>
      <c r="D2582" s="2" t="str">
        <f>IFERROR(__xludf.DUMMYFUNCTION("IFERROR(VLOOKUP(A2582, IMPORTRANGE(""https://docs.google.com/spreadsheets/d/1-3Vjw2Cyy-mry5gbC8ypIR3YVGFfEpyFESummAta6sg/edit"", ""Sheet1!B:D""), 2, FALSE), ""Not Found"")"),"met")</f>
        <v>met</v>
      </c>
      <c r="E2582" s="2" t="str">
        <f>IFERROR(__xludf.DUMMYFUNCTION("IFERROR(VLOOKUP(A2582, IMPORTRANGE(""https://docs.google.com/spreadsheets/d/1-3Vjw2Cyy-mry5gbC8ypIR3YVGFfEpyFESummAta6sg/edit"", ""Sheet1!B:D""), 3, FALSE), ""Not Found"")"),"m e t ")</f>
        <v>m e t </v>
      </c>
    </row>
    <row r="2583">
      <c r="A2583" s="1" t="s">
        <v>2586</v>
      </c>
      <c r="B2583" s="1" t="s">
        <v>5</v>
      </c>
      <c r="C2583" s="2">
        <f>IFERROR(__xludf.DUMMYFUNCTION("IFERROR(VLOOKUP(A2583, IMPORTRANGE(""https://docs.google.com/spreadsheets/d/1AVX9GT0dgogEBStecCXMMQ29tWz3gBrtNB8yIromXbY/edit?gid=741673867"", ""out1g!A:B""), 2, FALSE), 0)"),1027.0)</f>
        <v>1027</v>
      </c>
      <c r="D2583" s="2" t="str">
        <f>IFERROR(__xludf.DUMMYFUNCTION("IFERROR(VLOOKUP(A2583, IMPORTRANGE(""https://docs.google.com/spreadsheets/d/1-3Vjw2Cyy-mry5gbC8ypIR3YVGFfEpyFESummAta6sg/edit"", ""Sheet1!B:D""), 2, FALSE), ""Not Found"")"),"hɪlz")</f>
        <v>hɪlz</v>
      </c>
      <c r="E2583" s="2" t="str">
        <f>IFERROR(__xludf.DUMMYFUNCTION("IFERROR(VLOOKUP(A2583, IMPORTRANGE(""https://docs.google.com/spreadsheets/d/1-3Vjw2Cyy-mry5gbC8ypIR3YVGFfEpyFESummAta6sg/edit"", ""Sheet1!B:D""), 3, FALSE), ""Not Found"")"),"h ɪ l z ")</f>
        <v>h ɪ l z </v>
      </c>
    </row>
    <row r="2584">
      <c r="A2584" s="1" t="s">
        <v>2587</v>
      </c>
      <c r="B2584" s="1" t="s">
        <v>5</v>
      </c>
      <c r="C2584" s="2">
        <f>IFERROR(__xludf.DUMMYFUNCTION("IFERROR(VLOOKUP(A2584, IMPORTRANGE(""https://docs.google.com/spreadsheets/d/1AVX9GT0dgogEBStecCXMMQ29tWz3gBrtNB8yIromXbY/edit?gid=741673867"", ""out1g!A:B""), 2, FALSE), 0)"),1704.0)</f>
        <v>1704</v>
      </c>
      <c r="D2584" s="2" t="str">
        <f>IFERROR(__xludf.DUMMYFUNCTION("IFERROR(VLOOKUP(A2584, IMPORTRANGE(""https://docs.google.com/spreadsheets/d/1-3Vjw2Cyy-mry5gbC8ypIR3YVGFfEpyFESummAta6sg/edit"", ""Sheet1!B:D""), 2, FALSE), ""Not Found"")"),"bebiz")</f>
        <v>bebiz</v>
      </c>
      <c r="E2584" s="2" t="str">
        <f>IFERROR(__xludf.DUMMYFUNCTION("IFERROR(VLOOKUP(A2584, IMPORTRANGE(""https://docs.google.com/spreadsheets/d/1-3Vjw2Cyy-mry5gbC8ypIR3YVGFfEpyFESummAta6sg/edit"", ""Sheet1!B:D""), 3, FALSE), ""Not Found"")"),"b e b i z ")</f>
        <v>b e b i z </v>
      </c>
    </row>
    <row r="2585">
      <c r="A2585" s="1" t="s">
        <v>2588</v>
      </c>
      <c r="B2585" s="1" t="s">
        <v>5</v>
      </c>
      <c r="C2585" s="2">
        <f>IFERROR(__xludf.DUMMYFUNCTION("IFERROR(VLOOKUP(A2585, IMPORTRANGE(""https://docs.google.com/spreadsheets/d/1AVX9GT0dgogEBStecCXMMQ29tWz3gBrtNB8yIromXbY/edit?gid=741673867"", ""out1g!A:B""), 2, FALSE), 0)"),921.0)</f>
        <v>921</v>
      </c>
      <c r="D2585" s="2" t="str">
        <f>IFERROR(__xludf.DUMMYFUNCTION("IFERROR(VLOOKUP(A2585, IMPORTRANGE(""https://docs.google.com/spreadsheets/d/1-3Vjw2Cyy-mry5gbC8ypIR3YVGFfEpyFESummAta6sg/edit"", ""Sheet1!B:D""), 2, FALSE), ""Not Found"")"),"sənz")</f>
        <v>sənz</v>
      </c>
      <c r="E2585" s="2" t="str">
        <f>IFERROR(__xludf.DUMMYFUNCTION("IFERROR(VLOOKUP(A2585, IMPORTRANGE(""https://docs.google.com/spreadsheets/d/1-3Vjw2Cyy-mry5gbC8ypIR3YVGFfEpyFESummAta6sg/edit"", ""Sheet1!B:D""), 3, FALSE), ""Not Found"")"),"s ə n z ")</f>
        <v>s ə n z </v>
      </c>
    </row>
    <row r="2586">
      <c r="A2586" s="1" t="s">
        <v>2589</v>
      </c>
      <c r="B2586" s="1" t="s">
        <v>5</v>
      </c>
      <c r="C2586" s="2">
        <f>IFERROR(__xludf.DUMMYFUNCTION("IFERROR(VLOOKUP(A2586, IMPORTRANGE(""https://docs.google.com/spreadsheets/d/1AVX9GT0dgogEBStecCXMMQ29tWz3gBrtNB8yIromXbY/edit?gid=741673867"", ""out1g!A:B""), 2, FALSE), 0)"),248.0)</f>
        <v>248</v>
      </c>
      <c r="D2586" s="2" t="str">
        <f>IFERROR(__xludf.DUMMYFUNCTION("IFERROR(VLOOKUP(A2586, IMPORTRANGE(""https://docs.google.com/spreadsheets/d/1-3Vjw2Cyy-mry5gbC8ypIR3YVGFfEpyFESummAta6sg/edit"", ""Sheet1!B:D""), 2, FALSE), ""Not Found"")"),"mərsi")</f>
        <v>mərsi</v>
      </c>
      <c r="E2586" s="2" t="str">
        <f>IFERROR(__xludf.DUMMYFUNCTION("IFERROR(VLOOKUP(A2586, IMPORTRANGE(""https://docs.google.com/spreadsheets/d/1-3Vjw2Cyy-mry5gbC8ypIR3YVGFfEpyFESummAta6sg/edit"", ""Sheet1!B:D""), 3, FALSE), ""Not Found"")"),"m ə r s i ")</f>
        <v>m ə r s i </v>
      </c>
    </row>
    <row r="2587">
      <c r="A2587" s="1" t="s">
        <v>2590</v>
      </c>
      <c r="B2587" s="1" t="s">
        <v>5</v>
      </c>
      <c r="C2587" s="2">
        <f>IFERROR(__xludf.DUMMYFUNCTION("IFERROR(VLOOKUP(A2587, IMPORTRANGE(""https://docs.google.com/spreadsheets/d/1AVX9GT0dgogEBStecCXMMQ29tWz3gBrtNB8yIromXbY/edit?gid=741673867"", ""out1g!A:B""), 2, FALSE), 0)"),649.0)</f>
        <v>649</v>
      </c>
      <c r="D2587" s="2" t="str">
        <f>IFERROR(__xludf.DUMMYFUNCTION("IFERROR(VLOOKUP(A2587, IMPORTRANGE(""https://docs.google.com/spreadsheets/d/1-3Vjw2Cyy-mry5gbC8ypIR3YVGFfEpyFESummAta6sg/edit"", ""Sheet1!B:D""), 2, FALSE), ""Not Found"")"),"tæsk")</f>
        <v>tæsk</v>
      </c>
      <c r="E2587" s="2" t="str">
        <f>IFERROR(__xludf.DUMMYFUNCTION("IFERROR(VLOOKUP(A2587, IMPORTRANGE(""https://docs.google.com/spreadsheets/d/1-3Vjw2Cyy-mry5gbC8ypIR3YVGFfEpyFESummAta6sg/edit"", ""Sheet1!B:D""), 3, FALSE), ""Not Found"")"),"t æ s k ")</f>
        <v>t æ s k </v>
      </c>
    </row>
    <row r="2588">
      <c r="A2588" s="1" t="s">
        <v>2591</v>
      </c>
      <c r="B2588" s="1" t="s">
        <v>5</v>
      </c>
      <c r="C2588" s="2">
        <f>IFERROR(__xludf.DUMMYFUNCTION("IFERROR(VLOOKUP(A2588, IMPORTRANGE(""https://docs.google.com/spreadsheets/d/1AVX9GT0dgogEBStecCXMMQ29tWz3gBrtNB8yIromXbY/edit?gid=741673867"", ""out1g!A:B""), 2, FALSE), 0)"),60.0)</f>
        <v>60</v>
      </c>
      <c r="D2588" s="2" t="str">
        <f>IFERROR(__xludf.DUMMYFUNCTION("IFERROR(VLOOKUP(A2588, IMPORTRANGE(""https://docs.google.com/spreadsheets/d/1-3Vjw2Cyy-mry5gbC8ypIR3YVGFfEpyFESummAta6sg/edit"", ""Sheet1!B:D""), 2, FALSE), ""Not Found"")"),"stoʊk")</f>
        <v>stoʊk</v>
      </c>
      <c r="E2588" s="2" t="str">
        <f>IFERROR(__xludf.DUMMYFUNCTION("IFERROR(VLOOKUP(A2588, IMPORTRANGE(""https://docs.google.com/spreadsheets/d/1-3Vjw2Cyy-mry5gbC8ypIR3YVGFfEpyFESummAta6sg/edit"", ""Sheet1!B:D""), 3, FALSE), ""Not Found"")"),"s t o ʊ k ")</f>
        <v>s t o ʊ k </v>
      </c>
    </row>
    <row r="2589">
      <c r="A2589" s="1" t="s">
        <v>2592</v>
      </c>
      <c r="B2589" s="1" t="s">
        <v>5</v>
      </c>
      <c r="C2589" s="2">
        <f>IFERROR(__xludf.DUMMYFUNCTION("IFERROR(VLOOKUP(A2589, IMPORTRANGE(""https://docs.google.com/spreadsheets/d/1AVX9GT0dgogEBStecCXMMQ29tWz3gBrtNB8yIromXbY/edit?gid=741673867"", ""out1g!A:B""), 2, FALSE), 0)"),6822.0)</f>
        <v>6822</v>
      </c>
      <c r="D2589" s="2" t="str">
        <f>IFERROR(__xludf.DUMMYFUNCTION("IFERROR(VLOOKUP(A2589, IMPORTRANGE(""https://docs.google.com/spreadsheets/d/1-3Vjw2Cyy-mry5gbC8ypIR3YVGFfEpyFESummAta6sg/edit"", ""Sheet1!B:D""), 2, FALSE), ""Not Found"")"),"kɪdɪŋ")</f>
        <v>kɪdɪŋ</v>
      </c>
      <c r="E2589" s="2" t="str">
        <f>IFERROR(__xludf.DUMMYFUNCTION("IFERROR(VLOOKUP(A2589, IMPORTRANGE(""https://docs.google.com/spreadsheets/d/1-3Vjw2Cyy-mry5gbC8ypIR3YVGFfEpyFESummAta6sg/edit"", ""Sheet1!B:D""), 3, FALSE), ""Not Found"")"),"k ɪ d ɪ ŋ ")</f>
        <v>k ɪ d ɪ ŋ </v>
      </c>
    </row>
    <row r="2590">
      <c r="A2590" s="1" t="s">
        <v>2593</v>
      </c>
      <c r="B2590" s="1" t="s">
        <v>5</v>
      </c>
      <c r="C2590" s="2">
        <f>IFERROR(__xludf.DUMMYFUNCTION("IFERROR(VLOOKUP(A2590, IMPORTRANGE(""https://docs.google.com/spreadsheets/d/1AVX9GT0dgogEBStecCXMMQ29tWz3gBrtNB8yIromXbY/edit?gid=741673867"", ""out1g!A:B""), 2, FALSE), 0)"),209.0)</f>
        <v>209</v>
      </c>
      <c r="D2590" s="2" t="str">
        <f>IFERROR(__xludf.DUMMYFUNCTION("IFERROR(VLOOKUP(A2590, IMPORTRANGE(""https://docs.google.com/spreadsheets/d/1-3Vjw2Cyy-mry5gbC8ypIR3YVGFfEpyFESummAta6sg/edit"", ""Sheet1!B:D""), 2, FALSE), ""Not Found"")"),"ʧəmp")</f>
        <v>ʧəmp</v>
      </c>
      <c r="E2590" s="2" t="str">
        <f>IFERROR(__xludf.DUMMYFUNCTION("IFERROR(VLOOKUP(A2590, IMPORTRANGE(""https://docs.google.com/spreadsheets/d/1-3Vjw2Cyy-mry5gbC8ypIR3YVGFfEpyFESummAta6sg/edit"", ""Sheet1!B:D""), 3, FALSE), ""Not Found"")"),"ʧ ə m p ")</f>
        <v>ʧ ə m p </v>
      </c>
    </row>
    <row r="2591">
      <c r="A2591" s="1" t="s">
        <v>2594</v>
      </c>
      <c r="B2591" s="1" t="s">
        <v>5</v>
      </c>
      <c r="C2591" s="2">
        <f>IFERROR(__xludf.DUMMYFUNCTION("IFERROR(VLOOKUP(A2591, IMPORTRANGE(""https://docs.google.com/spreadsheets/d/1AVX9GT0dgogEBStecCXMMQ29tWz3gBrtNB8yIromXbY/edit?gid=741673867"", ""out1g!A:B""), 2, FALSE), 0)"),49636.0)</f>
        <v>49636</v>
      </c>
      <c r="D2591" s="2" t="str">
        <f>IFERROR(__xludf.DUMMYFUNCTION("IFERROR(VLOOKUP(A2591, IMPORTRANGE(""https://docs.google.com/spreadsheets/d/1-3Vjw2Cyy-mry5gbC8ypIR3YVGFfEpyFESummAta6sg/edit"", ""Sheet1!B:D""), 2, FALSE), ""Not Found"")"),"məʧ")</f>
        <v>məʧ</v>
      </c>
      <c r="E2591" s="2" t="str">
        <f>IFERROR(__xludf.DUMMYFUNCTION("IFERROR(VLOOKUP(A2591, IMPORTRANGE(""https://docs.google.com/spreadsheets/d/1-3Vjw2Cyy-mry5gbC8ypIR3YVGFfEpyFESummAta6sg/edit"", ""Sheet1!B:D""), 3, FALSE), ""Not Found"")"),"m ə ʧ ")</f>
        <v>m ə ʧ </v>
      </c>
    </row>
    <row r="2592">
      <c r="A2592" s="1" t="s">
        <v>2595</v>
      </c>
      <c r="B2592" s="1" t="s">
        <v>5</v>
      </c>
      <c r="C2592" s="2">
        <f>IFERROR(__xludf.DUMMYFUNCTION("IFERROR(VLOOKUP(A2592, IMPORTRANGE(""https://docs.google.com/spreadsheets/d/1AVX9GT0dgogEBStecCXMMQ29tWz3gBrtNB8yIromXbY/edit?gid=741673867"", ""out1g!A:B""), 2, FALSE), 0)"),132.0)</f>
        <v>132</v>
      </c>
      <c r="D2592" s="2" t="str">
        <f>IFERROR(__xludf.DUMMYFUNCTION("IFERROR(VLOOKUP(A2592, IMPORTRANGE(""https://docs.google.com/spreadsheets/d/1-3Vjw2Cyy-mry5gbC8ypIR3YVGFfEpyFESummAta6sg/edit"", ""Sheet1!B:D""), 2, FALSE), ""Not Found"")"),"ʃəvɪŋ")</f>
        <v>ʃəvɪŋ</v>
      </c>
      <c r="E2592" s="2" t="str">
        <f>IFERROR(__xludf.DUMMYFUNCTION("IFERROR(VLOOKUP(A2592, IMPORTRANGE(""https://docs.google.com/spreadsheets/d/1-3Vjw2Cyy-mry5gbC8ypIR3YVGFfEpyFESummAta6sg/edit"", ""Sheet1!B:D""), 3, FALSE), ""Not Found"")"),"ʃ ə v ɪ ŋ ")</f>
        <v>ʃ ə v ɪ ŋ </v>
      </c>
    </row>
    <row r="2593">
      <c r="A2593" s="1" t="s">
        <v>2596</v>
      </c>
      <c r="B2593" s="1" t="s">
        <v>5</v>
      </c>
      <c r="C2593" s="2">
        <f>IFERROR(__xludf.DUMMYFUNCTION("IFERROR(VLOOKUP(A2593, IMPORTRANGE(""https://docs.google.com/spreadsheets/d/1AVX9GT0dgogEBStecCXMMQ29tWz3gBrtNB8yIromXbY/edit?gid=741673867"", ""out1g!A:B""), 2, FALSE), 0)"),120.0)</f>
        <v>120</v>
      </c>
      <c r="D2593" s="2" t="str">
        <f>IFERROR(__xludf.DUMMYFUNCTION("IFERROR(VLOOKUP(A2593, IMPORTRANGE(""https://docs.google.com/spreadsheets/d/1-3Vjw2Cyy-mry5gbC8ypIR3YVGFfEpyFESummAta6sg/edit"", ""Sheet1!B:D""), 2, FALSE), ""Not Found"")"),"munz")</f>
        <v>munz</v>
      </c>
      <c r="E2593" s="2" t="str">
        <f>IFERROR(__xludf.DUMMYFUNCTION("IFERROR(VLOOKUP(A2593, IMPORTRANGE(""https://docs.google.com/spreadsheets/d/1-3Vjw2Cyy-mry5gbC8ypIR3YVGFfEpyFESummAta6sg/edit"", ""Sheet1!B:D""), 3, FALSE), ""Not Found"")"),"m u n z ")</f>
        <v>m u n z </v>
      </c>
    </row>
    <row r="2594">
      <c r="A2594" s="1" t="s">
        <v>2597</v>
      </c>
      <c r="B2594" s="1" t="s">
        <v>5</v>
      </c>
      <c r="C2594" s="2">
        <f>IFERROR(__xludf.DUMMYFUNCTION("IFERROR(VLOOKUP(A2594, IMPORTRANGE(""https://docs.google.com/spreadsheets/d/1AVX9GT0dgogEBStecCXMMQ29tWz3gBrtNB8yIromXbY/edit?gid=741673867"", ""out1g!A:B""), 2, FALSE), 0)"),4335.0)</f>
        <v>4335</v>
      </c>
      <c r="D2594" s="2" t="str">
        <f>IFERROR(__xludf.DUMMYFUNCTION("IFERROR(VLOOKUP(A2594, IMPORTRANGE(""https://docs.google.com/spreadsheets/d/1-3Vjw2Cyy-mry5gbC8ypIR3YVGFfEpyFESummAta6sg/edit"", ""Sheet1!B:D""), 2, FALSE), ""Not Found"")"),"flaɪ")</f>
        <v>flaɪ</v>
      </c>
      <c r="E2594" s="2" t="str">
        <f>IFERROR(__xludf.DUMMYFUNCTION("IFERROR(VLOOKUP(A2594, IMPORTRANGE(""https://docs.google.com/spreadsheets/d/1-3Vjw2Cyy-mry5gbC8ypIR3YVGFfEpyFESummAta6sg/edit"", ""Sheet1!B:D""), 3, FALSE), ""Not Found"")"),"f l a ɪ ")</f>
        <v>f l a ɪ </v>
      </c>
    </row>
    <row r="2595">
      <c r="A2595" s="1" t="s">
        <v>2598</v>
      </c>
      <c r="B2595" s="1" t="s">
        <v>5</v>
      </c>
      <c r="C2595" s="2">
        <f>IFERROR(__xludf.DUMMYFUNCTION("IFERROR(VLOOKUP(A2595, IMPORTRANGE(""https://docs.google.com/spreadsheets/d/1AVX9GT0dgogEBStecCXMMQ29tWz3gBrtNB8yIromXbY/edit?gid=741673867"", ""out1g!A:B""), 2, FALSE), 0)"),515.0)</f>
        <v>515</v>
      </c>
      <c r="D2595" s="2" t="str">
        <f>IFERROR(__xludf.DUMMYFUNCTION("IFERROR(VLOOKUP(A2595, IMPORTRANGE(""https://docs.google.com/spreadsheets/d/1-3Vjw2Cyy-mry5gbC8ypIR3YVGFfEpyFESummAta6sg/edit"", ""Sheet1!B:D""), 2, FALSE), ""Not Found"")"),"spaɪdər")</f>
        <v>spaɪdər</v>
      </c>
      <c r="E2595" s="2" t="str">
        <f>IFERROR(__xludf.DUMMYFUNCTION("IFERROR(VLOOKUP(A2595, IMPORTRANGE(""https://docs.google.com/spreadsheets/d/1-3Vjw2Cyy-mry5gbC8ypIR3YVGFfEpyFESummAta6sg/edit"", ""Sheet1!B:D""), 3, FALSE), ""Not Found"")"),"s p a ɪ d ə r ")</f>
        <v>s p a ɪ d ə r </v>
      </c>
    </row>
    <row r="2596">
      <c r="A2596" s="1" t="s">
        <v>2599</v>
      </c>
      <c r="B2596" s="1" t="s">
        <v>5</v>
      </c>
      <c r="C2596" s="2">
        <f>IFERROR(__xludf.DUMMYFUNCTION("IFERROR(VLOOKUP(A2596, IMPORTRANGE(""https://docs.google.com/spreadsheets/d/1AVX9GT0dgogEBStecCXMMQ29tWz3gBrtNB8yIromXbY/edit?gid=741673867"", ""out1g!A:B""), 2, FALSE), 0)"),293.0)</f>
        <v>293</v>
      </c>
      <c r="D2596" s="2" t="str">
        <f>IFERROR(__xludf.DUMMYFUNCTION("IFERROR(VLOOKUP(A2596, IMPORTRANGE(""https://docs.google.com/spreadsheets/d/1-3Vjw2Cyy-mry5gbC8ypIR3YVGFfEpyFESummAta6sg/edit"", ""Sheet1!B:D""), 2, FALSE), ""Not Found"")"),"ɔrfən")</f>
        <v>ɔrfən</v>
      </c>
      <c r="E2596" s="2" t="str">
        <f>IFERROR(__xludf.DUMMYFUNCTION("IFERROR(VLOOKUP(A2596, IMPORTRANGE(""https://docs.google.com/spreadsheets/d/1-3Vjw2Cyy-mry5gbC8ypIR3YVGFfEpyFESummAta6sg/edit"", ""Sheet1!B:D""), 3, FALSE), ""Not Found"")"),"ɔ r f ə n ")</f>
        <v>ɔ r f ə n </v>
      </c>
    </row>
    <row r="2597">
      <c r="A2597" s="1" t="s">
        <v>2600</v>
      </c>
      <c r="B2597" s="1" t="s">
        <v>5</v>
      </c>
      <c r="C2597" s="2">
        <f>IFERROR(__xludf.DUMMYFUNCTION("IFERROR(VLOOKUP(A2597, IMPORTRANGE(""https://docs.google.com/spreadsheets/d/1AVX9GT0dgogEBStecCXMMQ29tWz3gBrtNB8yIromXbY/edit?gid=741673867"", ""out1g!A:B""), 2, FALSE), 0)"),10332.0)</f>
        <v>10332</v>
      </c>
      <c r="D2597" s="2" t="str">
        <f>IFERROR(__xludf.DUMMYFUNCTION("IFERROR(VLOOKUP(A2597, IMPORTRANGE(""https://docs.google.com/spreadsheets/d/1-3Vjw2Cyy-mry5gbC8ypIR3YVGFfEpyFESummAta6sg/edit"", ""Sheet1!B:D""), 2, FALSE), ""Not Found"")"),"kwaɪt")</f>
        <v>kwaɪt</v>
      </c>
      <c r="E2597" s="2" t="str">
        <f>IFERROR(__xludf.DUMMYFUNCTION("IFERROR(VLOOKUP(A2597, IMPORTRANGE(""https://docs.google.com/spreadsheets/d/1-3Vjw2Cyy-mry5gbC8ypIR3YVGFfEpyFESummAta6sg/edit"", ""Sheet1!B:D""), 3, FALSE), ""Not Found"")"),"k w a ɪ t ")</f>
        <v>k w a ɪ t </v>
      </c>
    </row>
    <row r="2598">
      <c r="A2598" s="1" t="s">
        <v>2601</v>
      </c>
      <c r="B2598" s="1" t="s">
        <v>5</v>
      </c>
      <c r="C2598" s="2">
        <f>IFERROR(__xludf.DUMMYFUNCTION("IFERROR(VLOOKUP(A2598, IMPORTRANGE(""https://docs.google.com/spreadsheets/d/1AVX9GT0dgogEBStecCXMMQ29tWz3gBrtNB8yIromXbY/edit?gid=741673867"", ""out1g!A:B""), 2, FALSE), 0)"),1252.0)</f>
        <v>1252</v>
      </c>
      <c r="D2598" s="2" t="str">
        <f>IFERROR(__xludf.DUMMYFUNCTION("IFERROR(VLOOKUP(A2598, IMPORTRANGE(""https://docs.google.com/spreadsheets/d/1-3Vjw2Cyy-mry5gbC8ypIR3YVGFfEpyFESummAta6sg/edit"", ""Sheet1!B:D""), 2, FALSE), ""Not Found"")"),"bist")</f>
        <v>bist</v>
      </c>
      <c r="E2598" s="2" t="str">
        <f>IFERROR(__xludf.DUMMYFUNCTION("IFERROR(VLOOKUP(A2598, IMPORTRANGE(""https://docs.google.com/spreadsheets/d/1-3Vjw2Cyy-mry5gbC8ypIR3YVGFfEpyFESummAta6sg/edit"", ""Sheet1!B:D""), 3, FALSE), ""Not Found"")"),"b i s t ")</f>
        <v>b i s t </v>
      </c>
    </row>
    <row r="2599">
      <c r="A2599" s="1" t="s">
        <v>2602</v>
      </c>
      <c r="B2599" s="1" t="s">
        <v>5</v>
      </c>
      <c r="C2599" s="2">
        <f>IFERROR(__xludf.DUMMYFUNCTION("IFERROR(VLOOKUP(A2599, IMPORTRANGE(""https://docs.google.com/spreadsheets/d/1AVX9GT0dgogEBStecCXMMQ29tWz3gBrtNB8yIromXbY/edit?gid=741673867"", ""out1g!A:B""), 2, FALSE), 0)"),15.0)</f>
        <v>15</v>
      </c>
      <c r="D2599" s="2" t="str">
        <f>IFERROR(__xludf.DUMMYFUNCTION("IFERROR(VLOOKUP(A2599, IMPORTRANGE(""https://docs.google.com/spreadsheets/d/1-3Vjw2Cyy-mry5gbC8ypIR3YVGFfEpyFESummAta6sg/edit"", ""Sheet1!B:D""), 2, FALSE), ""Not Found"")"),"mɔs")</f>
        <v>mɔs</v>
      </c>
      <c r="E2599" s="2" t="str">
        <f>IFERROR(__xludf.DUMMYFUNCTION("IFERROR(VLOOKUP(A2599, IMPORTRANGE(""https://docs.google.com/spreadsheets/d/1-3Vjw2Cyy-mry5gbC8ypIR3YVGFfEpyFESummAta6sg/edit"", ""Sheet1!B:D""), 3, FALSE), ""Not Found"")"),"m ɔ s ")</f>
        <v>m ɔ s </v>
      </c>
    </row>
    <row r="2600">
      <c r="A2600" s="1" t="s">
        <v>2603</v>
      </c>
      <c r="B2600" s="1" t="s">
        <v>5</v>
      </c>
      <c r="C2600" s="2">
        <f>IFERROR(__xludf.DUMMYFUNCTION("IFERROR(VLOOKUP(A2600, IMPORTRANGE(""https://docs.google.com/spreadsheets/d/1AVX9GT0dgogEBStecCXMMQ29tWz3gBrtNB8yIromXbY/edit?gid=741673867"", ""out1g!A:B""), 2, FALSE), 0)"),823.0)</f>
        <v>823</v>
      </c>
      <c r="D2600" s="2" t="str">
        <f>IFERROR(__xludf.DUMMYFUNCTION("IFERROR(VLOOKUP(A2600, IMPORTRANGE(""https://docs.google.com/spreadsheets/d/1-3Vjw2Cyy-mry5gbC8ypIR3YVGFfEpyFESummAta6sg/edit"", ""Sheet1!B:D""), 2, FALSE), ""Not Found"")"),"krɪstəl")</f>
        <v>krɪstəl</v>
      </c>
      <c r="E2600" s="2" t="str">
        <f>IFERROR(__xludf.DUMMYFUNCTION("IFERROR(VLOOKUP(A2600, IMPORTRANGE(""https://docs.google.com/spreadsheets/d/1-3Vjw2Cyy-mry5gbC8ypIR3YVGFfEpyFESummAta6sg/edit"", ""Sheet1!B:D""), 3, FALSE), ""Not Found"")"),"k r ɪ s t ə l ")</f>
        <v>k r ɪ s t ə l </v>
      </c>
    </row>
    <row r="2601">
      <c r="A2601" s="1" t="s">
        <v>2604</v>
      </c>
      <c r="B2601" s="1" t="s">
        <v>5</v>
      </c>
      <c r="C2601" s="2">
        <f>IFERROR(__xludf.DUMMYFUNCTION("IFERROR(VLOOKUP(A2601, IMPORTRANGE(""https://docs.google.com/spreadsheets/d/1AVX9GT0dgogEBStecCXMMQ29tWz3gBrtNB8yIromXbY/edit?gid=741673867"", ""out1g!A:B""), 2, FALSE), 0)"),103.0)</f>
        <v>103</v>
      </c>
      <c r="D2601" s="2" t="str">
        <f>IFERROR(__xludf.DUMMYFUNCTION("IFERROR(VLOOKUP(A2601, IMPORTRANGE(""https://docs.google.com/spreadsheets/d/1-3Vjw2Cyy-mry5gbC8ypIR3YVGFfEpyFESummAta6sg/edit"", ""Sheet1!B:D""), 2, FALSE), ""Not Found"")"),"fraɪtənz")</f>
        <v>fraɪtənz</v>
      </c>
      <c r="E2601" s="2" t="str">
        <f>IFERROR(__xludf.DUMMYFUNCTION("IFERROR(VLOOKUP(A2601, IMPORTRANGE(""https://docs.google.com/spreadsheets/d/1-3Vjw2Cyy-mry5gbC8ypIR3YVGFfEpyFESummAta6sg/edit"", ""Sheet1!B:D""), 3, FALSE), ""Not Found"")"),"f r a ɪ t ə n z ")</f>
        <v>f r a ɪ t ə n z </v>
      </c>
    </row>
    <row r="2602">
      <c r="A2602" s="1" t="s">
        <v>2605</v>
      </c>
      <c r="B2602" s="1" t="s">
        <v>5</v>
      </c>
      <c r="C2602" s="2">
        <f>IFERROR(__xludf.DUMMYFUNCTION("IFERROR(VLOOKUP(A2602, IMPORTRANGE(""https://docs.google.com/spreadsheets/d/1AVX9GT0dgogEBStecCXMMQ29tWz3gBrtNB8yIromXbY/edit?gid=741673867"", ""out1g!A:B""), 2, FALSE), 0)"),204.0)</f>
        <v>204</v>
      </c>
      <c r="D2602" s="2" t="str">
        <f>IFERROR(__xludf.DUMMYFUNCTION("IFERROR(VLOOKUP(A2602, IMPORTRANGE(""https://docs.google.com/spreadsheets/d/1-3Vjw2Cyy-mry5gbC8ypIR3YVGFfEpyFESummAta6sg/edit"", ""Sheet1!B:D""), 2, FALSE), ""Not Found"")"),"dənoʊ")</f>
        <v>dənoʊ</v>
      </c>
      <c r="E2602" s="2" t="str">
        <f>IFERROR(__xludf.DUMMYFUNCTION("IFERROR(VLOOKUP(A2602, IMPORTRANGE(""https://docs.google.com/spreadsheets/d/1-3Vjw2Cyy-mry5gbC8ypIR3YVGFfEpyFESummAta6sg/edit"", ""Sheet1!B:D""), 3, FALSE), ""Not Found"")"),"d ə n o ʊ ")</f>
        <v>d ə n o ʊ </v>
      </c>
    </row>
    <row r="2603">
      <c r="A2603" s="1" t="s">
        <v>2606</v>
      </c>
      <c r="B2603" s="1" t="s">
        <v>5</v>
      </c>
      <c r="C2603" s="2">
        <f>IFERROR(__xludf.DUMMYFUNCTION("IFERROR(VLOOKUP(A2603, IMPORTRANGE(""https://docs.google.com/spreadsheets/d/1AVX9GT0dgogEBStecCXMMQ29tWz3gBrtNB8yIromXbY/edit?gid=741673867"", ""out1g!A:B""), 2, FALSE), 0)"),250.0)</f>
        <v>250</v>
      </c>
      <c r="D2603" s="2" t="str">
        <f>IFERROR(__xludf.DUMMYFUNCTION("IFERROR(VLOOKUP(A2603, IMPORTRANGE(""https://docs.google.com/spreadsheets/d/1-3Vjw2Cyy-mry5gbC8ypIR3YVGFfEpyFESummAta6sg/edit"", ""Sheet1!B:D""), 2, FALSE), ""Not Found"")"),"əbrɔd")</f>
        <v>əbrɔd</v>
      </c>
      <c r="E2603" s="2" t="str">
        <f>IFERROR(__xludf.DUMMYFUNCTION("IFERROR(VLOOKUP(A2603, IMPORTRANGE(""https://docs.google.com/spreadsheets/d/1-3Vjw2Cyy-mry5gbC8ypIR3YVGFfEpyFESummAta6sg/edit"", ""Sheet1!B:D""), 3, FALSE), ""Not Found"")"),"ə b r ɔ d ")</f>
        <v>ə b r ɔ d </v>
      </c>
    </row>
    <row r="2604">
      <c r="A2604" s="1" t="s">
        <v>2607</v>
      </c>
      <c r="B2604" s="1" t="s">
        <v>5</v>
      </c>
      <c r="C2604" s="2">
        <f>IFERROR(__xludf.DUMMYFUNCTION("IFERROR(VLOOKUP(A2604, IMPORTRANGE(""https://docs.google.com/spreadsheets/d/1AVX9GT0dgogEBStecCXMMQ29tWz3gBrtNB8yIromXbY/edit?gid=741673867"", ""out1g!A:B""), 2, FALSE), 0)"),280.0)</f>
        <v>280</v>
      </c>
      <c r="D2604" s="2" t="str">
        <f>IFERROR(__xludf.DUMMYFUNCTION("IFERROR(VLOOKUP(A2604, IMPORTRANGE(""https://docs.google.com/spreadsheets/d/1-3Vjw2Cyy-mry5gbC8ypIR3YVGFfEpyFESummAta6sg/edit"", ""Sheet1!B:D""), 2, FALSE), ""Not Found"")"),"baɪts")</f>
        <v>baɪts</v>
      </c>
      <c r="E2604" s="2" t="str">
        <f>IFERROR(__xludf.DUMMYFUNCTION("IFERROR(VLOOKUP(A2604, IMPORTRANGE(""https://docs.google.com/spreadsheets/d/1-3Vjw2Cyy-mry5gbC8ypIR3YVGFfEpyFESummAta6sg/edit"", ""Sheet1!B:D""), 3, FALSE), ""Not Found"")"),"b a ɪ t s ")</f>
        <v>b a ɪ t s </v>
      </c>
    </row>
    <row r="2605">
      <c r="A2605" s="1" t="s">
        <v>2608</v>
      </c>
      <c r="B2605" s="1" t="s">
        <v>5</v>
      </c>
      <c r="C2605" s="2">
        <f>IFERROR(__xludf.DUMMYFUNCTION("IFERROR(VLOOKUP(A2605, IMPORTRANGE(""https://docs.google.com/spreadsheets/d/1AVX9GT0dgogEBStecCXMMQ29tWz3gBrtNB8yIromXbY/edit?gid=741673867"", ""out1g!A:B""), 2, FALSE), 0)"),348.0)</f>
        <v>348</v>
      </c>
      <c r="D2605" s="2" t="str">
        <f>IFERROR(__xludf.DUMMYFUNCTION("IFERROR(VLOOKUP(A2605, IMPORTRANGE(""https://docs.google.com/spreadsheets/d/1-3Vjw2Cyy-mry5gbC8ypIR3YVGFfEpyFESummAta6sg/edit"", ""Sheet1!B:D""), 2, FALSE), ""Not Found"")"),"kɛri")</f>
        <v>kɛri</v>
      </c>
      <c r="E2605" s="2" t="str">
        <f>IFERROR(__xludf.DUMMYFUNCTION("IFERROR(VLOOKUP(A2605, IMPORTRANGE(""https://docs.google.com/spreadsheets/d/1-3Vjw2Cyy-mry5gbC8ypIR3YVGFfEpyFESummAta6sg/edit"", ""Sheet1!B:D""), 3, FALSE), ""Not Found"")"),"k ɛ r i ")</f>
        <v>k ɛ r i </v>
      </c>
    </row>
    <row r="2606">
      <c r="A2606" s="1" t="s">
        <v>2609</v>
      </c>
      <c r="B2606" s="1" t="s">
        <v>5</v>
      </c>
      <c r="C2606" s="2">
        <f>IFERROR(__xludf.DUMMYFUNCTION("IFERROR(VLOOKUP(A2606, IMPORTRANGE(""https://docs.google.com/spreadsheets/d/1AVX9GT0dgogEBStecCXMMQ29tWz3gBrtNB8yIromXbY/edit?gid=741673867"", ""out1g!A:B""), 2, FALSE), 0)"),815.0)</f>
        <v>815</v>
      </c>
      <c r="D2606" s="2" t="str">
        <f>IFERROR(__xludf.DUMMYFUNCTION("IFERROR(VLOOKUP(A2606, IMPORTRANGE(""https://docs.google.com/spreadsheets/d/1-3Vjw2Cyy-mry5gbC8ypIR3YVGFfEpyFESummAta6sg/edit"", ""Sheet1!B:D""), 2, FALSE), ""Not Found"")"),"lɑkər")</f>
        <v>lɑkər</v>
      </c>
      <c r="E2606" s="2" t="str">
        <f>IFERROR(__xludf.DUMMYFUNCTION("IFERROR(VLOOKUP(A2606, IMPORTRANGE(""https://docs.google.com/spreadsheets/d/1-3Vjw2Cyy-mry5gbC8ypIR3YVGFfEpyFESummAta6sg/edit"", ""Sheet1!B:D""), 3, FALSE), ""Not Found"")"),"l ɑ k ə r ")</f>
        <v>l ɑ k ə r </v>
      </c>
    </row>
    <row r="2607">
      <c r="A2607" s="1" t="s">
        <v>2610</v>
      </c>
      <c r="B2607" s="1" t="s">
        <v>5</v>
      </c>
      <c r="C2607" s="2">
        <f>IFERROR(__xludf.DUMMYFUNCTION("IFERROR(VLOOKUP(A2607, IMPORTRANGE(""https://docs.google.com/spreadsheets/d/1AVX9GT0dgogEBStecCXMMQ29tWz3gBrtNB8yIromXbY/edit?gid=741673867"", ""out1g!A:B""), 2, FALSE), 0)"),854.0)</f>
        <v>854</v>
      </c>
      <c r="D2607" s="2" t="str">
        <f>IFERROR(__xludf.DUMMYFUNCTION("IFERROR(VLOOKUP(A2607, IMPORTRANGE(""https://docs.google.com/spreadsheets/d/1-3Vjw2Cyy-mry5gbC8ypIR3YVGFfEpyFESummAta6sg/edit"", ""Sheet1!B:D""), 2, FALSE), ""Not Found"")"),"kɛn")</f>
        <v>kɛn</v>
      </c>
      <c r="E2607" s="2" t="str">
        <f>IFERROR(__xludf.DUMMYFUNCTION("IFERROR(VLOOKUP(A2607, IMPORTRANGE(""https://docs.google.com/spreadsheets/d/1-3Vjw2Cyy-mry5gbC8ypIR3YVGFfEpyFESummAta6sg/edit"", ""Sheet1!B:D""), 3, FALSE), ""Not Found"")"),"k ɛ n ")</f>
        <v>k ɛ n </v>
      </c>
    </row>
    <row r="2608">
      <c r="A2608" s="1" t="s">
        <v>2611</v>
      </c>
      <c r="B2608" s="1" t="s">
        <v>5</v>
      </c>
      <c r="C2608" s="2">
        <f>IFERROR(__xludf.DUMMYFUNCTION("IFERROR(VLOOKUP(A2608, IMPORTRANGE(""https://docs.google.com/spreadsheets/d/1AVX9GT0dgogEBStecCXMMQ29tWz3gBrtNB8yIromXbY/edit?gid=741673867"", ""out1g!A:B""), 2, FALSE), 0)"),119.0)</f>
        <v>119</v>
      </c>
      <c r="D2608" s="2" t="str">
        <f>IFERROR(__xludf.DUMMYFUNCTION("IFERROR(VLOOKUP(A2608, IMPORTRANGE(""https://docs.google.com/spreadsheets/d/1-3Vjw2Cyy-mry5gbC8ypIR3YVGFfEpyFESummAta6sg/edit"", ""Sheet1!B:D""), 2, FALSE), ""Not Found"")"),"ʃik")</f>
        <v>ʃik</v>
      </c>
      <c r="E2608" s="2" t="str">
        <f>IFERROR(__xludf.DUMMYFUNCTION("IFERROR(VLOOKUP(A2608, IMPORTRANGE(""https://docs.google.com/spreadsheets/d/1-3Vjw2Cyy-mry5gbC8ypIR3YVGFfEpyFESummAta6sg/edit"", ""Sheet1!B:D""), 3, FALSE), ""Not Found"")"),"ʃ i k ")</f>
        <v>ʃ i k </v>
      </c>
    </row>
    <row r="2609">
      <c r="A2609" s="1" t="s">
        <v>2612</v>
      </c>
      <c r="B2609" s="1" t="s">
        <v>5</v>
      </c>
      <c r="C2609" s="2">
        <f>IFERROR(__xludf.DUMMYFUNCTION("IFERROR(VLOOKUP(A2609, IMPORTRANGE(""https://docs.google.com/spreadsheets/d/1AVX9GT0dgogEBStecCXMMQ29tWz3gBrtNB8yIromXbY/edit?gid=741673867"", ""out1g!A:B""), 2, FALSE), 0)"),61.0)</f>
        <v>61</v>
      </c>
      <c r="D2609" s="2" t="str">
        <f>IFERROR(__xludf.DUMMYFUNCTION("IFERROR(VLOOKUP(A2609, IMPORTRANGE(""https://docs.google.com/spreadsheets/d/1-3Vjw2Cyy-mry5gbC8ypIR3YVGFfEpyFESummAta6sg/edit"", ""Sheet1!B:D""), 2, FALSE), ""Not Found"")"),"ɪki")</f>
        <v>ɪki</v>
      </c>
      <c r="E2609" s="2" t="str">
        <f>IFERROR(__xludf.DUMMYFUNCTION("IFERROR(VLOOKUP(A2609, IMPORTRANGE(""https://docs.google.com/spreadsheets/d/1-3Vjw2Cyy-mry5gbC8ypIR3YVGFfEpyFESummAta6sg/edit"", ""Sheet1!B:D""), 3, FALSE), ""Not Found"")"),"ɪ k i ")</f>
        <v>ɪ k i </v>
      </c>
    </row>
    <row r="2610">
      <c r="A2610" s="1" t="s">
        <v>2613</v>
      </c>
      <c r="B2610" s="1" t="s">
        <v>5</v>
      </c>
      <c r="C2610" s="2">
        <f>IFERROR(__xludf.DUMMYFUNCTION("IFERROR(VLOOKUP(A2610, IMPORTRANGE(""https://docs.google.com/spreadsheets/d/1AVX9GT0dgogEBStecCXMMQ29tWz3gBrtNB8yIromXbY/edit?gid=741673867"", ""out1g!A:B""), 2, FALSE), 0)"),122.0)</f>
        <v>122</v>
      </c>
      <c r="D2610" s="2" t="str">
        <f>IFERROR(__xludf.DUMMYFUNCTION("IFERROR(VLOOKUP(A2610, IMPORTRANGE(""https://docs.google.com/spreadsheets/d/1-3Vjw2Cyy-mry5gbC8ypIR3YVGFfEpyFESummAta6sg/edit"", ""Sheet1!B:D""), 2, FALSE), ""Not Found"")"),"fəri")</f>
        <v>fəri</v>
      </c>
      <c r="E2610" s="2" t="str">
        <f>IFERROR(__xludf.DUMMYFUNCTION("IFERROR(VLOOKUP(A2610, IMPORTRANGE(""https://docs.google.com/spreadsheets/d/1-3Vjw2Cyy-mry5gbC8ypIR3YVGFfEpyFESummAta6sg/edit"", ""Sheet1!B:D""), 3, FALSE), ""Not Found"")"),"f ə r i ")</f>
        <v>f ə r i </v>
      </c>
    </row>
    <row r="2611">
      <c r="A2611" s="1" t="s">
        <v>2614</v>
      </c>
      <c r="B2611" s="1" t="s">
        <v>5</v>
      </c>
      <c r="C2611" s="2">
        <f>IFERROR(__xludf.DUMMYFUNCTION("IFERROR(VLOOKUP(A2611, IMPORTRANGE(""https://docs.google.com/spreadsheets/d/1AVX9GT0dgogEBStecCXMMQ29tWz3gBrtNB8yIromXbY/edit?gid=741673867"", ""out1g!A:B""), 2, FALSE), 0)"),54.0)</f>
        <v>54</v>
      </c>
      <c r="D2611" s="2" t="str">
        <f>IFERROR(__xludf.DUMMYFUNCTION("IFERROR(VLOOKUP(A2611, IMPORTRANGE(""https://docs.google.com/spreadsheets/d/1-3Vjw2Cyy-mry5gbC8ypIR3YVGFfEpyFESummAta6sg/edit"", ""Sheet1!B:D""), 2, FALSE), ""Not Found"")"),"goʊti")</f>
        <v>goʊti</v>
      </c>
      <c r="E2611" s="2" t="str">
        <f>IFERROR(__xludf.DUMMYFUNCTION("IFERROR(VLOOKUP(A2611, IMPORTRANGE(""https://docs.google.com/spreadsheets/d/1-3Vjw2Cyy-mry5gbC8ypIR3YVGFfEpyFESummAta6sg/edit"", ""Sheet1!B:D""), 3, FALSE), ""Not Found"")"),"g o ʊ t i ")</f>
        <v>g o ʊ t i </v>
      </c>
    </row>
    <row r="2612">
      <c r="A2612" s="1" t="s">
        <v>2615</v>
      </c>
      <c r="B2612" s="1" t="s">
        <v>5</v>
      </c>
      <c r="C2612" s="2">
        <f>IFERROR(__xludf.DUMMYFUNCTION("IFERROR(VLOOKUP(A2612, IMPORTRANGE(""https://docs.google.com/spreadsheets/d/1AVX9GT0dgogEBStecCXMMQ29tWz3gBrtNB8yIromXbY/edit?gid=741673867"", ""out1g!A:B""), 2, FALSE), 0)"),60.0)</f>
        <v>60</v>
      </c>
      <c r="D2612" s="2" t="str">
        <f>IFERROR(__xludf.DUMMYFUNCTION("IFERROR(VLOOKUP(A2612, IMPORTRANGE(""https://docs.google.com/spreadsheets/d/1-3Vjw2Cyy-mry5gbC8ypIR3YVGFfEpyFESummAta6sg/edit"", ""Sheet1!B:D""), 2, FALSE), ""Not Found"")"),"minər")</f>
        <v>minər</v>
      </c>
      <c r="E2612" s="2" t="str">
        <f>IFERROR(__xludf.DUMMYFUNCTION("IFERROR(VLOOKUP(A2612, IMPORTRANGE(""https://docs.google.com/spreadsheets/d/1-3Vjw2Cyy-mry5gbC8ypIR3YVGFfEpyFESummAta6sg/edit"", ""Sheet1!B:D""), 3, FALSE), ""Not Found"")"),"m i n ə r ")</f>
        <v>m i n ə r </v>
      </c>
    </row>
    <row r="2613">
      <c r="A2613" s="1" t="s">
        <v>2616</v>
      </c>
      <c r="B2613" s="1" t="s">
        <v>5</v>
      </c>
      <c r="C2613" s="2">
        <f>IFERROR(__xludf.DUMMYFUNCTION("IFERROR(VLOOKUP(A2613, IMPORTRANGE(""https://docs.google.com/spreadsheets/d/1AVX9GT0dgogEBStecCXMMQ29tWz3gBrtNB8yIromXbY/edit?gid=741673867"", ""out1g!A:B""), 2, FALSE), 0)"),212.0)</f>
        <v>212</v>
      </c>
      <c r="D2613" s="2" t="str">
        <f>IFERROR(__xludf.DUMMYFUNCTION("IFERROR(VLOOKUP(A2613, IMPORTRANGE(""https://docs.google.com/spreadsheets/d/1-3Vjw2Cyy-mry5gbC8ypIR3YVGFfEpyFESummAta6sg/edit"", ""Sheet1!B:D""), 2, FALSE), ""Not Found"")"),"gruv")</f>
        <v>gruv</v>
      </c>
      <c r="E2613" s="2" t="str">
        <f>IFERROR(__xludf.DUMMYFUNCTION("IFERROR(VLOOKUP(A2613, IMPORTRANGE(""https://docs.google.com/spreadsheets/d/1-3Vjw2Cyy-mry5gbC8ypIR3YVGFfEpyFESummAta6sg/edit"", ""Sheet1!B:D""), 3, FALSE), ""Not Found"")"),"g r u v ")</f>
        <v>g r u v </v>
      </c>
    </row>
    <row r="2614">
      <c r="A2614" s="1" t="s">
        <v>2617</v>
      </c>
      <c r="B2614" s="1" t="s">
        <v>5</v>
      </c>
      <c r="C2614" s="2">
        <f>IFERROR(__xludf.DUMMYFUNCTION("IFERROR(VLOOKUP(A2614, IMPORTRANGE(""https://docs.google.com/spreadsheets/d/1AVX9GT0dgogEBStecCXMMQ29tWz3gBrtNB8yIromXbY/edit?gid=741673867"", ""out1g!A:B""), 2, FALSE), 0)"),280.0)</f>
        <v>280</v>
      </c>
      <c r="D2614" s="2" t="str">
        <f>IFERROR(__xludf.DUMMYFUNCTION("IFERROR(VLOOKUP(A2614, IMPORTRANGE(""https://docs.google.com/spreadsheets/d/1-3Vjw2Cyy-mry5gbC8ypIR3YVGFfEpyFESummAta6sg/edit"", ""Sheet1!B:D""), 2, FALSE), ""Not Found"")"),"slɑt")</f>
        <v>slɑt</v>
      </c>
      <c r="E2614" s="2" t="str">
        <f>IFERROR(__xludf.DUMMYFUNCTION("IFERROR(VLOOKUP(A2614, IMPORTRANGE(""https://docs.google.com/spreadsheets/d/1-3Vjw2Cyy-mry5gbC8ypIR3YVGFfEpyFESummAta6sg/edit"", ""Sheet1!B:D""), 3, FALSE), ""Not Found"")"),"s l ɑ t ")</f>
        <v>s l ɑ t </v>
      </c>
    </row>
    <row r="2615">
      <c r="A2615" s="1" t="s">
        <v>2618</v>
      </c>
      <c r="B2615" s="1" t="s">
        <v>5</v>
      </c>
      <c r="C2615" s="2">
        <f>IFERROR(__xludf.DUMMYFUNCTION("IFERROR(VLOOKUP(A2615, IMPORTRANGE(""https://docs.google.com/spreadsheets/d/1AVX9GT0dgogEBStecCXMMQ29tWz3gBrtNB8yIromXbY/edit?gid=741673867"", ""out1g!A:B""), 2, FALSE), 0)"),59.0)</f>
        <v>59</v>
      </c>
      <c r="D2615" s="2" t="str">
        <f>IFERROR(__xludf.DUMMYFUNCTION("IFERROR(VLOOKUP(A2615, IMPORTRANGE(""https://docs.google.com/spreadsheets/d/1-3Vjw2Cyy-mry5gbC8ypIR3YVGFfEpyFESummAta6sg/edit"", ""Sheet1!B:D""), 2, FALSE), ""Not Found"")"),"əpɔld")</f>
        <v>əpɔld</v>
      </c>
      <c r="E2615" s="2" t="str">
        <f>IFERROR(__xludf.DUMMYFUNCTION("IFERROR(VLOOKUP(A2615, IMPORTRANGE(""https://docs.google.com/spreadsheets/d/1-3Vjw2Cyy-mry5gbC8ypIR3YVGFfEpyFESummAta6sg/edit"", ""Sheet1!B:D""), 3, FALSE), ""Not Found"")"),"ə p ɔ l d ")</f>
        <v>ə p ɔ l d </v>
      </c>
    </row>
    <row r="2616">
      <c r="A2616" s="1" t="s">
        <v>2619</v>
      </c>
      <c r="B2616" s="1" t="s">
        <v>5</v>
      </c>
      <c r="C2616" s="2">
        <f>IFERROR(__xludf.DUMMYFUNCTION("IFERROR(VLOOKUP(A2616, IMPORTRANGE(""https://docs.google.com/spreadsheets/d/1AVX9GT0dgogEBStecCXMMQ29tWz3gBrtNB8yIromXbY/edit?gid=741673867"", ""out1g!A:B""), 2, FALSE), 0)"),167.0)</f>
        <v>167</v>
      </c>
      <c r="D2616" s="2" t="str">
        <f>IFERROR(__xludf.DUMMYFUNCTION("IFERROR(VLOOKUP(A2616, IMPORTRANGE(""https://docs.google.com/spreadsheets/d/1-3Vjw2Cyy-mry5gbC8ypIR3YVGFfEpyFESummAta6sg/edit"", ""Sheet1!B:D""), 2, FALSE), ""Not Found"")"),"vərʤ")</f>
        <v>vərʤ</v>
      </c>
      <c r="E2616" s="2" t="str">
        <f>IFERROR(__xludf.DUMMYFUNCTION("IFERROR(VLOOKUP(A2616, IMPORTRANGE(""https://docs.google.com/spreadsheets/d/1-3Vjw2Cyy-mry5gbC8ypIR3YVGFfEpyFESummAta6sg/edit"", ""Sheet1!B:D""), 3, FALSE), ""Not Found"")"),"v ə r ʤ ")</f>
        <v>v ə r ʤ </v>
      </c>
    </row>
    <row r="2617">
      <c r="A2617" s="1" t="s">
        <v>2620</v>
      </c>
      <c r="B2617" s="1" t="s">
        <v>5</v>
      </c>
      <c r="C2617" s="2">
        <f>IFERROR(__xludf.DUMMYFUNCTION("IFERROR(VLOOKUP(A2617, IMPORTRANGE(""https://docs.google.com/spreadsheets/d/1AVX9GT0dgogEBStecCXMMQ29tWz3gBrtNB8yIromXbY/edit?gid=741673867"", ""out1g!A:B""), 2, FALSE), 0)"),53.0)</f>
        <v>53</v>
      </c>
      <c r="D2617" s="2" t="str">
        <f>IFERROR(__xludf.DUMMYFUNCTION("IFERROR(VLOOKUP(A2617, IMPORTRANGE(""https://docs.google.com/spreadsheets/d/1-3Vjw2Cyy-mry5gbC8ypIR3YVGFfEpyFESummAta6sg/edit"", ""Sheet1!B:D""), 2, FALSE), ""Not Found"")"),"pænti")</f>
        <v>pænti</v>
      </c>
      <c r="E2617" s="2" t="str">
        <f>IFERROR(__xludf.DUMMYFUNCTION("IFERROR(VLOOKUP(A2617, IMPORTRANGE(""https://docs.google.com/spreadsheets/d/1-3Vjw2Cyy-mry5gbC8ypIR3YVGFfEpyFESummAta6sg/edit"", ""Sheet1!B:D""), 3, FALSE), ""Not Found"")"),"p æ n t i ")</f>
        <v>p æ n t i </v>
      </c>
    </row>
    <row r="2618">
      <c r="A2618" s="1" t="s">
        <v>2621</v>
      </c>
      <c r="B2618" s="1" t="s">
        <v>5</v>
      </c>
      <c r="C2618" s="2">
        <f>IFERROR(__xludf.DUMMYFUNCTION("IFERROR(VLOOKUP(A2618, IMPORTRANGE(""https://docs.google.com/spreadsheets/d/1AVX9GT0dgogEBStecCXMMQ29tWz3gBrtNB8yIromXbY/edit?gid=741673867"", ""out1g!A:B""), 2, FALSE), 0)"),170.0)</f>
        <v>170</v>
      </c>
      <c r="D2618" s="2" t="str">
        <f>IFERROR(__xludf.DUMMYFUNCTION("IFERROR(VLOOKUP(A2618, IMPORTRANGE(""https://docs.google.com/spreadsheets/d/1-3Vjw2Cyy-mry5gbC8ypIR3YVGFfEpyFESummAta6sg/edit"", ""Sheet1!B:D""), 2, FALSE), ""Not Found"")"),"nɑkaʊt")</f>
        <v>nɑkaʊt</v>
      </c>
      <c r="E2618" s="2" t="str">
        <f>IFERROR(__xludf.DUMMYFUNCTION("IFERROR(VLOOKUP(A2618, IMPORTRANGE(""https://docs.google.com/spreadsheets/d/1-3Vjw2Cyy-mry5gbC8ypIR3YVGFfEpyFESummAta6sg/edit"", ""Sheet1!B:D""), 3, FALSE), ""Not Found"")"),"n ɑ k a ʊ t ")</f>
        <v>n ɑ k a ʊ t </v>
      </c>
    </row>
    <row r="2619">
      <c r="A2619" s="1" t="s">
        <v>2622</v>
      </c>
      <c r="B2619" s="1" t="s">
        <v>5</v>
      </c>
      <c r="C2619" s="2">
        <f>IFERROR(__xludf.DUMMYFUNCTION("IFERROR(VLOOKUP(A2619, IMPORTRANGE(""https://docs.google.com/spreadsheets/d/1AVX9GT0dgogEBStecCXMMQ29tWz3gBrtNB8yIromXbY/edit?gid=741673867"", ""out1g!A:B""), 2, FALSE), 0)"),62.0)</f>
        <v>62</v>
      </c>
      <c r="D2619" s="2" t="str">
        <f>IFERROR(__xludf.DUMMYFUNCTION("IFERROR(VLOOKUP(A2619, IMPORTRANGE(""https://docs.google.com/spreadsheets/d/1-3Vjw2Cyy-mry5gbC8ypIR3YVGFfEpyFESummAta6sg/edit"", ""Sheet1!B:D""), 2, FALSE), ""Not Found"")"),"hərid")</f>
        <v>hərid</v>
      </c>
      <c r="E2619" s="2" t="str">
        <f>IFERROR(__xludf.DUMMYFUNCTION("IFERROR(VLOOKUP(A2619, IMPORTRANGE(""https://docs.google.com/spreadsheets/d/1-3Vjw2Cyy-mry5gbC8ypIR3YVGFfEpyFESummAta6sg/edit"", ""Sheet1!B:D""), 3, FALSE), ""Not Found"")"),"h ə r i d ")</f>
        <v>h ə r i d </v>
      </c>
    </row>
    <row r="2620">
      <c r="A2620" s="1" t="s">
        <v>2623</v>
      </c>
      <c r="B2620" s="1" t="s">
        <v>5</v>
      </c>
      <c r="C2620" s="2">
        <f>IFERROR(__xludf.DUMMYFUNCTION("IFERROR(VLOOKUP(A2620, IMPORTRANGE(""https://docs.google.com/spreadsheets/d/1AVX9GT0dgogEBStecCXMMQ29tWz3gBrtNB8yIromXbY/edit?gid=741673867"", ""out1g!A:B""), 2, FALSE), 0)"),59.0)</f>
        <v>59</v>
      </c>
      <c r="D2620" s="2" t="str">
        <f>IFERROR(__xludf.DUMMYFUNCTION("IFERROR(VLOOKUP(A2620, IMPORTRANGE(""https://docs.google.com/spreadsheets/d/1-3Vjw2Cyy-mry5gbC8ypIR3YVGFfEpyFESummAta6sg/edit"", ""Sheet1!B:D""), 2, FALSE), ""Not Found"")"),"fets")</f>
        <v>fets</v>
      </c>
      <c r="E2620" s="2" t="str">
        <f>IFERROR(__xludf.DUMMYFUNCTION("IFERROR(VLOOKUP(A2620, IMPORTRANGE(""https://docs.google.com/spreadsheets/d/1-3Vjw2Cyy-mry5gbC8ypIR3YVGFfEpyFESummAta6sg/edit"", ""Sheet1!B:D""), 3, FALSE), ""Not Found"")"),"f e t s ")</f>
        <v>f e t s </v>
      </c>
    </row>
    <row r="2621">
      <c r="A2621" s="1" t="s">
        <v>2624</v>
      </c>
      <c r="B2621" s="1" t="s">
        <v>5</v>
      </c>
      <c r="C2621" s="2">
        <f>IFERROR(__xludf.DUMMYFUNCTION("IFERROR(VLOOKUP(A2621, IMPORTRANGE(""https://docs.google.com/spreadsheets/d/1AVX9GT0dgogEBStecCXMMQ29tWz3gBrtNB8yIromXbY/edit?gid=741673867"", ""out1g!A:B""), 2, FALSE), 0)"),266.0)</f>
        <v>266</v>
      </c>
      <c r="D2621" s="2" t="str">
        <f>IFERROR(__xludf.DUMMYFUNCTION("IFERROR(VLOOKUP(A2621, IMPORTRANGE(""https://docs.google.com/spreadsheets/d/1-3Vjw2Cyy-mry5gbC8ypIR3YVGFfEpyFESummAta6sg/edit"", ""Sheet1!B:D""), 2, FALSE), ""Not Found"")"),"gloʊb")</f>
        <v>gloʊb</v>
      </c>
      <c r="E2621" s="2" t="str">
        <f>IFERROR(__xludf.DUMMYFUNCTION("IFERROR(VLOOKUP(A2621, IMPORTRANGE(""https://docs.google.com/spreadsheets/d/1-3Vjw2Cyy-mry5gbC8ypIR3YVGFfEpyFESummAta6sg/edit"", ""Sheet1!B:D""), 3, FALSE), ""Not Found"")"),"g l o ʊ b ")</f>
        <v>g l o ʊ b </v>
      </c>
    </row>
    <row r="2622">
      <c r="A2622" s="1" t="s">
        <v>2625</v>
      </c>
      <c r="B2622" s="1" t="s">
        <v>5</v>
      </c>
      <c r="C2622" s="2">
        <f>IFERROR(__xludf.DUMMYFUNCTION("IFERROR(VLOOKUP(A2622, IMPORTRANGE(""https://docs.google.com/spreadsheets/d/1AVX9GT0dgogEBStecCXMMQ29tWz3gBrtNB8yIromXbY/edit?gid=741673867"", ""out1g!A:B""), 2, FALSE), 0)"),35679.0)</f>
        <v>35679</v>
      </c>
      <c r="D2622" s="2" t="str">
        <f>IFERROR(__xludf.DUMMYFUNCTION("IFERROR(VLOOKUP(A2622, IMPORTRANGE(""https://docs.google.com/spreadsheets/d/1-3Vjw2Cyy-mry5gbC8ypIR3YVGFfEpyFESummAta6sg/edit"", ""Sheet1!B:D""), 2, FALSE), ""Not Found"")"),"toʊld")</f>
        <v>toʊld</v>
      </c>
      <c r="E2622" s="2" t="str">
        <f>IFERROR(__xludf.DUMMYFUNCTION("IFERROR(VLOOKUP(A2622, IMPORTRANGE(""https://docs.google.com/spreadsheets/d/1-3Vjw2Cyy-mry5gbC8ypIR3YVGFfEpyFESummAta6sg/edit"", ""Sheet1!B:D""), 3, FALSE), ""Not Found"")"),"t o ʊ l d ")</f>
        <v>t o ʊ l d </v>
      </c>
    </row>
    <row r="2623">
      <c r="A2623" s="1" t="s">
        <v>2626</v>
      </c>
      <c r="B2623" s="1" t="s">
        <v>5</v>
      </c>
      <c r="C2623" s="2">
        <f>IFERROR(__xludf.DUMMYFUNCTION("IFERROR(VLOOKUP(A2623, IMPORTRANGE(""https://docs.google.com/spreadsheets/d/1AVX9GT0dgogEBStecCXMMQ29tWz3gBrtNB8yIromXbY/edit?gid=741673867"", ""out1g!A:B""), 2, FALSE), 0)"),289.0)</f>
        <v>289</v>
      </c>
      <c r="D2623" s="2" t="str">
        <f>IFERROR(__xludf.DUMMYFUNCTION("IFERROR(VLOOKUP(A2623, IMPORTRANGE(""https://docs.google.com/spreadsheets/d/1-3Vjw2Cyy-mry5gbC8ypIR3YVGFfEpyFESummAta6sg/edit"", ""Sheet1!B:D""), 2, FALSE), ""Not Found"")"),"krʊk")</f>
        <v>krʊk</v>
      </c>
      <c r="E2623" s="2" t="str">
        <f>IFERROR(__xludf.DUMMYFUNCTION("IFERROR(VLOOKUP(A2623, IMPORTRANGE(""https://docs.google.com/spreadsheets/d/1-3Vjw2Cyy-mry5gbC8ypIR3YVGFfEpyFESummAta6sg/edit"", ""Sheet1!B:D""), 3, FALSE), ""Not Found"")"),"k r ʊ k ")</f>
        <v>k r ʊ k </v>
      </c>
    </row>
    <row r="2624">
      <c r="A2624" s="1" t="s">
        <v>2627</v>
      </c>
      <c r="B2624" s="1" t="s">
        <v>5</v>
      </c>
      <c r="C2624" s="2">
        <f>IFERROR(__xludf.DUMMYFUNCTION("IFERROR(VLOOKUP(A2624, IMPORTRANGE(""https://docs.google.com/spreadsheets/d/1AVX9GT0dgogEBStecCXMMQ29tWz3gBrtNB8yIromXbY/edit?gid=741673867"", ""out1g!A:B""), 2, FALSE), 0)"),168.0)</f>
        <v>168</v>
      </c>
      <c r="D2624" s="2" t="str">
        <f>IFERROR(__xludf.DUMMYFUNCTION("IFERROR(VLOOKUP(A2624, IMPORTRANGE(""https://docs.google.com/spreadsheets/d/1-3Vjw2Cyy-mry5gbC8ypIR3YVGFfEpyFESummAta6sg/edit"", ""Sheet1!B:D""), 2, FALSE), ""Not Found"")"),"jɪn")</f>
        <v>jɪn</v>
      </c>
      <c r="E2624" s="2" t="str">
        <f>IFERROR(__xludf.DUMMYFUNCTION("IFERROR(VLOOKUP(A2624, IMPORTRANGE(""https://docs.google.com/spreadsheets/d/1-3Vjw2Cyy-mry5gbC8ypIR3YVGFfEpyFESummAta6sg/edit"", ""Sheet1!B:D""), 3, FALSE), ""Not Found"")"),"j ɪ n ")</f>
        <v>j ɪ n </v>
      </c>
    </row>
    <row r="2625">
      <c r="A2625" s="1" t="s">
        <v>2628</v>
      </c>
      <c r="B2625" s="1" t="s">
        <v>5</v>
      </c>
      <c r="C2625" s="2">
        <f>IFERROR(__xludf.DUMMYFUNCTION("IFERROR(VLOOKUP(A2625, IMPORTRANGE(""https://docs.google.com/spreadsheets/d/1AVX9GT0dgogEBStecCXMMQ29tWz3gBrtNB8yIromXbY/edit?gid=741673867"", ""out1g!A:B""), 2, FALSE), 0)"),231.0)</f>
        <v>231</v>
      </c>
      <c r="D2625" s="2" t="str">
        <f>IFERROR(__xludf.DUMMYFUNCTION("IFERROR(VLOOKUP(A2625, IMPORTRANGE(""https://docs.google.com/spreadsheets/d/1-3Vjw2Cyy-mry5gbC8ypIR3YVGFfEpyFESummAta6sg/edit"", ""Sheet1!B:D""), 2, FALSE), ""Not Found"")"),"ræʧ")</f>
        <v>ræʧ</v>
      </c>
      <c r="E2625" s="2" t="str">
        <f>IFERROR(__xludf.DUMMYFUNCTION("IFERROR(VLOOKUP(A2625, IMPORTRANGE(""https://docs.google.com/spreadsheets/d/1-3Vjw2Cyy-mry5gbC8ypIR3YVGFfEpyFESummAta6sg/edit"", ""Sheet1!B:D""), 3, FALSE), ""Not Found"")"),"r æ ʧ ")</f>
        <v>r æ ʧ </v>
      </c>
    </row>
    <row r="2626">
      <c r="A2626" s="1" t="s">
        <v>2629</v>
      </c>
      <c r="B2626" s="1" t="s">
        <v>5</v>
      </c>
      <c r="C2626" s="2">
        <f>IFERROR(__xludf.DUMMYFUNCTION("IFERROR(VLOOKUP(A2626, IMPORTRANGE(""https://docs.google.com/spreadsheets/d/1AVX9GT0dgogEBStecCXMMQ29tWz3gBrtNB8yIromXbY/edit?gid=741673867"", ""out1g!A:B""), 2, FALSE), 0)"),127.0)</f>
        <v>127</v>
      </c>
      <c r="D2626" s="2" t="str">
        <f>IFERROR(__xludf.DUMMYFUNCTION("IFERROR(VLOOKUP(A2626, IMPORTRANGE(""https://docs.google.com/spreadsheets/d/1-3Vjw2Cyy-mry5gbC8ypIR3YVGFfEpyFESummAta6sg/edit"", ""Sheet1!B:D""), 2, FALSE), ""Not Found"")"),"tɑdi")</f>
        <v>tɑdi</v>
      </c>
      <c r="E2626" s="2" t="str">
        <f>IFERROR(__xludf.DUMMYFUNCTION("IFERROR(VLOOKUP(A2626, IMPORTRANGE(""https://docs.google.com/spreadsheets/d/1-3Vjw2Cyy-mry5gbC8ypIR3YVGFfEpyFESummAta6sg/edit"", ""Sheet1!B:D""), 3, FALSE), ""Not Found"")"),"t ɑ d i ")</f>
        <v>t ɑ d i </v>
      </c>
    </row>
    <row r="2627">
      <c r="A2627" s="1" t="s">
        <v>2630</v>
      </c>
      <c r="B2627" s="1" t="s">
        <v>5</v>
      </c>
      <c r="C2627" s="2">
        <f>IFERROR(__xludf.DUMMYFUNCTION("IFERROR(VLOOKUP(A2627, IMPORTRANGE(""https://docs.google.com/spreadsheets/d/1AVX9GT0dgogEBStecCXMMQ29tWz3gBrtNB8yIromXbY/edit?gid=741673867"", ""out1g!A:B""), 2, FALSE), 0)"),558.0)</f>
        <v>558</v>
      </c>
      <c r="D2627" s="2" t="str">
        <f>IFERROR(__xludf.DUMMYFUNCTION("IFERROR(VLOOKUP(A2627, IMPORTRANGE(""https://docs.google.com/spreadsheets/d/1-3Vjw2Cyy-mry5gbC8ypIR3YVGFfEpyFESummAta6sg/edit"", ""Sheet1!B:D""), 2, FALSE), ""Not Found"")"),"buz")</f>
        <v>buz</v>
      </c>
      <c r="E2627" s="2" t="str">
        <f>IFERROR(__xludf.DUMMYFUNCTION("IFERROR(VLOOKUP(A2627, IMPORTRANGE(""https://docs.google.com/spreadsheets/d/1-3Vjw2Cyy-mry5gbC8ypIR3YVGFfEpyFESummAta6sg/edit"", ""Sheet1!B:D""), 3, FALSE), ""Not Found"")"),"b u z ")</f>
        <v>b u z </v>
      </c>
    </row>
    <row r="2628">
      <c r="A2628" s="1" t="s">
        <v>2631</v>
      </c>
      <c r="B2628" s="1" t="s">
        <v>5</v>
      </c>
      <c r="C2628" s="2">
        <f>IFERROR(__xludf.DUMMYFUNCTION("IFERROR(VLOOKUP(A2628, IMPORTRANGE(""https://docs.google.com/spreadsheets/d/1AVX9GT0dgogEBStecCXMMQ29tWz3gBrtNB8yIromXbY/edit?gid=741673867"", ""out1g!A:B""), 2, FALSE), 0)"),205.0)</f>
        <v>205</v>
      </c>
      <c r="D2628" s="2" t="str">
        <f>IFERROR(__xludf.DUMMYFUNCTION("IFERROR(VLOOKUP(A2628, IMPORTRANGE(""https://docs.google.com/spreadsheets/d/1-3Vjw2Cyy-mry5gbC8ypIR3YVGFfEpyFESummAta6sg/edit"", ""Sheet1!B:D""), 2, FALSE), ""Not Found"")"),"nɑks")</f>
        <v>nɑks</v>
      </c>
      <c r="E2628" s="2" t="str">
        <f>IFERROR(__xludf.DUMMYFUNCTION("IFERROR(VLOOKUP(A2628, IMPORTRANGE(""https://docs.google.com/spreadsheets/d/1-3Vjw2Cyy-mry5gbC8ypIR3YVGFfEpyFESummAta6sg/edit"", ""Sheet1!B:D""), 3, FALSE), ""Not Found"")"),"n ɑ k s ")</f>
        <v>n ɑ k s </v>
      </c>
    </row>
    <row r="2629">
      <c r="A2629" s="1" t="s">
        <v>2632</v>
      </c>
      <c r="B2629" s="1" t="s">
        <v>5</v>
      </c>
      <c r="C2629" s="2">
        <f>IFERROR(__xludf.DUMMYFUNCTION("IFERROR(VLOOKUP(A2629, IMPORTRANGE(""https://docs.google.com/spreadsheets/d/1AVX9GT0dgogEBStecCXMMQ29tWz3gBrtNB8yIromXbY/edit?gid=741673867"", ""out1g!A:B""), 2, FALSE), 0)"),58.0)</f>
        <v>58</v>
      </c>
      <c r="D2629" s="2" t="str">
        <f>IFERROR(__xludf.DUMMYFUNCTION("IFERROR(VLOOKUP(A2629, IMPORTRANGE(""https://docs.google.com/spreadsheets/d/1-3Vjw2Cyy-mry5gbC8ypIR3YVGFfEpyFESummAta6sg/edit"", ""Sheet1!B:D""), 2, FALSE), ""Not Found"")"),"bəzɑr")</f>
        <v>bəzɑr</v>
      </c>
      <c r="E2629" s="2" t="str">
        <f>IFERROR(__xludf.DUMMYFUNCTION("IFERROR(VLOOKUP(A2629, IMPORTRANGE(""https://docs.google.com/spreadsheets/d/1-3Vjw2Cyy-mry5gbC8ypIR3YVGFfEpyFESummAta6sg/edit"", ""Sheet1!B:D""), 3, FALSE), ""Not Found"")"),"b ə z ɑ r ")</f>
        <v>b ə z ɑ r </v>
      </c>
    </row>
    <row r="2630">
      <c r="A2630" s="1" t="s">
        <v>2633</v>
      </c>
      <c r="B2630" s="1" t="s">
        <v>5</v>
      </c>
      <c r="C2630" s="2">
        <f>IFERROR(__xludf.DUMMYFUNCTION("IFERROR(VLOOKUP(A2630, IMPORTRANGE(""https://docs.google.com/spreadsheets/d/1AVX9GT0dgogEBStecCXMMQ29tWz3gBrtNB8yIromXbY/edit?gid=741673867"", ""out1g!A:B""), 2, FALSE), 0)"),320.0)</f>
        <v>320</v>
      </c>
      <c r="D2630" s="2" t="str">
        <f>IFERROR(__xludf.DUMMYFUNCTION("IFERROR(VLOOKUP(A2630, IMPORTRANGE(""https://docs.google.com/spreadsheets/d/1-3Vjw2Cyy-mry5gbC8ypIR3YVGFfEpyFESummAta6sg/edit"", ""Sheet1!B:D""), 2, FALSE), ""Not Found"")"),"laɪkɪŋ")</f>
        <v>laɪkɪŋ</v>
      </c>
      <c r="E2630" s="2" t="str">
        <f>IFERROR(__xludf.DUMMYFUNCTION("IFERROR(VLOOKUP(A2630, IMPORTRANGE(""https://docs.google.com/spreadsheets/d/1-3Vjw2Cyy-mry5gbC8ypIR3YVGFfEpyFESummAta6sg/edit"", ""Sheet1!B:D""), 3, FALSE), ""Not Found"")"),"l a ɪ k ɪ ŋ ")</f>
        <v>l a ɪ k ɪ ŋ </v>
      </c>
    </row>
    <row r="2631">
      <c r="A2631" s="1" t="s">
        <v>2634</v>
      </c>
      <c r="B2631" s="1" t="s">
        <v>5</v>
      </c>
      <c r="C2631" s="2">
        <f>IFERROR(__xludf.DUMMYFUNCTION("IFERROR(VLOOKUP(A2631, IMPORTRANGE(""https://docs.google.com/spreadsheets/d/1AVX9GT0dgogEBStecCXMMQ29tWz3gBrtNB8yIromXbY/edit?gid=741673867"", ""out1g!A:B""), 2, FALSE), 0)"),78.0)</f>
        <v>78</v>
      </c>
      <c r="D2631" s="2" t="str">
        <f>IFERROR(__xludf.DUMMYFUNCTION("IFERROR(VLOOKUP(A2631, IMPORTRANGE(""https://docs.google.com/spreadsheets/d/1-3Vjw2Cyy-mry5gbC8ypIR3YVGFfEpyFESummAta6sg/edit"", ""Sheet1!B:D""), 2, FALSE), ""Not Found"")"),"swup")</f>
        <v>swup</v>
      </c>
      <c r="E2631" s="2" t="str">
        <f>IFERROR(__xludf.DUMMYFUNCTION("IFERROR(VLOOKUP(A2631, IMPORTRANGE(""https://docs.google.com/spreadsheets/d/1-3Vjw2Cyy-mry5gbC8ypIR3YVGFfEpyFESummAta6sg/edit"", ""Sheet1!B:D""), 3, FALSE), ""Not Found"")"),"s w u p ")</f>
        <v>s w u p </v>
      </c>
    </row>
    <row r="2632">
      <c r="A2632" s="1" t="s">
        <v>2635</v>
      </c>
      <c r="B2632" s="1" t="s">
        <v>5</v>
      </c>
      <c r="C2632" s="2">
        <f>IFERROR(__xludf.DUMMYFUNCTION("IFERROR(VLOOKUP(A2632, IMPORTRANGE(""https://docs.google.com/spreadsheets/d/1AVX9GT0dgogEBStecCXMMQ29tWz3gBrtNB8yIromXbY/edit?gid=741673867"", ""out1g!A:B""), 2, FALSE), 0)"),217.0)</f>
        <v>217</v>
      </c>
      <c r="D2632" s="2" t="str">
        <f>IFERROR(__xludf.DUMMYFUNCTION("IFERROR(VLOOKUP(A2632, IMPORTRANGE(""https://docs.google.com/spreadsheets/d/1-3Vjw2Cyy-mry5gbC8ypIR3YVGFfEpyFESummAta6sg/edit"", ""Sheet1!B:D""), 2, FALSE), ""Not Found"")"),"gretli")</f>
        <v>gretli</v>
      </c>
      <c r="E2632" s="2" t="str">
        <f>IFERROR(__xludf.DUMMYFUNCTION("IFERROR(VLOOKUP(A2632, IMPORTRANGE(""https://docs.google.com/spreadsheets/d/1-3Vjw2Cyy-mry5gbC8ypIR3YVGFfEpyFESummAta6sg/edit"", ""Sheet1!B:D""), 3, FALSE), ""Not Found"")"),"g r e t l i ")</f>
        <v>g r e t l i </v>
      </c>
    </row>
    <row r="2633">
      <c r="A2633" s="1" t="s">
        <v>2636</v>
      </c>
      <c r="B2633" s="1" t="s">
        <v>5</v>
      </c>
      <c r="C2633" s="2">
        <f>IFERROR(__xludf.DUMMYFUNCTION("IFERROR(VLOOKUP(A2633, IMPORTRANGE(""https://docs.google.com/spreadsheets/d/1AVX9GT0dgogEBStecCXMMQ29tWz3gBrtNB8yIromXbY/edit?gid=741673867"", ""out1g!A:B""), 2, FALSE), 0)"),8565.0)</f>
        <v>8565</v>
      </c>
      <c r="D2633" s="2" t="str">
        <f>IFERROR(__xludf.DUMMYFUNCTION("IFERROR(VLOOKUP(A2633, IMPORTRANGE(""https://docs.google.com/spreadsheets/d/1-3Vjw2Cyy-mry5gbC8ypIR3YVGFfEpyFESummAta6sg/edit"", ""Sheet1!B:D""), 2, FALSE), ""Not Found"")"),"blæk")</f>
        <v>blæk</v>
      </c>
      <c r="E2633" s="2" t="str">
        <f>IFERROR(__xludf.DUMMYFUNCTION("IFERROR(VLOOKUP(A2633, IMPORTRANGE(""https://docs.google.com/spreadsheets/d/1-3Vjw2Cyy-mry5gbC8ypIR3YVGFfEpyFESummAta6sg/edit"", ""Sheet1!B:D""), 3, FALSE), ""Not Found"")"),"b l æ k ")</f>
        <v>b l æ k </v>
      </c>
    </row>
    <row r="2634">
      <c r="A2634" s="1" t="s">
        <v>2637</v>
      </c>
      <c r="B2634" s="1" t="s">
        <v>5</v>
      </c>
      <c r="C2634" s="2">
        <f>IFERROR(__xludf.DUMMYFUNCTION("IFERROR(VLOOKUP(A2634, IMPORTRANGE(""https://docs.google.com/spreadsheets/d/1AVX9GT0dgogEBStecCXMMQ29tWz3gBrtNB8yIromXbY/edit?gid=741673867"", ""out1g!A:B""), 2, FALSE), 0)"),1225.0)</f>
        <v>1225</v>
      </c>
      <c r="D2634" s="2" t="str">
        <f>IFERROR(__xludf.DUMMYFUNCTION("IFERROR(VLOOKUP(A2634, IMPORTRANGE(""https://docs.google.com/spreadsheets/d/1-3Vjw2Cyy-mry5gbC8ypIR3YVGFfEpyFESummAta6sg/edit"", ""Sheet1!B:D""), 2, FALSE), ""Not Found"")"),"mɑrʧ")</f>
        <v>mɑrʧ</v>
      </c>
      <c r="E2634" s="2" t="str">
        <f>IFERROR(__xludf.DUMMYFUNCTION("IFERROR(VLOOKUP(A2634, IMPORTRANGE(""https://docs.google.com/spreadsheets/d/1-3Vjw2Cyy-mry5gbC8ypIR3YVGFfEpyFESummAta6sg/edit"", ""Sheet1!B:D""), 3, FALSE), ""Not Found"")"),"m ɑ r ʧ ")</f>
        <v>m ɑ r ʧ </v>
      </c>
    </row>
    <row r="2635">
      <c r="A2635" s="1" t="s">
        <v>2638</v>
      </c>
      <c r="B2635" s="1" t="s">
        <v>5</v>
      </c>
      <c r="C2635" s="2">
        <f>IFERROR(__xludf.DUMMYFUNCTION("IFERROR(VLOOKUP(A2635, IMPORTRANGE(""https://docs.google.com/spreadsheets/d/1AVX9GT0dgogEBStecCXMMQ29tWz3gBrtNB8yIromXbY/edit?gid=741673867"", ""out1g!A:B""), 2, FALSE), 0)"),4492.0)</f>
        <v>4492</v>
      </c>
      <c r="D2635" s="2" t="str">
        <f>IFERROR(__xludf.DUMMYFUNCTION("IFERROR(VLOOKUP(A2635, IMPORTRANGE(""https://docs.google.com/spreadsheets/d/1-3Vjw2Cyy-mry5gbC8ypIR3YVGFfEpyFESummAta6sg/edit"", ""Sheet1!B:D""), 2, FALSE), ""Not Found"")"),"mɛri")</f>
        <v>mɛri</v>
      </c>
      <c r="E2635" s="2" t="str">
        <f>IFERROR(__xludf.DUMMYFUNCTION("IFERROR(VLOOKUP(A2635, IMPORTRANGE(""https://docs.google.com/spreadsheets/d/1-3Vjw2Cyy-mry5gbC8ypIR3YVGFfEpyFESummAta6sg/edit"", ""Sheet1!B:D""), 3, FALSE), ""Not Found"")"),"m ɛ r i ")</f>
        <v>m ɛ r i </v>
      </c>
    </row>
    <row r="2636">
      <c r="A2636" s="1" t="s">
        <v>2639</v>
      </c>
      <c r="B2636" s="1" t="s">
        <v>5</v>
      </c>
      <c r="C2636" s="2">
        <f>IFERROR(__xludf.DUMMYFUNCTION("IFERROR(VLOOKUP(A2636, IMPORTRANGE(""https://docs.google.com/spreadsheets/d/1AVX9GT0dgogEBStecCXMMQ29tWz3gBrtNB8yIromXbY/edit?gid=741673867"", ""out1g!A:B""), 2, FALSE), 0)"),71.0)</f>
        <v>71</v>
      </c>
      <c r="D2636" s="2" t="str">
        <f>IFERROR(__xludf.DUMMYFUNCTION("IFERROR(VLOOKUP(A2636, IMPORTRANGE(""https://docs.google.com/spreadsheets/d/1-3Vjw2Cyy-mry5gbC8ypIR3YVGFfEpyFESummAta6sg/edit"", ""Sheet1!B:D""), 2, FALSE), ""Not Found"")"),"aɪsɪŋ")</f>
        <v>aɪsɪŋ</v>
      </c>
      <c r="E2636" s="2" t="str">
        <f>IFERROR(__xludf.DUMMYFUNCTION("IFERROR(VLOOKUP(A2636, IMPORTRANGE(""https://docs.google.com/spreadsheets/d/1-3Vjw2Cyy-mry5gbC8ypIR3YVGFfEpyFESummAta6sg/edit"", ""Sheet1!B:D""), 3, FALSE), ""Not Found"")"),"a ɪ s ɪ ŋ ")</f>
        <v>a ɪ s ɪ ŋ </v>
      </c>
    </row>
    <row r="2637">
      <c r="A2637" s="1" t="s">
        <v>2640</v>
      </c>
      <c r="B2637" s="1" t="s">
        <v>5</v>
      </c>
      <c r="C2637" s="2">
        <f>IFERROR(__xludf.DUMMYFUNCTION("IFERROR(VLOOKUP(A2637, IMPORTRANGE(""https://docs.google.com/spreadsheets/d/1AVX9GT0dgogEBStecCXMMQ29tWz3gBrtNB8yIromXbY/edit?gid=741673867"", ""out1g!A:B""), 2, FALSE), 0)"),414.0)</f>
        <v>414</v>
      </c>
      <c r="D2637" s="2" t="str">
        <f>IFERROR(__xludf.DUMMYFUNCTION("IFERROR(VLOOKUP(A2637, IMPORTRANGE(""https://docs.google.com/spreadsheets/d/1-3Vjw2Cyy-mry5gbC8ypIR3YVGFfEpyFESummAta6sg/edit"", ""Sheet1!B:D""), 2, FALSE), ""Not Found"")"),"kɪks")</f>
        <v>kɪks</v>
      </c>
      <c r="E2637" s="2" t="str">
        <f>IFERROR(__xludf.DUMMYFUNCTION("IFERROR(VLOOKUP(A2637, IMPORTRANGE(""https://docs.google.com/spreadsheets/d/1-3Vjw2Cyy-mry5gbC8ypIR3YVGFfEpyFESummAta6sg/edit"", ""Sheet1!B:D""), 3, FALSE), ""Not Found"")"),"k ɪ k s ")</f>
        <v>k ɪ k s </v>
      </c>
    </row>
    <row r="2638">
      <c r="A2638" s="1" t="s">
        <v>2641</v>
      </c>
      <c r="B2638" s="1" t="s">
        <v>5</v>
      </c>
      <c r="C2638" s="2">
        <f>IFERROR(__xludf.DUMMYFUNCTION("IFERROR(VLOOKUP(A2638, IMPORTRANGE(""https://docs.google.com/spreadsheets/d/1AVX9GT0dgogEBStecCXMMQ29tWz3gBrtNB8yIromXbY/edit?gid=741673867"", ""out1g!A:B""), 2, FALSE), 0)"),65.0)</f>
        <v>65</v>
      </c>
      <c r="D2638" s="2" t="str">
        <f>IFERROR(__xludf.DUMMYFUNCTION("IFERROR(VLOOKUP(A2638, IMPORTRANGE(""https://docs.google.com/spreadsheets/d/1-3Vjw2Cyy-mry5gbC8ypIR3YVGFfEpyFESummAta6sg/edit"", ""Sheet1!B:D""), 2, FALSE), ""Not Found"")"),"sləm")</f>
        <v>sləm</v>
      </c>
      <c r="E2638" s="2" t="str">
        <f>IFERROR(__xludf.DUMMYFUNCTION("IFERROR(VLOOKUP(A2638, IMPORTRANGE(""https://docs.google.com/spreadsheets/d/1-3Vjw2Cyy-mry5gbC8ypIR3YVGFfEpyFESummAta6sg/edit"", ""Sheet1!B:D""), 3, FALSE), ""Not Found"")"),"s l ə m ")</f>
        <v>s l ə m </v>
      </c>
    </row>
    <row r="2639">
      <c r="A2639" s="1" t="s">
        <v>2642</v>
      </c>
      <c r="B2639" s="1" t="s">
        <v>5</v>
      </c>
      <c r="C2639" s="2">
        <f>IFERROR(__xludf.DUMMYFUNCTION("IFERROR(VLOOKUP(A2639, IMPORTRANGE(""https://docs.google.com/spreadsheets/d/1AVX9GT0dgogEBStecCXMMQ29tWz3gBrtNB8yIromXbY/edit?gid=741673867"", ""out1g!A:B""), 2, FALSE), 0)"),1565.0)</f>
        <v>1565</v>
      </c>
      <c r="D2639" s="2" t="str">
        <f>IFERROR(__xludf.DUMMYFUNCTION("IFERROR(VLOOKUP(A2639, IMPORTRANGE(""https://docs.google.com/spreadsheets/d/1-3Vjw2Cyy-mry5gbC8ypIR3YVGFfEpyFESummAta6sg/edit"", ""Sheet1!B:D""), 2, FALSE), ""Not Found"")"),"triz")</f>
        <v>triz</v>
      </c>
      <c r="E2639" s="2" t="str">
        <f>IFERROR(__xludf.DUMMYFUNCTION("IFERROR(VLOOKUP(A2639, IMPORTRANGE(""https://docs.google.com/spreadsheets/d/1-3Vjw2Cyy-mry5gbC8ypIR3YVGFfEpyFESummAta6sg/edit"", ""Sheet1!B:D""), 3, FALSE), ""Not Found"")"),"t r i z ")</f>
        <v>t r i z </v>
      </c>
    </row>
    <row r="2640">
      <c r="A2640" s="1" t="s">
        <v>2643</v>
      </c>
      <c r="B2640" s="1" t="s">
        <v>5</v>
      </c>
      <c r="C2640" s="2">
        <f>IFERROR(__xludf.DUMMYFUNCTION("IFERROR(VLOOKUP(A2640, IMPORTRANGE(""https://docs.google.com/spreadsheets/d/1AVX9GT0dgogEBStecCXMMQ29tWz3gBrtNB8yIromXbY/edit?gid=741673867"", ""out1g!A:B""), 2, FALSE), 0)"),208.0)</f>
        <v>208</v>
      </c>
      <c r="D2640" s="2" t="str">
        <f>IFERROR(__xludf.DUMMYFUNCTION("IFERROR(VLOOKUP(A2640, IMPORTRANGE(""https://docs.google.com/spreadsheets/d/1-3Vjw2Cyy-mry5gbC8ypIR3YVGFfEpyFESummAta6sg/edit"", ""Sheet1!B:D""), 2, FALSE), ""Not Found"")"),"həlk")</f>
        <v>həlk</v>
      </c>
      <c r="E2640" s="2" t="str">
        <f>IFERROR(__xludf.DUMMYFUNCTION("IFERROR(VLOOKUP(A2640, IMPORTRANGE(""https://docs.google.com/spreadsheets/d/1-3Vjw2Cyy-mry5gbC8ypIR3YVGFfEpyFESummAta6sg/edit"", ""Sheet1!B:D""), 3, FALSE), ""Not Found"")"),"h ə l k ")</f>
        <v>h ə l k </v>
      </c>
    </row>
    <row r="2641">
      <c r="A2641" s="1" t="s">
        <v>2644</v>
      </c>
      <c r="B2641" s="1" t="s">
        <v>5</v>
      </c>
      <c r="C2641" s="2">
        <f>IFERROR(__xludf.DUMMYFUNCTION("IFERROR(VLOOKUP(A2641, IMPORTRANGE(""https://docs.google.com/spreadsheets/d/1AVX9GT0dgogEBStecCXMMQ29tWz3gBrtNB8yIromXbY/edit?gid=741673867"", ""out1g!A:B""), 2, FALSE), 0)"),367.0)</f>
        <v>367</v>
      </c>
      <c r="D2641" s="2" t="str">
        <f>IFERROR(__xludf.DUMMYFUNCTION("IFERROR(VLOOKUP(A2641, IMPORTRANGE(""https://docs.google.com/spreadsheets/d/1-3Vjw2Cyy-mry5gbC8ypIR3YVGFfEpyFESummAta6sg/edit"", ""Sheet1!B:D""), 2, FALSE), ""Not Found"")"),"drəmz")</f>
        <v>drəmz</v>
      </c>
      <c r="E2641" s="2" t="str">
        <f>IFERROR(__xludf.DUMMYFUNCTION("IFERROR(VLOOKUP(A2641, IMPORTRANGE(""https://docs.google.com/spreadsheets/d/1-3Vjw2Cyy-mry5gbC8ypIR3YVGFfEpyFESummAta6sg/edit"", ""Sheet1!B:D""), 3, FALSE), ""Not Found"")"),"d r ə m z ")</f>
        <v>d r ə m z </v>
      </c>
    </row>
    <row r="2642">
      <c r="A2642" s="1" t="s">
        <v>2645</v>
      </c>
      <c r="B2642" s="1" t="s">
        <v>5</v>
      </c>
      <c r="C2642" s="2">
        <f>IFERROR(__xludf.DUMMYFUNCTION("IFERROR(VLOOKUP(A2642, IMPORTRANGE(""https://docs.google.com/spreadsheets/d/1AVX9GT0dgogEBStecCXMMQ29tWz3gBrtNB8yIromXbY/edit?gid=741673867"", ""out1g!A:B""), 2, FALSE), 0)"),46.0)</f>
        <v>46</v>
      </c>
      <c r="D2642" s="2" t="str">
        <f>IFERROR(__xludf.DUMMYFUNCTION("IFERROR(VLOOKUP(A2642, IMPORTRANGE(""https://docs.google.com/spreadsheets/d/1-3Vjw2Cyy-mry5gbC8ypIR3YVGFfEpyFESummAta6sg/edit"", ""Sheet1!B:D""), 2, FALSE), ""Not Found"")"),"slevərz")</f>
        <v>slevərz</v>
      </c>
      <c r="E2642" s="2" t="str">
        <f>IFERROR(__xludf.DUMMYFUNCTION("IFERROR(VLOOKUP(A2642, IMPORTRANGE(""https://docs.google.com/spreadsheets/d/1-3Vjw2Cyy-mry5gbC8ypIR3YVGFfEpyFESummAta6sg/edit"", ""Sheet1!B:D""), 3, FALSE), ""Not Found"")"),"s l e v ə r z ")</f>
        <v>s l e v ə r z </v>
      </c>
    </row>
    <row r="2643">
      <c r="A2643" s="1" t="s">
        <v>2646</v>
      </c>
      <c r="B2643" s="1" t="s">
        <v>5</v>
      </c>
      <c r="C2643" s="2">
        <f>IFERROR(__xludf.DUMMYFUNCTION("IFERROR(VLOOKUP(A2643, IMPORTRANGE(""https://docs.google.com/spreadsheets/d/1AVX9GT0dgogEBStecCXMMQ29tWz3gBrtNB8yIromXbY/edit?gid=741673867"", ""out1g!A:B""), 2, FALSE), 0)"),6111.0)</f>
        <v>6111</v>
      </c>
      <c r="D2643" s="2" t="str">
        <f>IFERROR(__xludf.DUMMYFUNCTION("IFERROR(VLOOKUP(A2643, IMPORTRANGE(""https://docs.google.com/spreadsheets/d/1-3Vjw2Cyy-mry5gbC8ypIR3YVGFfEpyFESummAta6sg/edit"", ""Sheet1!B:D""), 2, FALSE), ""Not Found"")"),"fɛlt")</f>
        <v>fɛlt</v>
      </c>
      <c r="E2643" s="2" t="str">
        <f>IFERROR(__xludf.DUMMYFUNCTION("IFERROR(VLOOKUP(A2643, IMPORTRANGE(""https://docs.google.com/spreadsheets/d/1-3Vjw2Cyy-mry5gbC8ypIR3YVGFfEpyFESummAta6sg/edit"", ""Sheet1!B:D""), 3, FALSE), ""Not Found"")"),"f ɛ l t ")</f>
        <v>f ɛ l t </v>
      </c>
    </row>
    <row r="2644">
      <c r="A2644" s="1" t="s">
        <v>2647</v>
      </c>
      <c r="B2644" s="1" t="s">
        <v>5</v>
      </c>
      <c r="C2644" s="2">
        <f>IFERROR(__xludf.DUMMYFUNCTION("IFERROR(VLOOKUP(A2644, IMPORTRANGE(""https://docs.google.com/spreadsheets/d/1AVX9GT0dgogEBStecCXMMQ29tWz3gBrtNB8yIromXbY/edit?gid=741673867"", ""out1g!A:B""), 2, FALSE), 0)"),7405.0)</f>
        <v>7405</v>
      </c>
      <c r="D2644" s="2" t="str">
        <f>IFERROR(__xludf.DUMMYFUNCTION("IFERROR(VLOOKUP(A2644, IMPORTRANGE(""https://docs.google.com/spreadsheets/d/1-3Vjw2Cyy-mry5gbC8ypIR3YVGFfEpyFESummAta6sg/edit"", ""Sheet1!B:D""), 2, FALSE), ""Not Found"")"),"swit")</f>
        <v>swit</v>
      </c>
      <c r="E2644" s="2" t="str">
        <f>IFERROR(__xludf.DUMMYFUNCTION("IFERROR(VLOOKUP(A2644, IMPORTRANGE(""https://docs.google.com/spreadsheets/d/1-3Vjw2Cyy-mry5gbC8ypIR3YVGFfEpyFESummAta6sg/edit"", ""Sheet1!B:D""), 3, FALSE), ""Not Found"")"),"s w i t ")</f>
        <v>s w i t </v>
      </c>
    </row>
    <row r="2645">
      <c r="A2645" s="1" t="s">
        <v>2648</v>
      </c>
      <c r="B2645" s="1" t="s">
        <v>5</v>
      </c>
      <c r="C2645" s="2">
        <f>IFERROR(__xludf.DUMMYFUNCTION("IFERROR(VLOOKUP(A2645, IMPORTRANGE(""https://docs.google.com/spreadsheets/d/1AVX9GT0dgogEBStecCXMMQ29tWz3gBrtNB8yIromXbY/edit?gid=741673867"", ""out1g!A:B""), 2, FALSE), 0)"),1216.0)</f>
        <v>1216</v>
      </c>
      <c r="D2645" s="2" t="str">
        <f>IFERROR(__xludf.DUMMYFUNCTION("IFERROR(VLOOKUP(A2645, IMPORTRANGE(""https://docs.google.com/spreadsheets/d/1-3Vjw2Cyy-mry5gbC8ypIR3YVGFfEpyFESummAta6sg/edit"", ""Sheet1!B:D""), 2, FALSE), ""Not Found"")"),"træp")</f>
        <v>træp</v>
      </c>
      <c r="E2645" s="2" t="str">
        <f>IFERROR(__xludf.DUMMYFUNCTION("IFERROR(VLOOKUP(A2645, IMPORTRANGE(""https://docs.google.com/spreadsheets/d/1-3Vjw2Cyy-mry5gbC8ypIR3YVGFfEpyFESummAta6sg/edit"", ""Sheet1!B:D""), 3, FALSE), ""Not Found"")"),"t r æ p ")</f>
        <v>t r æ p </v>
      </c>
    </row>
    <row r="2646">
      <c r="A2646" s="1" t="s">
        <v>2649</v>
      </c>
      <c r="B2646" s="1" t="s">
        <v>5</v>
      </c>
      <c r="C2646" s="2">
        <f>IFERROR(__xludf.DUMMYFUNCTION("IFERROR(VLOOKUP(A2646, IMPORTRANGE(""https://docs.google.com/spreadsheets/d/1AVX9GT0dgogEBStecCXMMQ29tWz3gBrtNB8yIromXbY/edit?gid=741673867"", ""out1g!A:B""), 2, FALSE), 0)"),527.0)</f>
        <v>527</v>
      </c>
      <c r="D2646" s="2" t="str">
        <f>IFERROR(__xludf.DUMMYFUNCTION("IFERROR(VLOOKUP(A2646, IMPORTRANGE(""https://docs.google.com/spreadsheets/d/1-3Vjw2Cyy-mry5gbC8ypIR3YVGFfEpyFESummAta6sg/edit"", ""Sheet1!B:D""), 2, FALSE), ""Not Found"")"),"rɪst")</f>
        <v>rɪst</v>
      </c>
      <c r="E2646" s="2" t="str">
        <f>IFERROR(__xludf.DUMMYFUNCTION("IFERROR(VLOOKUP(A2646, IMPORTRANGE(""https://docs.google.com/spreadsheets/d/1-3Vjw2Cyy-mry5gbC8ypIR3YVGFfEpyFESummAta6sg/edit"", ""Sheet1!B:D""), 3, FALSE), ""Not Found"")"),"r ɪ s t ")</f>
        <v>r ɪ s t </v>
      </c>
    </row>
    <row r="2647">
      <c r="A2647" s="1" t="s">
        <v>2650</v>
      </c>
      <c r="B2647" s="1" t="s">
        <v>5</v>
      </c>
      <c r="C2647" s="2">
        <f>IFERROR(__xludf.DUMMYFUNCTION("IFERROR(VLOOKUP(A2647, IMPORTRANGE(""https://docs.google.com/spreadsheets/d/1AVX9GT0dgogEBStecCXMMQ29tWz3gBrtNB8yIromXbY/edit?gid=741673867"", ""out1g!A:B""), 2, FALSE), 0)"),115.0)</f>
        <v>115</v>
      </c>
      <c r="D2647" s="2" t="str">
        <f>IFERROR(__xludf.DUMMYFUNCTION("IFERROR(VLOOKUP(A2647, IMPORTRANGE(""https://docs.google.com/spreadsheets/d/1-3Vjw2Cyy-mry5gbC8ypIR3YVGFfEpyFESummAta6sg/edit"", ""Sheet1!B:D""), 2, FALSE), ""Not Found"")"),"steʤd")</f>
        <v>steʤd</v>
      </c>
      <c r="E2647" s="2" t="str">
        <f>IFERROR(__xludf.DUMMYFUNCTION("IFERROR(VLOOKUP(A2647, IMPORTRANGE(""https://docs.google.com/spreadsheets/d/1-3Vjw2Cyy-mry5gbC8ypIR3YVGFfEpyFESummAta6sg/edit"", ""Sheet1!B:D""), 3, FALSE), ""Not Found"")"),"s t e ʤ d ")</f>
        <v>s t e ʤ d </v>
      </c>
    </row>
    <row r="2648">
      <c r="A2648" s="1" t="s">
        <v>2651</v>
      </c>
      <c r="B2648" s="1" t="s">
        <v>5</v>
      </c>
      <c r="C2648" s="2">
        <f>IFERROR(__xludf.DUMMYFUNCTION("IFERROR(VLOOKUP(A2648, IMPORTRANGE(""https://docs.google.com/spreadsheets/d/1AVX9GT0dgogEBStecCXMMQ29tWz3gBrtNB8yIromXbY/edit?gid=741673867"", ""out1g!A:B""), 2, FALSE), 0)"),151.0)</f>
        <v>151</v>
      </c>
      <c r="D2648" s="2" t="str">
        <f>IFERROR(__xludf.DUMMYFUNCTION("IFERROR(VLOOKUP(A2648, IMPORTRANGE(""https://docs.google.com/spreadsheets/d/1-3Vjw2Cyy-mry5gbC8ypIR3YVGFfEpyFESummAta6sg/edit"", ""Sheet1!B:D""), 2, FALSE), ""Not Found"")"),"əraɪz")</f>
        <v>əraɪz</v>
      </c>
      <c r="E2648" s="2" t="str">
        <f>IFERROR(__xludf.DUMMYFUNCTION("IFERROR(VLOOKUP(A2648, IMPORTRANGE(""https://docs.google.com/spreadsheets/d/1-3Vjw2Cyy-mry5gbC8ypIR3YVGFfEpyFESummAta6sg/edit"", ""Sheet1!B:D""), 3, FALSE), ""Not Found"")"),"ə r a ɪ z ")</f>
        <v>ə r a ɪ z </v>
      </c>
    </row>
    <row r="2649">
      <c r="A2649" s="1" t="s">
        <v>2652</v>
      </c>
      <c r="B2649" s="1" t="s">
        <v>5</v>
      </c>
      <c r="C2649" s="2">
        <f>IFERROR(__xludf.DUMMYFUNCTION("IFERROR(VLOOKUP(A2649, IMPORTRANGE(""https://docs.google.com/spreadsheets/d/1AVX9GT0dgogEBStecCXMMQ29tWz3gBrtNB8yIromXbY/edit?gid=741673867"", ""out1g!A:B""), 2, FALSE), 0)"),53.0)</f>
        <v>53</v>
      </c>
      <c r="D2649" s="2" t="str">
        <f>IFERROR(__xludf.DUMMYFUNCTION("IFERROR(VLOOKUP(A2649, IMPORTRANGE(""https://docs.google.com/spreadsheets/d/1-3Vjw2Cyy-mry5gbC8ypIR3YVGFfEpyFESummAta6sg/edit"", ""Sheet1!B:D""), 2, FALSE), ""Not Found"")"),"blɛrz")</f>
        <v>blɛrz</v>
      </c>
      <c r="E2649" s="2" t="str">
        <f>IFERROR(__xludf.DUMMYFUNCTION("IFERROR(VLOOKUP(A2649, IMPORTRANGE(""https://docs.google.com/spreadsheets/d/1-3Vjw2Cyy-mry5gbC8ypIR3YVGFfEpyFESummAta6sg/edit"", ""Sheet1!B:D""), 3, FALSE), ""Not Found"")"),"b l ɛ r z ")</f>
        <v>b l ɛ r z </v>
      </c>
    </row>
    <row r="2650">
      <c r="A2650" s="1" t="s">
        <v>2653</v>
      </c>
      <c r="B2650" s="1" t="s">
        <v>5</v>
      </c>
      <c r="C2650" s="2">
        <f>IFERROR(__xludf.DUMMYFUNCTION("IFERROR(VLOOKUP(A2650, IMPORTRANGE(""https://docs.google.com/spreadsheets/d/1AVX9GT0dgogEBStecCXMMQ29tWz3gBrtNB8yIromXbY/edit?gid=741673867"", ""out1g!A:B""), 2, FALSE), 0)"),1068.0)</f>
        <v>1068</v>
      </c>
      <c r="D2650" s="2" t="str">
        <f>IFERROR(__xludf.DUMMYFUNCTION("IFERROR(VLOOKUP(A2650, IMPORTRANGE(""https://docs.google.com/spreadsheets/d/1-3Vjw2Cyy-mry5gbC8ypIR3YVGFfEpyFESummAta6sg/edit"", ""Sheet1!B:D""), 2, FALSE), ""Not Found"")"),"spiks")</f>
        <v>spiks</v>
      </c>
      <c r="E2650" s="2" t="str">
        <f>IFERROR(__xludf.DUMMYFUNCTION("IFERROR(VLOOKUP(A2650, IMPORTRANGE(""https://docs.google.com/spreadsheets/d/1-3Vjw2Cyy-mry5gbC8ypIR3YVGFfEpyFESummAta6sg/edit"", ""Sheet1!B:D""), 3, FALSE), ""Not Found"")"),"s p i k s ")</f>
        <v>s p i k s </v>
      </c>
    </row>
    <row r="2651">
      <c r="A2651" s="1" t="s">
        <v>2654</v>
      </c>
      <c r="B2651" s="1" t="s">
        <v>5</v>
      </c>
      <c r="C2651" s="2">
        <f>IFERROR(__xludf.DUMMYFUNCTION("IFERROR(VLOOKUP(A2651, IMPORTRANGE(""https://docs.google.com/spreadsheets/d/1AVX9GT0dgogEBStecCXMMQ29tWz3gBrtNB8yIromXbY/edit?gid=741673867"", ""out1g!A:B""), 2, FALSE), 0)"),60.0)</f>
        <v>60</v>
      </c>
      <c r="D2651" s="2" t="str">
        <f>IFERROR(__xludf.DUMMYFUNCTION("IFERROR(VLOOKUP(A2651, IMPORTRANGE(""https://docs.google.com/spreadsheets/d/1-3Vjw2Cyy-mry5gbC8ypIR3YVGFfEpyFESummAta6sg/edit"", ""Sheet1!B:D""), 2, FALSE), ""Not Found"")"),"hərmət")</f>
        <v>hərmət</v>
      </c>
      <c r="E2651" s="2" t="str">
        <f>IFERROR(__xludf.DUMMYFUNCTION("IFERROR(VLOOKUP(A2651, IMPORTRANGE(""https://docs.google.com/spreadsheets/d/1-3Vjw2Cyy-mry5gbC8ypIR3YVGFfEpyFESummAta6sg/edit"", ""Sheet1!B:D""), 3, FALSE), ""Not Found"")"),"h ə r m ə t ")</f>
        <v>h ə r m ə t </v>
      </c>
    </row>
    <row r="2652">
      <c r="A2652" s="1" t="s">
        <v>2655</v>
      </c>
      <c r="B2652" s="1" t="s">
        <v>5</v>
      </c>
      <c r="C2652" s="2">
        <f>IFERROR(__xludf.DUMMYFUNCTION("IFERROR(VLOOKUP(A2652, IMPORTRANGE(""https://docs.google.com/spreadsheets/d/1AVX9GT0dgogEBStecCXMMQ29tWz3gBrtNB8yIromXbY/edit?gid=741673867"", ""out1g!A:B""), 2, FALSE), 0)"),301.0)</f>
        <v>301</v>
      </c>
      <c r="D2652" s="2" t="str">
        <f>IFERROR(__xludf.DUMMYFUNCTION("IFERROR(VLOOKUP(A2652, IMPORTRANGE(""https://docs.google.com/spreadsheets/d/1-3Vjw2Cyy-mry5gbC8ypIR3YVGFfEpyFESummAta6sg/edit"", ""Sheet1!B:D""), 2, FALSE), ""Not Found"")"),"rɪb")</f>
        <v>rɪb</v>
      </c>
      <c r="E2652" s="2" t="str">
        <f>IFERROR(__xludf.DUMMYFUNCTION("IFERROR(VLOOKUP(A2652, IMPORTRANGE(""https://docs.google.com/spreadsheets/d/1-3Vjw2Cyy-mry5gbC8ypIR3YVGFfEpyFESummAta6sg/edit"", ""Sheet1!B:D""), 3, FALSE), ""Not Found"")"),"r ɪ b ")</f>
        <v>r ɪ b </v>
      </c>
    </row>
    <row r="2653">
      <c r="A2653" s="1" t="s">
        <v>2656</v>
      </c>
      <c r="B2653" s="1" t="s">
        <v>5</v>
      </c>
      <c r="C2653" s="2">
        <f>IFERROR(__xludf.DUMMYFUNCTION("IFERROR(VLOOKUP(A2653, IMPORTRANGE(""https://docs.google.com/spreadsheets/d/1AVX9GT0dgogEBStecCXMMQ29tWz3gBrtNB8yIromXbY/edit?gid=741673867"", ""out1g!A:B""), 2, FALSE), 0)"),318.0)</f>
        <v>318</v>
      </c>
      <c r="D2653" s="2" t="str">
        <f>IFERROR(__xludf.DUMMYFUNCTION("IFERROR(VLOOKUP(A2653, IMPORTRANGE(""https://docs.google.com/spreadsheets/d/1-3Vjw2Cyy-mry5gbC8ypIR3YVGFfEpyFESummAta6sg/edit"", ""Sheet1!B:D""), 2, FALSE), ""Not Found"")"),"spərm")</f>
        <v>spərm</v>
      </c>
      <c r="E2653" s="2" t="str">
        <f>IFERROR(__xludf.DUMMYFUNCTION("IFERROR(VLOOKUP(A2653, IMPORTRANGE(""https://docs.google.com/spreadsheets/d/1-3Vjw2Cyy-mry5gbC8ypIR3YVGFfEpyFESummAta6sg/edit"", ""Sheet1!B:D""), 3, FALSE), ""Not Found"")"),"s p ə r m ")</f>
        <v>s p ə r m </v>
      </c>
    </row>
    <row r="2654">
      <c r="A2654" s="1" t="s">
        <v>2657</v>
      </c>
      <c r="B2654" s="1" t="s">
        <v>5</v>
      </c>
      <c r="C2654" s="2">
        <f>IFERROR(__xludf.DUMMYFUNCTION("IFERROR(VLOOKUP(A2654, IMPORTRANGE(""https://docs.google.com/spreadsheets/d/1AVX9GT0dgogEBStecCXMMQ29tWz3gBrtNB8yIromXbY/edit?gid=741673867"", ""out1g!A:B""), 2, FALSE), 0)"),92.0)</f>
        <v>92</v>
      </c>
      <c r="D2654" s="2" t="str">
        <f>IFERROR(__xludf.DUMMYFUNCTION("IFERROR(VLOOKUP(A2654, IMPORTRANGE(""https://docs.google.com/spreadsheets/d/1-3Vjw2Cyy-mry5gbC8ypIR3YVGFfEpyFESummAta6sg/edit"", ""Sheet1!B:D""), 2, FALSE), ""Not Found"")"),"trɑt")</f>
        <v>trɑt</v>
      </c>
      <c r="E2654" s="2" t="str">
        <f>IFERROR(__xludf.DUMMYFUNCTION("IFERROR(VLOOKUP(A2654, IMPORTRANGE(""https://docs.google.com/spreadsheets/d/1-3Vjw2Cyy-mry5gbC8ypIR3YVGFfEpyFESummAta6sg/edit"", ""Sheet1!B:D""), 3, FALSE), ""Not Found"")"),"t r ɑ t ")</f>
        <v>t r ɑ t </v>
      </c>
    </row>
    <row r="2655">
      <c r="A2655" s="1" t="s">
        <v>2658</v>
      </c>
      <c r="B2655" s="1" t="s">
        <v>5</v>
      </c>
      <c r="C2655" s="2">
        <f>IFERROR(__xludf.DUMMYFUNCTION("IFERROR(VLOOKUP(A2655, IMPORTRANGE(""https://docs.google.com/spreadsheets/d/1AVX9GT0dgogEBStecCXMMQ29tWz3gBrtNB8yIromXbY/edit?gid=741673867"", ""out1g!A:B""), 2, FALSE), 0)"),141.0)</f>
        <v>141</v>
      </c>
      <c r="D2655" s="2" t="str">
        <f>IFERROR(__xludf.DUMMYFUNCTION("IFERROR(VLOOKUP(A2655, IMPORTRANGE(""https://docs.google.com/spreadsheets/d/1-3Vjw2Cyy-mry5gbC8ypIR3YVGFfEpyFESummAta6sg/edit"", ""Sheet1!B:D""), 2, FALSE), ""Not Found"")"),"skwɪd")</f>
        <v>skwɪd</v>
      </c>
      <c r="E2655" s="2" t="str">
        <f>IFERROR(__xludf.DUMMYFUNCTION("IFERROR(VLOOKUP(A2655, IMPORTRANGE(""https://docs.google.com/spreadsheets/d/1-3Vjw2Cyy-mry5gbC8ypIR3YVGFfEpyFESummAta6sg/edit"", ""Sheet1!B:D""), 3, FALSE), ""Not Found"")"),"s k w ɪ d ")</f>
        <v>s k w ɪ d </v>
      </c>
    </row>
    <row r="2656">
      <c r="A2656" s="1" t="s">
        <v>2659</v>
      </c>
      <c r="B2656" s="1" t="s">
        <v>5</v>
      </c>
      <c r="C2656" s="2">
        <f>IFERROR(__xludf.DUMMYFUNCTION("IFERROR(VLOOKUP(A2656, IMPORTRANGE(""https://docs.google.com/spreadsheets/d/1AVX9GT0dgogEBStecCXMMQ29tWz3gBrtNB8yIromXbY/edit?gid=741673867"", ""out1g!A:B""), 2, FALSE), 0)"),473.0)</f>
        <v>473</v>
      </c>
      <c r="D2656" s="2" t="str">
        <f>IFERROR(__xludf.DUMMYFUNCTION("IFERROR(VLOOKUP(A2656, IMPORTRANGE(""https://docs.google.com/spreadsheets/d/1-3Vjw2Cyy-mry5gbC8ypIR3YVGFfEpyFESummAta6sg/edit"", ""Sheet1!B:D""), 2, FALSE), ""Not Found"")"),"æmbər")</f>
        <v>æmbər</v>
      </c>
      <c r="E2656" s="2" t="str">
        <f>IFERROR(__xludf.DUMMYFUNCTION("IFERROR(VLOOKUP(A2656, IMPORTRANGE(""https://docs.google.com/spreadsheets/d/1-3Vjw2Cyy-mry5gbC8ypIR3YVGFfEpyFESummAta6sg/edit"", ""Sheet1!B:D""), 3, FALSE), ""Not Found"")"),"æ m b ə r ")</f>
        <v>æ m b ə r </v>
      </c>
    </row>
    <row r="2657">
      <c r="A2657" s="1" t="s">
        <v>2660</v>
      </c>
      <c r="B2657" s="1" t="s">
        <v>5</v>
      </c>
      <c r="C2657" s="2">
        <f>IFERROR(__xludf.DUMMYFUNCTION("IFERROR(VLOOKUP(A2657, IMPORTRANGE(""https://docs.google.com/spreadsheets/d/1AVX9GT0dgogEBStecCXMMQ29tWz3gBrtNB8yIromXbY/edit?gid=741673867"", ""out1g!A:B""), 2, FALSE), 0)"),3536.0)</f>
        <v>3536</v>
      </c>
      <c r="D2657" s="2" t="str">
        <f>IFERROR(__xludf.DUMMYFUNCTION("IFERROR(VLOOKUP(A2657, IMPORTRANGE(""https://docs.google.com/spreadsheets/d/1-3Vjw2Cyy-mry5gbC8ypIR3YVGFfEpyFESummAta6sg/edit"", ""Sheet1!B:D""), 2, FALSE), ""Not Found"")"),"muvd")</f>
        <v>muvd</v>
      </c>
      <c r="E2657" s="2" t="str">
        <f>IFERROR(__xludf.DUMMYFUNCTION("IFERROR(VLOOKUP(A2657, IMPORTRANGE(""https://docs.google.com/spreadsheets/d/1-3Vjw2Cyy-mry5gbC8ypIR3YVGFfEpyFESummAta6sg/edit"", ""Sheet1!B:D""), 3, FALSE), ""Not Found"")"),"m u v d ")</f>
        <v>m u v d </v>
      </c>
    </row>
    <row r="2658">
      <c r="A2658" s="1" t="s">
        <v>2661</v>
      </c>
      <c r="B2658" s="1" t="s">
        <v>5</v>
      </c>
      <c r="C2658" s="2">
        <f>IFERROR(__xludf.DUMMYFUNCTION("IFERROR(VLOOKUP(A2658, IMPORTRANGE(""https://docs.google.com/spreadsheets/d/1AVX9GT0dgogEBStecCXMMQ29tWz3gBrtNB8yIromXbY/edit?gid=741673867"", ""out1g!A:B""), 2, FALSE), 0)"),381.0)</f>
        <v>381</v>
      </c>
      <c r="D2658" s="2" t="str">
        <f>IFERROR(__xludf.DUMMYFUNCTION("IFERROR(VLOOKUP(A2658, IMPORTRANGE(""https://docs.google.com/spreadsheets/d/1-3Vjw2Cyy-mry5gbC8ypIR3YVGFfEpyFESummAta6sg/edit"", ""Sheet1!B:D""), 2, FALSE), ""Not Found"")"),"floʊt")</f>
        <v>floʊt</v>
      </c>
      <c r="E2658" s="2" t="str">
        <f>IFERROR(__xludf.DUMMYFUNCTION("IFERROR(VLOOKUP(A2658, IMPORTRANGE(""https://docs.google.com/spreadsheets/d/1-3Vjw2Cyy-mry5gbC8ypIR3YVGFfEpyFESummAta6sg/edit"", ""Sheet1!B:D""), 3, FALSE), ""Not Found"")"),"f l o ʊ t ")</f>
        <v>f l o ʊ t </v>
      </c>
    </row>
    <row r="2659">
      <c r="A2659" s="1" t="s">
        <v>2662</v>
      </c>
      <c r="B2659" s="1" t="s">
        <v>5</v>
      </c>
      <c r="C2659" s="2">
        <f>IFERROR(__xludf.DUMMYFUNCTION("IFERROR(VLOOKUP(A2659, IMPORTRANGE(""https://docs.google.com/spreadsheets/d/1AVX9GT0dgogEBStecCXMMQ29tWz3gBrtNB8yIromXbY/edit?gid=741673867"", ""out1g!A:B""), 2, FALSE), 0)"),986.0)</f>
        <v>986</v>
      </c>
      <c r="D2659" s="2" t="str">
        <f>IFERROR(__xludf.DUMMYFUNCTION("IFERROR(VLOOKUP(A2659, IMPORTRANGE(""https://docs.google.com/spreadsheets/d/1-3Vjw2Cyy-mry5gbC8ypIR3YVGFfEpyFESummAta6sg/edit"", ""Sheet1!B:D""), 2, FALSE), ""Not Found"")"),"həg")</f>
        <v>həg</v>
      </c>
      <c r="E2659" s="2" t="str">
        <f>IFERROR(__xludf.DUMMYFUNCTION("IFERROR(VLOOKUP(A2659, IMPORTRANGE(""https://docs.google.com/spreadsheets/d/1-3Vjw2Cyy-mry5gbC8ypIR3YVGFfEpyFESummAta6sg/edit"", ""Sheet1!B:D""), 3, FALSE), ""Not Found"")"),"h ə g ")</f>
        <v>h ə g </v>
      </c>
    </row>
    <row r="2660">
      <c r="A2660" s="1" t="s">
        <v>2663</v>
      </c>
      <c r="B2660" s="1" t="s">
        <v>5</v>
      </c>
      <c r="C2660" s="2">
        <f>IFERROR(__xludf.DUMMYFUNCTION("IFERROR(VLOOKUP(A2660, IMPORTRANGE(""https://docs.google.com/spreadsheets/d/1AVX9GT0dgogEBStecCXMMQ29tWz3gBrtNB8yIromXbY/edit?gid=741673867"", ""out1g!A:B""), 2, FALSE), 0)"),25.0)</f>
        <v>25</v>
      </c>
      <c r="D2660" s="2" t="str">
        <f>IFERROR(__xludf.DUMMYFUNCTION("IFERROR(VLOOKUP(A2660, IMPORTRANGE(""https://docs.google.com/spreadsheets/d/1-3Vjw2Cyy-mry5gbC8ypIR3YVGFfEpyFESummAta6sg/edit"", ""Sheet1!B:D""), 2, FALSE), ""Not Found"")"),"səri")</f>
        <v>səri</v>
      </c>
      <c r="E2660" s="2" t="str">
        <f>IFERROR(__xludf.DUMMYFUNCTION("IFERROR(VLOOKUP(A2660, IMPORTRANGE(""https://docs.google.com/spreadsheets/d/1-3Vjw2Cyy-mry5gbC8ypIR3YVGFfEpyFESummAta6sg/edit"", ""Sheet1!B:D""), 3, FALSE), ""Not Found"")"),"s ə r i ")</f>
        <v>s ə r i </v>
      </c>
    </row>
    <row r="2661">
      <c r="A2661" s="1" t="s">
        <v>2664</v>
      </c>
      <c r="B2661" s="1" t="s">
        <v>5</v>
      </c>
      <c r="C2661" s="2">
        <f>IFERROR(__xludf.DUMMYFUNCTION("IFERROR(VLOOKUP(A2661, IMPORTRANGE(""https://docs.google.com/spreadsheets/d/1AVX9GT0dgogEBStecCXMMQ29tWz3gBrtNB8yIromXbY/edit?gid=741673867"", ""out1g!A:B""), 2, FALSE), 0)"),1076.0)</f>
        <v>1076</v>
      </c>
      <c r="D2661" s="2" t="str">
        <f>IFERROR(__xludf.DUMMYFUNCTION("IFERROR(VLOOKUP(A2661, IMPORTRANGE(""https://docs.google.com/spreadsheets/d/1-3Vjw2Cyy-mry5gbC8ypIR3YVGFfEpyFESummAta6sg/edit"", ""Sheet1!B:D""), 2, FALSE), ""Not Found"")"),"skɪp")</f>
        <v>skɪp</v>
      </c>
      <c r="E2661" s="2" t="str">
        <f>IFERROR(__xludf.DUMMYFUNCTION("IFERROR(VLOOKUP(A2661, IMPORTRANGE(""https://docs.google.com/spreadsheets/d/1-3Vjw2Cyy-mry5gbC8ypIR3YVGFfEpyFESummAta6sg/edit"", ""Sheet1!B:D""), 3, FALSE), ""Not Found"")"),"s k ɪ p ")</f>
        <v>s k ɪ p </v>
      </c>
    </row>
    <row r="2662">
      <c r="A2662" s="1" t="s">
        <v>2665</v>
      </c>
      <c r="B2662" s="1" t="s">
        <v>5</v>
      </c>
      <c r="C2662" s="2">
        <f>IFERROR(__xludf.DUMMYFUNCTION("IFERROR(VLOOKUP(A2662, IMPORTRANGE(""https://docs.google.com/spreadsheets/d/1AVX9GT0dgogEBStecCXMMQ29tWz3gBrtNB8yIromXbY/edit?gid=741673867"", ""out1g!A:B""), 2, FALSE), 0)"),2969.0)</f>
        <v>2969</v>
      </c>
      <c r="D2662" s="2" t="str">
        <f>IFERROR(__xludf.DUMMYFUNCTION("IFERROR(VLOOKUP(A2662, IMPORTRANGE(""https://docs.google.com/spreadsheets/d/1-3Vjw2Cyy-mry5gbC8ypIR3YVGFfEpyFESummAta6sg/edit"", ""Sheet1!B:D""), 2, FALSE), ""Not Found"")"),"hoʊl")</f>
        <v>hoʊl</v>
      </c>
      <c r="E2662" s="2" t="str">
        <f>IFERROR(__xludf.DUMMYFUNCTION("IFERROR(VLOOKUP(A2662, IMPORTRANGE(""https://docs.google.com/spreadsheets/d/1-3Vjw2Cyy-mry5gbC8ypIR3YVGFfEpyFESummAta6sg/edit"", ""Sheet1!B:D""), 3, FALSE), ""Not Found"")"),"h o ʊ l ")</f>
        <v>h o ʊ l </v>
      </c>
    </row>
    <row r="2663">
      <c r="A2663" s="1" t="s">
        <v>2666</v>
      </c>
      <c r="B2663" s="1" t="s">
        <v>5</v>
      </c>
      <c r="C2663" s="2">
        <f>IFERROR(__xludf.DUMMYFUNCTION("IFERROR(VLOOKUP(A2663, IMPORTRANGE(""https://docs.google.com/spreadsheets/d/1AVX9GT0dgogEBStecCXMMQ29tWz3gBrtNB8yIromXbY/edit?gid=741673867"", ""out1g!A:B""), 2, FALSE), 0)"),1714.0)</f>
        <v>1714</v>
      </c>
      <c r="D2663" s="2" t="str">
        <f>IFERROR(__xludf.DUMMYFUNCTION("IFERROR(VLOOKUP(A2663, IMPORTRANGE(""https://docs.google.com/spreadsheets/d/1-3Vjw2Cyy-mry5gbC8ypIR3YVGFfEpyFESummAta6sg/edit"", ""Sheet1!B:D""), 2, FALSE), ""Not Found"")"),"kren")</f>
        <v>kren</v>
      </c>
      <c r="E2663" s="2" t="str">
        <f>IFERROR(__xludf.DUMMYFUNCTION("IFERROR(VLOOKUP(A2663, IMPORTRANGE(""https://docs.google.com/spreadsheets/d/1-3Vjw2Cyy-mry5gbC8ypIR3YVGFfEpyFESummAta6sg/edit"", ""Sheet1!B:D""), 3, FALSE), ""Not Found"")"),"k r e n ")</f>
        <v>k r e n </v>
      </c>
    </row>
    <row r="2664">
      <c r="A2664" s="1" t="s">
        <v>2667</v>
      </c>
      <c r="B2664" s="1" t="s">
        <v>5</v>
      </c>
      <c r="C2664" s="2">
        <f>IFERROR(__xludf.DUMMYFUNCTION("IFERROR(VLOOKUP(A2664, IMPORTRANGE(""https://docs.google.com/spreadsheets/d/1AVX9GT0dgogEBStecCXMMQ29tWz3gBrtNB8yIromXbY/edit?gid=741673867"", ""out1g!A:B""), 2, FALSE), 0)"),171.0)</f>
        <v>171</v>
      </c>
      <c r="D2664" s="2" t="str">
        <f>IFERROR(__xludf.DUMMYFUNCTION("IFERROR(VLOOKUP(A2664, IMPORTRANGE(""https://docs.google.com/spreadsheets/d/1-3Vjw2Cyy-mry5gbC8ypIR3YVGFfEpyFESummAta6sg/edit"", ""Sheet1!B:D""), 2, FALSE), ""Not Found"")"),"baɪnd")</f>
        <v>baɪnd</v>
      </c>
      <c r="E2664" s="2" t="str">
        <f>IFERROR(__xludf.DUMMYFUNCTION("IFERROR(VLOOKUP(A2664, IMPORTRANGE(""https://docs.google.com/spreadsheets/d/1-3Vjw2Cyy-mry5gbC8ypIR3YVGFfEpyFESummAta6sg/edit"", ""Sheet1!B:D""), 3, FALSE), ""Not Found"")"),"b a ɪ n d ")</f>
        <v>b a ɪ n d </v>
      </c>
    </row>
    <row r="2665">
      <c r="A2665" s="1" t="s">
        <v>2668</v>
      </c>
      <c r="B2665" s="1" t="s">
        <v>5</v>
      </c>
      <c r="C2665" s="2">
        <f>IFERROR(__xludf.DUMMYFUNCTION("IFERROR(VLOOKUP(A2665, IMPORTRANGE(""https://docs.google.com/spreadsheets/d/1AVX9GT0dgogEBStecCXMMQ29tWz3gBrtNB8yIromXbY/edit?gid=741673867"", ""out1g!A:B""), 2, FALSE), 0)"),1108.0)</f>
        <v>1108</v>
      </c>
      <c r="D2665" s="2" t="str">
        <f>IFERROR(__xludf.DUMMYFUNCTION("IFERROR(VLOOKUP(A2665, IMPORTRANGE(""https://docs.google.com/spreadsheets/d/1-3Vjw2Cyy-mry5gbC8ypIR3YVGFfEpyFESummAta6sg/edit"", ""Sheet1!B:D""), 2, FALSE), ""Not Found"")"),"məm")</f>
        <v>məm</v>
      </c>
      <c r="E2665" s="2" t="str">
        <f>IFERROR(__xludf.DUMMYFUNCTION("IFERROR(VLOOKUP(A2665, IMPORTRANGE(""https://docs.google.com/spreadsheets/d/1-3Vjw2Cyy-mry5gbC8ypIR3YVGFfEpyFESummAta6sg/edit"", ""Sheet1!B:D""), 3, FALSE), ""Not Found"")"),"m ə m ")</f>
        <v>m ə m </v>
      </c>
    </row>
    <row r="2666">
      <c r="A2666" s="1" t="s">
        <v>2669</v>
      </c>
      <c r="B2666" s="1" t="s">
        <v>5</v>
      </c>
      <c r="C2666" s="2">
        <f>IFERROR(__xludf.DUMMYFUNCTION("IFERROR(VLOOKUP(A2666, IMPORTRANGE(""https://docs.google.com/spreadsheets/d/1AVX9GT0dgogEBStecCXMMQ29tWz3gBrtNB8yIromXbY/edit?gid=741673867"", ""out1g!A:B""), 2, FALSE), 0)"),62.0)</f>
        <v>62</v>
      </c>
      <c r="D2666" s="2" t="str">
        <f>IFERROR(__xludf.DUMMYFUNCTION("IFERROR(VLOOKUP(A2666, IMPORTRANGE(""https://docs.google.com/spreadsheets/d/1-3Vjw2Cyy-mry5gbC8ypIR3YVGFfEpyFESummAta6sg/edit"", ""Sheet1!B:D""), 2, FALSE), ""Not Found"")"),"snoʊd")</f>
        <v>snoʊd</v>
      </c>
      <c r="E2666" s="2" t="str">
        <f>IFERROR(__xludf.DUMMYFUNCTION("IFERROR(VLOOKUP(A2666, IMPORTRANGE(""https://docs.google.com/spreadsheets/d/1-3Vjw2Cyy-mry5gbC8ypIR3YVGFfEpyFESummAta6sg/edit"", ""Sheet1!B:D""), 3, FALSE), ""Not Found"")"),"s n o ʊ d ")</f>
        <v>s n o ʊ d </v>
      </c>
    </row>
    <row r="2667">
      <c r="A2667" s="1" t="s">
        <v>2670</v>
      </c>
      <c r="B2667" s="1" t="s">
        <v>5</v>
      </c>
      <c r="C2667" s="2">
        <f>IFERROR(__xludf.DUMMYFUNCTION("IFERROR(VLOOKUP(A2667, IMPORTRANGE(""https://docs.google.com/spreadsheets/d/1AVX9GT0dgogEBStecCXMMQ29tWz3gBrtNB8yIromXbY/edit?gid=741673867"", ""out1g!A:B""), 2, FALSE), 0)"),81.0)</f>
        <v>81</v>
      </c>
      <c r="D2667" s="2" t="str">
        <f>IFERROR(__xludf.DUMMYFUNCTION("IFERROR(VLOOKUP(A2667, IMPORTRANGE(""https://docs.google.com/spreadsheets/d/1-3Vjw2Cyy-mry5gbC8ypIR3YVGFfEpyFESummAta6sg/edit"", ""Sheet1!B:D""), 2, FALSE), ""Not Found"")"),"ridu")</f>
        <v>ridu</v>
      </c>
      <c r="E2667" s="2" t="str">
        <f>IFERROR(__xludf.DUMMYFUNCTION("IFERROR(VLOOKUP(A2667, IMPORTRANGE(""https://docs.google.com/spreadsheets/d/1-3Vjw2Cyy-mry5gbC8ypIR3YVGFfEpyFESummAta6sg/edit"", ""Sheet1!B:D""), 3, FALSE), ""Not Found"")"),"r i d u ")</f>
        <v>r i d u </v>
      </c>
    </row>
    <row r="2668">
      <c r="A2668" s="1" t="s">
        <v>2671</v>
      </c>
      <c r="B2668" s="1" t="s">
        <v>5</v>
      </c>
      <c r="C2668" s="2">
        <f>IFERROR(__xludf.DUMMYFUNCTION("IFERROR(VLOOKUP(A2668, IMPORTRANGE(""https://docs.google.com/spreadsheets/d/1AVX9GT0dgogEBStecCXMMQ29tWz3gBrtNB8yIromXbY/edit?gid=741673867"", ""out1g!A:B""), 2, FALSE), 0)"),215.0)</f>
        <v>215</v>
      </c>
      <c r="D2668" s="2" t="str">
        <f>IFERROR(__xludf.DUMMYFUNCTION("IFERROR(VLOOKUP(A2668, IMPORTRANGE(""https://docs.google.com/spreadsheets/d/1-3Vjw2Cyy-mry5gbC8ypIR3YVGFfEpyFESummAta6sg/edit"", ""Sheet1!B:D""), 2, FALSE), ""Not Found"")"),"frili")</f>
        <v>frili</v>
      </c>
      <c r="E2668" s="2" t="str">
        <f>IFERROR(__xludf.DUMMYFUNCTION("IFERROR(VLOOKUP(A2668, IMPORTRANGE(""https://docs.google.com/spreadsheets/d/1-3Vjw2Cyy-mry5gbC8ypIR3YVGFfEpyFESummAta6sg/edit"", ""Sheet1!B:D""), 3, FALSE), ""Not Found"")"),"f r i l i ")</f>
        <v>f r i l i </v>
      </c>
    </row>
    <row r="2669">
      <c r="A2669" s="1" t="s">
        <v>2672</v>
      </c>
      <c r="B2669" s="1" t="s">
        <v>5</v>
      </c>
      <c r="C2669" s="2">
        <f>IFERROR(__xludf.DUMMYFUNCTION("IFERROR(VLOOKUP(A2669, IMPORTRANGE(""https://docs.google.com/spreadsheets/d/1AVX9GT0dgogEBStecCXMMQ29tWz3gBrtNB8yIromXbY/edit?gid=741673867"", ""out1g!A:B""), 2, FALSE), 0)"),1561.0)</f>
        <v>1561</v>
      </c>
      <c r="D2669" s="2" t="str">
        <f>IFERROR(__xludf.DUMMYFUNCTION("IFERROR(VLOOKUP(A2669, IMPORTRANGE(""https://docs.google.com/spreadsheets/d/1-3Vjw2Cyy-mry5gbC8ypIR3YVGFfEpyFESummAta6sg/edit"", ""Sheet1!B:D""), 2, FALSE), ""Not Found"")"),"boʊnz")</f>
        <v>boʊnz</v>
      </c>
      <c r="E2669" s="2" t="str">
        <f>IFERROR(__xludf.DUMMYFUNCTION("IFERROR(VLOOKUP(A2669, IMPORTRANGE(""https://docs.google.com/spreadsheets/d/1-3Vjw2Cyy-mry5gbC8ypIR3YVGFfEpyFESummAta6sg/edit"", ""Sheet1!B:D""), 3, FALSE), ""Not Found"")"),"b o ʊ n z ")</f>
        <v>b o ʊ n z </v>
      </c>
    </row>
    <row r="2670">
      <c r="A2670" s="1" t="s">
        <v>2673</v>
      </c>
      <c r="B2670" s="1" t="s">
        <v>5</v>
      </c>
      <c r="C2670" s="2">
        <f>IFERROR(__xludf.DUMMYFUNCTION("IFERROR(VLOOKUP(A2670, IMPORTRANGE(""https://docs.google.com/spreadsheets/d/1AVX9GT0dgogEBStecCXMMQ29tWz3gBrtNB8yIromXbY/edit?gid=741673867"", ""out1g!A:B""), 2, FALSE), 0)"),984.0)</f>
        <v>984</v>
      </c>
      <c r="D2670" s="2" t="str">
        <f>IFERROR(__xludf.DUMMYFUNCTION("IFERROR(VLOOKUP(A2670, IMPORTRANGE(""https://docs.google.com/spreadsheets/d/1-3Vjw2Cyy-mry5gbC8ypIR3YVGFfEpyFESummAta6sg/edit"", ""Sheet1!B:D""), 2, FALSE), ""Not Found"")"),"kəmɪt")</f>
        <v>kəmɪt</v>
      </c>
      <c r="E2670" s="2" t="str">
        <f>IFERROR(__xludf.DUMMYFUNCTION("IFERROR(VLOOKUP(A2670, IMPORTRANGE(""https://docs.google.com/spreadsheets/d/1-3Vjw2Cyy-mry5gbC8ypIR3YVGFfEpyFESummAta6sg/edit"", ""Sheet1!B:D""), 3, FALSE), ""Not Found"")"),"k ə m ɪ t ")</f>
        <v>k ə m ɪ t </v>
      </c>
    </row>
    <row r="2671">
      <c r="A2671" s="1" t="s">
        <v>2674</v>
      </c>
      <c r="B2671" s="1" t="s">
        <v>5</v>
      </c>
      <c r="C2671" s="2">
        <f>IFERROR(__xludf.DUMMYFUNCTION("IFERROR(VLOOKUP(A2671, IMPORTRANGE(""https://docs.google.com/spreadsheets/d/1AVX9GT0dgogEBStecCXMMQ29tWz3gBrtNB8yIromXbY/edit?gid=741673867"", ""out1g!A:B""), 2, FALSE), 0)"),79.0)</f>
        <v>79</v>
      </c>
      <c r="D2671" s="2" t="str">
        <f>IFERROR(__xludf.DUMMYFUNCTION("IFERROR(VLOOKUP(A2671, IMPORTRANGE(""https://docs.google.com/spreadsheets/d/1-3Vjw2Cyy-mry5gbC8ypIR3YVGFfEpyFESummAta6sg/edit"", ""Sheet1!B:D""), 2, FALSE), ""Not Found"")"),"gləvər")</f>
        <v>gləvər</v>
      </c>
      <c r="E2671" s="2" t="str">
        <f>IFERROR(__xludf.DUMMYFUNCTION("IFERROR(VLOOKUP(A2671, IMPORTRANGE(""https://docs.google.com/spreadsheets/d/1-3Vjw2Cyy-mry5gbC8ypIR3YVGFfEpyFESummAta6sg/edit"", ""Sheet1!B:D""), 3, FALSE), ""Not Found"")"),"g l ə v ə r ")</f>
        <v>g l ə v ə r </v>
      </c>
    </row>
    <row r="2672">
      <c r="A2672" s="1" t="s">
        <v>2675</v>
      </c>
      <c r="B2672" s="1" t="s">
        <v>5</v>
      </c>
      <c r="C2672" s="2">
        <f>IFERROR(__xludf.DUMMYFUNCTION("IFERROR(VLOOKUP(A2672, IMPORTRANGE(""https://docs.google.com/spreadsheets/d/1AVX9GT0dgogEBStecCXMMQ29tWz3gBrtNB8yIromXbY/edit?gid=741673867"", ""out1g!A:B""), 2, FALSE), 0)"),61.0)</f>
        <v>61</v>
      </c>
      <c r="D2672" s="2" t="str">
        <f>IFERROR(__xludf.DUMMYFUNCTION("IFERROR(VLOOKUP(A2672, IMPORTRANGE(""https://docs.google.com/spreadsheets/d/1-3Vjw2Cyy-mry5gbC8ypIR3YVGFfEpyFESummAta6sg/edit"", ""Sheet1!B:D""), 2, FALSE), ""Not Found"")"),"boʊni")</f>
        <v>boʊni</v>
      </c>
      <c r="E2672" s="2" t="str">
        <f>IFERROR(__xludf.DUMMYFUNCTION("IFERROR(VLOOKUP(A2672, IMPORTRANGE(""https://docs.google.com/spreadsheets/d/1-3Vjw2Cyy-mry5gbC8ypIR3YVGFfEpyFESummAta6sg/edit"", ""Sheet1!B:D""), 3, FALSE), ""Not Found"")"),"b o ʊ n i ")</f>
        <v>b o ʊ n i </v>
      </c>
    </row>
    <row r="2673">
      <c r="A2673" s="1" t="s">
        <v>2676</v>
      </c>
      <c r="B2673" s="1" t="s">
        <v>5</v>
      </c>
      <c r="C2673" s="2">
        <f>IFERROR(__xludf.DUMMYFUNCTION("IFERROR(VLOOKUP(A2673, IMPORTRANGE(""https://docs.google.com/spreadsheets/d/1AVX9GT0dgogEBStecCXMMQ29tWz3gBrtNB8yIromXbY/edit?gid=741673867"", ""out1g!A:B""), 2, FALSE), 0)"),82.0)</f>
        <v>82</v>
      </c>
      <c r="D2673" s="2" t="str">
        <f>IFERROR(__xludf.DUMMYFUNCTION("IFERROR(VLOOKUP(A2673, IMPORTRANGE(""https://docs.google.com/spreadsheets/d/1-3Vjw2Cyy-mry5gbC8ypIR3YVGFfEpyFESummAta6sg/edit"", ""Sheet1!B:D""), 2, FALSE), ""Not Found"")"),"plæd")</f>
        <v>plæd</v>
      </c>
      <c r="E2673" s="2" t="str">
        <f>IFERROR(__xludf.DUMMYFUNCTION("IFERROR(VLOOKUP(A2673, IMPORTRANGE(""https://docs.google.com/spreadsheets/d/1-3Vjw2Cyy-mry5gbC8ypIR3YVGFfEpyFESummAta6sg/edit"", ""Sheet1!B:D""), 3, FALSE), ""Not Found"")"),"p l æ d ")</f>
        <v>p l æ d </v>
      </c>
    </row>
    <row r="2674">
      <c r="A2674" s="1" t="s">
        <v>2677</v>
      </c>
      <c r="B2674" s="1" t="s">
        <v>5</v>
      </c>
      <c r="C2674" s="2">
        <f>IFERROR(__xludf.DUMMYFUNCTION("IFERROR(VLOOKUP(A2674, IMPORTRANGE(""https://docs.google.com/spreadsheets/d/1AVX9GT0dgogEBStecCXMMQ29tWz3gBrtNB8yIromXbY/edit?gid=741673867"", ""out1g!A:B""), 2, FALSE), 0)"),56.0)</f>
        <v>56</v>
      </c>
      <c r="D2674" s="2" t="str">
        <f>IFERROR(__xludf.DUMMYFUNCTION("IFERROR(VLOOKUP(A2674, IMPORTRANGE(""https://docs.google.com/spreadsheets/d/1-3Vjw2Cyy-mry5gbC8ypIR3YVGFfEpyFESummAta6sg/edit"", ""Sheet1!B:D""), 2, FALSE), ""Not Found"")"),"məgərz")</f>
        <v>məgərz</v>
      </c>
      <c r="E2674" s="2" t="str">
        <f>IFERROR(__xludf.DUMMYFUNCTION("IFERROR(VLOOKUP(A2674, IMPORTRANGE(""https://docs.google.com/spreadsheets/d/1-3Vjw2Cyy-mry5gbC8ypIR3YVGFfEpyFESummAta6sg/edit"", ""Sheet1!B:D""), 3, FALSE), ""Not Found"")"),"m ə g ə r z ")</f>
        <v>m ə g ə r z </v>
      </c>
    </row>
    <row r="2675">
      <c r="A2675" s="1" t="s">
        <v>2678</v>
      </c>
      <c r="B2675" s="1" t="s">
        <v>5</v>
      </c>
      <c r="C2675" s="2">
        <f>IFERROR(__xludf.DUMMYFUNCTION("IFERROR(VLOOKUP(A2675, IMPORTRANGE(""https://docs.google.com/spreadsheets/d/1AVX9GT0dgogEBStecCXMMQ29tWz3gBrtNB8yIromXbY/edit?gid=741673867"", ""out1g!A:B""), 2, FALSE), 0)"),79.0)</f>
        <v>79</v>
      </c>
      <c r="D2675" s="2" t="str">
        <f>IFERROR(__xludf.DUMMYFUNCTION("IFERROR(VLOOKUP(A2675, IMPORTRANGE(""https://docs.google.com/spreadsheets/d/1-3Vjw2Cyy-mry5gbC8ypIR3YVGFfEpyFESummAta6sg/edit"", ""Sheet1!B:D""), 2, FALSE), ""Not Found"")"),"floʊ")</f>
        <v>floʊ</v>
      </c>
      <c r="E2675" s="2" t="str">
        <f>IFERROR(__xludf.DUMMYFUNCTION("IFERROR(VLOOKUP(A2675, IMPORTRANGE(""https://docs.google.com/spreadsheets/d/1-3Vjw2Cyy-mry5gbC8ypIR3YVGFfEpyFESummAta6sg/edit"", ""Sheet1!B:D""), 3, FALSE), ""Not Found"")"),"f l o ʊ ")</f>
        <v>f l o ʊ </v>
      </c>
    </row>
    <row r="2676">
      <c r="A2676" s="1" t="s">
        <v>2679</v>
      </c>
      <c r="B2676" s="1" t="s">
        <v>5</v>
      </c>
      <c r="C2676" s="2">
        <f>IFERROR(__xludf.DUMMYFUNCTION("IFERROR(VLOOKUP(A2676, IMPORTRANGE(""https://docs.google.com/spreadsheets/d/1AVX9GT0dgogEBStecCXMMQ29tWz3gBrtNB8yIromXbY/edit?gid=741673867"", ""out1g!A:B""), 2, FALSE), 0)"),324.0)</f>
        <v>324</v>
      </c>
      <c r="D2676" s="2" t="str">
        <f>IFERROR(__xludf.DUMMYFUNCTION("IFERROR(VLOOKUP(A2676, IMPORTRANGE(""https://docs.google.com/spreadsheets/d/1-3Vjw2Cyy-mry5gbC8ypIR3YVGFfEpyFESummAta6sg/edit"", ""Sheet1!B:D""), 2, FALSE), ""Not Found"")"),"sərf")</f>
        <v>sərf</v>
      </c>
      <c r="E2676" s="2" t="str">
        <f>IFERROR(__xludf.DUMMYFUNCTION("IFERROR(VLOOKUP(A2676, IMPORTRANGE(""https://docs.google.com/spreadsheets/d/1-3Vjw2Cyy-mry5gbC8ypIR3YVGFfEpyFESummAta6sg/edit"", ""Sheet1!B:D""), 3, FALSE), ""Not Found"")"),"s ə r f ")</f>
        <v>s ə r f </v>
      </c>
    </row>
    <row r="2677">
      <c r="A2677" s="1" t="s">
        <v>2680</v>
      </c>
      <c r="B2677" s="1" t="s">
        <v>5</v>
      </c>
      <c r="C2677" s="2">
        <f>IFERROR(__xludf.DUMMYFUNCTION("IFERROR(VLOOKUP(A2677, IMPORTRANGE(""https://docs.google.com/spreadsheets/d/1AVX9GT0dgogEBStecCXMMQ29tWz3gBrtNB8yIromXbY/edit?gid=741673867"", ""out1g!A:B""), 2, FALSE), 0)"),674.0)</f>
        <v>674</v>
      </c>
      <c r="D2677" s="2" t="str">
        <f>IFERROR(__xludf.DUMMYFUNCTION("IFERROR(VLOOKUP(A2677, IMPORTRANGE(""https://docs.google.com/spreadsheets/d/1-3Vjw2Cyy-mry5gbC8ypIR3YVGFfEpyFESummAta6sg/edit"", ""Sheet1!B:D""), 2, FALSE), ""Not Found"")"),"wevz")</f>
        <v>wevz</v>
      </c>
      <c r="E2677" s="2" t="str">
        <f>IFERROR(__xludf.DUMMYFUNCTION("IFERROR(VLOOKUP(A2677, IMPORTRANGE(""https://docs.google.com/spreadsheets/d/1-3Vjw2Cyy-mry5gbC8ypIR3YVGFfEpyFESummAta6sg/edit"", ""Sheet1!B:D""), 3, FALSE), ""Not Found"")"),"w e v z ")</f>
        <v>w e v z </v>
      </c>
    </row>
    <row r="2678">
      <c r="A2678" s="1" t="s">
        <v>2681</v>
      </c>
      <c r="B2678" s="1" t="s">
        <v>5</v>
      </c>
      <c r="C2678" s="2">
        <f>IFERROR(__xludf.DUMMYFUNCTION("IFERROR(VLOOKUP(A2678, IMPORTRANGE(""https://docs.google.com/spreadsheets/d/1AVX9GT0dgogEBStecCXMMQ29tWz3gBrtNB8yIromXbY/edit?gid=741673867"", ""out1g!A:B""), 2, FALSE), 0)"),94.0)</f>
        <v>94</v>
      </c>
      <c r="D2678" s="2" t="str">
        <f>IFERROR(__xludf.DUMMYFUNCTION("IFERROR(VLOOKUP(A2678, IMPORTRANGE(""https://docs.google.com/spreadsheets/d/1-3Vjw2Cyy-mry5gbC8ypIR3YVGFfEpyFESummAta6sg/edit"", ""Sheet1!B:D""), 2, FALSE), ""Not Found"")"),"dɪb")</f>
        <v>dɪb</v>
      </c>
      <c r="E2678" s="2" t="str">
        <f>IFERROR(__xludf.DUMMYFUNCTION("IFERROR(VLOOKUP(A2678, IMPORTRANGE(""https://docs.google.com/spreadsheets/d/1-3Vjw2Cyy-mry5gbC8ypIR3YVGFfEpyFESummAta6sg/edit"", ""Sheet1!B:D""), 3, FALSE), ""Not Found"")"),"d ɪ b ")</f>
        <v>d ɪ b </v>
      </c>
    </row>
    <row r="2679">
      <c r="A2679" s="1" t="s">
        <v>2682</v>
      </c>
      <c r="B2679" s="1" t="s">
        <v>5</v>
      </c>
      <c r="C2679" s="2">
        <f>IFERROR(__xludf.DUMMYFUNCTION("IFERROR(VLOOKUP(A2679, IMPORTRANGE(""https://docs.google.com/spreadsheets/d/1AVX9GT0dgogEBStecCXMMQ29tWz3gBrtNB8yIromXbY/edit?gid=741673867"", ""out1g!A:B""), 2, FALSE), 0)"),669.0)</f>
        <v>669</v>
      </c>
      <c r="D2679" s="2" t="str">
        <f>IFERROR(__xludf.DUMMYFUNCTION("IFERROR(VLOOKUP(A2679, IMPORTRANGE(""https://docs.google.com/spreadsheets/d/1-3Vjw2Cyy-mry5gbC8ypIR3YVGFfEpyFESummAta6sg/edit"", ""Sheet1!B:D""), 2, FALSE), ""Not Found"")"),"hʊkt")</f>
        <v>hʊkt</v>
      </c>
      <c r="E2679" s="2" t="str">
        <f>IFERROR(__xludf.DUMMYFUNCTION("IFERROR(VLOOKUP(A2679, IMPORTRANGE(""https://docs.google.com/spreadsheets/d/1-3Vjw2Cyy-mry5gbC8ypIR3YVGFfEpyFESummAta6sg/edit"", ""Sheet1!B:D""), 3, FALSE), ""Not Found"")"),"h ʊ k t ")</f>
        <v>h ʊ k t </v>
      </c>
    </row>
    <row r="2680">
      <c r="A2680" s="1" t="s">
        <v>2683</v>
      </c>
      <c r="B2680" s="1" t="s">
        <v>5</v>
      </c>
      <c r="C2680" s="2">
        <f>IFERROR(__xludf.DUMMYFUNCTION("IFERROR(VLOOKUP(A2680, IMPORTRANGE(""https://docs.google.com/spreadsheets/d/1AVX9GT0dgogEBStecCXMMQ29tWz3gBrtNB8yIromXbY/edit?gid=741673867"", ""out1g!A:B""), 2, FALSE), 0)"),47.0)</f>
        <v>47</v>
      </c>
      <c r="D2680" s="2" t="str">
        <f>IFERROR(__xludf.DUMMYFUNCTION("IFERROR(VLOOKUP(A2680, IMPORTRANGE(""https://docs.google.com/spreadsheets/d/1-3Vjw2Cyy-mry5gbC8ypIR3YVGFfEpyFESummAta6sg/edit"", ""Sheet1!B:D""), 2, FALSE), ""Not Found"")"),"bɪnʤ")</f>
        <v>bɪnʤ</v>
      </c>
      <c r="E2680" s="2" t="str">
        <f>IFERROR(__xludf.DUMMYFUNCTION("IFERROR(VLOOKUP(A2680, IMPORTRANGE(""https://docs.google.com/spreadsheets/d/1-3Vjw2Cyy-mry5gbC8ypIR3YVGFfEpyFESummAta6sg/edit"", ""Sheet1!B:D""), 3, FALSE), ""Not Found"")"),"b ɪ n ʤ ")</f>
        <v>b ɪ n ʤ </v>
      </c>
    </row>
    <row r="2681">
      <c r="A2681" s="1" t="s">
        <v>2684</v>
      </c>
      <c r="B2681" s="1" t="s">
        <v>5</v>
      </c>
      <c r="C2681" s="2">
        <f>IFERROR(__xludf.DUMMYFUNCTION("IFERROR(VLOOKUP(A2681, IMPORTRANGE(""https://docs.google.com/spreadsheets/d/1AVX9GT0dgogEBStecCXMMQ29tWz3gBrtNB8yIromXbY/edit?gid=741673867"", ""out1g!A:B""), 2, FALSE), 0)"),1039.0)</f>
        <v>1039</v>
      </c>
      <c r="D2681" s="2" t="str">
        <f>IFERROR(__xludf.DUMMYFUNCTION("IFERROR(VLOOKUP(A2681, IMPORTRANGE(""https://docs.google.com/spreadsheets/d/1-3Vjw2Cyy-mry5gbC8ypIR3YVGFfEpyFESummAta6sg/edit"", ""Sheet1!B:D""), 2, FALSE), ""Not Found"")"),"buθ")</f>
        <v>buθ</v>
      </c>
      <c r="E2681" s="2" t="str">
        <f>IFERROR(__xludf.DUMMYFUNCTION("IFERROR(VLOOKUP(A2681, IMPORTRANGE(""https://docs.google.com/spreadsheets/d/1-3Vjw2Cyy-mry5gbC8ypIR3YVGFfEpyFESummAta6sg/edit"", ""Sheet1!B:D""), 3, FALSE), ""Not Found"")"),"b u θ ")</f>
        <v>b u θ </v>
      </c>
    </row>
    <row r="2682">
      <c r="A2682" s="1" t="s">
        <v>2685</v>
      </c>
      <c r="B2682" s="1" t="s">
        <v>5</v>
      </c>
      <c r="C2682" s="2">
        <f>IFERROR(__xludf.DUMMYFUNCTION("IFERROR(VLOOKUP(A2682, IMPORTRANGE(""https://docs.google.com/spreadsheets/d/1AVX9GT0dgogEBStecCXMMQ29tWz3gBrtNB8yIromXbY/edit?gid=741673867"", ""out1g!A:B""), 2, FALSE), 0)"),92.0)</f>
        <v>92</v>
      </c>
      <c r="D2682" s="2" t="str">
        <f>IFERROR(__xludf.DUMMYFUNCTION("IFERROR(VLOOKUP(A2682, IMPORTRANGE(""https://docs.google.com/spreadsheets/d/1-3Vjw2Cyy-mry5gbC8ypIR3YVGFfEpyFESummAta6sg/edit"", ""Sheet1!B:D""), 2, FALSE), ""Not Found"")"),"grɔɪn")</f>
        <v>grɔɪn</v>
      </c>
      <c r="E2682" s="2" t="str">
        <f>IFERROR(__xludf.DUMMYFUNCTION("IFERROR(VLOOKUP(A2682, IMPORTRANGE(""https://docs.google.com/spreadsheets/d/1-3Vjw2Cyy-mry5gbC8ypIR3YVGFfEpyFESummAta6sg/edit"", ""Sheet1!B:D""), 3, FALSE), ""Not Found"")"),"g r ɔ ɪ n ")</f>
        <v>g r ɔ ɪ n </v>
      </c>
    </row>
    <row r="2683">
      <c r="A2683" s="1" t="s">
        <v>2686</v>
      </c>
      <c r="B2683" s="1" t="s">
        <v>5</v>
      </c>
      <c r="C2683" s="2">
        <f>IFERROR(__xludf.DUMMYFUNCTION("IFERROR(VLOOKUP(A2683, IMPORTRANGE(""https://docs.google.com/spreadsheets/d/1AVX9GT0dgogEBStecCXMMQ29tWz3gBrtNB8yIromXbY/edit?gid=741673867"", ""out1g!A:B""), 2, FALSE), 0)"),222.0)</f>
        <v>222</v>
      </c>
      <c r="D2683" s="2" t="str">
        <f>IFERROR(__xludf.DUMMYFUNCTION("IFERROR(VLOOKUP(A2683, IMPORTRANGE(""https://docs.google.com/spreadsheets/d/1-3Vjw2Cyy-mry5gbC8ypIR3YVGFfEpyFESummAta6sg/edit"", ""Sheet1!B:D""), 2, FALSE), ""Not Found"")"),"sletər")</f>
        <v>sletər</v>
      </c>
      <c r="E2683" s="2" t="str">
        <f>IFERROR(__xludf.DUMMYFUNCTION("IFERROR(VLOOKUP(A2683, IMPORTRANGE(""https://docs.google.com/spreadsheets/d/1-3Vjw2Cyy-mry5gbC8ypIR3YVGFfEpyFESummAta6sg/edit"", ""Sheet1!B:D""), 3, FALSE), ""Not Found"")"),"s l e t ə r ")</f>
        <v>s l e t ə r </v>
      </c>
    </row>
    <row r="2684">
      <c r="A2684" s="1" t="s">
        <v>2687</v>
      </c>
      <c r="B2684" s="1" t="s">
        <v>5</v>
      </c>
      <c r="C2684" s="2">
        <f>IFERROR(__xludf.DUMMYFUNCTION("IFERROR(VLOOKUP(A2684, IMPORTRANGE(""https://docs.google.com/spreadsheets/d/1AVX9GT0dgogEBStecCXMMQ29tWz3gBrtNB8yIromXbY/edit?gid=741673867"", ""out1g!A:B""), 2, FALSE), 0)"),205.0)</f>
        <v>205</v>
      </c>
      <c r="D2684" s="2" t="str">
        <f>IFERROR(__xludf.DUMMYFUNCTION("IFERROR(VLOOKUP(A2684, IMPORTRANGE(""https://docs.google.com/spreadsheets/d/1-3Vjw2Cyy-mry5gbC8ypIR3YVGFfEpyFESummAta6sg/edit"", ""Sheet1!B:D""), 2, FALSE), ""Not Found"")"),"mɑr")</f>
        <v>mɑr</v>
      </c>
      <c r="E2684" s="2" t="str">
        <f>IFERROR(__xludf.DUMMYFUNCTION("IFERROR(VLOOKUP(A2684, IMPORTRANGE(""https://docs.google.com/spreadsheets/d/1-3Vjw2Cyy-mry5gbC8ypIR3YVGFfEpyFESummAta6sg/edit"", ""Sheet1!B:D""), 3, FALSE), ""Not Found"")"),"m ɑ r ")</f>
        <v>m ɑ r </v>
      </c>
    </row>
    <row r="2685">
      <c r="A2685" s="1" t="s">
        <v>2688</v>
      </c>
      <c r="B2685" s="1" t="s">
        <v>5</v>
      </c>
      <c r="C2685" s="2">
        <f>IFERROR(__xludf.DUMMYFUNCTION("IFERROR(VLOOKUP(A2685, IMPORTRANGE(""https://docs.google.com/spreadsheets/d/1AVX9GT0dgogEBStecCXMMQ29tWz3gBrtNB8yIromXbY/edit?gid=741673867"", ""out1g!A:B""), 2, FALSE), 0)"),1847.0)</f>
        <v>1847</v>
      </c>
      <c r="D2685" s="2" t="str">
        <f>IFERROR(__xludf.DUMMYFUNCTION("IFERROR(VLOOKUP(A2685, IMPORTRANGE(""https://docs.google.com/spreadsheets/d/1-3Vjw2Cyy-mry5gbC8ypIR3YVGFfEpyFESummAta6sg/edit"", ""Sheet1!B:D""), 2, FALSE), ""Not Found"")"),"pre")</f>
        <v>pre</v>
      </c>
      <c r="E2685" s="2" t="str">
        <f>IFERROR(__xludf.DUMMYFUNCTION("IFERROR(VLOOKUP(A2685, IMPORTRANGE(""https://docs.google.com/spreadsheets/d/1-3Vjw2Cyy-mry5gbC8ypIR3YVGFfEpyFESummAta6sg/edit"", ""Sheet1!B:D""), 3, FALSE), ""Not Found"")"),"p r e ")</f>
        <v>p r e </v>
      </c>
    </row>
    <row r="2686">
      <c r="A2686" s="1" t="s">
        <v>2689</v>
      </c>
      <c r="B2686" s="1" t="s">
        <v>5</v>
      </c>
      <c r="C2686" s="2">
        <f>IFERROR(__xludf.DUMMYFUNCTION("IFERROR(VLOOKUP(A2686, IMPORTRANGE(""https://docs.google.com/spreadsheets/d/1AVX9GT0dgogEBStecCXMMQ29tWz3gBrtNB8yIromXbY/edit?gid=741673867"", ""out1g!A:B""), 2, FALSE), 0)"),96.0)</f>
        <v>96</v>
      </c>
      <c r="D2686" s="2" t="str">
        <f>IFERROR(__xludf.DUMMYFUNCTION("IFERROR(VLOOKUP(A2686, IMPORTRANGE(""https://docs.google.com/spreadsheets/d/1-3Vjw2Cyy-mry5gbC8ypIR3YVGFfEpyFESummAta6sg/edit"", ""Sheet1!B:D""), 2, FALSE), ""Not Found"")"),"rɪdli")</f>
        <v>rɪdli</v>
      </c>
      <c r="E2686" s="2" t="str">
        <f>IFERROR(__xludf.DUMMYFUNCTION("IFERROR(VLOOKUP(A2686, IMPORTRANGE(""https://docs.google.com/spreadsheets/d/1-3Vjw2Cyy-mry5gbC8ypIR3YVGFfEpyFESummAta6sg/edit"", ""Sheet1!B:D""), 3, FALSE), ""Not Found"")"),"r ɪ d l i ")</f>
        <v>r ɪ d l i </v>
      </c>
    </row>
    <row r="2687">
      <c r="A2687" s="1" t="s">
        <v>2690</v>
      </c>
      <c r="B2687" s="1" t="s">
        <v>5</v>
      </c>
      <c r="C2687" s="2">
        <f>IFERROR(__xludf.DUMMYFUNCTION("IFERROR(VLOOKUP(A2687, IMPORTRANGE(""https://docs.google.com/spreadsheets/d/1AVX9GT0dgogEBStecCXMMQ29tWz3gBrtNB8yIromXbY/edit?gid=741673867"", ""out1g!A:B""), 2, FALSE), 0)"),66.0)</f>
        <v>66</v>
      </c>
      <c r="D2687" s="2" t="str">
        <f>IFERROR(__xludf.DUMMYFUNCTION("IFERROR(VLOOKUP(A2687, IMPORTRANGE(""https://docs.google.com/spreadsheets/d/1-3Vjw2Cyy-mry5gbC8ypIR3YVGFfEpyFESummAta6sg/edit"", ""Sheet1!B:D""), 2, FALSE), ""Not Found"")"),"mænd")</f>
        <v>mænd</v>
      </c>
      <c r="E2687" s="2" t="str">
        <f>IFERROR(__xludf.DUMMYFUNCTION("IFERROR(VLOOKUP(A2687, IMPORTRANGE(""https://docs.google.com/spreadsheets/d/1-3Vjw2Cyy-mry5gbC8ypIR3YVGFfEpyFESummAta6sg/edit"", ""Sheet1!B:D""), 3, FALSE), ""Not Found"")"),"m æ n d ")</f>
        <v>m æ n d </v>
      </c>
    </row>
    <row r="2688">
      <c r="A2688" s="1" t="s">
        <v>2691</v>
      </c>
      <c r="B2688" s="1" t="s">
        <v>5</v>
      </c>
      <c r="C2688" s="2">
        <f>IFERROR(__xludf.DUMMYFUNCTION("IFERROR(VLOOKUP(A2688, IMPORTRANGE(""https://docs.google.com/spreadsheets/d/1AVX9GT0dgogEBStecCXMMQ29tWz3gBrtNB8yIromXbY/edit?gid=741673867"", ""out1g!A:B""), 2, FALSE), 0)"),3258.0)</f>
        <v>3258</v>
      </c>
      <c r="D2688" s="2" t="str">
        <f>IFERROR(__xludf.DUMMYFUNCTION("IFERROR(VLOOKUP(A2688, IMPORTRANGE(""https://docs.google.com/spreadsheets/d/1-3Vjw2Cyy-mry5gbC8ypIR3YVGFfEpyFESummAta6sg/edit"", ""Sheet1!B:D""), 2, FALSE), ""Not Found"")"),"nɔrθ")</f>
        <v>nɔrθ</v>
      </c>
      <c r="E2688" s="2" t="str">
        <f>IFERROR(__xludf.DUMMYFUNCTION("IFERROR(VLOOKUP(A2688, IMPORTRANGE(""https://docs.google.com/spreadsheets/d/1-3Vjw2Cyy-mry5gbC8ypIR3YVGFfEpyFESummAta6sg/edit"", ""Sheet1!B:D""), 3, FALSE), ""Not Found"")"),"n ɔ r θ ")</f>
        <v>n ɔ r θ </v>
      </c>
    </row>
    <row r="2689">
      <c r="A2689" s="1" t="s">
        <v>2692</v>
      </c>
      <c r="B2689" s="1" t="s">
        <v>5</v>
      </c>
      <c r="C2689" s="2">
        <f>IFERROR(__xludf.DUMMYFUNCTION("IFERROR(VLOOKUP(A2689, IMPORTRANGE(""https://docs.google.com/spreadsheets/d/1AVX9GT0dgogEBStecCXMMQ29tWz3gBrtNB8yIromXbY/edit?gid=741673867"", ""out1g!A:B""), 2, FALSE), 0)"),47.0)</f>
        <v>47</v>
      </c>
      <c r="D2689" s="2" t="str">
        <f>IFERROR(__xludf.DUMMYFUNCTION("IFERROR(VLOOKUP(A2689, IMPORTRANGE(""https://docs.google.com/spreadsheets/d/1-3Vjw2Cyy-mry5gbC8ypIR3YVGFfEpyFESummAta6sg/edit"", ""Sheet1!B:D""), 2, FALSE), ""Not Found"")"),"fɑndu")</f>
        <v>fɑndu</v>
      </c>
      <c r="E2689" s="2" t="str">
        <f>IFERROR(__xludf.DUMMYFUNCTION("IFERROR(VLOOKUP(A2689, IMPORTRANGE(""https://docs.google.com/spreadsheets/d/1-3Vjw2Cyy-mry5gbC8ypIR3YVGFfEpyFESummAta6sg/edit"", ""Sheet1!B:D""), 3, FALSE), ""Not Found"")"),"f ɑ n d u ")</f>
        <v>f ɑ n d u </v>
      </c>
    </row>
    <row r="2690">
      <c r="A2690" s="1" t="s">
        <v>2693</v>
      </c>
      <c r="B2690" s="1" t="s">
        <v>5</v>
      </c>
      <c r="C2690" s="2">
        <f>IFERROR(__xludf.DUMMYFUNCTION("IFERROR(VLOOKUP(A2690, IMPORTRANGE(""https://docs.google.com/spreadsheets/d/1AVX9GT0dgogEBStecCXMMQ29tWz3gBrtNB8yIromXbY/edit?gid=741673867"", ""out1g!A:B""), 2, FALSE), 0)"),68.0)</f>
        <v>68</v>
      </c>
      <c r="D2690" s="2" t="str">
        <f>IFERROR(__xludf.DUMMYFUNCTION("IFERROR(VLOOKUP(A2690, IMPORTRANGE(""https://docs.google.com/spreadsheets/d/1-3Vjw2Cyy-mry5gbC8ypIR3YVGFfEpyFESummAta6sg/edit"", ""Sheet1!B:D""), 2, FALSE), ""Not Found"")"),"klæʃ")</f>
        <v>klæʃ</v>
      </c>
      <c r="E2690" s="2" t="str">
        <f>IFERROR(__xludf.DUMMYFUNCTION("IFERROR(VLOOKUP(A2690, IMPORTRANGE(""https://docs.google.com/spreadsheets/d/1-3Vjw2Cyy-mry5gbC8ypIR3YVGFfEpyFESummAta6sg/edit"", ""Sheet1!B:D""), 3, FALSE), ""Not Found"")"),"k l æ ʃ ")</f>
        <v>k l æ ʃ </v>
      </c>
    </row>
    <row r="2691">
      <c r="A2691" s="1" t="s">
        <v>2694</v>
      </c>
      <c r="B2691" s="1" t="s">
        <v>5</v>
      </c>
      <c r="C2691" s="2">
        <f>IFERROR(__xludf.DUMMYFUNCTION("IFERROR(VLOOKUP(A2691, IMPORTRANGE(""https://docs.google.com/spreadsheets/d/1AVX9GT0dgogEBStecCXMMQ29tWz3gBrtNB8yIromXbY/edit?gid=741673867"", ""out1g!A:B""), 2, FALSE), 0)"),1902.0)</f>
        <v>1902</v>
      </c>
      <c r="D2691" s="2" t="str">
        <f>IFERROR(__xludf.DUMMYFUNCTION("IFERROR(VLOOKUP(A2691, IMPORTRANGE(""https://docs.google.com/spreadsheets/d/1-3Vjw2Cyy-mry5gbC8ypIR3YVGFfEpyFESummAta6sg/edit"", ""Sheet1!B:D""), 2, FALSE), ""Not Found"")"),"plænɪŋ")</f>
        <v>plænɪŋ</v>
      </c>
      <c r="E2691" s="2" t="str">
        <f>IFERROR(__xludf.DUMMYFUNCTION("IFERROR(VLOOKUP(A2691, IMPORTRANGE(""https://docs.google.com/spreadsheets/d/1-3Vjw2Cyy-mry5gbC8ypIR3YVGFfEpyFESummAta6sg/edit"", ""Sheet1!B:D""), 3, FALSE), ""Not Found"")"),"p l æ n ɪ ŋ ")</f>
        <v>p l æ n ɪ ŋ </v>
      </c>
    </row>
    <row r="2692">
      <c r="A2692" s="1" t="s">
        <v>2695</v>
      </c>
      <c r="B2692" s="1" t="s">
        <v>5</v>
      </c>
      <c r="C2692" s="2">
        <f>IFERROR(__xludf.DUMMYFUNCTION("IFERROR(VLOOKUP(A2692, IMPORTRANGE(""https://docs.google.com/spreadsheets/d/1AVX9GT0dgogEBStecCXMMQ29tWz3gBrtNB8yIromXbY/edit?gid=741673867"", ""out1g!A:B""), 2, FALSE), 0)"),49.0)</f>
        <v>49</v>
      </c>
      <c r="D2692" s="2" t="str">
        <f>IFERROR(__xludf.DUMMYFUNCTION("IFERROR(VLOOKUP(A2692, IMPORTRANGE(""https://docs.google.com/spreadsheets/d/1-3Vjw2Cyy-mry5gbC8ypIR3YVGFfEpyFESummAta6sg/edit"", ""Sheet1!B:D""), 2, FALSE), ""Not Found"")"),"tk")</f>
        <v>tk</v>
      </c>
      <c r="E2692" s="2" t="str">
        <f>IFERROR(__xludf.DUMMYFUNCTION("IFERROR(VLOOKUP(A2692, IMPORTRANGE(""https://docs.google.com/spreadsheets/d/1-3Vjw2Cyy-mry5gbC8ypIR3YVGFfEpyFESummAta6sg/edit"", ""Sheet1!B:D""), 3, FALSE), ""Not Found"")"),"t k ")</f>
        <v>t k </v>
      </c>
    </row>
    <row r="2693">
      <c r="A2693" s="1" t="s">
        <v>2696</v>
      </c>
      <c r="B2693" s="1" t="s">
        <v>5</v>
      </c>
      <c r="C2693" s="2">
        <f>IFERROR(__xludf.DUMMYFUNCTION("IFERROR(VLOOKUP(A2693, IMPORTRANGE(""https://docs.google.com/spreadsheets/d/1AVX9GT0dgogEBStecCXMMQ29tWz3gBrtNB8yIromXbY/edit?gid=741673867"", ""out1g!A:B""), 2, FALSE), 0)"),19.0)</f>
        <v>19</v>
      </c>
      <c r="D2693" s="2" t="str">
        <f>IFERROR(__xludf.DUMMYFUNCTION("IFERROR(VLOOKUP(A2693, IMPORTRANGE(""https://docs.google.com/spreadsheets/d/1-3Vjw2Cyy-mry5gbC8ypIR3YVGFfEpyFESummAta6sg/edit"", ""Sheet1!B:D""), 2, FALSE), ""Not Found"")"),"ɔɪz")</f>
        <v>ɔɪz</v>
      </c>
      <c r="E2693" s="2" t="str">
        <f>IFERROR(__xludf.DUMMYFUNCTION("IFERROR(VLOOKUP(A2693, IMPORTRANGE(""https://docs.google.com/spreadsheets/d/1-3Vjw2Cyy-mry5gbC8ypIR3YVGFfEpyFESummAta6sg/edit"", ""Sheet1!B:D""), 3, FALSE), ""Not Found"")"),"ɔ ɪ z ")</f>
        <v>ɔ ɪ z </v>
      </c>
    </row>
    <row r="2694">
      <c r="A2694" s="1" t="s">
        <v>2697</v>
      </c>
      <c r="B2694" s="1" t="s">
        <v>5</v>
      </c>
      <c r="C2694" s="2">
        <f>IFERROR(__xludf.DUMMYFUNCTION("IFERROR(VLOOKUP(A2694, IMPORTRANGE(""https://docs.google.com/spreadsheets/d/1AVX9GT0dgogEBStecCXMMQ29tWz3gBrtNB8yIromXbY/edit?gid=741673867"", ""out1g!A:B""), 2, FALSE), 0)"),81.0)</f>
        <v>81</v>
      </c>
      <c r="D2694" s="2" t="str">
        <f>IFERROR(__xludf.DUMMYFUNCTION("IFERROR(VLOOKUP(A2694, IMPORTRANGE(""https://docs.google.com/spreadsheets/d/1-3Vjw2Cyy-mry5gbC8ypIR3YVGFfEpyFESummAta6sg/edit"", ""Sheet1!B:D""), 2, FALSE), ""Not Found"")"),"livaɪ")</f>
        <v>livaɪ</v>
      </c>
      <c r="E2694" s="2" t="str">
        <f>IFERROR(__xludf.DUMMYFUNCTION("IFERROR(VLOOKUP(A2694, IMPORTRANGE(""https://docs.google.com/spreadsheets/d/1-3Vjw2Cyy-mry5gbC8ypIR3YVGFfEpyFESummAta6sg/edit"", ""Sheet1!B:D""), 3, FALSE), ""Not Found"")"),"l i v a ɪ ")</f>
        <v>l i v a ɪ </v>
      </c>
    </row>
    <row r="2695">
      <c r="A2695" s="1" t="s">
        <v>2698</v>
      </c>
      <c r="B2695" s="1" t="s">
        <v>5</v>
      </c>
      <c r="C2695" s="2">
        <f>IFERROR(__xludf.DUMMYFUNCTION("IFERROR(VLOOKUP(A2695, IMPORTRANGE(""https://docs.google.com/spreadsheets/d/1AVX9GT0dgogEBStecCXMMQ29tWz3gBrtNB8yIromXbY/edit?gid=741673867"", ""out1g!A:B""), 2, FALSE), 0)"),412.0)</f>
        <v>412</v>
      </c>
      <c r="D2695" s="2" t="str">
        <f>IFERROR(__xludf.DUMMYFUNCTION("IFERROR(VLOOKUP(A2695, IMPORTRANGE(""https://docs.google.com/spreadsheets/d/1-3Vjw2Cyy-mry5gbC8ypIR3YVGFfEpyFESummAta6sg/edit"", ""Sheet1!B:D""), 2, FALSE), ""Not Found"")"),"mɑmə")</f>
        <v>mɑmə</v>
      </c>
      <c r="E2695" s="2" t="str">
        <f>IFERROR(__xludf.DUMMYFUNCTION("IFERROR(VLOOKUP(A2695, IMPORTRANGE(""https://docs.google.com/spreadsheets/d/1-3Vjw2Cyy-mry5gbC8ypIR3YVGFfEpyFESummAta6sg/edit"", ""Sheet1!B:D""), 3, FALSE), ""Not Found"")"),"m ɑ m ə ")</f>
        <v>m ɑ m ə </v>
      </c>
    </row>
    <row r="2696">
      <c r="A2696" s="1" t="s">
        <v>2699</v>
      </c>
      <c r="B2696" s="1" t="s">
        <v>5</v>
      </c>
      <c r="C2696" s="2">
        <f>IFERROR(__xludf.DUMMYFUNCTION("IFERROR(VLOOKUP(A2696, IMPORTRANGE(""https://docs.google.com/spreadsheets/d/1AVX9GT0dgogEBStecCXMMQ29tWz3gBrtNB8yIromXbY/edit?gid=741673867"", ""out1g!A:B""), 2, FALSE), 0)"),86.0)</f>
        <v>86</v>
      </c>
      <c r="D2696" s="2" t="str">
        <f>IFERROR(__xludf.DUMMYFUNCTION("IFERROR(VLOOKUP(A2696, IMPORTRANGE(""https://docs.google.com/spreadsheets/d/1-3Vjw2Cyy-mry5gbC8ypIR3YVGFfEpyFESummAta6sg/edit"", ""Sheet1!B:D""), 2, FALSE), ""Not Found"")"),"wi")</f>
        <v>wi</v>
      </c>
      <c r="E2696" s="2" t="str">
        <f>IFERROR(__xludf.DUMMYFUNCTION("IFERROR(VLOOKUP(A2696, IMPORTRANGE(""https://docs.google.com/spreadsheets/d/1-3Vjw2Cyy-mry5gbC8ypIR3YVGFfEpyFESummAta6sg/edit"", ""Sheet1!B:D""), 3, FALSE), ""Not Found"")"),"w i ")</f>
        <v>w i </v>
      </c>
    </row>
    <row r="2697">
      <c r="A2697" s="1" t="s">
        <v>2700</v>
      </c>
      <c r="B2697" s="1" t="s">
        <v>5</v>
      </c>
      <c r="C2697" s="2">
        <f>IFERROR(__xludf.DUMMYFUNCTION("IFERROR(VLOOKUP(A2697, IMPORTRANGE(""https://docs.google.com/spreadsheets/d/1AVX9GT0dgogEBStecCXMMQ29tWz3gBrtNB8yIromXbY/edit?gid=741673867"", ""out1g!A:B""), 2, FALSE), 0)"),3034.0)</f>
        <v>3034</v>
      </c>
      <c r="D2697" s="2" t="str">
        <f>IFERROR(__xludf.DUMMYFUNCTION("IFERROR(VLOOKUP(A2697, IMPORTRANGE(""https://docs.google.com/spreadsheets/d/1-3Vjw2Cyy-mry5gbC8ypIR3YVGFfEpyFESummAta6sg/edit"", ""Sheet1!B:D""), 2, FALSE), ""Not Found"")"),"groʊ")</f>
        <v>groʊ</v>
      </c>
      <c r="E2697" s="2" t="str">
        <f>IFERROR(__xludf.DUMMYFUNCTION("IFERROR(VLOOKUP(A2697, IMPORTRANGE(""https://docs.google.com/spreadsheets/d/1-3Vjw2Cyy-mry5gbC8ypIR3YVGFfEpyFESummAta6sg/edit"", ""Sheet1!B:D""), 3, FALSE), ""Not Found"")"),"g r o ʊ ")</f>
        <v>g r o ʊ </v>
      </c>
    </row>
    <row r="2698">
      <c r="A2698" s="1" t="s">
        <v>2701</v>
      </c>
      <c r="B2698" s="1" t="s">
        <v>5</v>
      </c>
      <c r="C2698" s="2">
        <f>IFERROR(__xludf.DUMMYFUNCTION("IFERROR(VLOOKUP(A2698, IMPORTRANGE(""https://docs.google.com/spreadsheets/d/1AVX9GT0dgogEBStecCXMMQ29tWz3gBrtNB8yIromXbY/edit?gid=741673867"", ""out1g!A:B""), 2, FALSE), 0)"),1781.0)</f>
        <v>1781</v>
      </c>
      <c r="D2698" s="2" t="str">
        <f>IFERROR(__xludf.DUMMYFUNCTION("IFERROR(VLOOKUP(A2698, IMPORTRANGE(""https://docs.google.com/spreadsheets/d/1-3Vjw2Cyy-mry5gbC8ypIR3YVGFfEpyFESummAta6sg/edit"", ""Sheet1!B:D""), 2, FALSE), ""Not Found"")"),"ərɛstɪd")</f>
        <v>ərɛstɪd</v>
      </c>
      <c r="E2698" s="2" t="str">
        <f>IFERROR(__xludf.DUMMYFUNCTION("IFERROR(VLOOKUP(A2698, IMPORTRANGE(""https://docs.google.com/spreadsheets/d/1-3Vjw2Cyy-mry5gbC8ypIR3YVGFfEpyFESummAta6sg/edit"", ""Sheet1!B:D""), 3, FALSE), ""Not Found"")"),"ə r ɛ s t ɪ d ")</f>
        <v>ə r ɛ s t ɪ d </v>
      </c>
    </row>
    <row r="2699">
      <c r="A2699" s="1" t="s">
        <v>2702</v>
      </c>
      <c r="B2699" s="1" t="s">
        <v>5</v>
      </c>
      <c r="C2699" s="2">
        <f>IFERROR(__xludf.DUMMYFUNCTION("IFERROR(VLOOKUP(A2699, IMPORTRANGE(""https://docs.google.com/spreadsheets/d/1AVX9GT0dgogEBStecCXMMQ29tWz3gBrtNB8yIromXbY/edit?gid=741673867"", ""out1g!A:B""), 2, FALSE), 0)"),1313.0)</f>
        <v>1313</v>
      </c>
      <c r="D2699" s="2" t="str">
        <f>IFERROR(__xludf.DUMMYFUNCTION("IFERROR(VLOOKUP(A2699, IMPORTRANGE(""https://docs.google.com/spreadsheets/d/1-3Vjw2Cyy-mry5gbC8ypIR3YVGFfEpyFESummAta6sg/edit"", ""Sheet1!B:D""), 2, FALSE), ""Not Found"")"),"pɪrs")</f>
        <v>pɪrs</v>
      </c>
      <c r="E2699" s="2" t="str">
        <f>IFERROR(__xludf.DUMMYFUNCTION("IFERROR(VLOOKUP(A2699, IMPORTRANGE(""https://docs.google.com/spreadsheets/d/1-3Vjw2Cyy-mry5gbC8ypIR3YVGFfEpyFESummAta6sg/edit"", ""Sheet1!B:D""), 3, FALSE), ""Not Found"")"),"p ɪ r s ")</f>
        <v>p ɪ r s </v>
      </c>
    </row>
    <row r="2700">
      <c r="A2700" s="1" t="s">
        <v>2703</v>
      </c>
      <c r="B2700" s="1" t="s">
        <v>5</v>
      </c>
      <c r="C2700" s="2">
        <f>IFERROR(__xludf.DUMMYFUNCTION("IFERROR(VLOOKUP(A2700, IMPORTRANGE(""https://docs.google.com/spreadsheets/d/1AVX9GT0dgogEBStecCXMMQ29tWz3gBrtNB8yIromXbY/edit?gid=741673867"", ""out1g!A:B""), 2, FALSE), 0)"),847.0)</f>
        <v>847</v>
      </c>
      <c r="D2700" s="2" t="str">
        <f>IFERROR(__xludf.DUMMYFUNCTION("IFERROR(VLOOKUP(A2700, IMPORTRANGE(""https://docs.google.com/spreadsheets/d/1-3Vjw2Cyy-mry5gbC8ypIR3YVGFfEpyFESummAta6sg/edit"", ""Sheet1!B:D""), 2, FALSE), ""Not Found"")"),"stek")</f>
        <v>stek</v>
      </c>
      <c r="E2700" s="2" t="str">
        <f>IFERROR(__xludf.DUMMYFUNCTION("IFERROR(VLOOKUP(A2700, IMPORTRANGE(""https://docs.google.com/spreadsheets/d/1-3Vjw2Cyy-mry5gbC8ypIR3YVGFfEpyFESummAta6sg/edit"", ""Sheet1!B:D""), 3, FALSE), ""Not Found"")"),"s t e k ")</f>
        <v>s t e k </v>
      </c>
    </row>
    <row r="2701">
      <c r="A2701" s="1" t="s">
        <v>2704</v>
      </c>
      <c r="B2701" s="1" t="s">
        <v>5</v>
      </c>
      <c r="C2701" s="2">
        <f>IFERROR(__xludf.DUMMYFUNCTION("IFERROR(VLOOKUP(A2701, IMPORTRANGE(""https://docs.google.com/spreadsheets/d/1AVX9GT0dgogEBStecCXMMQ29tWz3gBrtNB8yIromXbY/edit?gid=741673867"", ""out1g!A:B""), 2, FALSE), 0)"),51.0)</f>
        <v>51</v>
      </c>
      <c r="D2701" s="2" t="str">
        <f>IFERROR(__xludf.DUMMYFUNCTION("IFERROR(VLOOKUP(A2701, IMPORTRANGE(""https://docs.google.com/spreadsheets/d/1-3Vjw2Cyy-mry5gbC8ypIR3YVGFfEpyFESummAta6sg/edit"", ""Sheet1!B:D""), 2, FALSE), ""Not Found"")"),"wæksɪŋ")</f>
        <v>wæksɪŋ</v>
      </c>
      <c r="E2701" s="2" t="str">
        <f>IFERROR(__xludf.DUMMYFUNCTION("IFERROR(VLOOKUP(A2701, IMPORTRANGE(""https://docs.google.com/spreadsheets/d/1-3Vjw2Cyy-mry5gbC8ypIR3YVGFfEpyFESummAta6sg/edit"", ""Sheet1!B:D""), 3, FALSE), ""Not Found"")"),"w æ k s ɪ ŋ ")</f>
        <v>w æ k s ɪ ŋ </v>
      </c>
    </row>
    <row r="2702">
      <c r="A2702" s="1" t="s">
        <v>2705</v>
      </c>
      <c r="B2702" s="1" t="s">
        <v>5</v>
      </c>
      <c r="C2702" s="2">
        <f>IFERROR(__xludf.DUMMYFUNCTION("IFERROR(VLOOKUP(A2702, IMPORTRANGE(""https://docs.google.com/spreadsheets/d/1AVX9GT0dgogEBStecCXMMQ29tWz3gBrtNB8yIromXbY/edit?gid=741673867"", ""out1g!A:B""), 2, FALSE), 0)"),47.0)</f>
        <v>47</v>
      </c>
      <c r="D2702" s="2" t="str">
        <f>IFERROR(__xludf.DUMMYFUNCTION("IFERROR(VLOOKUP(A2702, IMPORTRANGE(""https://docs.google.com/spreadsheets/d/1-3Vjw2Cyy-mry5gbC8ypIR3YVGFfEpyFESummAta6sg/edit"", ""Sheet1!B:D""), 2, FALSE), ""Not Found"")"),"ləkt")</f>
        <v>ləkt</v>
      </c>
      <c r="E2702" s="2" t="str">
        <f>IFERROR(__xludf.DUMMYFUNCTION("IFERROR(VLOOKUP(A2702, IMPORTRANGE(""https://docs.google.com/spreadsheets/d/1-3Vjw2Cyy-mry5gbC8ypIR3YVGFfEpyFESummAta6sg/edit"", ""Sheet1!B:D""), 3, FALSE), ""Not Found"")"),"l ə k t ")</f>
        <v>l ə k t </v>
      </c>
    </row>
    <row r="2703">
      <c r="A2703" s="1" t="s">
        <v>2706</v>
      </c>
      <c r="B2703" s="1" t="s">
        <v>5</v>
      </c>
      <c r="C2703" s="2">
        <f>IFERROR(__xludf.DUMMYFUNCTION("IFERROR(VLOOKUP(A2703, IMPORTRANGE(""https://docs.google.com/spreadsheets/d/1AVX9GT0dgogEBStecCXMMQ29tWz3gBrtNB8yIromXbY/edit?gid=741673867"", ""out1g!A:B""), 2, FALSE), 0)"),141.0)</f>
        <v>141</v>
      </c>
      <c r="D2703" s="2" t="str">
        <f>IFERROR(__xludf.DUMMYFUNCTION("IFERROR(VLOOKUP(A2703, IMPORTRANGE(""https://docs.google.com/spreadsheets/d/1-3Vjw2Cyy-mry5gbC8ypIR3YVGFfEpyFESummAta6sg/edit"", ""Sheet1!B:D""), 2, FALSE), ""Not Found"")"),"tərd")</f>
        <v>tərd</v>
      </c>
      <c r="E2703" s="2" t="str">
        <f>IFERROR(__xludf.DUMMYFUNCTION("IFERROR(VLOOKUP(A2703, IMPORTRANGE(""https://docs.google.com/spreadsheets/d/1-3Vjw2Cyy-mry5gbC8ypIR3YVGFfEpyFESummAta6sg/edit"", ""Sheet1!B:D""), 3, FALSE), ""Not Found"")"),"t ə r d ")</f>
        <v>t ə r d </v>
      </c>
    </row>
    <row r="2704">
      <c r="A2704" s="1" t="s">
        <v>2707</v>
      </c>
      <c r="B2704" s="1" t="s">
        <v>5</v>
      </c>
      <c r="C2704" s="2">
        <f>IFERROR(__xludf.DUMMYFUNCTION("IFERROR(VLOOKUP(A2704, IMPORTRANGE(""https://docs.google.com/spreadsheets/d/1AVX9GT0dgogEBStecCXMMQ29tWz3gBrtNB8yIromXbY/edit?gid=741673867"", ""out1g!A:B""), 2, FALSE), 0)"),181.0)</f>
        <v>181</v>
      </c>
      <c r="D2704" s="2" t="str">
        <f>IFERROR(__xludf.DUMMYFUNCTION("IFERROR(VLOOKUP(A2704, IMPORTRANGE(""https://docs.google.com/spreadsheets/d/1-3Vjw2Cyy-mry5gbC8ypIR3YVGFfEpyFESummAta6sg/edit"", ""Sheet1!B:D""), 2, FALSE), ""Not Found"")"),"pæθs")</f>
        <v>pæθs</v>
      </c>
      <c r="E2704" s="2" t="str">
        <f>IFERROR(__xludf.DUMMYFUNCTION("IFERROR(VLOOKUP(A2704, IMPORTRANGE(""https://docs.google.com/spreadsheets/d/1-3Vjw2Cyy-mry5gbC8ypIR3YVGFfEpyFESummAta6sg/edit"", ""Sheet1!B:D""), 3, FALSE), ""Not Found"")"),"p æ θ s ")</f>
        <v>p æ θ s </v>
      </c>
    </row>
    <row r="2705">
      <c r="A2705" s="1" t="s">
        <v>2708</v>
      </c>
      <c r="B2705" s="1" t="s">
        <v>5</v>
      </c>
      <c r="C2705" s="2">
        <f>IFERROR(__xludf.DUMMYFUNCTION("IFERROR(VLOOKUP(A2705, IMPORTRANGE(""https://docs.google.com/spreadsheets/d/1AVX9GT0dgogEBStecCXMMQ29tWz3gBrtNB8yIromXbY/edit?gid=741673867"", ""out1g!A:B""), 2, FALSE), 0)"),124.0)</f>
        <v>124</v>
      </c>
      <c r="D2705" s="2" t="str">
        <f>IFERROR(__xludf.DUMMYFUNCTION("IFERROR(VLOOKUP(A2705, IMPORTRANGE(""https://docs.google.com/spreadsheets/d/1-3Vjw2Cyy-mry5gbC8ypIR3YVGFfEpyFESummAta6sg/edit"", ""Sheet1!B:D""), 2, FALSE), ""Not Found"")"),"lesi")</f>
        <v>lesi</v>
      </c>
      <c r="E2705" s="2" t="str">
        <f>IFERROR(__xludf.DUMMYFUNCTION("IFERROR(VLOOKUP(A2705, IMPORTRANGE(""https://docs.google.com/spreadsheets/d/1-3Vjw2Cyy-mry5gbC8ypIR3YVGFfEpyFESummAta6sg/edit"", ""Sheet1!B:D""), 3, FALSE), ""Not Found"")"),"l e s i ")</f>
        <v>l e s i </v>
      </c>
    </row>
    <row r="2706">
      <c r="A2706" s="1" t="s">
        <v>2709</v>
      </c>
      <c r="B2706" s="1" t="s">
        <v>5</v>
      </c>
      <c r="C2706" s="2">
        <f>IFERROR(__xludf.DUMMYFUNCTION("IFERROR(VLOOKUP(A2706, IMPORTRANGE(""https://docs.google.com/spreadsheets/d/1AVX9GT0dgogEBStecCXMMQ29tWz3gBrtNB8yIromXbY/edit?gid=741673867"", ""out1g!A:B""), 2, FALSE), 0)"),471.0)</f>
        <v>471</v>
      </c>
      <c r="D2706" s="2" t="str">
        <f>IFERROR(__xludf.DUMMYFUNCTION("IFERROR(VLOOKUP(A2706, IMPORTRANGE(""https://docs.google.com/spreadsheets/d/1-3Vjw2Cyy-mry5gbC8ypIR3YVGFfEpyFESummAta6sg/edit"", ""Sheet1!B:D""), 2, FALSE), ""Not Found"")"),"grups")</f>
        <v>grups</v>
      </c>
      <c r="E2706" s="2" t="str">
        <f>IFERROR(__xludf.DUMMYFUNCTION("IFERROR(VLOOKUP(A2706, IMPORTRANGE(""https://docs.google.com/spreadsheets/d/1-3Vjw2Cyy-mry5gbC8ypIR3YVGFfEpyFESummAta6sg/edit"", ""Sheet1!B:D""), 3, FALSE), ""Not Found"")"),"g r u p s ")</f>
        <v>g r u p s </v>
      </c>
    </row>
    <row r="2707">
      <c r="A2707" s="1" t="s">
        <v>2710</v>
      </c>
      <c r="B2707" s="1" t="s">
        <v>5</v>
      </c>
      <c r="C2707" s="2">
        <f>IFERROR(__xludf.DUMMYFUNCTION("IFERROR(VLOOKUP(A2707, IMPORTRANGE(""https://docs.google.com/spreadsheets/d/1AVX9GT0dgogEBStecCXMMQ29tWz3gBrtNB8yIromXbY/edit?gid=741673867"", ""out1g!A:B""), 2, FALSE), 0)"),492.0)</f>
        <v>492</v>
      </c>
      <c r="D2707" s="2" t="str">
        <f>IFERROR(__xludf.DUMMYFUNCTION("IFERROR(VLOOKUP(A2707, IMPORTRANGE(""https://docs.google.com/spreadsheets/d/1-3Vjw2Cyy-mry5gbC8ypIR3YVGFfEpyFESummAta6sg/edit"", ""Sheet1!B:D""), 2, FALSE), ""Not Found"")"),"ædɪd")</f>
        <v>ædɪd</v>
      </c>
      <c r="E2707" s="2" t="str">
        <f>IFERROR(__xludf.DUMMYFUNCTION("IFERROR(VLOOKUP(A2707, IMPORTRANGE(""https://docs.google.com/spreadsheets/d/1-3Vjw2Cyy-mry5gbC8ypIR3YVGFfEpyFESummAta6sg/edit"", ""Sheet1!B:D""), 3, FALSE), ""Not Found"")"),"æ d ɪ d ")</f>
        <v>æ d ɪ d </v>
      </c>
    </row>
    <row r="2708">
      <c r="A2708" s="1" t="s">
        <v>2711</v>
      </c>
      <c r="B2708" s="1" t="s">
        <v>5</v>
      </c>
      <c r="C2708" s="2">
        <f>IFERROR(__xludf.DUMMYFUNCTION("IFERROR(VLOOKUP(A2708, IMPORTRANGE(""https://docs.google.com/spreadsheets/d/1AVX9GT0dgogEBStecCXMMQ29tWz3gBrtNB8yIromXbY/edit?gid=741673867"", ""out1g!A:B""), 2, FALSE), 0)"),636.0)</f>
        <v>636</v>
      </c>
      <c r="D2708" s="2" t="str">
        <f>IFERROR(__xludf.DUMMYFUNCTION("IFERROR(VLOOKUP(A2708, IMPORTRANGE(""https://docs.google.com/spreadsheets/d/1-3Vjw2Cyy-mry5gbC8ypIR3YVGFfEpyFESummAta6sg/edit"", ""Sheet1!B:D""), 2, FALSE), ""Not Found"")"),"trɔɪ")</f>
        <v>trɔɪ</v>
      </c>
      <c r="E2708" s="2" t="str">
        <f>IFERROR(__xludf.DUMMYFUNCTION("IFERROR(VLOOKUP(A2708, IMPORTRANGE(""https://docs.google.com/spreadsheets/d/1-3Vjw2Cyy-mry5gbC8ypIR3YVGFfEpyFESummAta6sg/edit"", ""Sheet1!B:D""), 3, FALSE), ""Not Found"")"),"t r ɔ ɪ ")</f>
        <v>t r ɔ ɪ </v>
      </c>
    </row>
    <row r="2709">
      <c r="A2709" s="1" t="s">
        <v>2712</v>
      </c>
      <c r="B2709" s="1" t="s">
        <v>5</v>
      </c>
      <c r="C2709" s="2">
        <f>IFERROR(__xludf.DUMMYFUNCTION("IFERROR(VLOOKUP(A2709, IMPORTRANGE(""https://docs.google.com/spreadsheets/d/1AVX9GT0dgogEBStecCXMMQ29tWz3gBrtNB8yIromXbY/edit?gid=741673867"", ""out1g!A:B""), 2, FALSE), 0)"),15886.0)</f>
        <v>15886</v>
      </c>
      <c r="D2709" s="2" t="str">
        <f>IFERROR(__xludf.DUMMYFUNCTION("IFERROR(VLOOKUP(A2709, IMPORTRANGE(""https://docs.google.com/spreadsheets/d/1-3Vjw2Cyy-mry5gbC8ypIR3YVGFfEpyFESummAta6sg/edit"", ""Sheet1!B:D""), 2, FALSE), ""Not Found"")"),"lʊks")</f>
        <v>lʊks</v>
      </c>
      <c r="E2709" s="2" t="str">
        <f>IFERROR(__xludf.DUMMYFUNCTION("IFERROR(VLOOKUP(A2709, IMPORTRANGE(""https://docs.google.com/spreadsheets/d/1-3Vjw2Cyy-mry5gbC8ypIR3YVGFfEpyFESummAta6sg/edit"", ""Sheet1!B:D""), 3, FALSE), ""Not Found"")"),"l ʊ k s ")</f>
        <v>l ʊ k s </v>
      </c>
    </row>
    <row r="2710">
      <c r="A2710" s="1" t="s">
        <v>2713</v>
      </c>
      <c r="B2710" s="1" t="s">
        <v>5</v>
      </c>
      <c r="C2710" s="2">
        <f>IFERROR(__xludf.DUMMYFUNCTION("IFERROR(VLOOKUP(A2710, IMPORTRANGE(""https://docs.google.com/spreadsheets/d/1AVX9GT0dgogEBStecCXMMQ29tWz3gBrtNB8yIromXbY/edit?gid=741673867"", ""out1g!A:B""), 2, FALSE), 0)"),61.0)</f>
        <v>61</v>
      </c>
      <c r="D2710" s="2" t="str">
        <f>IFERROR(__xludf.DUMMYFUNCTION("IFERROR(VLOOKUP(A2710, IMPORTRANGE(""https://docs.google.com/spreadsheets/d/1-3Vjw2Cyy-mry5gbC8ypIR3YVGFfEpyFESummAta6sg/edit"", ""Sheet1!B:D""), 2, FALSE), ""Not Found"")"),"ʧəki")</f>
        <v>ʧəki</v>
      </c>
      <c r="E2710" s="2" t="str">
        <f>IFERROR(__xludf.DUMMYFUNCTION("IFERROR(VLOOKUP(A2710, IMPORTRANGE(""https://docs.google.com/spreadsheets/d/1-3Vjw2Cyy-mry5gbC8ypIR3YVGFfEpyFESummAta6sg/edit"", ""Sheet1!B:D""), 3, FALSE), ""Not Found"")"),"ʧ ə k i ")</f>
        <v>ʧ ə k i </v>
      </c>
    </row>
    <row r="2711">
      <c r="A2711" s="1" t="s">
        <v>2714</v>
      </c>
      <c r="B2711" s="1" t="s">
        <v>5</v>
      </c>
      <c r="C2711" s="2">
        <f>IFERROR(__xludf.DUMMYFUNCTION("IFERROR(VLOOKUP(A2711, IMPORTRANGE(""https://docs.google.com/spreadsheets/d/1AVX9GT0dgogEBStecCXMMQ29tWz3gBrtNB8yIromXbY/edit?gid=741673867"", ""out1g!A:B""), 2, FALSE), 0)"),60.0)</f>
        <v>60</v>
      </c>
      <c r="D2711" s="2" t="str">
        <f>IFERROR(__xludf.DUMMYFUNCTION("IFERROR(VLOOKUP(A2711, IMPORTRANGE(""https://docs.google.com/spreadsheets/d/1-3Vjw2Cyy-mry5gbC8ypIR3YVGFfEpyFESummAta6sg/edit"", ""Sheet1!B:D""), 2, FALSE), ""Not Found"")"),"səlkɪŋ")</f>
        <v>səlkɪŋ</v>
      </c>
      <c r="E2711" s="2" t="str">
        <f>IFERROR(__xludf.DUMMYFUNCTION("IFERROR(VLOOKUP(A2711, IMPORTRANGE(""https://docs.google.com/spreadsheets/d/1-3Vjw2Cyy-mry5gbC8ypIR3YVGFfEpyFESummAta6sg/edit"", ""Sheet1!B:D""), 3, FALSE), ""Not Found"")"),"s ə l k ɪ ŋ ")</f>
        <v>s ə l k ɪ ŋ </v>
      </c>
    </row>
    <row r="2712">
      <c r="A2712" s="1" t="s">
        <v>2715</v>
      </c>
      <c r="B2712" s="1" t="s">
        <v>5</v>
      </c>
      <c r="C2712" s="2">
        <f>IFERROR(__xludf.DUMMYFUNCTION("IFERROR(VLOOKUP(A2712, IMPORTRANGE(""https://docs.google.com/spreadsheets/d/1AVX9GT0dgogEBStecCXMMQ29tWz3gBrtNB8yIromXbY/edit?gid=741673867"", ""out1g!A:B""), 2, FALSE), 0)"),6798.0)</f>
        <v>6798</v>
      </c>
      <c r="D2712" s="2" t="str">
        <f>IFERROR(__xludf.DUMMYFUNCTION("IFERROR(VLOOKUP(A2712, IMPORTRANGE(""https://docs.google.com/spreadsheets/d/1-3Vjw2Cyy-mry5gbC8ypIR3YVGFfEpyFESummAta6sg/edit"", ""Sheet1!B:D""), 2, FALSE), ""Not Found"")"),"drim")</f>
        <v>drim</v>
      </c>
      <c r="E2712" s="2" t="str">
        <f>IFERROR(__xludf.DUMMYFUNCTION("IFERROR(VLOOKUP(A2712, IMPORTRANGE(""https://docs.google.com/spreadsheets/d/1-3Vjw2Cyy-mry5gbC8ypIR3YVGFfEpyFESummAta6sg/edit"", ""Sheet1!B:D""), 3, FALSE), ""Not Found"")"),"d r i m ")</f>
        <v>d r i m </v>
      </c>
    </row>
    <row r="2713">
      <c r="A2713" s="1" t="s">
        <v>2716</v>
      </c>
      <c r="B2713" s="1" t="s">
        <v>5</v>
      </c>
      <c r="C2713" s="2">
        <f>IFERROR(__xludf.DUMMYFUNCTION("IFERROR(VLOOKUP(A2713, IMPORTRANGE(""https://docs.google.com/spreadsheets/d/1AVX9GT0dgogEBStecCXMMQ29tWz3gBrtNB8yIromXbY/edit?gid=741673867"", ""out1g!A:B""), 2, FALSE), 0)"),114.0)</f>
        <v>114</v>
      </c>
      <c r="D2713" s="2" t="str">
        <f>IFERROR(__xludf.DUMMYFUNCTION("IFERROR(VLOOKUP(A2713, IMPORTRANGE(""https://docs.google.com/spreadsheets/d/1-3Vjw2Cyy-mry5gbC8ypIR3YVGFfEpyFESummAta6sg/edit"", ""Sheet1!B:D""), 2, FALSE), ""Not Found"")"),"flɔrə")</f>
        <v>flɔrə</v>
      </c>
      <c r="E2713" s="2" t="str">
        <f>IFERROR(__xludf.DUMMYFUNCTION("IFERROR(VLOOKUP(A2713, IMPORTRANGE(""https://docs.google.com/spreadsheets/d/1-3Vjw2Cyy-mry5gbC8ypIR3YVGFfEpyFESummAta6sg/edit"", ""Sheet1!B:D""), 3, FALSE), ""Not Found"")"),"f l ɔ r ə ")</f>
        <v>f l ɔ r ə </v>
      </c>
    </row>
    <row r="2714">
      <c r="A2714" s="1" t="s">
        <v>2717</v>
      </c>
      <c r="B2714" s="1" t="s">
        <v>5</v>
      </c>
      <c r="C2714" s="2">
        <f>IFERROR(__xludf.DUMMYFUNCTION("IFERROR(VLOOKUP(A2714, IMPORTRANGE(""https://docs.google.com/spreadsheets/d/1AVX9GT0dgogEBStecCXMMQ29tWz3gBrtNB8yIromXbY/edit?gid=741673867"", ""out1g!A:B""), 2, FALSE), 0)"),76.0)</f>
        <v>76</v>
      </c>
      <c r="D2714" s="2" t="str">
        <f>IFERROR(__xludf.DUMMYFUNCTION("IFERROR(VLOOKUP(A2714, IMPORTRANGE(""https://docs.google.com/spreadsheets/d/1-3Vjw2Cyy-mry5gbC8ypIR3YVGFfEpyFESummAta6sg/edit"", ""Sheet1!B:D""), 2, FALSE), ""Not Found"")"),"klɑrk")</f>
        <v>klɑrk</v>
      </c>
      <c r="E2714" s="2" t="str">
        <f>IFERROR(__xludf.DUMMYFUNCTION("IFERROR(VLOOKUP(A2714, IMPORTRANGE(""https://docs.google.com/spreadsheets/d/1-3Vjw2Cyy-mry5gbC8ypIR3YVGFfEpyFESummAta6sg/edit"", ""Sheet1!B:D""), 3, FALSE), ""Not Found"")"),"k l ɑ r k ")</f>
        <v>k l ɑ r k </v>
      </c>
    </row>
    <row r="2715">
      <c r="A2715" s="1" t="s">
        <v>2718</v>
      </c>
      <c r="B2715" s="1" t="s">
        <v>5</v>
      </c>
      <c r="C2715" s="2">
        <f>IFERROR(__xludf.DUMMYFUNCTION("IFERROR(VLOOKUP(A2715, IMPORTRANGE(""https://docs.google.com/spreadsheets/d/1AVX9GT0dgogEBStecCXMMQ29tWz3gBrtNB8yIromXbY/edit?gid=741673867"", ""out1g!A:B""), 2, FALSE), 0)"),880.0)</f>
        <v>880</v>
      </c>
      <c r="D2715" s="2" t="str">
        <f>IFERROR(__xludf.DUMMYFUNCTION("IFERROR(VLOOKUP(A2715, IMPORTRANGE(""https://docs.google.com/spreadsheets/d/1-3Vjw2Cyy-mry5gbC8ypIR3YVGFfEpyFESummAta6sg/edit"", ""Sheet1!B:D""), 2, FALSE), ""Not Found"")"),"mæs")</f>
        <v>mæs</v>
      </c>
      <c r="E2715" s="2" t="str">
        <f>IFERROR(__xludf.DUMMYFUNCTION("IFERROR(VLOOKUP(A2715, IMPORTRANGE(""https://docs.google.com/spreadsheets/d/1-3Vjw2Cyy-mry5gbC8ypIR3YVGFfEpyFESummAta6sg/edit"", ""Sheet1!B:D""), 3, FALSE), ""Not Found"")"),"m æ s ")</f>
        <v>m æ s </v>
      </c>
    </row>
    <row r="2716">
      <c r="A2716" s="1" t="s">
        <v>2719</v>
      </c>
      <c r="B2716" s="1" t="s">
        <v>5</v>
      </c>
      <c r="C2716" s="2">
        <f>IFERROR(__xludf.DUMMYFUNCTION("IFERROR(VLOOKUP(A2716, IMPORTRANGE(""https://docs.google.com/spreadsheets/d/1AVX9GT0dgogEBStecCXMMQ29tWz3gBrtNB8yIromXbY/edit?gid=741673867"", ""out1g!A:B""), 2, FALSE), 0)"),70.0)</f>
        <v>70</v>
      </c>
      <c r="D2716" s="2" t="str">
        <f>IFERROR(__xludf.DUMMYFUNCTION("IFERROR(VLOOKUP(A2716, IMPORTRANGE(""https://docs.google.com/spreadsheets/d/1-3Vjw2Cyy-mry5gbC8ypIR3YVGFfEpyFESummAta6sg/edit"", ""Sheet1!B:D""), 2, FALSE), ""Not Found"")"),"naɪtli")</f>
        <v>naɪtli</v>
      </c>
      <c r="E2716" s="2" t="str">
        <f>IFERROR(__xludf.DUMMYFUNCTION("IFERROR(VLOOKUP(A2716, IMPORTRANGE(""https://docs.google.com/spreadsheets/d/1-3Vjw2Cyy-mry5gbC8ypIR3YVGFfEpyFESummAta6sg/edit"", ""Sheet1!B:D""), 3, FALSE), ""Not Found"")"),"n a ɪ t l i ")</f>
        <v>n a ɪ t l i </v>
      </c>
    </row>
    <row r="2717">
      <c r="A2717" s="1" t="s">
        <v>2720</v>
      </c>
      <c r="B2717" s="1" t="s">
        <v>5</v>
      </c>
      <c r="C2717" s="2">
        <f>IFERROR(__xludf.DUMMYFUNCTION("IFERROR(VLOOKUP(A2717, IMPORTRANGE(""https://docs.google.com/spreadsheets/d/1AVX9GT0dgogEBStecCXMMQ29tWz3gBrtNB8yIromXbY/edit?gid=741673867"", ""out1g!A:B""), 2, FALSE), 0)"),131.0)</f>
        <v>131</v>
      </c>
      <c r="D2717" s="2" t="str">
        <f>IFERROR(__xludf.DUMMYFUNCTION("IFERROR(VLOOKUP(A2717, IMPORTRANGE(""https://docs.google.com/spreadsheets/d/1-3Vjw2Cyy-mry5gbC8ypIR3YVGFfEpyFESummAta6sg/edit"", ""Sheet1!B:D""), 2, FALSE), ""Not Found"")"),"sɛnsləs")</f>
        <v>sɛnsləs</v>
      </c>
      <c r="E2717" s="2" t="str">
        <f>IFERROR(__xludf.DUMMYFUNCTION("IFERROR(VLOOKUP(A2717, IMPORTRANGE(""https://docs.google.com/spreadsheets/d/1-3Vjw2Cyy-mry5gbC8ypIR3YVGFfEpyFESummAta6sg/edit"", ""Sheet1!B:D""), 3, FALSE), ""Not Found"")"),"s ɛ n s l ə s ")</f>
        <v>s ɛ n s l ə s </v>
      </c>
    </row>
    <row r="2718">
      <c r="A2718" s="1" t="s">
        <v>2721</v>
      </c>
      <c r="B2718" s="1" t="s">
        <v>5</v>
      </c>
      <c r="C2718" s="2">
        <f>IFERROR(__xludf.DUMMYFUNCTION("IFERROR(VLOOKUP(A2718, IMPORTRANGE(""https://docs.google.com/spreadsheets/d/1AVX9GT0dgogEBStecCXMMQ29tWz3gBrtNB8yIromXbY/edit?gid=741673867"", ""out1g!A:B""), 2, FALSE), 0)"),915.0)</f>
        <v>915</v>
      </c>
      <c r="D2718" s="2" t="str">
        <f>IFERROR(__xludf.DUMMYFUNCTION("IFERROR(VLOOKUP(A2718, IMPORTRANGE(""https://docs.google.com/spreadsheets/d/1-3Vjw2Cyy-mry5gbC8ypIR3YVGFfEpyFESummAta6sg/edit"", ""Sheet1!B:D""), 2, FALSE), ""Not Found"")"),"aɪərn")</f>
        <v>aɪərn</v>
      </c>
      <c r="E2718" s="2" t="str">
        <f>IFERROR(__xludf.DUMMYFUNCTION("IFERROR(VLOOKUP(A2718, IMPORTRANGE(""https://docs.google.com/spreadsheets/d/1-3Vjw2Cyy-mry5gbC8ypIR3YVGFfEpyFESummAta6sg/edit"", ""Sheet1!B:D""), 3, FALSE), ""Not Found"")"),"a ɪ ə r n ")</f>
        <v>a ɪ ə r n </v>
      </c>
    </row>
    <row r="2719">
      <c r="A2719" s="1" t="s">
        <v>2722</v>
      </c>
      <c r="B2719" s="1" t="s">
        <v>5</v>
      </c>
      <c r="C2719" s="2">
        <f>IFERROR(__xludf.DUMMYFUNCTION("IFERROR(VLOOKUP(A2719, IMPORTRANGE(""https://docs.google.com/spreadsheets/d/1AVX9GT0dgogEBStecCXMMQ29tWz3gBrtNB8yIromXbY/edit?gid=741673867"", ""out1g!A:B""), 2, FALSE), 0)"),500.0)</f>
        <v>500</v>
      </c>
      <c r="D2719" s="2" t="str">
        <f>IFERROR(__xludf.DUMMYFUNCTION("IFERROR(VLOOKUP(A2719, IMPORTRANGE(""https://docs.google.com/spreadsheets/d/1-3Vjw2Cyy-mry5gbC8ypIR3YVGFfEpyFESummAta6sg/edit"", ""Sheet1!B:D""), 2, FALSE), ""Not Found"")"),"dəmi")</f>
        <v>dəmi</v>
      </c>
      <c r="E2719" s="2" t="str">
        <f>IFERROR(__xludf.DUMMYFUNCTION("IFERROR(VLOOKUP(A2719, IMPORTRANGE(""https://docs.google.com/spreadsheets/d/1-3Vjw2Cyy-mry5gbC8ypIR3YVGFfEpyFESummAta6sg/edit"", ""Sheet1!B:D""), 3, FALSE), ""Not Found"")"),"d ə m i ")</f>
        <v>d ə m i </v>
      </c>
    </row>
    <row r="2720">
      <c r="A2720" s="1" t="s">
        <v>2723</v>
      </c>
      <c r="B2720" s="1" t="s">
        <v>5</v>
      </c>
      <c r="C2720" s="2">
        <f>IFERROR(__xludf.DUMMYFUNCTION("IFERROR(VLOOKUP(A2720, IMPORTRANGE(""https://docs.google.com/spreadsheets/d/1AVX9GT0dgogEBStecCXMMQ29tWz3gBrtNB8yIromXbY/edit?gid=741673867"", ""out1g!A:B""), 2, FALSE), 0)"),74.0)</f>
        <v>74</v>
      </c>
      <c r="D2720" s="2" t="str">
        <f>IFERROR(__xludf.DUMMYFUNCTION("IFERROR(VLOOKUP(A2720, IMPORTRANGE(""https://docs.google.com/spreadsheets/d/1-3Vjw2Cyy-mry5gbC8ypIR3YVGFfEpyFESummAta6sg/edit"", ""Sheet1!B:D""), 2, FALSE), ""Not Found"")"),"ʃətər")</f>
        <v>ʃətər</v>
      </c>
      <c r="E2720" s="2" t="str">
        <f>IFERROR(__xludf.DUMMYFUNCTION("IFERROR(VLOOKUP(A2720, IMPORTRANGE(""https://docs.google.com/spreadsheets/d/1-3Vjw2Cyy-mry5gbC8ypIR3YVGFfEpyFESummAta6sg/edit"", ""Sheet1!B:D""), 3, FALSE), ""Not Found"")"),"ʃ ə t ə r ")</f>
        <v>ʃ ə t ə r </v>
      </c>
    </row>
    <row r="2721">
      <c r="A2721" s="1" t="s">
        <v>2724</v>
      </c>
      <c r="B2721" s="1" t="s">
        <v>5</v>
      </c>
      <c r="C2721" s="2">
        <f>IFERROR(__xludf.DUMMYFUNCTION("IFERROR(VLOOKUP(A2721, IMPORTRANGE(""https://docs.google.com/spreadsheets/d/1AVX9GT0dgogEBStecCXMMQ29tWz3gBrtNB8yIromXbY/edit?gid=741673867"", ""out1g!A:B""), 2, FALSE), 0)"),89.0)</f>
        <v>89</v>
      </c>
      <c r="D2721" s="2" t="str">
        <f>IFERROR(__xludf.DUMMYFUNCTION("IFERROR(VLOOKUP(A2721, IMPORTRANGE(""https://docs.google.com/spreadsheets/d/1-3Vjw2Cyy-mry5gbC8ypIR3YVGFfEpyFESummAta6sg/edit"", ""Sheet1!B:D""), 2, FALSE), ""Not Found"")"),"wɑd")</f>
        <v>wɑd</v>
      </c>
      <c r="E2721" s="2" t="str">
        <f>IFERROR(__xludf.DUMMYFUNCTION("IFERROR(VLOOKUP(A2721, IMPORTRANGE(""https://docs.google.com/spreadsheets/d/1-3Vjw2Cyy-mry5gbC8ypIR3YVGFfEpyFESummAta6sg/edit"", ""Sheet1!B:D""), 3, FALSE), ""Not Found"")"),"w ɑ d ")</f>
        <v>w ɑ d </v>
      </c>
    </row>
    <row r="2722">
      <c r="A2722" s="1" t="s">
        <v>2725</v>
      </c>
      <c r="B2722" s="1" t="s">
        <v>5</v>
      </c>
      <c r="C2722" s="2">
        <f>IFERROR(__xludf.DUMMYFUNCTION("IFERROR(VLOOKUP(A2722, IMPORTRANGE(""https://docs.google.com/spreadsheets/d/1AVX9GT0dgogEBStecCXMMQ29tWz3gBrtNB8yIromXbY/edit?gid=741673867"", ""out1g!A:B""), 2, FALSE), 0)"),129.0)</f>
        <v>129</v>
      </c>
      <c r="D2722" s="2" t="str">
        <f>IFERROR(__xludf.DUMMYFUNCTION("IFERROR(VLOOKUP(A2722, IMPORTRANGE(""https://docs.google.com/spreadsheets/d/1-3Vjw2Cyy-mry5gbC8ypIR3YVGFfEpyFESummAta6sg/edit"", ""Sheet1!B:D""), 2, FALSE), ""Not Found"")"),"klɪnt")</f>
        <v>klɪnt</v>
      </c>
      <c r="E2722" s="2" t="str">
        <f>IFERROR(__xludf.DUMMYFUNCTION("IFERROR(VLOOKUP(A2722, IMPORTRANGE(""https://docs.google.com/spreadsheets/d/1-3Vjw2Cyy-mry5gbC8ypIR3YVGFfEpyFESummAta6sg/edit"", ""Sheet1!B:D""), 3, FALSE), ""Not Found"")"),"k l ɪ n t ")</f>
        <v>k l ɪ n t </v>
      </c>
    </row>
    <row r="2723">
      <c r="A2723" s="1" t="s">
        <v>2726</v>
      </c>
      <c r="B2723" s="1" t="s">
        <v>5</v>
      </c>
      <c r="C2723" s="2">
        <f>IFERROR(__xludf.DUMMYFUNCTION("IFERROR(VLOOKUP(A2723, IMPORTRANGE(""https://docs.google.com/spreadsheets/d/1AVX9GT0dgogEBStecCXMMQ29tWz3gBrtNB8yIromXbY/edit?gid=741673867"", ""out1g!A:B""), 2, FALSE), 0)"),48.0)</f>
        <v>48</v>
      </c>
      <c r="D2723" s="2" t="str">
        <f>IFERROR(__xludf.DUMMYFUNCTION("IFERROR(VLOOKUP(A2723, IMPORTRANGE(""https://docs.google.com/spreadsheets/d/1-3Vjw2Cyy-mry5gbC8ypIR3YVGFfEpyFESummAta6sg/edit"", ""Sheet1!B:D""), 2, FALSE), ""Not Found"")"),"mekɪŋz")</f>
        <v>mekɪŋz</v>
      </c>
      <c r="E2723" s="2" t="str">
        <f>IFERROR(__xludf.DUMMYFUNCTION("IFERROR(VLOOKUP(A2723, IMPORTRANGE(""https://docs.google.com/spreadsheets/d/1-3Vjw2Cyy-mry5gbC8ypIR3YVGFfEpyFESummAta6sg/edit"", ""Sheet1!B:D""), 3, FALSE), ""Not Found"")"),"m e k ɪ ŋ z ")</f>
        <v>m e k ɪ ŋ z </v>
      </c>
    </row>
    <row r="2724">
      <c r="A2724" s="1" t="s">
        <v>2727</v>
      </c>
      <c r="B2724" s="1" t="s">
        <v>5</v>
      </c>
      <c r="C2724" s="2">
        <f>IFERROR(__xludf.DUMMYFUNCTION("IFERROR(VLOOKUP(A2724, IMPORTRANGE(""https://docs.google.com/spreadsheets/d/1AVX9GT0dgogEBStecCXMMQ29tWz3gBrtNB8yIromXbY/edit?gid=741673867"", ""out1g!A:B""), 2, FALSE), 0)"),24.0)</f>
        <v>24</v>
      </c>
      <c r="D2724" s="2" t="str">
        <f>IFERROR(__xludf.DUMMYFUNCTION("IFERROR(VLOOKUP(A2724, IMPORTRANGE(""https://docs.google.com/spreadsheets/d/1-3Vjw2Cyy-mry5gbC8ypIR3YVGFfEpyFESummAta6sg/edit"", ""Sheet1!B:D""), 2, FALSE), ""Not Found"")"),"sɔz")</f>
        <v>sɔz</v>
      </c>
      <c r="E2724" s="2" t="str">
        <f>IFERROR(__xludf.DUMMYFUNCTION("IFERROR(VLOOKUP(A2724, IMPORTRANGE(""https://docs.google.com/spreadsheets/d/1-3Vjw2Cyy-mry5gbC8ypIR3YVGFfEpyFESummAta6sg/edit"", ""Sheet1!B:D""), 3, FALSE), ""Not Found"")"),"s ɔ z ")</f>
        <v>s ɔ z </v>
      </c>
    </row>
    <row r="2725">
      <c r="A2725" s="1" t="s">
        <v>2728</v>
      </c>
      <c r="B2725" s="1" t="s">
        <v>5</v>
      </c>
      <c r="C2725" s="2">
        <f>IFERROR(__xludf.DUMMYFUNCTION("IFERROR(VLOOKUP(A2725, IMPORTRANGE(""https://docs.google.com/spreadsheets/d/1AVX9GT0dgogEBStecCXMMQ29tWz3gBrtNB8yIromXbY/edit?gid=741673867"", ""out1g!A:B""), 2, FALSE), 0)"),108.0)</f>
        <v>108</v>
      </c>
      <c r="D2725" s="2" t="str">
        <f>IFERROR(__xludf.DUMMYFUNCTION("IFERROR(VLOOKUP(A2725, IMPORTRANGE(""https://docs.google.com/spreadsheets/d/1-3Vjw2Cyy-mry5gbC8ypIR3YVGFfEpyFESummAta6sg/edit"", ""Sheet1!B:D""), 2, FALSE), ""Not Found"")"),"θɔrp")</f>
        <v>θɔrp</v>
      </c>
      <c r="E2725" s="2" t="str">
        <f>IFERROR(__xludf.DUMMYFUNCTION("IFERROR(VLOOKUP(A2725, IMPORTRANGE(""https://docs.google.com/spreadsheets/d/1-3Vjw2Cyy-mry5gbC8ypIR3YVGFfEpyFESummAta6sg/edit"", ""Sheet1!B:D""), 3, FALSE), ""Not Found"")"),"θ ɔ r p ")</f>
        <v>θ ɔ r p </v>
      </c>
    </row>
    <row r="2726">
      <c r="A2726" s="1" t="s">
        <v>2729</v>
      </c>
      <c r="B2726" s="1" t="s">
        <v>5</v>
      </c>
      <c r="C2726" s="2">
        <f>IFERROR(__xludf.DUMMYFUNCTION("IFERROR(VLOOKUP(A2726, IMPORTRANGE(""https://docs.google.com/spreadsheets/d/1AVX9GT0dgogEBStecCXMMQ29tWz3gBrtNB8yIromXbY/edit?gid=741673867"", ""out1g!A:B""), 2, FALSE), 0)"),190.0)</f>
        <v>190</v>
      </c>
      <c r="D2726" s="2" t="str">
        <f>IFERROR(__xludf.DUMMYFUNCTION("IFERROR(VLOOKUP(A2726, IMPORTRANGE(""https://docs.google.com/spreadsheets/d/1-3Vjw2Cyy-mry5gbC8ypIR3YVGFfEpyFESummAta6sg/edit"", ""Sheet1!B:D""), 2, FALSE), ""Not Found"")"),"swɪmər")</f>
        <v>swɪmər</v>
      </c>
      <c r="E2726" s="2" t="str">
        <f>IFERROR(__xludf.DUMMYFUNCTION("IFERROR(VLOOKUP(A2726, IMPORTRANGE(""https://docs.google.com/spreadsheets/d/1-3Vjw2Cyy-mry5gbC8ypIR3YVGFfEpyFESummAta6sg/edit"", ""Sheet1!B:D""), 3, FALSE), ""Not Found"")"),"s w ɪ m ə r ")</f>
        <v>s w ɪ m ə r </v>
      </c>
    </row>
    <row r="2727">
      <c r="A2727" s="1" t="s">
        <v>2730</v>
      </c>
      <c r="B2727" s="1" t="s">
        <v>5</v>
      </c>
      <c r="C2727" s="2">
        <f>IFERROR(__xludf.DUMMYFUNCTION("IFERROR(VLOOKUP(A2727, IMPORTRANGE(""https://docs.google.com/spreadsheets/d/1AVX9GT0dgogEBStecCXMMQ29tWz3gBrtNB8yIromXbY/edit?gid=741673867"", ""out1g!A:B""), 2, FALSE), 0)"),1010.0)</f>
        <v>1010</v>
      </c>
      <c r="D2727" s="2" t="str">
        <f>IFERROR(__xludf.DUMMYFUNCTION("IFERROR(VLOOKUP(A2727, IMPORTRANGE(""https://docs.google.com/spreadsheets/d/1-3Vjw2Cyy-mry5gbC8ypIR3YVGFfEpyFESummAta6sg/edit"", ""Sheet1!B:D""), 2, FALSE), ""Not Found"")"),"tiʧɪŋ")</f>
        <v>tiʧɪŋ</v>
      </c>
      <c r="E2727" s="2" t="str">
        <f>IFERROR(__xludf.DUMMYFUNCTION("IFERROR(VLOOKUP(A2727, IMPORTRANGE(""https://docs.google.com/spreadsheets/d/1-3Vjw2Cyy-mry5gbC8ypIR3YVGFfEpyFESummAta6sg/edit"", ""Sheet1!B:D""), 3, FALSE), ""Not Found"")"),"t i ʧ ɪ ŋ ")</f>
        <v>t i ʧ ɪ ŋ </v>
      </c>
    </row>
    <row r="2728">
      <c r="A2728" s="1" t="s">
        <v>2731</v>
      </c>
      <c r="B2728" s="1" t="s">
        <v>5</v>
      </c>
      <c r="C2728" s="2">
        <f>IFERROR(__xludf.DUMMYFUNCTION("IFERROR(VLOOKUP(A2728, IMPORTRANGE(""https://docs.google.com/spreadsheets/d/1AVX9GT0dgogEBStecCXMMQ29tWz3gBrtNB8yIromXbY/edit?gid=741673867"", ""out1g!A:B""), 2, FALSE), 0)"),53.0)</f>
        <v>53</v>
      </c>
      <c r="D2728" s="2" t="str">
        <f>IFERROR(__xludf.DUMMYFUNCTION("IFERROR(VLOOKUP(A2728, IMPORTRANGE(""https://docs.google.com/spreadsheets/d/1-3Vjw2Cyy-mry5gbC8ypIR3YVGFfEpyFESummAta6sg/edit"", ""Sheet1!B:D""), 2, FALSE), ""Not Found"")"),"eʤæks")</f>
        <v>eʤæks</v>
      </c>
      <c r="E2728" s="2" t="str">
        <f>IFERROR(__xludf.DUMMYFUNCTION("IFERROR(VLOOKUP(A2728, IMPORTRANGE(""https://docs.google.com/spreadsheets/d/1-3Vjw2Cyy-mry5gbC8ypIR3YVGFfEpyFESummAta6sg/edit"", ""Sheet1!B:D""), 3, FALSE), ""Not Found"")"),"e ʤ æ k s ")</f>
        <v>e ʤ æ k s </v>
      </c>
    </row>
    <row r="2729">
      <c r="A2729" s="1" t="s">
        <v>2732</v>
      </c>
      <c r="B2729" s="1" t="s">
        <v>5</v>
      </c>
      <c r="C2729" s="2">
        <f>IFERROR(__xludf.DUMMYFUNCTION("IFERROR(VLOOKUP(A2729, IMPORTRANGE(""https://docs.google.com/spreadsheets/d/1AVX9GT0dgogEBStecCXMMQ29tWz3gBrtNB8yIromXbY/edit?gid=741673867"", ""out1g!A:B""), 2, FALSE), 0)"),9.0)</f>
        <v>9</v>
      </c>
      <c r="D2729" s="2" t="str">
        <f>IFERROR(__xludf.DUMMYFUNCTION("IFERROR(VLOOKUP(A2729, IMPORTRANGE(""https://docs.google.com/spreadsheets/d/1-3Vjw2Cyy-mry5gbC8ypIR3YVGFfEpyFESummAta6sg/edit"", ""Sheet1!B:D""), 2, FALSE), ""Not Found"")"),"gɔɪl")</f>
        <v>gɔɪl</v>
      </c>
      <c r="E2729" s="2" t="str">
        <f>IFERROR(__xludf.DUMMYFUNCTION("IFERROR(VLOOKUP(A2729, IMPORTRANGE(""https://docs.google.com/spreadsheets/d/1-3Vjw2Cyy-mry5gbC8ypIR3YVGFfEpyFESummAta6sg/edit"", ""Sheet1!B:D""), 3, FALSE), ""Not Found"")"),"g ɔ ɪ l ")</f>
        <v>g ɔ ɪ l </v>
      </c>
    </row>
    <row r="2730">
      <c r="A2730" s="1" t="s">
        <v>2733</v>
      </c>
      <c r="B2730" s="1" t="s">
        <v>5</v>
      </c>
      <c r="C2730" s="2">
        <f>IFERROR(__xludf.DUMMYFUNCTION("IFERROR(VLOOKUP(A2730, IMPORTRANGE(""https://docs.google.com/spreadsheets/d/1AVX9GT0dgogEBStecCXMMQ29tWz3gBrtNB8yIromXbY/edit?gid=741673867"", ""out1g!A:B""), 2, FALSE), 0)"),1712.0)</f>
        <v>1712</v>
      </c>
      <c r="D2730" s="2" t="str">
        <f>IFERROR(__xludf.DUMMYFUNCTION("IFERROR(VLOOKUP(A2730, IMPORTRANGE(""https://docs.google.com/spreadsheets/d/1-3Vjw2Cyy-mry5gbC8ypIR3YVGFfEpyFESummAta6sg/edit"", ""Sheet1!B:D""), 2, FALSE), ""Not Found"")"),"skɛr")</f>
        <v>skɛr</v>
      </c>
      <c r="E2730" s="2" t="str">
        <f>IFERROR(__xludf.DUMMYFUNCTION("IFERROR(VLOOKUP(A2730, IMPORTRANGE(""https://docs.google.com/spreadsheets/d/1-3Vjw2Cyy-mry5gbC8ypIR3YVGFfEpyFESummAta6sg/edit"", ""Sheet1!B:D""), 3, FALSE), ""Not Found"")"),"s k ɛ r ")</f>
        <v>s k ɛ r </v>
      </c>
    </row>
    <row r="2731">
      <c r="A2731" s="1" t="s">
        <v>2734</v>
      </c>
      <c r="B2731" s="1" t="s">
        <v>5</v>
      </c>
      <c r="C2731" s="2">
        <f>IFERROR(__xludf.DUMMYFUNCTION("IFERROR(VLOOKUP(A2731, IMPORTRANGE(""https://docs.google.com/spreadsheets/d/1AVX9GT0dgogEBStecCXMMQ29tWz3gBrtNB8yIromXbY/edit?gid=741673867"", ""out1g!A:B""), 2, FALSE), 0)"),9476.0)</f>
        <v>9476</v>
      </c>
      <c r="D2731" s="2" t="str">
        <f>IFERROR(__xludf.DUMMYFUNCTION("IFERROR(VLOOKUP(A2731, IMPORTRANGE(""https://docs.google.com/spreadsheets/d/1-3Vjw2Cyy-mry5gbC8ypIR3YVGFfEpyFESummAta6sg/edit"", ""Sheet1!B:D""), 2, FALSE), ""Not Found"")"),"mɑ")</f>
        <v>mɑ</v>
      </c>
      <c r="E2731" s="2" t="str">
        <f>IFERROR(__xludf.DUMMYFUNCTION("IFERROR(VLOOKUP(A2731, IMPORTRANGE(""https://docs.google.com/spreadsheets/d/1-3Vjw2Cyy-mry5gbC8ypIR3YVGFfEpyFESummAta6sg/edit"", ""Sheet1!B:D""), 3, FALSE), ""Not Found"")"),"m ɑ ")</f>
        <v>m ɑ </v>
      </c>
    </row>
    <row r="2732">
      <c r="A2732" s="1" t="s">
        <v>2735</v>
      </c>
      <c r="B2732" s="1" t="s">
        <v>5</v>
      </c>
      <c r="C2732" s="2">
        <f>IFERROR(__xludf.DUMMYFUNCTION("IFERROR(VLOOKUP(A2732, IMPORTRANGE(""https://docs.google.com/spreadsheets/d/1AVX9GT0dgogEBStecCXMMQ29tWz3gBrtNB8yIromXbY/edit?gid=741673867"", ""out1g!A:B""), 2, FALSE), 0)"),47.0)</f>
        <v>47</v>
      </c>
      <c r="D2732" s="2" t="str">
        <f>IFERROR(__xludf.DUMMYFUNCTION("IFERROR(VLOOKUP(A2732, IMPORTRANGE(""https://docs.google.com/spreadsheets/d/1-3Vjw2Cyy-mry5gbC8ypIR3YVGFfEpyFESummAta6sg/edit"", ""Sheet1!B:D""), 2, FALSE), ""Not Found"")"),"naɪt")</f>
        <v>naɪt</v>
      </c>
      <c r="E2732" s="2" t="str">
        <f>IFERROR(__xludf.DUMMYFUNCTION("IFERROR(VLOOKUP(A2732, IMPORTRANGE(""https://docs.google.com/spreadsheets/d/1-3Vjw2Cyy-mry5gbC8ypIR3YVGFfEpyFESummAta6sg/edit"", ""Sheet1!B:D""), 3, FALSE), ""Not Found"")"),"n a ɪ t ")</f>
        <v>n a ɪ t </v>
      </c>
    </row>
    <row r="2733">
      <c r="A2733" s="1" t="s">
        <v>2736</v>
      </c>
      <c r="B2733" s="1" t="s">
        <v>5</v>
      </c>
      <c r="C2733" s="2">
        <f>IFERROR(__xludf.DUMMYFUNCTION("IFERROR(VLOOKUP(A2733, IMPORTRANGE(""https://docs.google.com/spreadsheets/d/1AVX9GT0dgogEBStecCXMMQ29tWz3gBrtNB8yIromXbY/edit?gid=741673867"", ""out1g!A:B""), 2, FALSE), 0)"),126.0)</f>
        <v>126</v>
      </c>
      <c r="D2733" s="2" t="str">
        <f>IFERROR(__xludf.DUMMYFUNCTION("IFERROR(VLOOKUP(A2733, IMPORTRANGE(""https://docs.google.com/spreadsheets/d/1-3Vjw2Cyy-mry5gbC8ypIR3YVGFfEpyFESummAta6sg/edit"", ""Sheet1!B:D""), 2, FALSE), ""Not Found"")"),"suʧər")</f>
        <v>suʧər</v>
      </c>
      <c r="E2733" s="2" t="str">
        <f>IFERROR(__xludf.DUMMYFUNCTION("IFERROR(VLOOKUP(A2733, IMPORTRANGE(""https://docs.google.com/spreadsheets/d/1-3Vjw2Cyy-mry5gbC8ypIR3YVGFfEpyFESummAta6sg/edit"", ""Sheet1!B:D""), 3, FALSE), ""Not Found"")"),"s u ʧ ə r ")</f>
        <v>s u ʧ ə r </v>
      </c>
    </row>
    <row r="2734">
      <c r="A2734" s="1" t="s">
        <v>2737</v>
      </c>
      <c r="B2734" s="1" t="s">
        <v>5</v>
      </c>
      <c r="C2734" s="2">
        <f>IFERROR(__xludf.DUMMYFUNCTION("IFERROR(VLOOKUP(A2734, IMPORTRANGE(""https://docs.google.com/spreadsheets/d/1AVX9GT0dgogEBStecCXMMQ29tWz3gBrtNB8yIromXbY/edit?gid=741673867"", ""out1g!A:B""), 2, FALSE), 0)"),621.0)</f>
        <v>621</v>
      </c>
      <c r="D2734" s="2" t="str">
        <f>IFERROR(__xludf.DUMMYFUNCTION("IFERROR(VLOOKUP(A2734, IMPORTRANGE(""https://docs.google.com/spreadsheets/d/1-3Vjw2Cyy-mry5gbC8ypIR3YVGFfEpyFESummAta6sg/edit"", ""Sheet1!B:D""), 2, FALSE), ""Not Found"")"),"hɑloʊ")</f>
        <v>hɑloʊ</v>
      </c>
      <c r="E2734" s="2" t="str">
        <f>IFERROR(__xludf.DUMMYFUNCTION("IFERROR(VLOOKUP(A2734, IMPORTRANGE(""https://docs.google.com/spreadsheets/d/1-3Vjw2Cyy-mry5gbC8ypIR3YVGFfEpyFESummAta6sg/edit"", ""Sheet1!B:D""), 3, FALSE), ""Not Found"")"),"h ɑ l o ʊ ")</f>
        <v>h ɑ l o ʊ </v>
      </c>
    </row>
    <row r="2735">
      <c r="A2735" s="1" t="s">
        <v>2738</v>
      </c>
      <c r="B2735" s="1" t="s">
        <v>5</v>
      </c>
      <c r="C2735" s="2">
        <f>IFERROR(__xludf.DUMMYFUNCTION("IFERROR(VLOOKUP(A2735, IMPORTRANGE(""https://docs.google.com/spreadsheets/d/1AVX9GT0dgogEBStecCXMMQ29tWz3gBrtNB8yIromXbY/edit?gid=741673867"", ""out1g!A:B""), 2, FALSE), 0)"),89.0)</f>
        <v>89</v>
      </c>
      <c r="D2735" s="2" t="str">
        <f>IFERROR(__xludf.DUMMYFUNCTION("IFERROR(VLOOKUP(A2735, IMPORTRANGE(""https://docs.google.com/spreadsheets/d/1-3Vjw2Cyy-mry5gbC8ypIR3YVGFfEpyFESummAta6sg/edit"", ""Sheet1!B:D""), 2, FALSE), ""Not Found"")"),"kaɪ")</f>
        <v>kaɪ</v>
      </c>
      <c r="E2735" s="2" t="str">
        <f>IFERROR(__xludf.DUMMYFUNCTION("IFERROR(VLOOKUP(A2735, IMPORTRANGE(""https://docs.google.com/spreadsheets/d/1-3Vjw2Cyy-mry5gbC8ypIR3YVGFfEpyFESummAta6sg/edit"", ""Sheet1!B:D""), 3, FALSE), ""Not Found"")"),"k a ɪ ")</f>
        <v>k a ɪ </v>
      </c>
    </row>
    <row r="2736">
      <c r="A2736" s="1" t="s">
        <v>2739</v>
      </c>
      <c r="B2736" s="1" t="s">
        <v>5</v>
      </c>
      <c r="C2736" s="2">
        <f>IFERROR(__xludf.DUMMYFUNCTION("IFERROR(VLOOKUP(A2736, IMPORTRANGE(""https://docs.google.com/spreadsheets/d/1AVX9GT0dgogEBStecCXMMQ29tWz3gBrtNB8yIromXbY/edit?gid=741673867"", ""out1g!A:B""), 2, FALSE), 0)"),114.0)</f>
        <v>114</v>
      </c>
      <c r="D2736" s="2" t="str">
        <f>IFERROR(__xludf.DUMMYFUNCTION("IFERROR(VLOOKUP(A2736, IMPORTRANGE(""https://docs.google.com/spreadsheets/d/1-3Vjw2Cyy-mry5gbC8ypIR3YVGFfEpyFESummAta6sg/edit"", ""Sheet1!B:D""), 2, FALSE), ""Not Found"")"),"bɑli")</f>
        <v>bɑli</v>
      </c>
      <c r="E2736" s="2" t="str">
        <f>IFERROR(__xludf.DUMMYFUNCTION("IFERROR(VLOOKUP(A2736, IMPORTRANGE(""https://docs.google.com/spreadsheets/d/1-3Vjw2Cyy-mry5gbC8ypIR3YVGFfEpyFESummAta6sg/edit"", ""Sheet1!B:D""), 3, FALSE), ""Not Found"")"),"b ɑ l i ")</f>
        <v>b ɑ l i </v>
      </c>
    </row>
    <row r="2737">
      <c r="A2737" s="1" t="s">
        <v>2740</v>
      </c>
      <c r="B2737" s="1" t="s">
        <v>5</v>
      </c>
      <c r="C2737" s="2">
        <f>IFERROR(__xludf.DUMMYFUNCTION("IFERROR(VLOOKUP(A2737, IMPORTRANGE(""https://docs.google.com/spreadsheets/d/1AVX9GT0dgogEBStecCXMMQ29tWz3gBrtNB8yIromXbY/edit?gid=741673867"", ""out1g!A:B""), 2, FALSE), 0)"),453.0)</f>
        <v>453</v>
      </c>
      <c r="D2737" s="2" t="str">
        <f>IFERROR(__xludf.DUMMYFUNCTION("IFERROR(VLOOKUP(A2737, IMPORTRANGE(""https://docs.google.com/spreadsheets/d/1-3Vjw2Cyy-mry5gbC8ypIR3YVGFfEpyFESummAta6sg/edit"", ""Sheet1!B:D""), 2, FALSE), ""Not Found"")"),"tɛndər")</f>
        <v>tɛndər</v>
      </c>
      <c r="E2737" s="2" t="str">
        <f>IFERROR(__xludf.DUMMYFUNCTION("IFERROR(VLOOKUP(A2737, IMPORTRANGE(""https://docs.google.com/spreadsheets/d/1-3Vjw2Cyy-mry5gbC8ypIR3YVGFfEpyFESummAta6sg/edit"", ""Sheet1!B:D""), 3, FALSE), ""Not Found"")"),"t ɛ n d ə r ")</f>
        <v>t ɛ n d ə r </v>
      </c>
    </row>
    <row r="2738">
      <c r="A2738" s="1" t="s">
        <v>2741</v>
      </c>
      <c r="B2738" s="1" t="s">
        <v>5</v>
      </c>
      <c r="C2738" s="2">
        <f>IFERROR(__xludf.DUMMYFUNCTION("IFERROR(VLOOKUP(A2738, IMPORTRANGE(""https://docs.google.com/spreadsheets/d/1AVX9GT0dgogEBStecCXMMQ29tWz3gBrtNB8yIromXbY/edit?gid=741673867"", ""out1g!A:B""), 2, FALSE), 0)"),691.0)</f>
        <v>691</v>
      </c>
      <c r="D2738" s="2" t="str">
        <f>IFERROR(__xludf.DUMMYFUNCTION("IFERROR(VLOOKUP(A2738, IMPORTRANGE(""https://docs.google.com/spreadsheets/d/1-3Vjw2Cyy-mry5gbC8ypIR3YVGFfEpyFESummAta6sg/edit"", ""Sheet1!B:D""), 2, FALSE), ""Not Found"")"),"kaʊnts")</f>
        <v>kaʊnts</v>
      </c>
      <c r="E2738" s="2" t="str">
        <f>IFERROR(__xludf.DUMMYFUNCTION("IFERROR(VLOOKUP(A2738, IMPORTRANGE(""https://docs.google.com/spreadsheets/d/1-3Vjw2Cyy-mry5gbC8ypIR3YVGFfEpyFESummAta6sg/edit"", ""Sheet1!B:D""), 3, FALSE), ""Not Found"")"),"k a ʊ n t s ")</f>
        <v>k a ʊ n t s </v>
      </c>
    </row>
    <row r="2739">
      <c r="A2739" s="1" t="s">
        <v>2742</v>
      </c>
      <c r="B2739" s="1" t="s">
        <v>5</v>
      </c>
      <c r="C2739" s="2">
        <f>IFERROR(__xludf.DUMMYFUNCTION("IFERROR(VLOOKUP(A2739, IMPORTRANGE(""https://docs.google.com/spreadsheets/d/1AVX9GT0dgogEBStecCXMMQ29tWz3gBrtNB8yIromXbY/edit?gid=741673867"", ""out1g!A:B""), 2, FALSE), 0)"),51.0)</f>
        <v>51</v>
      </c>
      <c r="D2739" s="2" t="str">
        <f>IFERROR(__xludf.DUMMYFUNCTION("IFERROR(VLOOKUP(A2739, IMPORTRANGE(""https://docs.google.com/spreadsheets/d/1-3Vjw2Cyy-mry5gbC8ypIR3YVGFfEpyFESummAta6sg/edit"", ""Sheet1!B:D""), 2, FALSE), ""Not Found"")"),"naɪ")</f>
        <v>naɪ</v>
      </c>
      <c r="E2739" s="2" t="str">
        <f>IFERROR(__xludf.DUMMYFUNCTION("IFERROR(VLOOKUP(A2739, IMPORTRANGE(""https://docs.google.com/spreadsheets/d/1-3Vjw2Cyy-mry5gbC8ypIR3YVGFfEpyFESummAta6sg/edit"", ""Sheet1!B:D""), 3, FALSE), ""Not Found"")"),"n a ɪ ")</f>
        <v>n a ɪ </v>
      </c>
    </row>
    <row r="2740">
      <c r="A2740" s="1" t="s">
        <v>2743</v>
      </c>
      <c r="B2740" s="1" t="s">
        <v>5</v>
      </c>
      <c r="C2740" s="2">
        <f>IFERROR(__xludf.DUMMYFUNCTION("IFERROR(VLOOKUP(A2740, IMPORTRANGE(""https://docs.google.com/spreadsheets/d/1AVX9GT0dgogEBStecCXMMQ29tWz3gBrtNB8yIromXbY/edit?gid=741673867"", ""out1g!A:B""), 2, FALSE), 0)"),292.0)</f>
        <v>292</v>
      </c>
      <c r="D2740" s="2" t="str">
        <f>IFERROR(__xludf.DUMMYFUNCTION("IFERROR(VLOOKUP(A2740, IMPORTRANGE(""https://docs.google.com/spreadsheets/d/1-3Vjw2Cyy-mry5gbC8ypIR3YVGFfEpyFESummAta6sg/edit"", ""Sheet1!B:D""), 2, FALSE), ""Not Found"")"),"hez")</f>
        <v>hez</v>
      </c>
      <c r="E2740" s="2" t="str">
        <f>IFERROR(__xludf.DUMMYFUNCTION("IFERROR(VLOOKUP(A2740, IMPORTRANGE(""https://docs.google.com/spreadsheets/d/1-3Vjw2Cyy-mry5gbC8ypIR3YVGFfEpyFESummAta6sg/edit"", ""Sheet1!B:D""), 3, FALSE), ""Not Found"")"),"h e z ")</f>
        <v>h e z </v>
      </c>
    </row>
    <row r="2741">
      <c r="A2741" s="1" t="s">
        <v>2744</v>
      </c>
      <c r="B2741" s="1" t="s">
        <v>5</v>
      </c>
      <c r="C2741" s="2">
        <f>IFERROR(__xludf.DUMMYFUNCTION("IFERROR(VLOOKUP(A2741, IMPORTRANGE(""https://docs.google.com/spreadsheets/d/1AVX9GT0dgogEBStecCXMMQ29tWz3gBrtNB8yIromXbY/edit?gid=741673867"", ""out1g!A:B""), 2, FALSE), 0)"),122.0)</f>
        <v>122</v>
      </c>
      <c r="D2741" s="2" t="str">
        <f>IFERROR(__xludf.DUMMYFUNCTION("IFERROR(VLOOKUP(A2741, IMPORTRANGE(""https://docs.google.com/spreadsheets/d/1-3Vjw2Cyy-mry5gbC8ypIR3YVGFfEpyFESummAta6sg/edit"", ""Sheet1!B:D""), 2, FALSE), ""Not Found"")"),"kɔstɪŋ")</f>
        <v>kɔstɪŋ</v>
      </c>
      <c r="E2741" s="2" t="str">
        <f>IFERROR(__xludf.DUMMYFUNCTION("IFERROR(VLOOKUP(A2741, IMPORTRANGE(""https://docs.google.com/spreadsheets/d/1-3Vjw2Cyy-mry5gbC8ypIR3YVGFfEpyFESummAta6sg/edit"", ""Sheet1!B:D""), 3, FALSE), ""Not Found"")"),"k ɔ s t ɪ ŋ ")</f>
        <v>k ɔ s t ɪ ŋ </v>
      </c>
    </row>
    <row r="2742">
      <c r="A2742" s="1" t="s">
        <v>2745</v>
      </c>
      <c r="B2742" s="1" t="s">
        <v>5</v>
      </c>
      <c r="C2742" s="2">
        <f>IFERROR(__xludf.DUMMYFUNCTION("IFERROR(VLOOKUP(A2742, IMPORTRANGE(""https://docs.google.com/spreadsheets/d/1AVX9GT0dgogEBStecCXMMQ29tWz3gBrtNB8yIromXbY/edit?gid=741673867"", ""out1g!A:B""), 2, FALSE), 0)"),282.0)</f>
        <v>282</v>
      </c>
      <c r="D2742" s="2" t="str">
        <f>IFERROR(__xludf.DUMMYFUNCTION("IFERROR(VLOOKUP(A2742, IMPORTRANGE(""https://docs.google.com/spreadsheets/d/1-3Vjw2Cyy-mry5gbC8ypIR3YVGFfEpyFESummAta6sg/edit"", ""Sheet1!B:D""), 2, FALSE), ""Not Found"")"),"pənʧt")</f>
        <v>pənʧt</v>
      </c>
      <c r="E2742" s="2" t="str">
        <f>IFERROR(__xludf.DUMMYFUNCTION("IFERROR(VLOOKUP(A2742, IMPORTRANGE(""https://docs.google.com/spreadsheets/d/1-3Vjw2Cyy-mry5gbC8ypIR3YVGFfEpyFESummAta6sg/edit"", ""Sheet1!B:D""), 3, FALSE), ""Not Found"")"),"p ə n ʧ t ")</f>
        <v>p ə n ʧ t </v>
      </c>
    </row>
    <row r="2743">
      <c r="A2743" s="1" t="s">
        <v>2746</v>
      </c>
      <c r="B2743" s="1" t="s">
        <v>5</v>
      </c>
      <c r="C2743" s="2">
        <f>IFERROR(__xludf.DUMMYFUNCTION("IFERROR(VLOOKUP(A2743, IMPORTRANGE(""https://docs.google.com/spreadsheets/d/1AVX9GT0dgogEBStecCXMMQ29tWz3gBrtNB8yIromXbY/edit?gid=741673867"", ""out1g!A:B""), 2, FALSE), 0)"),103.0)</f>
        <v>103</v>
      </c>
      <c r="D2743" s="2" t="str">
        <f>IFERROR(__xludf.DUMMYFUNCTION("IFERROR(VLOOKUP(A2743, IMPORTRANGE(""https://docs.google.com/spreadsheets/d/1-3Vjw2Cyy-mry5gbC8ypIR3YVGFfEpyFESummAta6sg/edit"", ""Sheet1!B:D""), 2, FALSE), ""Not Found"")"),"rɛndər")</f>
        <v>rɛndər</v>
      </c>
      <c r="E2743" s="2" t="str">
        <f>IFERROR(__xludf.DUMMYFUNCTION("IFERROR(VLOOKUP(A2743, IMPORTRANGE(""https://docs.google.com/spreadsheets/d/1-3Vjw2Cyy-mry5gbC8ypIR3YVGFfEpyFESummAta6sg/edit"", ""Sheet1!B:D""), 3, FALSE), ""Not Found"")"),"r ɛ n d ə r ")</f>
        <v>r ɛ n d ə r </v>
      </c>
    </row>
    <row r="2744">
      <c r="A2744" s="1" t="s">
        <v>2747</v>
      </c>
      <c r="B2744" s="1" t="s">
        <v>5</v>
      </c>
      <c r="C2744" s="2">
        <f>IFERROR(__xludf.DUMMYFUNCTION("IFERROR(VLOOKUP(A2744, IMPORTRANGE(""https://docs.google.com/spreadsheets/d/1AVX9GT0dgogEBStecCXMMQ29tWz3gBrtNB8yIromXbY/edit?gid=741673867"", ""out1g!A:B""), 2, FALSE), 0)"),1795.0)</f>
        <v>1795</v>
      </c>
      <c r="D2744" s="2" t="str">
        <f>IFERROR(__xludf.DUMMYFUNCTION("IFERROR(VLOOKUP(A2744, IMPORTRANGE(""https://docs.google.com/spreadsheets/d/1-3Vjw2Cyy-mry5gbC8ypIR3YVGFfEpyFESummAta6sg/edit"", ""Sheet1!B:D""), 2, FALSE), ""Not Found"")"),"tred")</f>
        <v>tred</v>
      </c>
      <c r="E2744" s="2" t="str">
        <f>IFERROR(__xludf.DUMMYFUNCTION("IFERROR(VLOOKUP(A2744, IMPORTRANGE(""https://docs.google.com/spreadsheets/d/1-3Vjw2Cyy-mry5gbC8ypIR3YVGFfEpyFESummAta6sg/edit"", ""Sheet1!B:D""), 3, FALSE), ""Not Found"")"),"t r e d ")</f>
        <v>t r e d </v>
      </c>
    </row>
    <row r="2745">
      <c r="A2745" s="1" t="s">
        <v>2748</v>
      </c>
      <c r="B2745" s="1" t="s">
        <v>5</v>
      </c>
      <c r="C2745" s="2">
        <f>IFERROR(__xludf.DUMMYFUNCTION("IFERROR(VLOOKUP(A2745, IMPORTRANGE(""https://docs.google.com/spreadsheets/d/1AVX9GT0dgogEBStecCXMMQ29tWz3gBrtNB8yIromXbY/edit?gid=741673867"", ""out1g!A:B""), 2, FALSE), 0)"),71.0)</f>
        <v>71</v>
      </c>
      <c r="D2745" s="2" t="str">
        <f>IFERROR(__xludf.DUMMYFUNCTION("IFERROR(VLOOKUP(A2745, IMPORTRANGE(""https://docs.google.com/spreadsheets/d/1-3Vjw2Cyy-mry5gbC8ypIR3YVGFfEpyFESummAta6sg/edit"", ""Sheet1!B:D""), 2, FALSE), ""Not Found"")"),"aɪvəri")</f>
        <v>aɪvəri</v>
      </c>
      <c r="E2745" s="2" t="str">
        <f>IFERROR(__xludf.DUMMYFUNCTION("IFERROR(VLOOKUP(A2745, IMPORTRANGE(""https://docs.google.com/spreadsheets/d/1-3Vjw2Cyy-mry5gbC8ypIR3YVGFfEpyFESummAta6sg/edit"", ""Sheet1!B:D""), 3, FALSE), ""Not Found"")"),"a ɪ v ə r i ")</f>
        <v>a ɪ v ə r i </v>
      </c>
    </row>
    <row r="2746">
      <c r="A2746" s="1" t="s">
        <v>2749</v>
      </c>
      <c r="B2746" s="1" t="s">
        <v>5</v>
      </c>
      <c r="C2746" s="2">
        <f>IFERROR(__xludf.DUMMYFUNCTION("IFERROR(VLOOKUP(A2746, IMPORTRANGE(""https://docs.google.com/spreadsheets/d/1AVX9GT0dgogEBStecCXMMQ29tWz3gBrtNB8yIromXbY/edit?gid=741673867"", ""out1g!A:B""), 2, FALSE), 0)"),93.0)</f>
        <v>93</v>
      </c>
      <c r="D2746" s="2" t="str">
        <f>IFERROR(__xludf.DUMMYFUNCTION("IFERROR(VLOOKUP(A2746, IMPORTRANGE(""https://docs.google.com/spreadsheets/d/1-3Vjw2Cyy-mry5gbC8ypIR3YVGFfEpyFESummAta6sg/edit"", ""Sheet1!B:D""), 2, FALSE), ""Not Found"")"),"wɛbər")</f>
        <v>wɛbər</v>
      </c>
      <c r="E2746" s="2" t="str">
        <f>IFERROR(__xludf.DUMMYFUNCTION("IFERROR(VLOOKUP(A2746, IMPORTRANGE(""https://docs.google.com/spreadsheets/d/1-3Vjw2Cyy-mry5gbC8ypIR3YVGFfEpyFESummAta6sg/edit"", ""Sheet1!B:D""), 3, FALSE), ""Not Found"")"),"w ɛ b ə r ")</f>
        <v>w ɛ b ə r </v>
      </c>
    </row>
    <row r="2747">
      <c r="A2747" s="1" t="s">
        <v>2750</v>
      </c>
      <c r="B2747" s="1" t="s">
        <v>5</v>
      </c>
      <c r="C2747" s="2">
        <f>IFERROR(__xludf.DUMMYFUNCTION("IFERROR(VLOOKUP(A2747, IMPORTRANGE(""https://docs.google.com/spreadsheets/d/1AVX9GT0dgogEBStecCXMMQ29tWz3gBrtNB8yIromXbY/edit?gid=741673867"", ""out1g!A:B""), 2, FALSE), 0)"),1890.0)</f>
        <v>1890</v>
      </c>
      <c r="D2747" s="2" t="str">
        <f>IFERROR(__xludf.DUMMYFUNCTION("IFERROR(VLOOKUP(A2747, IMPORTRANGE(""https://docs.google.com/spreadsheets/d/1-3Vjw2Cyy-mry5gbC8ypIR3YVGFfEpyFESummAta6sg/edit"", ""Sheet1!B:D""), 2, FALSE), ""Not Found"")"),"ædəm")</f>
        <v>ædəm</v>
      </c>
      <c r="E2747" s="2" t="str">
        <f>IFERROR(__xludf.DUMMYFUNCTION("IFERROR(VLOOKUP(A2747, IMPORTRANGE(""https://docs.google.com/spreadsheets/d/1-3Vjw2Cyy-mry5gbC8ypIR3YVGFfEpyFESummAta6sg/edit"", ""Sheet1!B:D""), 3, FALSE), ""Not Found"")"),"æ d ə m ")</f>
        <v>æ d ə m </v>
      </c>
    </row>
    <row r="2748">
      <c r="A2748" s="1" t="s">
        <v>2751</v>
      </c>
      <c r="B2748" s="1" t="s">
        <v>5</v>
      </c>
      <c r="C2748" s="2">
        <f>IFERROR(__xludf.DUMMYFUNCTION("IFERROR(VLOOKUP(A2748, IMPORTRANGE(""https://docs.google.com/spreadsheets/d/1AVX9GT0dgogEBStecCXMMQ29tWz3gBrtNB8yIromXbY/edit?gid=741673867"", ""out1g!A:B""), 2, FALSE), 0)"),197.0)</f>
        <v>197</v>
      </c>
      <c r="D2748" s="2" t="str">
        <f>IFERROR(__xludf.DUMMYFUNCTION("IFERROR(VLOOKUP(A2748, IMPORTRANGE(""https://docs.google.com/spreadsheets/d/1-3Vjw2Cyy-mry5gbC8ypIR3YVGFfEpyFESummAta6sg/edit"", ""Sheet1!B:D""), 2, FALSE), ""Not Found"")"),"groʊv")</f>
        <v>groʊv</v>
      </c>
      <c r="E2748" s="2" t="str">
        <f>IFERROR(__xludf.DUMMYFUNCTION("IFERROR(VLOOKUP(A2748, IMPORTRANGE(""https://docs.google.com/spreadsheets/d/1-3Vjw2Cyy-mry5gbC8ypIR3YVGFfEpyFESummAta6sg/edit"", ""Sheet1!B:D""), 3, FALSE), ""Not Found"")"),"g r o ʊ v ")</f>
        <v>g r o ʊ v </v>
      </c>
    </row>
    <row r="2749">
      <c r="A2749" s="1" t="s">
        <v>2752</v>
      </c>
      <c r="B2749" s="1" t="s">
        <v>5</v>
      </c>
      <c r="C2749" s="2">
        <f>IFERROR(__xludf.DUMMYFUNCTION("IFERROR(VLOOKUP(A2749, IMPORTRANGE(""https://docs.google.com/spreadsheets/d/1AVX9GT0dgogEBStecCXMMQ29tWz3gBrtNB8yIromXbY/edit?gid=741673867"", ""out1g!A:B""), 2, FALSE), 0)"),636.0)</f>
        <v>636</v>
      </c>
      <c r="D2749" s="2" t="str">
        <f>IFERROR(__xludf.DUMMYFUNCTION("IFERROR(VLOOKUP(A2749, IMPORTRANGE(""https://docs.google.com/spreadsheets/d/1-3Vjw2Cyy-mry5gbC8ypIR3YVGFfEpyFESummAta6sg/edit"", ""Sheet1!B:D""), 2, FALSE), ""Not Found"")"),"slæp")</f>
        <v>slæp</v>
      </c>
      <c r="E2749" s="2" t="str">
        <f>IFERROR(__xludf.DUMMYFUNCTION("IFERROR(VLOOKUP(A2749, IMPORTRANGE(""https://docs.google.com/spreadsheets/d/1-3Vjw2Cyy-mry5gbC8ypIR3YVGFfEpyFESummAta6sg/edit"", ""Sheet1!B:D""), 3, FALSE), ""Not Found"")"),"s l æ p ")</f>
        <v>s l æ p </v>
      </c>
    </row>
    <row r="2750">
      <c r="A2750" s="1" t="s">
        <v>2753</v>
      </c>
      <c r="B2750" s="1" t="s">
        <v>5</v>
      </c>
      <c r="C2750" s="2">
        <f>IFERROR(__xludf.DUMMYFUNCTION("IFERROR(VLOOKUP(A2750, IMPORTRANGE(""https://docs.google.com/spreadsheets/d/1AVX9GT0dgogEBStecCXMMQ29tWz3gBrtNB8yIromXbY/edit?gid=741673867"", ""out1g!A:B""), 2, FALSE), 0)"),77.0)</f>
        <v>77</v>
      </c>
      <c r="D2750" s="2" t="str">
        <f>IFERROR(__xludf.DUMMYFUNCTION("IFERROR(VLOOKUP(A2750, IMPORTRANGE(""https://docs.google.com/spreadsheets/d/1-3Vjw2Cyy-mry5gbC8ypIR3YVGFfEpyFESummAta6sg/edit"", ""Sheet1!B:D""), 2, FALSE), ""Not Found"")"),"dɪs")</f>
        <v>dɪs</v>
      </c>
      <c r="E2750" s="2" t="str">
        <f>IFERROR(__xludf.DUMMYFUNCTION("IFERROR(VLOOKUP(A2750, IMPORTRANGE(""https://docs.google.com/spreadsheets/d/1-3Vjw2Cyy-mry5gbC8ypIR3YVGFfEpyFESummAta6sg/edit"", ""Sheet1!B:D""), 3, FALSE), ""Not Found"")"),"d ɪ s ")</f>
        <v>d ɪ s </v>
      </c>
    </row>
    <row r="2751">
      <c r="A2751" s="1" t="s">
        <v>2754</v>
      </c>
      <c r="B2751" s="1" t="s">
        <v>5</v>
      </c>
      <c r="C2751" s="2">
        <f>IFERROR(__xludf.DUMMYFUNCTION("IFERROR(VLOOKUP(A2751, IMPORTRANGE(""https://docs.google.com/spreadsheets/d/1AVX9GT0dgogEBStecCXMMQ29tWz3gBrtNB8yIromXbY/edit?gid=741673867"", ""out1g!A:B""), 2, FALSE), 0)"),1084.0)</f>
        <v>1084</v>
      </c>
      <c r="D2751" s="2" t="str">
        <f>IFERROR(__xludf.DUMMYFUNCTION("IFERROR(VLOOKUP(A2751, IMPORTRANGE(""https://docs.google.com/spreadsheets/d/1-3Vjw2Cyy-mry5gbC8ypIR3YVGFfEpyFESummAta6sg/edit"", ""Sheet1!B:D""), 2, FALSE), ""Not Found"")"),"wev")</f>
        <v>wev</v>
      </c>
      <c r="E2751" s="2" t="str">
        <f>IFERROR(__xludf.DUMMYFUNCTION("IFERROR(VLOOKUP(A2751, IMPORTRANGE(""https://docs.google.com/spreadsheets/d/1-3Vjw2Cyy-mry5gbC8ypIR3YVGFfEpyFESummAta6sg/edit"", ""Sheet1!B:D""), 3, FALSE), ""Not Found"")"),"w e v ")</f>
        <v>w e v </v>
      </c>
    </row>
    <row r="2752">
      <c r="A2752" s="1" t="s">
        <v>2755</v>
      </c>
      <c r="B2752" s="1" t="s">
        <v>5</v>
      </c>
      <c r="C2752" s="2">
        <f>IFERROR(__xludf.DUMMYFUNCTION("IFERROR(VLOOKUP(A2752, IMPORTRANGE(""https://docs.google.com/spreadsheets/d/1AVX9GT0dgogEBStecCXMMQ29tWz3gBrtNB8yIromXbY/edit?gid=741673867"", ""out1g!A:B""), 2, FALSE), 0)"),1270.0)</f>
        <v>1270</v>
      </c>
      <c r="D2752" s="2" t="str">
        <f>IFERROR(__xludf.DUMMYFUNCTION("IFERROR(VLOOKUP(A2752, IMPORTRANGE(""https://docs.google.com/spreadsheets/d/1-3Vjw2Cyy-mry5gbC8ypIR3YVGFfEpyFESummAta6sg/edit"", ""Sheet1!B:D""), 2, FALSE), ""Not Found"")"),"broʊ")</f>
        <v>broʊ</v>
      </c>
      <c r="E2752" s="2" t="str">
        <f>IFERROR(__xludf.DUMMYFUNCTION("IFERROR(VLOOKUP(A2752, IMPORTRANGE(""https://docs.google.com/spreadsheets/d/1-3Vjw2Cyy-mry5gbC8ypIR3YVGFfEpyFESummAta6sg/edit"", ""Sheet1!B:D""), 3, FALSE), ""Not Found"")"),"b r o ʊ ")</f>
        <v>b r o ʊ </v>
      </c>
    </row>
    <row r="2753">
      <c r="A2753" s="1" t="s">
        <v>2756</v>
      </c>
      <c r="B2753" s="1" t="s">
        <v>5</v>
      </c>
      <c r="C2753" s="2">
        <f>IFERROR(__xludf.DUMMYFUNCTION("IFERROR(VLOOKUP(A2753, IMPORTRANGE(""https://docs.google.com/spreadsheets/d/1AVX9GT0dgogEBStecCXMMQ29tWz3gBrtNB8yIromXbY/edit?gid=741673867"", ""out1g!A:B""), 2, FALSE), 0)"),154.0)</f>
        <v>154</v>
      </c>
      <c r="D2753" s="2" t="str">
        <f>IFERROR(__xludf.DUMMYFUNCTION("IFERROR(VLOOKUP(A2753, IMPORTRANGE(""https://docs.google.com/spreadsheets/d/1-3Vjw2Cyy-mry5gbC8ypIR3YVGFfEpyFESummAta6sg/edit"", ""Sheet1!B:D""), 2, FALSE), ""Not Found"")"),"mɑmə")</f>
        <v>mɑmə</v>
      </c>
      <c r="E2753" s="2" t="str">
        <f>IFERROR(__xludf.DUMMYFUNCTION("IFERROR(VLOOKUP(A2753, IMPORTRANGE(""https://docs.google.com/spreadsheets/d/1-3Vjw2Cyy-mry5gbC8ypIR3YVGFfEpyFESummAta6sg/edit"", ""Sheet1!B:D""), 3, FALSE), ""Not Found"")"),"m ɑ m ə ")</f>
        <v>m ɑ m ə </v>
      </c>
    </row>
    <row r="2754">
      <c r="A2754" s="1" t="s">
        <v>2757</v>
      </c>
      <c r="B2754" s="1" t="s">
        <v>5</v>
      </c>
      <c r="C2754" s="2">
        <f>IFERROR(__xludf.DUMMYFUNCTION("IFERROR(VLOOKUP(A2754, IMPORTRANGE(""https://docs.google.com/spreadsheets/d/1AVX9GT0dgogEBStecCXMMQ29tWz3gBrtNB8yIromXbY/edit?gid=741673867"", ""out1g!A:B""), 2, FALSE), 0)"),99.0)</f>
        <v>99</v>
      </c>
      <c r="D2754" s="2" t="str">
        <f>IFERROR(__xludf.DUMMYFUNCTION("IFERROR(VLOOKUP(A2754, IMPORTRANGE(""https://docs.google.com/spreadsheets/d/1-3Vjw2Cyy-mry5gbC8ypIR3YVGFfEpyFESummAta6sg/edit"", ""Sheet1!B:D""), 2, FALSE), ""Not Found"")"),"nɛts")</f>
        <v>nɛts</v>
      </c>
      <c r="E2754" s="2" t="str">
        <f>IFERROR(__xludf.DUMMYFUNCTION("IFERROR(VLOOKUP(A2754, IMPORTRANGE(""https://docs.google.com/spreadsheets/d/1-3Vjw2Cyy-mry5gbC8ypIR3YVGFfEpyFESummAta6sg/edit"", ""Sheet1!B:D""), 3, FALSE), ""Not Found"")"),"n ɛ t s ")</f>
        <v>n ɛ t s </v>
      </c>
    </row>
    <row r="2755">
      <c r="A2755" s="1" t="s">
        <v>2758</v>
      </c>
      <c r="B2755" s="1" t="s">
        <v>5</v>
      </c>
      <c r="C2755" s="2">
        <f>IFERROR(__xludf.DUMMYFUNCTION("IFERROR(VLOOKUP(A2755, IMPORTRANGE(""https://docs.google.com/spreadsheets/d/1AVX9GT0dgogEBStecCXMMQ29tWz3gBrtNB8yIromXbY/edit?gid=741673867"", ""out1g!A:B""), 2, FALSE), 0)"),204.0)</f>
        <v>204</v>
      </c>
      <c r="D2755" s="2" t="str">
        <f>IFERROR(__xludf.DUMMYFUNCTION("IFERROR(VLOOKUP(A2755, IMPORTRANGE(""https://docs.google.com/spreadsheets/d/1-3Vjw2Cyy-mry5gbC8ypIR3YVGFfEpyFESummAta6sg/edit"", ""Sheet1!B:D""), 2, FALSE), ""Not Found"")"),"θæts")</f>
        <v>θæts</v>
      </c>
      <c r="E2755" s="2" t="str">
        <f>IFERROR(__xludf.DUMMYFUNCTION("IFERROR(VLOOKUP(A2755, IMPORTRANGE(""https://docs.google.com/spreadsheets/d/1-3Vjw2Cyy-mry5gbC8ypIR3YVGFfEpyFESummAta6sg/edit"", ""Sheet1!B:D""), 3, FALSE), ""Not Found"")"),"θ æ t s ")</f>
        <v>θ æ t s </v>
      </c>
    </row>
    <row r="2756">
      <c r="A2756" s="1" t="s">
        <v>2759</v>
      </c>
      <c r="B2756" s="1" t="s">
        <v>5</v>
      </c>
      <c r="C2756" s="2">
        <f>IFERROR(__xludf.DUMMYFUNCTION("IFERROR(VLOOKUP(A2756, IMPORTRANGE(""https://docs.google.com/spreadsheets/d/1AVX9GT0dgogEBStecCXMMQ29tWz3gBrtNB8yIromXbY/edit?gid=741673867"", ""out1g!A:B""), 2, FALSE), 0)"),209.0)</f>
        <v>209</v>
      </c>
      <c r="D2756" s="2" t="str">
        <f>IFERROR(__xludf.DUMMYFUNCTION("IFERROR(VLOOKUP(A2756, IMPORTRANGE(""https://docs.google.com/spreadsheets/d/1-3Vjw2Cyy-mry5gbC8ypIR3YVGFfEpyFESummAta6sg/edit"", ""Sheet1!B:D""), 2, FALSE), ""Not Found"")"),"klæn")</f>
        <v>klæn</v>
      </c>
      <c r="E2756" s="2" t="str">
        <f>IFERROR(__xludf.DUMMYFUNCTION("IFERROR(VLOOKUP(A2756, IMPORTRANGE(""https://docs.google.com/spreadsheets/d/1-3Vjw2Cyy-mry5gbC8ypIR3YVGFfEpyFESummAta6sg/edit"", ""Sheet1!B:D""), 3, FALSE), ""Not Found"")"),"k l æ n ")</f>
        <v>k l æ n </v>
      </c>
    </row>
    <row r="2757">
      <c r="A2757" s="1" t="s">
        <v>2760</v>
      </c>
      <c r="B2757" s="1" t="s">
        <v>5</v>
      </c>
      <c r="C2757" s="2">
        <f>IFERROR(__xludf.DUMMYFUNCTION("IFERROR(VLOOKUP(A2757, IMPORTRANGE(""https://docs.google.com/spreadsheets/d/1AVX9GT0dgogEBStecCXMMQ29tWz3gBrtNB8yIromXbY/edit?gid=741673867"", ""out1g!A:B""), 2, FALSE), 0)"),45.0)</f>
        <v>45</v>
      </c>
      <c r="D2757" s="2" t="str">
        <f>IFERROR(__xludf.DUMMYFUNCTION("IFERROR(VLOOKUP(A2757, IMPORTRANGE(""https://docs.google.com/spreadsheets/d/1-3Vjw2Cyy-mry5gbC8ypIR3YVGFfEpyFESummAta6sg/edit"", ""Sheet1!B:D""), 2, FALSE), ""Not Found"")"),"ʃuts")</f>
        <v>ʃuts</v>
      </c>
      <c r="E2757" s="2" t="str">
        <f>IFERROR(__xludf.DUMMYFUNCTION("IFERROR(VLOOKUP(A2757, IMPORTRANGE(""https://docs.google.com/spreadsheets/d/1-3Vjw2Cyy-mry5gbC8ypIR3YVGFfEpyFESummAta6sg/edit"", ""Sheet1!B:D""), 3, FALSE), ""Not Found"")"),"ʃ u t s ")</f>
        <v>ʃ u t s </v>
      </c>
    </row>
    <row r="2758">
      <c r="A2758" s="1" t="s">
        <v>2761</v>
      </c>
      <c r="B2758" s="1" t="s">
        <v>5</v>
      </c>
      <c r="C2758" s="2">
        <f>IFERROR(__xludf.DUMMYFUNCTION("IFERROR(VLOOKUP(A2758, IMPORTRANGE(""https://docs.google.com/spreadsheets/d/1AVX9GT0dgogEBStecCXMMQ29tWz3gBrtNB8yIromXbY/edit?gid=741673867"", ""out1g!A:B""), 2, FALSE), 0)"),48.0)</f>
        <v>48</v>
      </c>
      <c r="D2758" s="2" t="str">
        <f>IFERROR(__xludf.DUMMYFUNCTION("IFERROR(VLOOKUP(A2758, IMPORTRANGE(""https://docs.google.com/spreadsheets/d/1-3Vjw2Cyy-mry5gbC8ypIR3YVGFfEpyFESummAta6sg/edit"", ""Sheet1!B:D""), 2, FALSE), ""Not Found"")"),"bægi")</f>
        <v>bægi</v>
      </c>
      <c r="E2758" s="2" t="str">
        <f>IFERROR(__xludf.DUMMYFUNCTION("IFERROR(VLOOKUP(A2758, IMPORTRANGE(""https://docs.google.com/spreadsheets/d/1-3Vjw2Cyy-mry5gbC8ypIR3YVGFfEpyFESummAta6sg/edit"", ""Sheet1!B:D""), 3, FALSE), ""Not Found"")"),"b æ g i ")</f>
        <v>b æ g i </v>
      </c>
    </row>
    <row r="2759">
      <c r="A2759" s="1" t="s">
        <v>2762</v>
      </c>
      <c r="B2759" s="1" t="s">
        <v>5</v>
      </c>
      <c r="C2759" s="2">
        <f>IFERROR(__xludf.DUMMYFUNCTION("IFERROR(VLOOKUP(A2759, IMPORTRANGE(""https://docs.google.com/spreadsheets/d/1AVX9GT0dgogEBStecCXMMQ29tWz3gBrtNB8yIromXbY/edit?gid=741673867"", ""out1g!A:B""), 2, FALSE), 0)"),236.0)</f>
        <v>236</v>
      </c>
      <c r="D2759" s="2" t="str">
        <f>IFERROR(__xludf.DUMMYFUNCTION("IFERROR(VLOOKUP(A2759, IMPORTRANGE(""https://docs.google.com/spreadsheets/d/1-3Vjw2Cyy-mry5gbC8ypIR3YVGFfEpyFESummAta6sg/edit"", ""Sheet1!B:D""), 2, FALSE), ""Not Found"")"),"lɪn")</f>
        <v>lɪn</v>
      </c>
      <c r="E2759" s="2" t="str">
        <f>IFERROR(__xludf.DUMMYFUNCTION("IFERROR(VLOOKUP(A2759, IMPORTRANGE(""https://docs.google.com/spreadsheets/d/1-3Vjw2Cyy-mry5gbC8ypIR3YVGFfEpyFESummAta6sg/edit"", ""Sheet1!B:D""), 3, FALSE), ""Not Found"")"),"l ɪ n ")</f>
        <v>l ɪ n </v>
      </c>
    </row>
    <row r="2760">
      <c r="A2760" s="1" t="s">
        <v>2763</v>
      </c>
      <c r="B2760" s="1" t="s">
        <v>5</v>
      </c>
      <c r="C2760" s="2">
        <f>IFERROR(__xludf.DUMMYFUNCTION("IFERROR(VLOOKUP(A2760, IMPORTRANGE(""https://docs.google.com/spreadsheets/d/1AVX9GT0dgogEBStecCXMMQ29tWz3gBrtNB8yIromXbY/edit?gid=741673867"", ""out1g!A:B""), 2, FALSE), 0)"),170.0)</f>
        <v>170</v>
      </c>
      <c r="D2760" s="2" t="str">
        <f>IFERROR(__xludf.DUMMYFUNCTION("IFERROR(VLOOKUP(A2760, IMPORTRANGE(""https://docs.google.com/spreadsheets/d/1-3Vjw2Cyy-mry5gbC8ypIR3YVGFfEpyFESummAta6sg/edit"", ""Sheet1!B:D""), 2, FALSE), ""Not Found"")"),"səmɪt")</f>
        <v>səmɪt</v>
      </c>
      <c r="E2760" s="2" t="str">
        <f>IFERROR(__xludf.DUMMYFUNCTION("IFERROR(VLOOKUP(A2760, IMPORTRANGE(""https://docs.google.com/spreadsheets/d/1-3Vjw2Cyy-mry5gbC8ypIR3YVGFfEpyFESummAta6sg/edit"", ""Sheet1!B:D""), 3, FALSE), ""Not Found"")"),"s ə m ɪ t ")</f>
        <v>s ə m ɪ t </v>
      </c>
    </row>
    <row r="2761">
      <c r="A2761" s="1" t="s">
        <v>2764</v>
      </c>
      <c r="B2761" s="1" t="s">
        <v>5</v>
      </c>
      <c r="C2761" s="2">
        <f>IFERROR(__xludf.DUMMYFUNCTION("IFERROR(VLOOKUP(A2761, IMPORTRANGE(""https://docs.google.com/spreadsheets/d/1AVX9GT0dgogEBStecCXMMQ29tWz3gBrtNB8yIromXbY/edit?gid=741673867"", ""out1g!A:B""), 2, FALSE), 0)"),143.0)</f>
        <v>143</v>
      </c>
      <c r="D2761" s="2" t="str">
        <f>IFERROR(__xludf.DUMMYFUNCTION("IFERROR(VLOOKUP(A2761, IMPORTRANGE(""https://docs.google.com/spreadsheets/d/1-3Vjw2Cyy-mry5gbC8ypIR3YVGFfEpyFESummAta6sg/edit"", ""Sheet1!B:D""), 2, FALSE), ""Not Found"")"),"stæt")</f>
        <v>stæt</v>
      </c>
      <c r="E2761" s="2" t="str">
        <f>IFERROR(__xludf.DUMMYFUNCTION("IFERROR(VLOOKUP(A2761, IMPORTRANGE(""https://docs.google.com/spreadsheets/d/1-3Vjw2Cyy-mry5gbC8ypIR3YVGFfEpyFESummAta6sg/edit"", ""Sheet1!B:D""), 3, FALSE), ""Not Found"")"),"s t æ t ")</f>
        <v>s t æ t </v>
      </c>
    </row>
    <row r="2762">
      <c r="A2762" s="1" t="s">
        <v>2765</v>
      </c>
      <c r="B2762" s="1" t="s">
        <v>5</v>
      </c>
      <c r="C2762" s="2">
        <f>IFERROR(__xludf.DUMMYFUNCTION("IFERROR(VLOOKUP(A2762, IMPORTRANGE(""https://docs.google.com/spreadsheets/d/1AVX9GT0dgogEBStecCXMMQ29tWz3gBrtNB8yIromXbY/edit?gid=741673867"", ""out1g!A:B""), 2, FALSE), 0)"),2758.0)</f>
        <v>2758</v>
      </c>
      <c r="D2762" s="2" t="str">
        <f>IFERROR(__xludf.DUMMYFUNCTION("IFERROR(VLOOKUP(A2762, IMPORTRANGE(""https://docs.google.com/spreadsheets/d/1-3Vjw2Cyy-mry5gbC8ypIR3YVGFfEpyFESummAta6sg/edit"", ""Sheet1!B:D""), 2, FALSE), ""Not Found"")"),"kloʊzd")</f>
        <v>kloʊzd</v>
      </c>
      <c r="E2762" s="2" t="str">
        <f>IFERROR(__xludf.DUMMYFUNCTION("IFERROR(VLOOKUP(A2762, IMPORTRANGE(""https://docs.google.com/spreadsheets/d/1-3Vjw2Cyy-mry5gbC8ypIR3YVGFfEpyFESummAta6sg/edit"", ""Sheet1!B:D""), 3, FALSE), ""Not Found"")"),"k l o ʊ z d ")</f>
        <v>k l o ʊ z d </v>
      </c>
    </row>
    <row r="2763">
      <c r="A2763" s="1" t="s">
        <v>2766</v>
      </c>
      <c r="B2763" s="1" t="s">
        <v>5</v>
      </c>
      <c r="C2763" s="2">
        <f>IFERROR(__xludf.DUMMYFUNCTION("IFERROR(VLOOKUP(A2763, IMPORTRANGE(""https://docs.google.com/spreadsheets/d/1AVX9GT0dgogEBStecCXMMQ29tWz3gBrtNB8yIromXbY/edit?gid=741673867"", ""out1g!A:B""), 2, FALSE), 0)"),123.0)</f>
        <v>123</v>
      </c>
      <c r="D2763" s="2" t="str">
        <f>IFERROR(__xludf.DUMMYFUNCTION("IFERROR(VLOOKUP(A2763, IMPORTRANGE(""https://docs.google.com/spreadsheets/d/1-3Vjw2Cyy-mry5gbC8ypIR3YVGFfEpyFESummAta6sg/edit"", ""Sheet1!B:D""), 2, FALSE), ""Not Found"")"),"brəʃt")</f>
        <v>brəʃt</v>
      </c>
      <c r="E2763" s="2" t="str">
        <f>IFERROR(__xludf.DUMMYFUNCTION("IFERROR(VLOOKUP(A2763, IMPORTRANGE(""https://docs.google.com/spreadsheets/d/1-3Vjw2Cyy-mry5gbC8ypIR3YVGFfEpyFESummAta6sg/edit"", ""Sheet1!B:D""), 3, FALSE), ""Not Found"")"),"b r ə ʃ t ")</f>
        <v>b r ə ʃ t </v>
      </c>
    </row>
    <row r="2764">
      <c r="A2764" s="1" t="s">
        <v>2767</v>
      </c>
      <c r="B2764" s="1" t="s">
        <v>5</v>
      </c>
      <c r="C2764" s="2">
        <f>IFERROR(__xludf.DUMMYFUNCTION("IFERROR(VLOOKUP(A2764, IMPORTRANGE(""https://docs.google.com/spreadsheets/d/1AVX9GT0dgogEBStecCXMMQ29tWz3gBrtNB8yIromXbY/edit?gid=741673867"", ""out1g!A:B""), 2, FALSE), 0)"),12428.0)</f>
        <v>12428</v>
      </c>
      <c r="D2764" s="2" t="str">
        <f>IFERROR(__xludf.DUMMYFUNCTION("IFERROR(VLOOKUP(A2764, IMPORTRANGE(""https://docs.google.com/spreadsheets/d/1-3Vjw2Cyy-mry5gbC8ypIR3YVGFfEpyFESummAta6sg/edit"", ""Sheet1!B:D""), 2, FALSE), ""Not Found"")"),"gev")</f>
        <v>gev</v>
      </c>
      <c r="E2764" s="2" t="str">
        <f>IFERROR(__xludf.DUMMYFUNCTION("IFERROR(VLOOKUP(A2764, IMPORTRANGE(""https://docs.google.com/spreadsheets/d/1-3Vjw2Cyy-mry5gbC8ypIR3YVGFfEpyFESummAta6sg/edit"", ""Sheet1!B:D""), 3, FALSE), ""Not Found"")"),"g e v ")</f>
        <v>g e v </v>
      </c>
    </row>
    <row r="2765">
      <c r="A2765" s="1" t="s">
        <v>2768</v>
      </c>
      <c r="B2765" s="1" t="s">
        <v>5</v>
      </c>
      <c r="C2765" s="2">
        <f>IFERROR(__xludf.DUMMYFUNCTION("IFERROR(VLOOKUP(A2765, IMPORTRANGE(""https://docs.google.com/spreadsheets/d/1AVX9GT0dgogEBStecCXMMQ29tWz3gBrtNB8yIromXbY/edit?gid=741673867"", ""out1g!A:B""), 2, FALSE), 0)"),15630.0)</f>
        <v>15630</v>
      </c>
      <c r="D2765" s="2" t="str">
        <f>IFERROR(__xludf.DUMMYFUNCTION("IFERROR(VLOOKUP(A2765, IMPORTRANGE(""https://docs.google.com/spreadsheets/d/1-3Vjw2Cyy-mry5gbC8ypIR3YVGFfEpyFESummAta6sg/edit"", ""Sheet1!B:D""), 2, FALSE), ""Not Found"")"),"tərn")</f>
        <v>tərn</v>
      </c>
      <c r="E2765" s="2" t="str">
        <f>IFERROR(__xludf.DUMMYFUNCTION("IFERROR(VLOOKUP(A2765, IMPORTRANGE(""https://docs.google.com/spreadsheets/d/1-3Vjw2Cyy-mry5gbC8ypIR3YVGFfEpyFESummAta6sg/edit"", ""Sheet1!B:D""), 3, FALSE), ""Not Found"")"),"t ə r n ")</f>
        <v>t ə r n </v>
      </c>
    </row>
    <row r="2766">
      <c r="A2766" s="1" t="s">
        <v>2769</v>
      </c>
      <c r="B2766" s="1" t="s">
        <v>5</v>
      </c>
      <c r="C2766" s="2">
        <f>IFERROR(__xludf.DUMMYFUNCTION("IFERROR(VLOOKUP(A2766, IMPORTRANGE(""https://docs.google.com/spreadsheets/d/1AVX9GT0dgogEBStecCXMMQ29tWz3gBrtNB8yIromXbY/edit?gid=741673867"", ""out1g!A:B""), 2, FALSE), 0)"),516.0)</f>
        <v>516</v>
      </c>
      <c r="D2766" s="2" t="str">
        <f>IFERROR(__xludf.DUMMYFUNCTION("IFERROR(VLOOKUP(A2766, IMPORTRANGE(""https://docs.google.com/spreadsheets/d/1-3Vjw2Cyy-mry5gbC8ypIR3YVGFfEpyFESummAta6sg/edit"", ""Sheet1!B:D""), 2, FALSE), ""Not Found"")"),"səkt")</f>
        <v>səkt</v>
      </c>
      <c r="E2766" s="2" t="str">
        <f>IFERROR(__xludf.DUMMYFUNCTION("IFERROR(VLOOKUP(A2766, IMPORTRANGE(""https://docs.google.com/spreadsheets/d/1-3Vjw2Cyy-mry5gbC8ypIR3YVGFfEpyFESummAta6sg/edit"", ""Sheet1!B:D""), 3, FALSE), ""Not Found"")"),"s ə k t ")</f>
        <v>s ə k t </v>
      </c>
    </row>
    <row r="2767">
      <c r="A2767" s="1" t="s">
        <v>2770</v>
      </c>
      <c r="B2767" s="1" t="s">
        <v>5</v>
      </c>
      <c r="C2767" s="2">
        <f>IFERROR(__xludf.DUMMYFUNCTION("IFERROR(VLOOKUP(A2767, IMPORTRANGE(""https://docs.google.com/spreadsheets/d/1AVX9GT0dgogEBStecCXMMQ29tWz3gBrtNB8yIromXbY/edit?gid=741673867"", ""out1g!A:B""), 2, FALSE), 0)"),214.0)</f>
        <v>214</v>
      </c>
      <c r="D2767" s="2" t="str">
        <f>IFERROR(__xludf.DUMMYFUNCTION("IFERROR(VLOOKUP(A2767, IMPORTRANGE(""https://docs.google.com/spreadsheets/d/1-3Vjw2Cyy-mry5gbC8ypIR3YVGFfEpyFESummAta6sg/edit"", ""Sheet1!B:D""), 2, FALSE), ""Not Found"")"),"ʃɪpt")</f>
        <v>ʃɪpt</v>
      </c>
      <c r="E2767" s="2" t="str">
        <f>IFERROR(__xludf.DUMMYFUNCTION("IFERROR(VLOOKUP(A2767, IMPORTRANGE(""https://docs.google.com/spreadsheets/d/1-3Vjw2Cyy-mry5gbC8ypIR3YVGFfEpyFESummAta6sg/edit"", ""Sheet1!B:D""), 3, FALSE), ""Not Found"")"),"ʃ ɪ p t ")</f>
        <v>ʃ ɪ p t </v>
      </c>
    </row>
    <row r="2768">
      <c r="A2768" s="1" t="s">
        <v>2771</v>
      </c>
      <c r="B2768" s="1" t="s">
        <v>5</v>
      </c>
      <c r="C2768" s="2">
        <f>IFERROR(__xludf.DUMMYFUNCTION("IFERROR(VLOOKUP(A2768, IMPORTRANGE(""https://docs.google.com/spreadsheets/d/1AVX9GT0dgogEBStecCXMMQ29tWz3gBrtNB8yIromXbY/edit?gid=741673867"", ""out1g!A:B""), 2, FALSE), 0)"),66.0)</f>
        <v>66</v>
      </c>
      <c r="D2768" s="2" t="str">
        <f>IFERROR(__xludf.DUMMYFUNCTION("IFERROR(VLOOKUP(A2768, IMPORTRANGE(""https://docs.google.com/spreadsheets/d/1-3Vjw2Cyy-mry5gbC8ypIR3YVGFfEpyFESummAta6sg/edit"", ""Sheet1!B:D""), 2, FALSE), ""Not Found"")"),"klɪŋk")</f>
        <v>klɪŋk</v>
      </c>
      <c r="E2768" s="2" t="str">
        <f>IFERROR(__xludf.DUMMYFUNCTION("IFERROR(VLOOKUP(A2768, IMPORTRANGE(""https://docs.google.com/spreadsheets/d/1-3Vjw2Cyy-mry5gbC8ypIR3YVGFfEpyFESummAta6sg/edit"", ""Sheet1!B:D""), 3, FALSE), ""Not Found"")"),"k l ɪ ŋ k ")</f>
        <v>k l ɪ ŋ k </v>
      </c>
    </row>
    <row r="2769">
      <c r="A2769" s="1" t="s">
        <v>2772</v>
      </c>
      <c r="B2769" s="1" t="s">
        <v>5</v>
      </c>
      <c r="C2769" s="2">
        <f>IFERROR(__xludf.DUMMYFUNCTION("IFERROR(VLOOKUP(A2769, IMPORTRANGE(""https://docs.google.com/spreadsheets/d/1AVX9GT0dgogEBStecCXMMQ29tWz3gBrtNB8yIromXbY/edit?gid=741673867"", ""out1g!A:B""), 2, FALSE), 0)"),107.0)</f>
        <v>107</v>
      </c>
      <c r="D2769" s="2" t="str">
        <f>IFERROR(__xludf.DUMMYFUNCTION("IFERROR(VLOOKUP(A2769, IMPORTRANGE(""https://docs.google.com/spreadsheets/d/1-3Vjw2Cyy-mry5gbC8ypIR3YVGFfEpyFESummAta6sg/edit"", ""Sheet1!B:D""), 2, FALSE), ""Not Found"")"),"θɔŋ")</f>
        <v>θɔŋ</v>
      </c>
      <c r="E2769" s="2" t="str">
        <f>IFERROR(__xludf.DUMMYFUNCTION("IFERROR(VLOOKUP(A2769, IMPORTRANGE(""https://docs.google.com/spreadsheets/d/1-3Vjw2Cyy-mry5gbC8ypIR3YVGFfEpyFESummAta6sg/edit"", ""Sheet1!B:D""), 3, FALSE), ""Not Found"")"),"θ ɔ ŋ ")</f>
        <v>θ ɔ ŋ </v>
      </c>
    </row>
    <row r="2770">
      <c r="A2770" s="1" t="s">
        <v>2773</v>
      </c>
      <c r="B2770" s="1" t="s">
        <v>5</v>
      </c>
      <c r="C2770" s="2">
        <f>IFERROR(__xludf.DUMMYFUNCTION("IFERROR(VLOOKUP(A2770, IMPORTRANGE(""https://docs.google.com/spreadsheets/d/1AVX9GT0dgogEBStecCXMMQ29tWz3gBrtNB8yIromXbY/edit?gid=741673867"", ""out1g!A:B""), 2, FALSE), 0)"),45.0)</f>
        <v>45</v>
      </c>
      <c r="D2770" s="2" t="str">
        <f>IFERROR(__xludf.DUMMYFUNCTION("IFERROR(VLOOKUP(A2770, IMPORTRANGE(""https://docs.google.com/spreadsheets/d/1-3Vjw2Cyy-mry5gbC8ypIR3YVGFfEpyFESummAta6sg/edit"", ""Sheet1!B:D""), 2, FALSE), ""Not Found"")"),"bɪtsi")</f>
        <v>bɪtsi</v>
      </c>
      <c r="E2770" s="2" t="str">
        <f>IFERROR(__xludf.DUMMYFUNCTION("IFERROR(VLOOKUP(A2770, IMPORTRANGE(""https://docs.google.com/spreadsheets/d/1-3Vjw2Cyy-mry5gbC8ypIR3YVGFfEpyFESummAta6sg/edit"", ""Sheet1!B:D""), 3, FALSE), ""Not Found"")"),"b ɪ t s i ")</f>
        <v>b ɪ t s i </v>
      </c>
    </row>
    <row r="2771">
      <c r="A2771" s="1" t="s">
        <v>2774</v>
      </c>
      <c r="B2771" s="1" t="s">
        <v>5</v>
      </c>
      <c r="C2771" s="2">
        <f>IFERROR(__xludf.DUMMYFUNCTION("IFERROR(VLOOKUP(A2771, IMPORTRANGE(""https://docs.google.com/spreadsheets/d/1AVX9GT0dgogEBStecCXMMQ29tWz3gBrtNB8yIromXbY/edit?gid=741673867"", ""out1g!A:B""), 2, FALSE), 0)"),11991.0)</f>
        <v>11991</v>
      </c>
      <c r="D2771" s="2" t="str">
        <f>IFERROR(__xludf.DUMMYFUNCTION("IFERROR(VLOOKUP(A2771, IMPORTRANGE(""https://docs.google.com/spreadsheets/d/1-3Vjw2Cyy-mry5gbC8ypIR3YVGFfEpyFESummAta6sg/edit"", ""Sheet1!B:D""), 2, FALSE), ""Not Found"")"),"wɪʃ")</f>
        <v>wɪʃ</v>
      </c>
      <c r="E2771" s="2" t="str">
        <f>IFERROR(__xludf.DUMMYFUNCTION("IFERROR(VLOOKUP(A2771, IMPORTRANGE(""https://docs.google.com/spreadsheets/d/1-3Vjw2Cyy-mry5gbC8ypIR3YVGFfEpyFESummAta6sg/edit"", ""Sheet1!B:D""), 3, FALSE), ""Not Found"")"),"w ɪ ʃ ")</f>
        <v>w ɪ ʃ </v>
      </c>
    </row>
    <row r="2772">
      <c r="A2772" s="1" t="s">
        <v>2775</v>
      </c>
      <c r="B2772" s="1" t="s">
        <v>5</v>
      </c>
      <c r="C2772" s="2">
        <f>IFERROR(__xludf.DUMMYFUNCTION("IFERROR(VLOOKUP(A2772, IMPORTRANGE(""https://docs.google.com/spreadsheets/d/1AVX9GT0dgogEBStecCXMMQ29tWz3gBrtNB8yIromXbY/edit?gid=741673867"", ""out1g!A:B""), 2, FALSE), 0)"),60.0)</f>
        <v>60</v>
      </c>
      <c r="D2772" s="2" t="str">
        <f>IFERROR(__xludf.DUMMYFUNCTION("IFERROR(VLOOKUP(A2772, IMPORTRANGE(""https://docs.google.com/spreadsheets/d/1-3Vjw2Cyy-mry5gbC8ypIR3YVGFfEpyFESummAta6sg/edit"", ""Sheet1!B:D""), 2, FALSE), ""Not Found"")"),"bɛl")</f>
        <v>bɛl</v>
      </c>
      <c r="E2772" s="2" t="str">
        <f>IFERROR(__xludf.DUMMYFUNCTION("IFERROR(VLOOKUP(A2772, IMPORTRANGE(""https://docs.google.com/spreadsheets/d/1-3Vjw2Cyy-mry5gbC8ypIR3YVGFfEpyFESummAta6sg/edit"", ""Sheet1!B:D""), 3, FALSE), ""Not Found"")"),"b ɛ l ")</f>
        <v>b ɛ l </v>
      </c>
    </row>
    <row r="2773">
      <c r="A2773" s="1" t="s">
        <v>2776</v>
      </c>
      <c r="B2773" s="1" t="s">
        <v>5</v>
      </c>
      <c r="C2773" s="2">
        <f>IFERROR(__xludf.DUMMYFUNCTION("IFERROR(VLOOKUP(A2773, IMPORTRANGE(""https://docs.google.com/spreadsheets/d/1AVX9GT0dgogEBStecCXMMQ29tWz3gBrtNB8yIromXbY/edit?gid=741673867"", ""out1g!A:B""), 2, FALSE), 0)"),101335.0)</f>
        <v>101335</v>
      </c>
      <c r="D2773" s="2" t="str">
        <f>IFERROR(__xludf.DUMMYFUNCTION("IFERROR(VLOOKUP(A2773, IMPORTRANGE(""https://docs.google.com/spreadsheets/d/1-3Vjw2Cyy-mry5gbC8ypIR3YVGFfEpyFESummAta6sg/edit"", ""Sheet1!B:D""), 2, FALSE), ""Not Found"")"),"di")</f>
        <v>di</v>
      </c>
      <c r="E2773" s="2" t="str">
        <f>IFERROR(__xludf.DUMMYFUNCTION("IFERROR(VLOOKUP(A2773, IMPORTRANGE(""https://docs.google.com/spreadsheets/d/1-3Vjw2Cyy-mry5gbC8ypIR3YVGFfEpyFESummAta6sg/edit"", ""Sheet1!B:D""), 3, FALSE), ""Not Found"")"),"d i ")</f>
        <v>d i </v>
      </c>
    </row>
    <row r="2774">
      <c r="A2774" s="1" t="s">
        <v>2777</v>
      </c>
      <c r="B2774" s="1" t="s">
        <v>5</v>
      </c>
      <c r="C2774" s="2">
        <f>IFERROR(__xludf.DUMMYFUNCTION("IFERROR(VLOOKUP(A2774, IMPORTRANGE(""https://docs.google.com/spreadsheets/d/1AVX9GT0dgogEBStecCXMMQ29tWz3gBrtNB8yIromXbY/edit?gid=741673867"", ""out1g!A:B""), 2, FALSE), 0)"),65.0)</f>
        <v>65</v>
      </c>
      <c r="D2774" s="2" t="str">
        <f>IFERROR(__xludf.DUMMYFUNCTION("IFERROR(VLOOKUP(A2774, IMPORTRANGE(""https://docs.google.com/spreadsheets/d/1-3Vjw2Cyy-mry5gbC8ypIR3YVGFfEpyFESummAta6sg/edit"", ""Sheet1!B:D""), 2, FALSE), ""Not Found"")"),"ʤəv")</f>
        <v>ʤəv</v>
      </c>
      <c r="E2774" s="2" t="str">
        <f>IFERROR(__xludf.DUMMYFUNCTION("IFERROR(VLOOKUP(A2774, IMPORTRANGE(""https://docs.google.com/spreadsheets/d/1-3Vjw2Cyy-mry5gbC8ypIR3YVGFfEpyFESummAta6sg/edit"", ""Sheet1!B:D""), 3, FALSE), ""Not Found"")"),"ʤ ə v ")</f>
        <v>ʤ ə v </v>
      </c>
    </row>
    <row r="2775">
      <c r="A2775" s="1" t="s">
        <v>2778</v>
      </c>
      <c r="B2775" s="1" t="s">
        <v>5</v>
      </c>
      <c r="C2775" s="2">
        <f>IFERROR(__xludf.DUMMYFUNCTION("IFERROR(VLOOKUP(A2775, IMPORTRANGE(""https://docs.google.com/spreadsheets/d/1AVX9GT0dgogEBStecCXMMQ29tWz3gBrtNB8yIromXbY/edit?gid=741673867"", ""out1g!A:B""), 2, FALSE), 0)"),61.0)</f>
        <v>61</v>
      </c>
      <c r="D2775" s="2" t="str">
        <f>IFERROR(__xludf.DUMMYFUNCTION("IFERROR(VLOOKUP(A2775, IMPORTRANGE(""https://docs.google.com/spreadsheets/d/1-3Vjw2Cyy-mry5gbC8ypIR3YVGFfEpyFESummAta6sg/edit"", ""Sheet1!B:D""), 2, FALSE), ""Not Found"")"),"ʤəgz")</f>
        <v>ʤəgz</v>
      </c>
      <c r="E2775" s="2" t="str">
        <f>IFERROR(__xludf.DUMMYFUNCTION("IFERROR(VLOOKUP(A2775, IMPORTRANGE(""https://docs.google.com/spreadsheets/d/1-3Vjw2Cyy-mry5gbC8ypIR3YVGFfEpyFESummAta6sg/edit"", ""Sheet1!B:D""), 3, FALSE), ""Not Found"")"),"ʤ ə g z ")</f>
        <v>ʤ ə g z </v>
      </c>
    </row>
    <row r="2776">
      <c r="A2776" s="1" t="s">
        <v>2779</v>
      </c>
      <c r="B2776" s="1" t="s">
        <v>5</v>
      </c>
      <c r="C2776" s="2">
        <f>IFERROR(__xludf.DUMMYFUNCTION("IFERROR(VLOOKUP(A2776, IMPORTRANGE(""https://docs.google.com/spreadsheets/d/1AVX9GT0dgogEBStecCXMMQ29tWz3gBrtNB8yIromXbY/edit?gid=741673867"", ""out1g!A:B""), 2, FALSE), 0)"),441.0)</f>
        <v>441</v>
      </c>
      <c r="D2776" s="2" t="str">
        <f>IFERROR(__xludf.DUMMYFUNCTION("IFERROR(VLOOKUP(A2776, IMPORTRANGE(""https://docs.google.com/spreadsheets/d/1-3Vjw2Cyy-mry5gbC8ypIR3YVGFfEpyFESummAta6sg/edit"", ""Sheet1!B:D""), 2, FALSE), ""Not Found"")"),"fem")</f>
        <v>fem</v>
      </c>
      <c r="E2776" s="2" t="str">
        <f>IFERROR(__xludf.DUMMYFUNCTION("IFERROR(VLOOKUP(A2776, IMPORTRANGE(""https://docs.google.com/spreadsheets/d/1-3Vjw2Cyy-mry5gbC8ypIR3YVGFfEpyFESummAta6sg/edit"", ""Sheet1!B:D""), 3, FALSE), ""Not Found"")"),"f e m ")</f>
        <v>f e m </v>
      </c>
    </row>
    <row r="2777">
      <c r="A2777" s="1" t="s">
        <v>2780</v>
      </c>
      <c r="B2777" s="1" t="s">
        <v>5</v>
      </c>
      <c r="C2777" s="2">
        <f>IFERROR(__xludf.DUMMYFUNCTION("IFERROR(VLOOKUP(A2777, IMPORTRANGE(""https://docs.google.com/spreadsheets/d/1AVX9GT0dgogEBStecCXMMQ29tWz3gBrtNB8yIromXbY/edit?gid=741673867"", ""out1g!A:B""), 2, FALSE), 0)"),1686.0)</f>
        <v>1686</v>
      </c>
      <c r="D2777" s="2" t="str">
        <f>IFERROR(__xludf.DUMMYFUNCTION("IFERROR(VLOOKUP(A2777, IMPORTRANGE(""https://docs.google.com/spreadsheets/d/1-3Vjw2Cyy-mry5gbC8ypIR3YVGFfEpyFESummAta6sg/edit"", ""Sheet1!B:D""), 2, FALSE), ""Not Found"")"),"æd")</f>
        <v>æd</v>
      </c>
      <c r="E2777" s="2" t="str">
        <f>IFERROR(__xludf.DUMMYFUNCTION("IFERROR(VLOOKUP(A2777, IMPORTRANGE(""https://docs.google.com/spreadsheets/d/1-3Vjw2Cyy-mry5gbC8ypIR3YVGFfEpyFESummAta6sg/edit"", ""Sheet1!B:D""), 3, FALSE), ""Not Found"")"),"æ d ")</f>
        <v>æ d </v>
      </c>
    </row>
    <row r="2778">
      <c r="A2778" s="1" t="s">
        <v>2781</v>
      </c>
      <c r="B2778" s="1" t="s">
        <v>5</v>
      </c>
      <c r="C2778" s="2">
        <f>IFERROR(__xludf.DUMMYFUNCTION("IFERROR(VLOOKUP(A2778, IMPORTRANGE(""https://docs.google.com/spreadsheets/d/1AVX9GT0dgogEBStecCXMMQ29tWz3gBrtNB8yIromXbY/edit?gid=741673867"", ""out1g!A:B""), 2, FALSE), 0)"),1871.0)</f>
        <v>1871</v>
      </c>
      <c r="D2778" s="2" t="str">
        <f>IFERROR(__xludf.DUMMYFUNCTION("IFERROR(VLOOKUP(A2778, IMPORTRANGE(""https://docs.google.com/spreadsheets/d/1-3Vjw2Cyy-mry5gbC8ypIR3YVGFfEpyFESummAta6sg/edit"", ""Sheet1!B:D""), 2, FALSE), ""Not Found"")"),"ɔntu")</f>
        <v>ɔntu</v>
      </c>
      <c r="E2778" s="2" t="str">
        <f>IFERROR(__xludf.DUMMYFUNCTION("IFERROR(VLOOKUP(A2778, IMPORTRANGE(""https://docs.google.com/spreadsheets/d/1-3Vjw2Cyy-mry5gbC8ypIR3YVGFfEpyFESummAta6sg/edit"", ""Sheet1!B:D""), 3, FALSE), ""Not Found"")"),"ɔ n t u ")</f>
        <v>ɔ n t u </v>
      </c>
    </row>
    <row r="2779">
      <c r="A2779" s="1" t="s">
        <v>2782</v>
      </c>
      <c r="B2779" s="1" t="s">
        <v>5</v>
      </c>
      <c r="C2779" s="2">
        <f>IFERROR(__xludf.DUMMYFUNCTION("IFERROR(VLOOKUP(A2779, IMPORTRANGE(""https://docs.google.com/spreadsheets/d/1AVX9GT0dgogEBStecCXMMQ29tWz3gBrtNB8yIromXbY/edit?gid=741673867"", ""out1g!A:B""), 2, FALSE), 0)"),77.0)</f>
        <v>77</v>
      </c>
      <c r="D2779" s="2" t="str">
        <f>IFERROR(__xludf.DUMMYFUNCTION("IFERROR(VLOOKUP(A2779, IMPORTRANGE(""https://docs.google.com/spreadsheets/d/1-3Vjw2Cyy-mry5gbC8ypIR3YVGFfEpyFESummAta6sg/edit"", ""Sheet1!B:D""), 2, FALSE), ""Not Found"")"),"kɔrpəs")</f>
        <v>kɔrpəs</v>
      </c>
      <c r="E2779" s="2" t="str">
        <f>IFERROR(__xludf.DUMMYFUNCTION("IFERROR(VLOOKUP(A2779, IMPORTRANGE(""https://docs.google.com/spreadsheets/d/1-3Vjw2Cyy-mry5gbC8ypIR3YVGFfEpyFESummAta6sg/edit"", ""Sheet1!B:D""), 3, FALSE), ""Not Found"")"),"k ɔ r p ə s ")</f>
        <v>k ɔ r p ə s </v>
      </c>
    </row>
    <row r="2780">
      <c r="A2780" s="1" t="s">
        <v>2783</v>
      </c>
      <c r="B2780" s="1" t="s">
        <v>5</v>
      </c>
      <c r="C2780" s="2">
        <f>IFERROR(__xludf.DUMMYFUNCTION("IFERROR(VLOOKUP(A2780, IMPORTRANGE(""https://docs.google.com/spreadsheets/d/1AVX9GT0dgogEBStecCXMMQ29tWz3gBrtNB8yIromXbY/edit?gid=741673867"", ""out1g!A:B""), 2, FALSE), 0)"),122.0)</f>
        <v>122</v>
      </c>
      <c r="D2780" s="2" t="str">
        <f>IFERROR(__xludf.DUMMYFUNCTION("IFERROR(VLOOKUP(A2780, IMPORTRANGE(""https://docs.google.com/spreadsheets/d/1-3Vjw2Cyy-mry5gbC8ypIR3YVGFfEpyFESummAta6sg/edit"", ""Sheet1!B:D""), 2, FALSE), ""Not Found"")"),"swits")</f>
        <v>swits</v>
      </c>
      <c r="E2780" s="2" t="str">
        <f>IFERROR(__xludf.DUMMYFUNCTION("IFERROR(VLOOKUP(A2780, IMPORTRANGE(""https://docs.google.com/spreadsheets/d/1-3Vjw2Cyy-mry5gbC8ypIR3YVGFfEpyFESummAta6sg/edit"", ""Sheet1!B:D""), 3, FALSE), ""Not Found"")"),"s w i t s ")</f>
        <v>s w i t s </v>
      </c>
    </row>
    <row r="2781">
      <c r="A2781" s="1" t="s">
        <v>2784</v>
      </c>
      <c r="B2781" s="1" t="s">
        <v>5</v>
      </c>
      <c r="C2781" s="2">
        <f>IFERROR(__xludf.DUMMYFUNCTION("IFERROR(VLOOKUP(A2781, IMPORTRANGE(""https://docs.google.com/spreadsheets/d/1AVX9GT0dgogEBStecCXMMQ29tWz3gBrtNB8yIromXbY/edit?gid=741673867"", ""out1g!A:B""), 2, FALSE), 0)"),17.0)</f>
        <v>17</v>
      </c>
      <c r="D2781" s="2" t="str">
        <f>IFERROR(__xludf.DUMMYFUNCTION("IFERROR(VLOOKUP(A2781, IMPORTRANGE(""https://docs.google.com/spreadsheets/d/1-3Vjw2Cyy-mry5gbC8ypIR3YVGFfEpyFESummAta6sg/edit"", ""Sheet1!B:D""), 2, FALSE), ""Not Found"")"),"ʃɪv")</f>
        <v>ʃɪv</v>
      </c>
      <c r="E2781" s="2" t="str">
        <f>IFERROR(__xludf.DUMMYFUNCTION("IFERROR(VLOOKUP(A2781, IMPORTRANGE(""https://docs.google.com/spreadsheets/d/1-3Vjw2Cyy-mry5gbC8ypIR3YVGFfEpyFESummAta6sg/edit"", ""Sheet1!B:D""), 3, FALSE), ""Not Found"")"),"ʃ ɪ v ")</f>
        <v>ʃ ɪ v </v>
      </c>
    </row>
    <row r="2782">
      <c r="A2782" s="1" t="s">
        <v>2785</v>
      </c>
      <c r="B2782" s="1" t="s">
        <v>5</v>
      </c>
      <c r="C2782" s="2">
        <f>IFERROR(__xludf.DUMMYFUNCTION("IFERROR(VLOOKUP(A2782, IMPORTRANGE(""https://docs.google.com/spreadsheets/d/1AVX9GT0dgogEBStecCXMMQ29tWz3gBrtNB8yIromXbY/edit?gid=741673867"", ""out1g!A:B""), 2, FALSE), 0)"),96443.0)</f>
        <v>96443</v>
      </c>
      <c r="D2782" s="2" t="str">
        <f>IFERROR(__xludf.DUMMYFUNCTION("IFERROR(VLOOKUP(A2782, IMPORTRANGE(""https://docs.google.com/spreadsheets/d/1-3Vjw2Cyy-mry5gbC8ypIR3YVGFfEpyFESummAta6sg/edit"", ""Sheet1!B:D""), 2, FALSE), ""Not Found"")"),"tek")</f>
        <v>tek</v>
      </c>
      <c r="E2782" s="2" t="str">
        <f>IFERROR(__xludf.DUMMYFUNCTION("IFERROR(VLOOKUP(A2782, IMPORTRANGE(""https://docs.google.com/spreadsheets/d/1-3Vjw2Cyy-mry5gbC8ypIR3YVGFfEpyFESummAta6sg/edit"", ""Sheet1!B:D""), 3, FALSE), ""Not Found"")"),"t e k ")</f>
        <v>t e k </v>
      </c>
    </row>
    <row r="2783">
      <c r="A2783" s="1" t="s">
        <v>2786</v>
      </c>
      <c r="B2783" s="1" t="s">
        <v>5</v>
      </c>
      <c r="C2783" s="2">
        <f>IFERROR(__xludf.DUMMYFUNCTION("IFERROR(VLOOKUP(A2783, IMPORTRANGE(""https://docs.google.com/spreadsheets/d/1AVX9GT0dgogEBStecCXMMQ29tWz3gBrtNB8yIromXbY/edit?gid=741673867"", ""out1g!A:B""), 2, FALSE), 0)"),694.0)</f>
        <v>694</v>
      </c>
      <c r="D2783" s="2" t="str">
        <f>IFERROR(__xludf.DUMMYFUNCTION("IFERROR(VLOOKUP(A2783, IMPORTRANGE(""https://docs.google.com/spreadsheets/d/1-3Vjw2Cyy-mry5gbC8ypIR3YVGFfEpyFESummAta6sg/edit"", ""Sheet1!B:D""), 2, FALSE), ""Not Found"")"),"ʧɑp")</f>
        <v>ʧɑp</v>
      </c>
      <c r="E2783" s="2" t="str">
        <f>IFERROR(__xludf.DUMMYFUNCTION("IFERROR(VLOOKUP(A2783, IMPORTRANGE(""https://docs.google.com/spreadsheets/d/1-3Vjw2Cyy-mry5gbC8ypIR3YVGFfEpyFESummAta6sg/edit"", ""Sheet1!B:D""), 3, FALSE), ""Not Found"")"),"ʧ ɑ p ")</f>
        <v>ʧ ɑ p </v>
      </c>
    </row>
    <row r="2784">
      <c r="A2784" s="1" t="s">
        <v>2787</v>
      </c>
      <c r="B2784" s="1" t="s">
        <v>5</v>
      </c>
      <c r="C2784" s="2">
        <f>IFERROR(__xludf.DUMMYFUNCTION("IFERROR(VLOOKUP(A2784, IMPORTRANGE(""https://docs.google.com/spreadsheets/d/1AVX9GT0dgogEBStecCXMMQ29tWz3gBrtNB8yIromXbY/edit?gid=741673867"", ""out1g!A:B""), 2, FALSE), 0)"),313.0)</f>
        <v>313</v>
      </c>
      <c r="D2784" s="2" t="str">
        <f>IFERROR(__xludf.DUMMYFUNCTION("IFERROR(VLOOKUP(A2784, IMPORTRANGE(""https://docs.google.com/spreadsheets/d/1-3Vjw2Cyy-mry5gbC8ypIR3YVGFfEpyFESummAta6sg/edit"", ""Sheet1!B:D""), 2, FALSE), ""Not Found"")"),"skæm")</f>
        <v>skæm</v>
      </c>
      <c r="E2784" s="2" t="str">
        <f>IFERROR(__xludf.DUMMYFUNCTION("IFERROR(VLOOKUP(A2784, IMPORTRANGE(""https://docs.google.com/spreadsheets/d/1-3Vjw2Cyy-mry5gbC8ypIR3YVGFfEpyFESummAta6sg/edit"", ""Sheet1!B:D""), 3, FALSE), ""Not Found"")"),"s k æ m ")</f>
        <v>s k æ m </v>
      </c>
    </row>
    <row r="2785">
      <c r="A2785" s="1" t="s">
        <v>2788</v>
      </c>
      <c r="B2785" s="1" t="s">
        <v>5</v>
      </c>
      <c r="C2785" s="2">
        <f>IFERROR(__xludf.DUMMYFUNCTION("IFERROR(VLOOKUP(A2785, IMPORTRANGE(""https://docs.google.com/spreadsheets/d/1AVX9GT0dgogEBStecCXMMQ29tWz3gBrtNB8yIromXbY/edit?gid=741673867"", ""out1g!A:B""), 2, FALSE), 0)"),79.0)</f>
        <v>79</v>
      </c>
      <c r="D2785" s="2" t="str">
        <f>IFERROR(__xludf.DUMMYFUNCTION("IFERROR(VLOOKUP(A2785, IMPORTRANGE(""https://docs.google.com/spreadsheets/d/1-3Vjw2Cyy-mry5gbC8ypIR3YVGFfEpyFESummAta6sg/edit"", ""Sheet1!B:D""), 2, FALSE), ""Not Found"")"),"roʊmɪŋ")</f>
        <v>roʊmɪŋ</v>
      </c>
      <c r="E2785" s="2" t="str">
        <f>IFERROR(__xludf.DUMMYFUNCTION("IFERROR(VLOOKUP(A2785, IMPORTRANGE(""https://docs.google.com/spreadsheets/d/1-3Vjw2Cyy-mry5gbC8ypIR3YVGFfEpyFESummAta6sg/edit"", ""Sheet1!B:D""), 3, FALSE), ""Not Found"")"),"r o ʊ m ɪ ŋ ")</f>
        <v>r o ʊ m ɪ ŋ </v>
      </c>
    </row>
    <row r="2786">
      <c r="A2786" s="1" t="s">
        <v>2789</v>
      </c>
      <c r="B2786" s="1" t="s">
        <v>5</v>
      </c>
      <c r="C2786" s="2">
        <f>IFERROR(__xludf.DUMMYFUNCTION("IFERROR(VLOOKUP(A2786, IMPORTRANGE(""https://docs.google.com/spreadsheets/d/1AVX9GT0dgogEBStecCXMMQ29tWz3gBrtNB8yIromXbY/edit?gid=741673867"", ""out1g!A:B""), 2, FALSE), 0)"),170.0)</f>
        <v>170</v>
      </c>
      <c r="D2786" s="2" t="str">
        <f>IFERROR(__xludf.DUMMYFUNCTION("IFERROR(VLOOKUP(A2786, IMPORTRANGE(""https://docs.google.com/spreadsheets/d/1-3Vjw2Cyy-mry5gbC8ypIR3YVGFfEpyFESummAta6sg/edit"", ""Sheet1!B:D""), 2, FALSE), ""Not Found"")"),"nɑʧ")</f>
        <v>nɑʧ</v>
      </c>
      <c r="E2786" s="2" t="str">
        <f>IFERROR(__xludf.DUMMYFUNCTION("IFERROR(VLOOKUP(A2786, IMPORTRANGE(""https://docs.google.com/spreadsheets/d/1-3Vjw2Cyy-mry5gbC8ypIR3YVGFfEpyFESummAta6sg/edit"", ""Sheet1!B:D""), 3, FALSE), ""Not Found"")"),"n ɑ ʧ ")</f>
        <v>n ɑ ʧ </v>
      </c>
    </row>
    <row r="2787">
      <c r="A2787" s="1" t="s">
        <v>2790</v>
      </c>
      <c r="B2787" s="1" t="s">
        <v>5</v>
      </c>
      <c r="C2787" s="2">
        <f>IFERROR(__xludf.DUMMYFUNCTION("IFERROR(VLOOKUP(A2787, IMPORTRANGE(""https://docs.google.com/spreadsheets/d/1AVX9GT0dgogEBStecCXMMQ29tWz3gBrtNB8yIromXbY/edit?gid=741673867"", ""out1g!A:B""), 2, FALSE), 0)"),462.0)</f>
        <v>462</v>
      </c>
      <c r="D2787" s="2" t="str">
        <f>IFERROR(__xludf.DUMMYFUNCTION("IFERROR(VLOOKUP(A2787, IMPORTRANGE(""https://docs.google.com/spreadsheets/d/1-3Vjw2Cyy-mry5gbC8ypIR3YVGFfEpyFESummAta6sg/edit"", ""Sheet1!B:D""), 2, FALSE), ""Not Found"")"),"krɔlɪŋ")</f>
        <v>krɔlɪŋ</v>
      </c>
      <c r="E2787" s="2" t="str">
        <f>IFERROR(__xludf.DUMMYFUNCTION("IFERROR(VLOOKUP(A2787, IMPORTRANGE(""https://docs.google.com/spreadsheets/d/1-3Vjw2Cyy-mry5gbC8ypIR3YVGFfEpyFESummAta6sg/edit"", ""Sheet1!B:D""), 3, FALSE), ""Not Found"")"),"k r ɔ l ɪ ŋ ")</f>
        <v>k r ɔ l ɪ ŋ </v>
      </c>
    </row>
    <row r="2788">
      <c r="A2788" s="1" t="s">
        <v>2791</v>
      </c>
      <c r="B2788" s="1" t="s">
        <v>5</v>
      </c>
      <c r="C2788" s="2">
        <f>IFERROR(__xludf.DUMMYFUNCTION("IFERROR(VLOOKUP(A2788, IMPORTRANGE(""https://docs.google.com/spreadsheets/d/1AVX9GT0dgogEBStecCXMMQ29tWz3gBrtNB8yIromXbY/edit?gid=741673867"", ""out1g!A:B""), 2, FALSE), 0)"),45.0)</f>
        <v>45</v>
      </c>
      <c r="D2788" s="2" t="str">
        <f>IFERROR(__xludf.DUMMYFUNCTION("IFERROR(VLOOKUP(A2788, IMPORTRANGE(""https://docs.google.com/spreadsheets/d/1-3Vjw2Cyy-mry5gbC8ypIR3YVGFfEpyFESummAta6sg/edit"", ""Sheet1!B:D""), 2, FALSE), ""Not Found"")"),"brɪm")</f>
        <v>brɪm</v>
      </c>
      <c r="E2788" s="2" t="str">
        <f>IFERROR(__xludf.DUMMYFUNCTION("IFERROR(VLOOKUP(A2788, IMPORTRANGE(""https://docs.google.com/spreadsheets/d/1-3Vjw2Cyy-mry5gbC8ypIR3YVGFfEpyFESummAta6sg/edit"", ""Sheet1!B:D""), 3, FALSE), ""Not Found"")"),"b r ɪ m ")</f>
        <v>b r ɪ m </v>
      </c>
    </row>
    <row r="2789">
      <c r="A2789" s="1" t="s">
        <v>2792</v>
      </c>
      <c r="B2789" s="1" t="s">
        <v>5</v>
      </c>
      <c r="C2789" s="2">
        <f>IFERROR(__xludf.DUMMYFUNCTION("IFERROR(VLOOKUP(A2789, IMPORTRANGE(""https://docs.google.com/spreadsheets/d/1AVX9GT0dgogEBStecCXMMQ29tWz3gBrtNB8yIromXbY/edit?gid=741673867"", ""out1g!A:B""), 2, FALSE), 0)"),590.0)</f>
        <v>590</v>
      </c>
      <c r="D2789" s="2" t="str">
        <f>IFERROR(__xludf.DUMMYFUNCTION("IFERROR(VLOOKUP(A2789, IMPORTRANGE(""https://docs.google.com/spreadsheets/d/1-3Vjw2Cyy-mry5gbC8ypIR3YVGFfEpyFESummAta6sg/edit"", ""Sheet1!B:D""), 2, FALSE), ""Not Found"")"),"kraɪmz")</f>
        <v>kraɪmz</v>
      </c>
      <c r="E2789" s="2" t="str">
        <f>IFERROR(__xludf.DUMMYFUNCTION("IFERROR(VLOOKUP(A2789, IMPORTRANGE(""https://docs.google.com/spreadsheets/d/1-3Vjw2Cyy-mry5gbC8ypIR3YVGFfEpyFESummAta6sg/edit"", ""Sheet1!B:D""), 3, FALSE), ""Not Found"")"),"k r a ɪ m z ")</f>
        <v>k r a ɪ m z </v>
      </c>
    </row>
    <row r="2790">
      <c r="A2790" s="1" t="s">
        <v>2793</v>
      </c>
      <c r="B2790" s="1" t="s">
        <v>5</v>
      </c>
      <c r="C2790" s="2">
        <f>IFERROR(__xludf.DUMMYFUNCTION("IFERROR(VLOOKUP(A2790, IMPORTRANGE(""https://docs.google.com/spreadsheets/d/1AVX9GT0dgogEBStecCXMMQ29tWz3gBrtNB8yIromXbY/edit?gid=741673867"", ""out1g!A:B""), 2, FALSE), 0)"),210.0)</f>
        <v>210</v>
      </c>
      <c r="D2790" s="2" t="str">
        <f>IFERROR(__xludf.DUMMYFUNCTION("IFERROR(VLOOKUP(A2790, IMPORTRANGE(""https://docs.google.com/spreadsheets/d/1-3Vjw2Cyy-mry5gbC8ypIR3YVGFfEpyFESummAta6sg/edit"", ""Sheet1!B:D""), 2, FALSE), ""Not Found"")"),"praɪ")</f>
        <v>praɪ</v>
      </c>
      <c r="E2790" s="2" t="str">
        <f>IFERROR(__xludf.DUMMYFUNCTION("IFERROR(VLOOKUP(A2790, IMPORTRANGE(""https://docs.google.com/spreadsheets/d/1-3Vjw2Cyy-mry5gbC8ypIR3YVGFfEpyFESummAta6sg/edit"", ""Sheet1!B:D""), 3, FALSE), ""Not Found"")"),"p r a ɪ ")</f>
        <v>p r a ɪ </v>
      </c>
    </row>
    <row r="2791">
      <c r="A2791" s="1" t="s">
        <v>2794</v>
      </c>
      <c r="B2791" s="1" t="s">
        <v>5</v>
      </c>
      <c r="C2791" s="2">
        <f>IFERROR(__xludf.DUMMYFUNCTION("IFERROR(VLOOKUP(A2791, IMPORTRANGE(""https://docs.google.com/spreadsheets/d/1AVX9GT0dgogEBStecCXMMQ29tWz3gBrtNB8yIromXbY/edit?gid=741673867"", ""out1g!A:B""), 2, FALSE), 0)"),3185.0)</f>
        <v>3185</v>
      </c>
      <c r="D2791" s="2" t="str">
        <f>IFERROR(__xludf.DUMMYFUNCTION("IFERROR(VLOOKUP(A2791, IMPORTRANGE(""https://docs.google.com/spreadsheets/d/1-3Vjw2Cyy-mry5gbC8ypIR3YVGFfEpyFESummAta6sg/edit"", ""Sheet1!B:D""), 2, FALSE), ""Not Found"")"),"utə")</f>
        <v>utə</v>
      </c>
      <c r="E2791" s="2" t="str">
        <f>IFERROR(__xludf.DUMMYFUNCTION("IFERROR(VLOOKUP(A2791, IMPORTRANGE(""https://docs.google.com/spreadsheets/d/1-3Vjw2Cyy-mry5gbC8ypIR3YVGFfEpyFESummAta6sg/edit"", ""Sheet1!B:D""), 3, FALSE), ""Not Found"")"),"u t ə ")</f>
        <v>u t ə </v>
      </c>
    </row>
    <row r="2792">
      <c r="A2792" s="1" t="s">
        <v>2795</v>
      </c>
      <c r="B2792" s="1" t="s">
        <v>5</v>
      </c>
      <c r="C2792" s="2">
        <f>IFERROR(__xludf.DUMMYFUNCTION("IFERROR(VLOOKUP(A2792, IMPORTRANGE(""https://docs.google.com/spreadsheets/d/1AVX9GT0dgogEBStecCXMMQ29tWz3gBrtNB8yIromXbY/edit?gid=741673867"", ""out1g!A:B""), 2, FALSE), 0)"),56.0)</f>
        <v>56</v>
      </c>
      <c r="D2792" s="2" t="str">
        <f>IFERROR(__xludf.DUMMYFUNCTION("IFERROR(VLOOKUP(A2792, IMPORTRANGE(""https://docs.google.com/spreadsheets/d/1-3Vjw2Cyy-mry5gbC8ypIR3YVGFfEpyFESummAta6sg/edit"", ""Sheet1!B:D""), 2, FALSE), ""Not Found"")"),"bərli")</f>
        <v>bərli</v>
      </c>
      <c r="E2792" s="2" t="str">
        <f>IFERROR(__xludf.DUMMYFUNCTION("IFERROR(VLOOKUP(A2792, IMPORTRANGE(""https://docs.google.com/spreadsheets/d/1-3Vjw2Cyy-mry5gbC8ypIR3YVGFfEpyFESummAta6sg/edit"", ""Sheet1!B:D""), 3, FALSE), ""Not Found"")"),"b ə r l i ")</f>
        <v>b ə r l i </v>
      </c>
    </row>
    <row r="2793">
      <c r="A2793" s="1" t="s">
        <v>2796</v>
      </c>
      <c r="B2793" s="1" t="s">
        <v>5</v>
      </c>
      <c r="C2793" s="2">
        <f>IFERROR(__xludf.DUMMYFUNCTION("IFERROR(VLOOKUP(A2793, IMPORTRANGE(""https://docs.google.com/spreadsheets/d/1AVX9GT0dgogEBStecCXMMQ29tWz3gBrtNB8yIromXbY/edit?gid=741673867"", ""out1g!A:B""), 2, FALSE), 0)"),310.0)</f>
        <v>310</v>
      </c>
      <c r="D2793" s="2" t="str">
        <f>IFERROR(__xludf.DUMMYFUNCTION("IFERROR(VLOOKUP(A2793, IMPORTRANGE(""https://docs.google.com/spreadsheets/d/1-3Vjw2Cyy-mry5gbC8ypIR3YVGFfEpyFESummAta6sg/edit"", ""Sheet1!B:D""), 2, FALSE), ""Not Found"")"),"etin")</f>
        <v>etin</v>
      </c>
      <c r="E2793" s="2" t="str">
        <f>IFERROR(__xludf.DUMMYFUNCTION("IFERROR(VLOOKUP(A2793, IMPORTRANGE(""https://docs.google.com/spreadsheets/d/1-3Vjw2Cyy-mry5gbC8ypIR3YVGFfEpyFESummAta6sg/edit"", ""Sheet1!B:D""), 3, FALSE), ""Not Found"")"),"e t i n ")</f>
        <v>e t i n </v>
      </c>
    </row>
    <row r="2794">
      <c r="A2794" s="1" t="s">
        <v>2797</v>
      </c>
      <c r="B2794" s="1" t="s">
        <v>5</v>
      </c>
      <c r="C2794" s="2">
        <f>IFERROR(__xludf.DUMMYFUNCTION("IFERROR(VLOOKUP(A2794, IMPORTRANGE(""https://docs.google.com/spreadsheets/d/1AVX9GT0dgogEBStecCXMMQ29tWz3gBrtNB8yIromXbY/edit?gid=741673867"", ""out1g!A:B""), 2, FALSE), 0)"),7831.0)</f>
        <v>7831</v>
      </c>
      <c r="D2794" s="2" t="str">
        <f>IFERROR(__xludf.DUMMYFUNCTION("IFERROR(VLOOKUP(A2794, IMPORTRANGE(""https://docs.google.com/spreadsheets/d/1-3Vjw2Cyy-mry5gbC8ypIR3YVGFfEpyFESummAta6sg/edit"", ""Sheet1!B:D""), 2, FALSE), ""Not Found"")"),"hɛr")</f>
        <v>hɛr</v>
      </c>
      <c r="E2794" s="2" t="str">
        <f>IFERROR(__xludf.DUMMYFUNCTION("IFERROR(VLOOKUP(A2794, IMPORTRANGE(""https://docs.google.com/spreadsheets/d/1-3Vjw2Cyy-mry5gbC8ypIR3YVGFfEpyFESummAta6sg/edit"", ""Sheet1!B:D""), 3, FALSE), ""Not Found"")"),"h ɛ r ")</f>
        <v>h ɛ r </v>
      </c>
    </row>
    <row r="2795">
      <c r="A2795" s="1" t="s">
        <v>2798</v>
      </c>
      <c r="B2795" s="1" t="s">
        <v>5</v>
      </c>
      <c r="C2795" s="2">
        <f>IFERROR(__xludf.DUMMYFUNCTION("IFERROR(VLOOKUP(A2795, IMPORTRANGE(""https://docs.google.com/spreadsheets/d/1AVX9GT0dgogEBStecCXMMQ29tWz3gBrtNB8yIromXbY/edit?gid=741673867"", ""out1g!A:B""), 2, FALSE), 0)"),486.0)</f>
        <v>486</v>
      </c>
      <c r="D2795" s="2" t="str">
        <f>IFERROR(__xludf.DUMMYFUNCTION("IFERROR(VLOOKUP(A2795, IMPORTRANGE(""https://docs.google.com/spreadsheets/d/1-3Vjw2Cyy-mry5gbC8ypIR3YVGFfEpyFESummAta6sg/edit"", ""Sheet1!B:D""), 2, FALSE), ""Not Found"")"),"li")</f>
        <v>li</v>
      </c>
      <c r="E2795" s="2" t="str">
        <f>IFERROR(__xludf.DUMMYFUNCTION("IFERROR(VLOOKUP(A2795, IMPORTRANGE(""https://docs.google.com/spreadsheets/d/1-3Vjw2Cyy-mry5gbC8ypIR3YVGFfEpyFESummAta6sg/edit"", ""Sheet1!B:D""), 3, FALSE), ""Not Found"")"),"l i ")</f>
        <v>l i </v>
      </c>
    </row>
    <row r="2796">
      <c r="A2796" s="1" t="s">
        <v>2799</v>
      </c>
      <c r="B2796" s="1" t="s">
        <v>5</v>
      </c>
      <c r="C2796" s="2">
        <f>IFERROR(__xludf.DUMMYFUNCTION("IFERROR(VLOOKUP(A2796, IMPORTRANGE(""https://docs.google.com/spreadsheets/d/1AVX9GT0dgogEBStecCXMMQ29tWz3gBrtNB8yIromXbY/edit?gid=741673867"", ""out1g!A:B""), 2, FALSE), 0)"),2236.0)</f>
        <v>2236</v>
      </c>
      <c r="D2796" s="2" t="str">
        <f>IFERROR(__xludf.DUMMYFUNCTION("IFERROR(VLOOKUP(A2796, IMPORTRANGE(""https://docs.google.com/spreadsheets/d/1-3Vjw2Cyy-mry5gbC8ypIR3YVGFfEpyFESummAta6sg/edit"", ""Sheet1!B:D""), 2, FALSE), ""Not Found"")"),"tɔt")</f>
        <v>tɔt</v>
      </c>
      <c r="E2796" s="2" t="str">
        <f>IFERROR(__xludf.DUMMYFUNCTION("IFERROR(VLOOKUP(A2796, IMPORTRANGE(""https://docs.google.com/spreadsheets/d/1-3Vjw2Cyy-mry5gbC8ypIR3YVGFfEpyFESummAta6sg/edit"", ""Sheet1!B:D""), 3, FALSE), ""Not Found"")"),"t ɔ t ")</f>
        <v>t ɔ t </v>
      </c>
    </row>
    <row r="2797">
      <c r="A2797" s="1" t="s">
        <v>2800</v>
      </c>
      <c r="B2797" s="1" t="s">
        <v>5</v>
      </c>
      <c r="C2797" s="2">
        <f>IFERROR(__xludf.DUMMYFUNCTION("IFERROR(VLOOKUP(A2797, IMPORTRANGE(""https://docs.google.com/spreadsheets/d/1AVX9GT0dgogEBStecCXMMQ29tWz3gBrtNB8yIromXbY/edit?gid=741673867"", ""out1g!A:B""), 2, FALSE), 0)"),105.0)</f>
        <v>105</v>
      </c>
      <c r="D2797" s="2" t="str">
        <f>IFERROR(__xludf.DUMMYFUNCTION("IFERROR(VLOOKUP(A2797, IMPORTRANGE(""https://docs.google.com/spreadsheets/d/1-3Vjw2Cyy-mry5gbC8ypIR3YVGFfEpyFESummAta6sg/edit"", ""Sheet1!B:D""), 2, FALSE), ""Not Found"")"),"wevd")</f>
        <v>wevd</v>
      </c>
      <c r="E2797" s="2" t="str">
        <f>IFERROR(__xludf.DUMMYFUNCTION("IFERROR(VLOOKUP(A2797, IMPORTRANGE(""https://docs.google.com/spreadsheets/d/1-3Vjw2Cyy-mry5gbC8ypIR3YVGFfEpyFESummAta6sg/edit"", ""Sheet1!B:D""), 3, FALSE), ""Not Found"")"),"w e v d ")</f>
        <v>w e v d </v>
      </c>
    </row>
    <row r="2798">
      <c r="A2798" s="1" t="s">
        <v>2801</v>
      </c>
      <c r="B2798" s="1" t="s">
        <v>5</v>
      </c>
      <c r="C2798" s="2">
        <f>IFERROR(__xludf.DUMMYFUNCTION("IFERROR(VLOOKUP(A2798, IMPORTRANGE(""https://docs.google.com/spreadsheets/d/1AVX9GT0dgogEBStecCXMMQ29tWz3gBrtNB8yIromXbY/edit?gid=741673867"", ""out1g!A:B""), 2, FALSE), 0)"),99.0)</f>
        <v>99</v>
      </c>
      <c r="D2798" s="2" t="str">
        <f>IFERROR(__xludf.DUMMYFUNCTION("IFERROR(VLOOKUP(A2798, IMPORTRANGE(""https://docs.google.com/spreadsheets/d/1-3Vjw2Cyy-mry5gbC8ypIR3YVGFfEpyFESummAta6sg/edit"", ""Sheet1!B:D""), 2, FALSE), ""Not Found"")"),"ʤɑrz")</f>
        <v>ʤɑrz</v>
      </c>
      <c r="E2798" s="2" t="str">
        <f>IFERROR(__xludf.DUMMYFUNCTION("IFERROR(VLOOKUP(A2798, IMPORTRANGE(""https://docs.google.com/spreadsheets/d/1-3Vjw2Cyy-mry5gbC8ypIR3YVGFfEpyFESummAta6sg/edit"", ""Sheet1!B:D""), 3, FALSE), ""Not Found"")"),"ʤ ɑ r z ")</f>
        <v>ʤ ɑ r z </v>
      </c>
    </row>
    <row r="2799">
      <c r="A2799" s="1" t="s">
        <v>2802</v>
      </c>
      <c r="B2799" s="1" t="s">
        <v>5</v>
      </c>
      <c r="C2799" s="2">
        <f>IFERROR(__xludf.DUMMYFUNCTION("IFERROR(VLOOKUP(A2799, IMPORTRANGE(""https://docs.google.com/spreadsheets/d/1AVX9GT0dgogEBStecCXMMQ29tWz3gBrtNB8yIromXbY/edit?gid=741673867"", ""out1g!A:B""), 2, FALSE), 0)"),4675.0)</f>
        <v>4675</v>
      </c>
      <c r="D2799" s="2" t="str">
        <f>IFERROR(__xludf.DUMMYFUNCTION("IFERROR(VLOOKUP(A2799, IMPORTRANGE(""https://docs.google.com/spreadsheets/d/1-3Vjw2Cyy-mry5gbC8ypIR3YVGFfEpyFESummAta6sg/edit"", ""Sheet1!B:D""), 2, FALSE), ""Not Found"")"),"si")</f>
        <v>si</v>
      </c>
      <c r="E2799" s="2" t="str">
        <f>IFERROR(__xludf.DUMMYFUNCTION("IFERROR(VLOOKUP(A2799, IMPORTRANGE(""https://docs.google.com/spreadsheets/d/1-3Vjw2Cyy-mry5gbC8ypIR3YVGFfEpyFESummAta6sg/edit"", ""Sheet1!B:D""), 3, FALSE), ""Not Found"")"),"s i ")</f>
        <v>s i </v>
      </c>
    </row>
    <row r="2800">
      <c r="A2800" s="1" t="s">
        <v>2803</v>
      </c>
      <c r="B2800" s="1" t="s">
        <v>5</v>
      </c>
      <c r="C2800" s="2">
        <f>IFERROR(__xludf.DUMMYFUNCTION("IFERROR(VLOOKUP(A2800, IMPORTRANGE(""https://docs.google.com/spreadsheets/d/1AVX9GT0dgogEBStecCXMMQ29tWz3gBrtNB8yIromXbY/edit?gid=741673867"", ""out1g!A:B""), 2, FALSE), 0)"),22.0)</f>
        <v>22</v>
      </c>
      <c r="D2800" s="2" t="str">
        <f>IFERROR(__xludf.DUMMYFUNCTION("IFERROR(VLOOKUP(A2800, IMPORTRANGE(""https://docs.google.com/spreadsheets/d/1-3Vjw2Cyy-mry5gbC8ypIR3YVGFfEpyFESummAta6sg/edit"", ""Sheet1!B:D""), 2, FALSE), ""Not Found"")"),"maɪər")</f>
        <v>maɪər</v>
      </c>
      <c r="E2800" s="2" t="str">
        <f>IFERROR(__xludf.DUMMYFUNCTION("IFERROR(VLOOKUP(A2800, IMPORTRANGE(""https://docs.google.com/spreadsheets/d/1-3Vjw2Cyy-mry5gbC8ypIR3YVGFfEpyFESummAta6sg/edit"", ""Sheet1!B:D""), 3, FALSE), ""Not Found"")"),"m a ɪ ə r ")</f>
        <v>m a ɪ ə r </v>
      </c>
    </row>
    <row r="2801">
      <c r="A2801" s="1" t="s">
        <v>2804</v>
      </c>
      <c r="B2801" s="1" t="s">
        <v>5</v>
      </c>
      <c r="C2801" s="2">
        <f>IFERROR(__xludf.DUMMYFUNCTION("IFERROR(VLOOKUP(A2801, IMPORTRANGE(""https://docs.google.com/spreadsheets/d/1AVX9GT0dgogEBStecCXMMQ29tWz3gBrtNB8yIromXbY/edit?gid=741673867"", ""out1g!A:B""), 2, FALSE), 0)"),202.0)</f>
        <v>202</v>
      </c>
      <c r="D2801" s="2" t="str">
        <f>IFERROR(__xludf.DUMMYFUNCTION("IFERROR(VLOOKUP(A2801, IMPORTRANGE(""https://docs.google.com/spreadsheets/d/1-3Vjw2Cyy-mry5gbC8ypIR3YVGFfEpyFESummAta6sg/edit"", ""Sheet1!B:D""), 2, FALSE), ""Not Found"")"),"kevz")</f>
        <v>kevz</v>
      </c>
      <c r="E2801" s="2" t="str">
        <f>IFERROR(__xludf.DUMMYFUNCTION("IFERROR(VLOOKUP(A2801, IMPORTRANGE(""https://docs.google.com/spreadsheets/d/1-3Vjw2Cyy-mry5gbC8ypIR3YVGFfEpyFESummAta6sg/edit"", ""Sheet1!B:D""), 3, FALSE), ""Not Found"")"),"k e v z ")</f>
        <v>k e v z </v>
      </c>
    </row>
    <row r="2802">
      <c r="A2802" s="1" t="s">
        <v>2805</v>
      </c>
      <c r="B2802" s="1" t="s">
        <v>5</v>
      </c>
      <c r="C2802" s="2">
        <f>IFERROR(__xludf.DUMMYFUNCTION("IFERROR(VLOOKUP(A2802, IMPORTRANGE(""https://docs.google.com/spreadsheets/d/1AVX9GT0dgogEBStecCXMMQ29tWz3gBrtNB8yIromXbY/edit?gid=741673867"", ""out1g!A:B""), 2, FALSE), 0)"),241.0)</f>
        <v>241</v>
      </c>
      <c r="D2802" s="2" t="str">
        <f>IFERROR(__xludf.DUMMYFUNCTION("IFERROR(VLOOKUP(A2802, IMPORTRANGE(""https://docs.google.com/spreadsheets/d/1-3Vjw2Cyy-mry5gbC8ypIR3YVGFfEpyFESummAta6sg/edit"", ""Sheet1!B:D""), 2, FALSE), ""Not Found"")"),"voʊtɪŋ")</f>
        <v>voʊtɪŋ</v>
      </c>
      <c r="E2802" s="2" t="str">
        <f>IFERROR(__xludf.DUMMYFUNCTION("IFERROR(VLOOKUP(A2802, IMPORTRANGE(""https://docs.google.com/spreadsheets/d/1-3Vjw2Cyy-mry5gbC8ypIR3YVGFfEpyFESummAta6sg/edit"", ""Sheet1!B:D""), 3, FALSE), ""Not Found"")"),"v o ʊ t ɪ ŋ ")</f>
        <v>v o ʊ t ɪ ŋ </v>
      </c>
    </row>
    <row r="2803">
      <c r="A2803" s="1" t="s">
        <v>2806</v>
      </c>
      <c r="B2803" s="1" t="s">
        <v>5</v>
      </c>
      <c r="C2803" s="2">
        <f>IFERROR(__xludf.DUMMYFUNCTION("IFERROR(VLOOKUP(A2803, IMPORTRANGE(""https://docs.google.com/spreadsheets/d/1AVX9GT0dgogEBStecCXMMQ29tWz3gBrtNB8yIromXbY/edit?gid=741673867"", ""out1g!A:B""), 2, FALSE), 0)"),97.0)</f>
        <v>97</v>
      </c>
      <c r="D2803" s="2" t="str">
        <f>IFERROR(__xludf.DUMMYFUNCTION("IFERROR(VLOOKUP(A2803, IMPORTRANGE(""https://docs.google.com/spreadsheets/d/1-3Vjw2Cyy-mry5gbC8ypIR3YVGFfEpyFESummAta6sg/edit"", ""Sheet1!B:D""), 2, FALSE), ""Not Found"")"),"saɪdər")</f>
        <v>saɪdər</v>
      </c>
      <c r="E2803" s="2" t="str">
        <f>IFERROR(__xludf.DUMMYFUNCTION("IFERROR(VLOOKUP(A2803, IMPORTRANGE(""https://docs.google.com/spreadsheets/d/1-3Vjw2Cyy-mry5gbC8ypIR3YVGFfEpyFESummAta6sg/edit"", ""Sheet1!B:D""), 3, FALSE), ""Not Found"")"),"s a ɪ d ə r ")</f>
        <v>s a ɪ d ə r </v>
      </c>
    </row>
    <row r="2804">
      <c r="A2804" s="1" t="s">
        <v>2807</v>
      </c>
      <c r="B2804" s="1" t="s">
        <v>5</v>
      </c>
      <c r="C2804" s="2">
        <f>IFERROR(__xludf.DUMMYFUNCTION("IFERROR(VLOOKUP(A2804, IMPORTRANGE(""https://docs.google.com/spreadsheets/d/1AVX9GT0dgogEBStecCXMMQ29tWz3gBrtNB8yIromXbY/edit?gid=741673867"", ""out1g!A:B""), 2, FALSE), 0)"),618.0)</f>
        <v>618</v>
      </c>
      <c r="D2804" s="2" t="str">
        <f>IFERROR(__xludf.DUMMYFUNCTION("IFERROR(VLOOKUP(A2804, IMPORTRANGE(""https://docs.google.com/spreadsheets/d/1-3Vjw2Cyy-mry5gbC8ypIR3YVGFfEpyFESummAta6sg/edit"", ""Sheet1!B:D""), 2, FALSE), ""Not Found"")"),"bræs")</f>
        <v>bræs</v>
      </c>
      <c r="E2804" s="2" t="str">
        <f>IFERROR(__xludf.DUMMYFUNCTION("IFERROR(VLOOKUP(A2804, IMPORTRANGE(""https://docs.google.com/spreadsheets/d/1-3Vjw2Cyy-mry5gbC8ypIR3YVGFfEpyFESummAta6sg/edit"", ""Sheet1!B:D""), 3, FALSE), ""Not Found"")"),"b r æ s ")</f>
        <v>b r æ s </v>
      </c>
    </row>
    <row r="2805">
      <c r="A2805" s="1" t="s">
        <v>2808</v>
      </c>
      <c r="B2805" s="1" t="s">
        <v>5</v>
      </c>
      <c r="C2805" s="2">
        <f>IFERROR(__xludf.DUMMYFUNCTION("IFERROR(VLOOKUP(A2805, IMPORTRANGE(""https://docs.google.com/spreadsheets/d/1AVX9GT0dgogEBStecCXMMQ29tWz3gBrtNB8yIromXbY/edit?gid=741673867"", ""out1g!A:B""), 2, FALSE), 0)"),1329.0)</f>
        <v>1329</v>
      </c>
      <c r="D2805" s="2" t="str">
        <f>IFERROR(__xludf.DUMMYFUNCTION("IFERROR(VLOOKUP(A2805, IMPORTRANGE(""https://docs.google.com/spreadsheets/d/1-3Vjw2Cyy-mry5gbC8ypIR3YVGFfEpyFESummAta6sg/edit"", ""Sheet1!B:D""), 2, FALSE), ""Not Found"")"),"boʊn")</f>
        <v>boʊn</v>
      </c>
      <c r="E2805" s="2" t="str">
        <f>IFERROR(__xludf.DUMMYFUNCTION("IFERROR(VLOOKUP(A2805, IMPORTRANGE(""https://docs.google.com/spreadsheets/d/1-3Vjw2Cyy-mry5gbC8ypIR3YVGFfEpyFESummAta6sg/edit"", ""Sheet1!B:D""), 3, FALSE), ""Not Found"")"),"b o ʊ n ")</f>
        <v>b o ʊ n </v>
      </c>
    </row>
    <row r="2806">
      <c r="A2806" s="1" t="s">
        <v>2809</v>
      </c>
      <c r="B2806" s="1" t="s">
        <v>5</v>
      </c>
      <c r="C2806" s="2">
        <f>IFERROR(__xludf.DUMMYFUNCTION("IFERROR(VLOOKUP(A2806, IMPORTRANGE(""https://docs.google.com/spreadsheets/d/1AVX9GT0dgogEBStecCXMMQ29tWz3gBrtNB8yIromXbY/edit?gid=741673867"", ""out1g!A:B""), 2, FALSE), 0)"),118.0)</f>
        <v>118</v>
      </c>
      <c r="D2806" s="2" t="str">
        <f>IFERROR(__xludf.DUMMYFUNCTION("IFERROR(VLOOKUP(A2806, IMPORTRANGE(""https://docs.google.com/spreadsheets/d/1-3Vjw2Cyy-mry5gbC8ypIR3YVGFfEpyFESummAta6sg/edit"", ""Sheet1!B:D""), 2, FALSE), ""Not Found"")"),"dɪʧt")</f>
        <v>dɪʧt</v>
      </c>
      <c r="E2806" s="2" t="str">
        <f>IFERROR(__xludf.DUMMYFUNCTION("IFERROR(VLOOKUP(A2806, IMPORTRANGE(""https://docs.google.com/spreadsheets/d/1-3Vjw2Cyy-mry5gbC8ypIR3YVGFfEpyFESummAta6sg/edit"", ""Sheet1!B:D""), 3, FALSE), ""Not Found"")"),"d ɪ ʧ t ")</f>
        <v>d ɪ ʧ t </v>
      </c>
    </row>
    <row r="2807">
      <c r="A2807" s="1" t="s">
        <v>0</v>
      </c>
      <c r="B2807" s="1" t="s">
        <v>5</v>
      </c>
      <c r="C2807" s="1">
        <v>12013.0</v>
      </c>
      <c r="D2807" s="2" t="str">
        <f>IFERROR(__xludf.DUMMYFUNCTION("IFERROR(VLOOKUP(A2807, IMPORTRANGE(""https://docs.google.com/spreadsheets/d/1-3Vjw2Cyy-mry5gbC8ypIR3YVGFfEpyFESummAta6sg/edit"", ""Sheet1!B:D""), 2, FALSE), ""Not Found"")"),"IPA")</f>
        <v>IPA</v>
      </c>
      <c r="E2807" s="2" t="str">
        <f>IFERROR(__xludf.DUMMYFUNCTION("IFERROR(VLOOKUP(A2807, IMPORTRANGE(""https://docs.google.com/spreadsheets/d/1-3Vjw2Cyy-mry5gbC8ypIR3YVGFfEpyFESummAta6sg/edit"", ""Sheet1!B:D""), 3, FALSE), ""Not Found"")"),"IPA-List")</f>
        <v>IPA-List</v>
      </c>
    </row>
    <row r="2808">
      <c r="A2808" s="1" t="s">
        <v>2810</v>
      </c>
      <c r="B2808" s="1" t="s">
        <v>5</v>
      </c>
      <c r="C2808" s="2">
        <f>IFERROR(__xludf.DUMMYFUNCTION("IFERROR(VLOOKUP(A2808, IMPORTRANGE(""https://docs.google.com/spreadsheets/d/1AVX9GT0dgogEBStecCXMMQ29tWz3gBrtNB8yIromXbY/edit?gid=741673867"", ""out1g!A:B""), 2, FALSE), 0)"),56864.0)</f>
        <v>56864</v>
      </c>
      <c r="D2808" s="2" t="str">
        <f>IFERROR(__xludf.DUMMYFUNCTION("IFERROR(VLOOKUP(A2808, IMPORTRANGE(""https://docs.google.com/spreadsheets/d/1-3Vjw2Cyy-mry5gbC8ypIR3YVGFfEpyFESummAta6sg/edit"", ""Sheet1!B:D""), 2, FALSE), ""Not Found"")"),"ləv")</f>
        <v>ləv</v>
      </c>
      <c r="E2808" s="2" t="str">
        <f>IFERROR(__xludf.DUMMYFUNCTION("IFERROR(VLOOKUP(A2808, IMPORTRANGE(""https://docs.google.com/spreadsheets/d/1-3Vjw2Cyy-mry5gbC8ypIR3YVGFfEpyFESummAta6sg/edit"", ""Sheet1!B:D""), 3, FALSE), ""Not Found"")"),"l ə v ")</f>
        <v>l ə v </v>
      </c>
    </row>
    <row r="2809">
      <c r="A2809" s="1" t="s">
        <v>2811</v>
      </c>
      <c r="B2809" s="1" t="s">
        <v>5</v>
      </c>
      <c r="C2809" s="2">
        <f>IFERROR(__xludf.DUMMYFUNCTION("IFERROR(VLOOKUP(A2809, IMPORTRANGE(""https://docs.google.com/spreadsheets/d/1AVX9GT0dgogEBStecCXMMQ29tWz3gBrtNB8yIromXbY/edit?gid=741673867"", ""out1g!A:B""), 2, FALSE), 0)"),91.0)</f>
        <v>91</v>
      </c>
      <c r="D2809" s="2" t="str">
        <f>IFERROR(__xludf.DUMMYFUNCTION("IFERROR(VLOOKUP(A2809, IMPORTRANGE(""https://docs.google.com/spreadsheets/d/1-3Vjw2Cyy-mry5gbC8ypIR3YVGFfEpyFESummAta6sg/edit"", ""Sheet1!B:D""), 2, FALSE), ""Not Found"")"),"ɛθnɪk")</f>
        <v>ɛθnɪk</v>
      </c>
      <c r="E2809" s="2" t="str">
        <f>IFERROR(__xludf.DUMMYFUNCTION("IFERROR(VLOOKUP(A2809, IMPORTRANGE(""https://docs.google.com/spreadsheets/d/1-3Vjw2Cyy-mry5gbC8ypIR3YVGFfEpyFESummAta6sg/edit"", ""Sheet1!B:D""), 3, FALSE), ""Not Found"")"),"ɛ θ n ɪ k ")</f>
        <v>ɛ θ n ɪ k </v>
      </c>
    </row>
    <row r="2810">
      <c r="A2810" s="1" t="s">
        <v>2812</v>
      </c>
      <c r="B2810" s="1" t="s">
        <v>5</v>
      </c>
      <c r="C2810" s="2">
        <f>IFERROR(__xludf.DUMMYFUNCTION("IFERROR(VLOOKUP(A2810, IMPORTRANGE(""https://docs.google.com/spreadsheets/d/1AVX9GT0dgogEBStecCXMMQ29tWz3gBrtNB8yIromXbY/edit?gid=741673867"", ""out1g!A:B""), 2, FALSE), 0)"),77.0)</f>
        <v>77</v>
      </c>
      <c r="D2810" s="2" t="str">
        <f>IFERROR(__xludf.DUMMYFUNCTION("IFERROR(VLOOKUP(A2810, IMPORTRANGE(""https://docs.google.com/spreadsheets/d/1-3Vjw2Cyy-mry5gbC8ypIR3YVGFfEpyFESummAta6sg/edit"", ""Sheet1!B:D""), 2, FALSE), ""Not Found"")"),"maʊnd")</f>
        <v>maʊnd</v>
      </c>
      <c r="E2810" s="2" t="str">
        <f>IFERROR(__xludf.DUMMYFUNCTION("IFERROR(VLOOKUP(A2810, IMPORTRANGE(""https://docs.google.com/spreadsheets/d/1-3Vjw2Cyy-mry5gbC8ypIR3YVGFfEpyFESummAta6sg/edit"", ""Sheet1!B:D""), 3, FALSE), ""Not Found"")"),"m a ʊ n d ")</f>
        <v>m a ʊ n d </v>
      </c>
    </row>
    <row r="2811">
      <c r="A2811" s="1" t="s">
        <v>2813</v>
      </c>
      <c r="B2811" s="1" t="s">
        <v>5</v>
      </c>
      <c r="C2811" s="2">
        <f>IFERROR(__xludf.DUMMYFUNCTION("IFERROR(VLOOKUP(A2811, IMPORTRANGE(""https://docs.google.com/spreadsheets/d/1AVX9GT0dgogEBStecCXMMQ29tWz3gBrtNB8yIromXbY/edit?gid=741673867"", ""out1g!A:B""), 2, FALSE), 0)"),152.0)</f>
        <v>152</v>
      </c>
      <c r="D2811" s="2" t="str">
        <f>IFERROR(__xludf.DUMMYFUNCTION("IFERROR(VLOOKUP(A2811, IMPORTRANGE(""https://docs.google.com/spreadsheets/d/1-3Vjw2Cyy-mry5gbC8ypIR3YVGFfEpyFESummAta6sg/edit"", ""Sheet1!B:D""), 2, FALSE), ""Not Found"")"),"skut")</f>
        <v>skut</v>
      </c>
      <c r="E2811" s="2" t="str">
        <f>IFERROR(__xludf.DUMMYFUNCTION("IFERROR(VLOOKUP(A2811, IMPORTRANGE(""https://docs.google.com/spreadsheets/d/1-3Vjw2Cyy-mry5gbC8ypIR3YVGFfEpyFESummAta6sg/edit"", ""Sheet1!B:D""), 3, FALSE), ""Not Found"")"),"s k u t ")</f>
        <v>s k u t </v>
      </c>
    </row>
    <row r="2812">
      <c r="A2812" s="1" t="s">
        <v>2814</v>
      </c>
      <c r="B2812" s="1" t="s">
        <v>5</v>
      </c>
      <c r="C2812" s="2">
        <f>IFERROR(__xludf.DUMMYFUNCTION("IFERROR(VLOOKUP(A2812, IMPORTRANGE(""https://docs.google.com/spreadsheets/d/1AVX9GT0dgogEBStecCXMMQ29tWz3gBrtNB8yIromXbY/edit?gid=741673867"", ""out1g!A:B""), 2, FALSE), 0)"),1200.0)</f>
        <v>1200</v>
      </c>
      <c r="D2812" s="2" t="str">
        <f>IFERROR(__xludf.DUMMYFUNCTION("IFERROR(VLOOKUP(A2812, IMPORTRANGE(""https://docs.google.com/spreadsheets/d/1-3Vjw2Cyy-mry5gbC8ypIR3YVGFfEpyFESummAta6sg/edit"", ""Sheet1!B:D""), 2, FALSE), ""Not Found"")"),"hɪtɪŋ")</f>
        <v>hɪtɪŋ</v>
      </c>
      <c r="E2812" s="2" t="str">
        <f>IFERROR(__xludf.DUMMYFUNCTION("IFERROR(VLOOKUP(A2812, IMPORTRANGE(""https://docs.google.com/spreadsheets/d/1-3Vjw2Cyy-mry5gbC8ypIR3YVGFfEpyFESummAta6sg/edit"", ""Sheet1!B:D""), 3, FALSE), ""Not Found"")"),"h ɪ t ɪ ŋ ")</f>
        <v>h ɪ t ɪ ŋ </v>
      </c>
    </row>
    <row r="2813">
      <c r="A2813" s="1" t="s">
        <v>2815</v>
      </c>
      <c r="B2813" s="1" t="s">
        <v>5</v>
      </c>
      <c r="C2813" s="2">
        <f>IFERROR(__xludf.DUMMYFUNCTION("IFERROR(VLOOKUP(A2813, IMPORTRANGE(""https://docs.google.com/spreadsheets/d/1AVX9GT0dgogEBStecCXMMQ29tWz3gBrtNB8yIromXbY/edit?gid=741673867"", ""out1g!A:B""), 2, FALSE), 0)"),56.0)</f>
        <v>56</v>
      </c>
      <c r="D2813" s="2" t="str">
        <f>IFERROR(__xludf.DUMMYFUNCTION("IFERROR(VLOOKUP(A2813, IMPORTRANGE(""https://docs.google.com/spreadsheets/d/1-3Vjw2Cyy-mry5gbC8ypIR3YVGFfEpyFESummAta6sg/edit"", ""Sheet1!B:D""), 2, FALSE), ""Not Found"")"),"vərst")</f>
        <v>vərst</v>
      </c>
      <c r="E2813" s="2" t="str">
        <f>IFERROR(__xludf.DUMMYFUNCTION("IFERROR(VLOOKUP(A2813, IMPORTRANGE(""https://docs.google.com/spreadsheets/d/1-3Vjw2Cyy-mry5gbC8ypIR3YVGFfEpyFESummAta6sg/edit"", ""Sheet1!B:D""), 3, FALSE), ""Not Found"")"),"v ə r s t ")</f>
        <v>v ə r s t </v>
      </c>
    </row>
    <row r="2814">
      <c r="A2814" s="1" t="s">
        <v>2816</v>
      </c>
      <c r="B2814" s="1" t="s">
        <v>5</v>
      </c>
      <c r="C2814" s="2">
        <f>IFERROR(__xludf.DUMMYFUNCTION("IFERROR(VLOOKUP(A2814, IMPORTRANGE(""https://docs.google.com/spreadsheets/d/1AVX9GT0dgogEBStecCXMMQ29tWz3gBrtNB8yIromXbY/edit?gid=741673867"", ""out1g!A:B""), 2, FALSE), 0)"),392.0)</f>
        <v>392</v>
      </c>
      <c r="D2814" s="2" t="str">
        <f>IFERROR(__xludf.DUMMYFUNCTION("IFERROR(VLOOKUP(A2814, IMPORTRANGE(""https://docs.google.com/spreadsheets/d/1-3Vjw2Cyy-mry5gbC8ypIR3YVGFfEpyFESummAta6sg/edit"", ""Sheet1!B:D""), 2, FALSE), ""Not Found"")"),"dɛθs")</f>
        <v>dɛθs</v>
      </c>
      <c r="E2814" s="2" t="str">
        <f>IFERROR(__xludf.DUMMYFUNCTION("IFERROR(VLOOKUP(A2814, IMPORTRANGE(""https://docs.google.com/spreadsheets/d/1-3Vjw2Cyy-mry5gbC8ypIR3YVGFfEpyFESummAta6sg/edit"", ""Sheet1!B:D""), 3, FALSE), ""Not Found"")"),"d ɛ θ s ")</f>
        <v>d ɛ θ s </v>
      </c>
    </row>
    <row r="2815">
      <c r="A2815" s="1" t="s">
        <v>2817</v>
      </c>
      <c r="B2815" s="1" t="s">
        <v>5</v>
      </c>
      <c r="C2815" s="2">
        <f>IFERROR(__xludf.DUMMYFUNCTION("IFERROR(VLOOKUP(A2815, IMPORTRANGE(""https://docs.google.com/spreadsheets/d/1AVX9GT0dgogEBStecCXMMQ29tWz3gBrtNB8yIromXbY/edit?gid=741673867"", ""out1g!A:B""), 2, FALSE), 0)"),136.0)</f>
        <v>136</v>
      </c>
      <c r="D2815" s="2" t="str">
        <f>IFERROR(__xludf.DUMMYFUNCTION("IFERROR(VLOOKUP(A2815, IMPORTRANGE(""https://docs.google.com/spreadsheets/d/1-3Vjw2Cyy-mry5gbC8ypIR3YVGFfEpyFESummAta6sg/edit"", ""Sheet1!B:D""), 2, FALSE), ""Not Found"")"),"skɪnz")</f>
        <v>skɪnz</v>
      </c>
      <c r="E2815" s="2" t="str">
        <f>IFERROR(__xludf.DUMMYFUNCTION("IFERROR(VLOOKUP(A2815, IMPORTRANGE(""https://docs.google.com/spreadsheets/d/1-3Vjw2Cyy-mry5gbC8ypIR3YVGFfEpyFESummAta6sg/edit"", ""Sheet1!B:D""), 3, FALSE), ""Not Found"")"),"s k ɪ n z ")</f>
        <v>s k ɪ n z </v>
      </c>
    </row>
    <row r="2816">
      <c r="A2816" s="1" t="s">
        <v>2818</v>
      </c>
      <c r="B2816" s="1" t="s">
        <v>5</v>
      </c>
      <c r="C2816" s="2">
        <f>IFERROR(__xludf.DUMMYFUNCTION("IFERROR(VLOOKUP(A2816, IMPORTRANGE(""https://docs.google.com/spreadsheets/d/1AVX9GT0dgogEBStecCXMMQ29tWz3gBrtNB8yIromXbY/edit?gid=741673867"", ""out1g!A:B""), 2, FALSE), 0)"),5641.0)</f>
        <v>5641</v>
      </c>
      <c r="D2816" s="2" t="str">
        <f>IFERROR(__xludf.DUMMYFUNCTION("IFERROR(VLOOKUP(A2816, IMPORTRANGE(""https://docs.google.com/spreadsheets/d/1-3Vjw2Cyy-mry5gbC8ypIR3YVGFfEpyFESummAta6sg/edit"", ""Sheet1!B:D""), 2, FALSE), ""Not Found"")"),"nən")</f>
        <v>nən</v>
      </c>
      <c r="E2816" s="2" t="str">
        <f>IFERROR(__xludf.DUMMYFUNCTION("IFERROR(VLOOKUP(A2816, IMPORTRANGE(""https://docs.google.com/spreadsheets/d/1-3Vjw2Cyy-mry5gbC8ypIR3YVGFfEpyFESummAta6sg/edit"", ""Sheet1!B:D""), 3, FALSE), ""Not Found"")"),"n ə n ")</f>
        <v>n ə n </v>
      </c>
    </row>
    <row r="2817">
      <c r="A2817" s="1" t="s">
        <v>2819</v>
      </c>
      <c r="B2817" s="1" t="s">
        <v>5</v>
      </c>
      <c r="C2817" s="2">
        <f>IFERROR(__xludf.DUMMYFUNCTION("IFERROR(VLOOKUP(A2817, IMPORTRANGE(""https://docs.google.com/spreadsheets/d/1AVX9GT0dgogEBStecCXMMQ29tWz3gBrtNB8yIromXbY/edit?gid=741673867"", ""out1g!A:B""), 2, FALSE), 0)"),79.0)</f>
        <v>79</v>
      </c>
      <c r="D2817" s="2" t="str">
        <f>IFERROR(__xludf.DUMMYFUNCTION("IFERROR(VLOOKUP(A2817, IMPORTRANGE(""https://docs.google.com/spreadsheets/d/1-3Vjw2Cyy-mry5gbC8ypIR3YVGFfEpyFESummAta6sg/edit"", ""Sheet1!B:D""), 2, FALSE), ""Not Found"")"),"saɪtɪŋ")</f>
        <v>saɪtɪŋ</v>
      </c>
      <c r="E2817" s="2" t="str">
        <f>IFERROR(__xludf.DUMMYFUNCTION("IFERROR(VLOOKUP(A2817, IMPORTRANGE(""https://docs.google.com/spreadsheets/d/1-3Vjw2Cyy-mry5gbC8ypIR3YVGFfEpyFESummAta6sg/edit"", ""Sheet1!B:D""), 3, FALSE), ""Not Found"")"),"s a ɪ t ɪ ŋ ")</f>
        <v>s a ɪ t ɪ ŋ </v>
      </c>
    </row>
    <row r="2818">
      <c r="A2818" s="1" t="s">
        <v>2820</v>
      </c>
      <c r="B2818" s="1" t="s">
        <v>5</v>
      </c>
      <c r="C2818" s="2">
        <f>IFERROR(__xludf.DUMMYFUNCTION("IFERROR(VLOOKUP(A2818, IMPORTRANGE(""https://docs.google.com/spreadsheets/d/1AVX9GT0dgogEBStecCXMMQ29tWz3gBrtNB8yIromXbY/edit?gid=741673867"", ""out1g!A:B""), 2, FALSE), 0)"),1110.0)</f>
        <v>1110</v>
      </c>
      <c r="D2818" s="2" t="str">
        <f>IFERROR(__xludf.DUMMYFUNCTION("IFERROR(VLOOKUP(A2818, IMPORTRANGE(""https://docs.google.com/spreadsheets/d/1-3Vjw2Cyy-mry5gbC8ypIR3YVGFfEpyFESummAta6sg/edit"", ""Sheet1!B:D""), 2, FALSE), ""Not Found"")"),"sits")</f>
        <v>sits</v>
      </c>
      <c r="E2818" s="2" t="str">
        <f>IFERROR(__xludf.DUMMYFUNCTION("IFERROR(VLOOKUP(A2818, IMPORTRANGE(""https://docs.google.com/spreadsheets/d/1-3Vjw2Cyy-mry5gbC8ypIR3YVGFfEpyFESummAta6sg/edit"", ""Sheet1!B:D""), 3, FALSE), ""Not Found"")"),"s i t s ")</f>
        <v>s i t s </v>
      </c>
    </row>
    <row r="2819">
      <c r="A2819" s="1" t="s">
        <v>2821</v>
      </c>
      <c r="B2819" s="1" t="s">
        <v>5</v>
      </c>
      <c r="C2819" s="2">
        <f>IFERROR(__xludf.DUMMYFUNCTION("IFERROR(VLOOKUP(A2819, IMPORTRANGE(""https://docs.google.com/spreadsheets/d/1AVX9GT0dgogEBStecCXMMQ29tWz3gBrtNB8yIromXbY/edit?gid=741673867"", ""out1g!A:B""), 2, FALSE), 0)"),51.0)</f>
        <v>51</v>
      </c>
      <c r="D2819" s="2" t="str">
        <f>IFERROR(__xludf.DUMMYFUNCTION("IFERROR(VLOOKUP(A2819, IMPORTRANGE(""https://docs.google.com/spreadsheets/d/1-3Vjw2Cyy-mry5gbC8ypIR3YVGFfEpyFESummAta6sg/edit"", ""Sheet1!B:D""), 2, FALSE), ""Not Found"")"),"prez")</f>
        <v>prez</v>
      </c>
      <c r="E2819" s="2" t="str">
        <f>IFERROR(__xludf.DUMMYFUNCTION("IFERROR(VLOOKUP(A2819, IMPORTRANGE(""https://docs.google.com/spreadsheets/d/1-3Vjw2Cyy-mry5gbC8ypIR3YVGFfEpyFESummAta6sg/edit"", ""Sheet1!B:D""), 3, FALSE), ""Not Found"")"),"p r e z ")</f>
        <v>p r e z </v>
      </c>
    </row>
    <row r="2820">
      <c r="A2820" s="1" t="s">
        <v>2822</v>
      </c>
      <c r="B2820" s="1" t="s">
        <v>5</v>
      </c>
      <c r="C2820" s="2">
        <f>IFERROR(__xludf.DUMMYFUNCTION("IFERROR(VLOOKUP(A2820, IMPORTRANGE(""https://docs.google.com/spreadsheets/d/1AVX9GT0dgogEBStecCXMMQ29tWz3gBrtNB8yIromXbY/edit?gid=741673867"", ""out1g!A:B""), 2, FALSE), 0)"),1054.0)</f>
        <v>1054</v>
      </c>
      <c r="D2820" s="2" t="str">
        <f>IFERROR(__xludf.DUMMYFUNCTION("IFERROR(VLOOKUP(A2820, IMPORTRANGE(""https://docs.google.com/spreadsheets/d/1-3Vjw2Cyy-mry5gbC8ypIR3YVGFfEpyFESummAta6sg/edit"", ""Sheet1!B:D""), 2, FALSE), ""Not Found"")"),"ruθ")</f>
        <v>ruθ</v>
      </c>
      <c r="E2820" s="2" t="str">
        <f>IFERROR(__xludf.DUMMYFUNCTION("IFERROR(VLOOKUP(A2820, IMPORTRANGE(""https://docs.google.com/spreadsheets/d/1-3Vjw2Cyy-mry5gbC8ypIR3YVGFfEpyFESummAta6sg/edit"", ""Sheet1!B:D""), 3, FALSE), ""Not Found"")"),"r u θ ")</f>
        <v>r u θ </v>
      </c>
    </row>
    <row r="2821">
      <c r="A2821" s="1" t="s">
        <v>2823</v>
      </c>
      <c r="B2821" s="1" t="s">
        <v>5</v>
      </c>
      <c r="C2821" s="2">
        <f>IFERROR(__xludf.DUMMYFUNCTION("IFERROR(VLOOKUP(A2821, IMPORTRANGE(""https://docs.google.com/spreadsheets/d/1AVX9GT0dgogEBStecCXMMQ29tWz3gBrtNB8yIromXbY/edit?gid=741673867"", ""out1g!A:B""), 2, FALSE), 0)"),192.0)</f>
        <v>192</v>
      </c>
      <c r="D2821" s="2" t="str">
        <f>IFERROR(__xludf.DUMMYFUNCTION("IFERROR(VLOOKUP(A2821, IMPORTRANGE(""https://docs.google.com/spreadsheets/d/1-3Vjw2Cyy-mry5gbC8ypIR3YVGFfEpyFESummAta6sg/edit"", ""Sheet1!B:D""), 2, FALSE), ""Not Found"")"),"pækt")</f>
        <v>pækt</v>
      </c>
      <c r="E2821" s="2" t="str">
        <f>IFERROR(__xludf.DUMMYFUNCTION("IFERROR(VLOOKUP(A2821, IMPORTRANGE(""https://docs.google.com/spreadsheets/d/1-3Vjw2Cyy-mry5gbC8ypIR3YVGFfEpyFESummAta6sg/edit"", ""Sheet1!B:D""), 3, FALSE), ""Not Found"")"),"p æ k t ")</f>
        <v>p æ k t </v>
      </c>
    </row>
    <row r="2822">
      <c r="A2822" s="1" t="s">
        <v>2824</v>
      </c>
      <c r="B2822" s="1" t="s">
        <v>5</v>
      </c>
      <c r="C2822" s="2">
        <f>IFERROR(__xludf.DUMMYFUNCTION("IFERROR(VLOOKUP(A2822, IMPORTRANGE(""https://docs.google.com/spreadsheets/d/1AVX9GT0dgogEBStecCXMMQ29tWz3gBrtNB8yIromXbY/edit?gid=741673867"", ""out1g!A:B""), 2, FALSE), 0)"),104.0)</f>
        <v>104</v>
      </c>
      <c r="D2822" s="2" t="str">
        <f>IFERROR(__xludf.DUMMYFUNCTION("IFERROR(VLOOKUP(A2822, IMPORTRANGE(""https://docs.google.com/spreadsheets/d/1-3Vjw2Cyy-mry5gbC8ypIR3YVGFfEpyFESummAta6sg/edit"", ""Sheet1!B:D""), 2, FALSE), ""Not Found"")"),"fraʊn")</f>
        <v>fraʊn</v>
      </c>
      <c r="E2822" s="2" t="str">
        <f>IFERROR(__xludf.DUMMYFUNCTION("IFERROR(VLOOKUP(A2822, IMPORTRANGE(""https://docs.google.com/spreadsheets/d/1-3Vjw2Cyy-mry5gbC8ypIR3YVGFfEpyFESummAta6sg/edit"", ""Sheet1!B:D""), 3, FALSE), ""Not Found"")"),"f r a ʊ n ")</f>
        <v>f r a ʊ n </v>
      </c>
    </row>
    <row r="2823">
      <c r="A2823" s="1" t="s">
        <v>2825</v>
      </c>
      <c r="B2823" s="1" t="s">
        <v>5</v>
      </c>
      <c r="C2823" s="2">
        <f>IFERROR(__xludf.DUMMYFUNCTION("IFERROR(VLOOKUP(A2823, IMPORTRANGE(""https://docs.google.com/spreadsheets/d/1AVX9GT0dgogEBStecCXMMQ29tWz3gBrtNB8yIromXbY/edit?gid=741673867"", ""out1g!A:B""), 2, FALSE), 0)"),48.0)</f>
        <v>48</v>
      </c>
      <c r="D2823" s="2" t="str">
        <f>IFERROR(__xludf.DUMMYFUNCTION("IFERROR(VLOOKUP(A2823, IMPORTRANGE(""https://docs.google.com/spreadsheets/d/1-3Vjw2Cyy-mry5gbC8ypIR3YVGFfEpyFESummAta6sg/edit"", ""Sheet1!B:D""), 2, FALSE), ""Not Found"")"),"plənʤər")</f>
        <v>plənʤər</v>
      </c>
      <c r="E2823" s="2" t="str">
        <f>IFERROR(__xludf.DUMMYFUNCTION("IFERROR(VLOOKUP(A2823, IMPORTRANGE(""https://docs.google.com/spreadsheets/d/1-3Vjw2Cyy-mry5gbC8ypIR3YVGFfEpyFESummAta6sg/edit"", ""Sheet1!B:D""), 3, FALSE), ""Not Found"")"),"p l ə n ʤ ə r ")</f>
        <v>p l ə n ʤ ə r </v>
      </c>
    </row>
    <row r="2824">
      <c r="A2824" s="1" t="s">
        <v>2826</v>
      </c>
      <c r="B2824" s="1" t="s">
        <v>5</v>
      </c>
      <c r="C2824" s="2">
        <f>IFERROR(__xludf.DUMMYFUNCTION("IFERROR(VLOOKUP(A2824, IMPORTRANGE(""https://docs.google.com/spreadsheets/d/1AVX9GT0dgogEBStecCXMMQ29tWz3gBrtNB8yIromXbY/edit?gid=741673867"", ""out1g!A:B""), 2, FALSE), 0)"),73.0)</f>
        <v>73</v>
      </c>
      <c r="D2824" s="2" t="str">
        <f>IFERROR(__xludf.DUMMYFUNCTION("IFERROR(VLOOKUP(A2824, IMPORTRANGE(""https://docs.google.com/spreadsheets/d/1-3Vjw2Cyy-mry5gbC8ypIR3YVGFfEpyFESummAta6sg/edit"", ""Sheet1!B:D""), 2, FALSE), ""Not Found"")"),"swɪmz")</f>
        <v>swɪmz</v>
      </c>
      <c r="E2824" s="2" t="str">
        <f>IFERROR(__xludf.DUMMYFUNCTION("IFERROR(VLOOKUP(A2824, IMPORTRANGE(""https://docs.google.com/spreadsheets/d/1-3Vjw2Cyy-mry5gbC8ypIR3YVGFfEpyFESummAta6sg/edit"", ""Sheet1!B:D""), 3, FALSE), ""Not Found"")"),"s w ɪ m z ")</f>
        <v>s w ɪ m z </v>
      </c>
    </row>
    <row r="2825">
      <c r="A2825" s="1" t="s">
        <v>2827</v>
      </c>
      <c r="B2825" s="1" t="s">
        <v>5</v>
      </c>
      <c r="C2825" s="2">
        <f>IFERROR(__xludf.DUMMYFUNCTION("IFERROR(VLOOKUP(A2825, IMPORTRANGE(""https://docs.google.com/spreadsheets/d/1AVX9GT0dgogEBStecCXMMQ29tWz3gBrtNB8yIromXbY/edit?gid=741673867"", ""out1g!A:B""), 2, FALSE), 0)"),301.0)</f>
        <v>301</v>
      </c>
      <c r="D2825" s="2" t="str">
        <f>IFERROR(__xludf.DUMMYFUNCTION("IFERROR(VLOOKUP(A2825, IMPORTRANGE(""https://docs.google.com/spreadsheets/d/1-3Vjw2Cyy-mry5gbC8ypIR3YVGFfEpyFESummAta6sg/edit"", ""Sheet1!B:D""), 2, FALSE), ""Not Found"")"),"sket")</f>
        <v>sket</v>
      </c>
      <c r="E2825" s="2" t="str">
        <f>IFERROR(__xludf.DUMMYFUNCTION("IFERROR(VLOOKUP(A2825, IMPORTRANGE(""https://docs.google.com/spreadsheets/d/1-3Vjw2Cyy-mry5gbC8ypIR3YVGFfEpyFESummAta6sg/edit"", ""Sheet1!B:D""), 3, FALSE), ""Not Found"")"),"s k e t ")</f>
        <v>s k e t </v>
      </c>
    </row>
    <row r="2826">
      <c r="A2826" s="1" t="str">
        <f>IFERROR(__xludf.DUMMYFUNCTION("TO_TEXT(""false"")"),"false")</f>
        <v>false</v>
      </c>
      <c r="B2826" s="1" t="s">
        <v>5</v>
      </c>
      <c r="C2826" s="2">
        <f>IFERROR(__xludf.DUMMYFUNCTION("IFERROR(VLOOKUP(A2826, IMPORTRANGE(""https://docs.google.com/spreadsheets/d/1AVX9GT0dgogEBStecCXMMQ29tWz3gBrtNB8yIromXbY/edit?gid=741673867"", ""out1g!A:B""), 2, FALSE), 0)"),1078.0)</f>
        <v>1078</v>
      </c>
      <c r="D2826" s="2" t="str">
        <f>IFERROR(__xludf.DUMMYFUNCTION("IFERROR(VLOOKUP(A2826, IMPORTRANGE(""https://docs.google.com/spreadsheets/d/1-3Vjw2Cyy-mry5gbC8ypIR3YVGFfEpyFESummAta6sg/edit"", ""Sheet1!B:D""), 2, FALSE), ""Not Found"")"),"fɔls")</f>
        <v>fɔls</v>
      </c>
      <c r="E2826" s="2" t="str">
        <f>IFERROR(__xludf.DUMMYFUNCTION("IFERROR(VLOOKUP(A2826, IMPORTRANGE(""https://docs.google.com/spreadsheets/d/1-3Vjw2Cyy-mry5gbC8ypIR3YVGFfEpyFESummAta6sg/edit"", ""Sheet1!B:D""), 3, FALSE), ""Not Found"")"),"f ɔ l s ")</f>
        <v>f ɔ l s </v>
      </c>
    </row>
    <row r="2827">
      <c r="A2827" s="1" t="s">
        <v>2828</v>
      </c>
      <c r="B2827" s="1" t="s">
        <v>5</v>
      </c>
      <c r="C2827" s="2">
        <f>IFERROR(__xludf.DUMMYFUNCTION("IFERROR(VLOOKUP(A2827, IMPORTRANGE(""https://docs.google.com/spreadsheets/d/1AVX9GT0dgogEBStecCXMMQ29tWz3gBrtNB8yIromXbY/edit?gid=741673867"", ""out1g!A:B""), 2, FALSE), 0)"),317.0)</f>
        <v>317</v>
      </c>
      <c r="D2827" s="2" t="str">
        <f>IFERROR(__xludf.DUMMYFUNCTION("IFERROR(VLOOKUP(A2827, IMPORTRANGE(""https://docs.google.com/spreadsheets/d/1-3Vjw2Cyy-mry5gbC8ypIR3YVGFfEpyFESummAta6sg/edit"", ""Sheet1!B:D""), 2, FALSE), ""Not Found"")"),"briʧ")</f>
        <v>briʧ</v>
      </c>
      <c r="E2827" s="2" t="str">
        <f>IFERROR(__xludf.DUMMYFUNCTION("IFERROR(VLOOKUP(A2827, IMPORTRANGE(""https://docs.google.com/spreadsheets/d/1-3Vjw2Cyy-mry5gbC8ypIR3YVGFfEpyFESummAta6sg/edit"", ""Sheet1!B:D""), 3, FALSE), ""Not Found"")"),"b r i ʧ ")</f>
        <v>b r i ʧ </v>
      </c>
    </row>
    <row r="2828">
      <c r="A2828" s="1" t="s">
        <v>2829</v>
      </c>
      <c r="B2828" s="1" t="s">
        <v>5</v>
      </c>
      <c r="C2828" s="2">
        <f>IFERROR(__xludf.DUMMYFUNCTION("IFERROR(VLOOKUP(A2828, IMPORTRANGE(""https://docs.google.com/spreadsheets/d/1AVX9GT0dgogEBStecCXMMQ29tWz3gBrtNB8yIromXbY/edit?gid=741673867"", ""out1g!A:B""), 2, FALSE), 0)"),225.0)</f>
        <v>225</v>
      </c>
      <c r="D2828" s="2" t="str">
        <f>IFERROR(__xludf.DUMMYFUNCTION("IFERROR(VLOOKUP(A2828, IMPORTRANGE(""https://docs.google.com/spreadsheets/d/1-3Vjw2Cyy-mry5gbC8ypIR3YVGFfEpyFESummAta6sg/edit"", ""Sheet1!B:D""), 2, FALSE), ""Not Found"")"),"gris")</f>
        <v>gris</v>
      </c>
      <c r="E2828" s="2" t="str">
        <f>IFERROR(__xludf.DUMMYFUNCTION("IFERROR(VLOOKUP(A2828, IMPORTRANGE(""https://docs.google.com/spreadsheets/d/1-3Vjw2Cyy-mry5gbC8ypIR3YVGFfEpyFESummAta6sg/edit"", ""Sheet1!B:D""), 3, FALSE), ""Not Found"")"),"g r i s ")</f>
        <v>g r i s </v>
      </c>
    </row>
    <row r="2829">
      <c r="A2829" s="1" t="s">
        <v>2830</v>
      </c>
      <c r="B2829" s="1" t="s">
        <v>5</v>
      </c>
      <c r="C2829" s="2">
        <f>IFERROR(__xludf.DUMMYFUNCTION("IFERROR(VLOOKUP(A2829, IMPORTRANGE(""https://docs.google.com/spreadsheets/d/1AVX9GT0dgogEBStecCXMMQ29tWz3gBrtNB8yIromXbY/edit?gid=741673867"", ""out1g!A:B""), 2, FALSE), 0)"),2542.0)</f>
        <v>2542</v>
      </c>
      <c r="D2829" s="2" t="str">
        <f>IFERROR(__xludf.DUMMYFUNCTION("IFERROR(VLOOKUP(A2829, IMPORTRANGE(""https://docs.google.com/spreadsheets/d/1-3Vjw2Cyy-mry5gbC8ypIR3YVGFfEpyFESummAta6sg/edit"", ""Sheet1!B:D""), 2, FALSE), ""Not Found"")"),"hɪroʊ")</f>
        <v>hɪroʊ</v>
      </c>
      <c r="E2829" s="2" t="str">
        <f>IFERROR(__xludf.DUMMYFUNCTION("IFERROR(VLOOKUP(A2829, IMPORTRANGE(""https://docs.google.com/spreadsheets/d/1-3Vjw2Cyy-mry5gbC8ypIR3YVGFfEpyFESummAta6sg/edit"", ""Sheet1!B:D""), 3, FALSE), ""Not Found"")"),"h ɪ r o ʊ ")</f>
        <v>h ɪ r o ʊ </v>
      </c>
    </row>
    <row r="2830">
      <c r="A2830" s="1" t="s">
        <v>2831</v>
      </c>
      <c r="B2830" s="1" t="s">
        <v>5</v>
      </c>
      <c r="C2830" s="2">
        <f>IFERROR(__xludf.DUMMYFUNCTION("IFERROR(VLOOKUP(A2830, IMPORTRANGE(""https://docs.google.com/spreadsheets/d/1AVX9GT0dgogEBStecCXMMQ29tWz3gBrtNB8yIromXbY/edit?gid=741673867"", ""out1g!A:B""), 2, FALSE), 0)"),123.0)</f>
        <v>123</v>
      </c>
      <c r="D2830" s="2" t="str">
        <f>IFERROR(__xludf.DUMMYFUNCTION("IFERROR(VLOOKUP(A2830, IMPORTRANGE(""https://docs.google.com/spreadsheets/d/1-3Vjw2Cyy-mry5gbC8ypIR3YVGFfEpyFESummAta6sg/edit"", ""Sheet1!B:D""), 2, FALSE), ""Not Found"")"),"luni")</f>
        <v>luni</v>
      </c>
      <c r="E2830" s="2" t="str">
        <f>IFERROR(__xludf.DUMMYFUNCTION("IFERROR(VLOOKUP(A2830, IMPORTRANGE(""https://docs.google.com/spreadsheets/d/1-3Vjw2Cyy-mry5gbC8ypIR3YVGFfEpyFESummAta6sg/edit"", ""Sheet1!B:D""), 3, FALSE), ""Not Found"")"),"l u n i ")</f>
        <v>l u n i </v>
      </c>
    </row>
    <row r="2831">
      <c r="A2831" s="1" t="s">
        <v>2832</v>
      </c>
      <c r="B2831" s="1" t="s">
        <v>5</v>
      </c>
      <c r="C2831" s="2">
        <f>IFERROR(__xludf.DUMMYFUNCTION("IFERROR(VLOOKUP(A2831, IMPORTRANGE(""https://docs.google.com/spreadsheets/d/1AVX9GT0dgogEBStecCXMMQ29tWz3gBrtNB8yIromXbY/edit?gid=741673867"", ""out1g!A:B""), 2, FALSE), 0)"),1200.0)</f>
        <v>1200</v>
      </c>
      <c r="D2831" s="2" t="str">
        <f>IFERROR(__xludf.DUMMYFUNCTION("IFERROR(VLOOKUP(A2831, IMPORTRANGE(""https://docs.google.com/spreadsheets/d/1-3Vjw2Cyy-mry5gbC8ypIR3YVGFfEpyFESummAta6sg/edit"", ""Sheet1!B:D""), 2, FALSE), ""Not Found"")"),"pəls")</f>
        <v>pəls</v>
      </c>
      <c r="E2831" s="2" t="str">
        <f>IFERROR(__xludf.DUMMYFUNCTION("IFERROR(VLOOKUP(A2831, IMPORTRANGE(""https://docs.google.com/spreadsheets/d/1-3Vjw2Cyy-mry5gbC8ypIR3YVGFfEpyFESummAta6sg/edit"", ""Sheet1!B:D""), 3, FALSE), ""Not Found"")"),"p ə l s ")</f>
        <v>p ə l s </v>
      </c>
    </row>
    <row r="2832">
      <c r="A2832" s="1" t="s">
        <v>2833</v>
      </c>
      <c r="B2832" s="1" t="s">
        <v>5</v>
      </c>
      <c r="C2832" s="2">
        <f>IFERROR(__xludf.DUMMYFUNCTION("IFERROR(VLOOKUP(A2832, IMPORTRANGE(""https://docs.google.com/spreadsheets/d/1AVX9GT0dgogEBStecCXMMQ29tWz3gBrtNB8yIromXbY/edit?gid=741673867"", ""out1g!A:B""), 2, FALSE), 0)"),1087.0)</f>
        <v>1087</v>
      </c>
      <c r="D2832" s="2" t="str">
        <f>IFERROR(__xludf.DUMMYFUNCTION("IFERROR(VLOOKUP(A2832, IMPORTRANGE(""https://docs.google.com/spreadsheets/d/1-3Vjw2Cyy-mry5gbC8ypIR3YVGFfEpyFESummAta6sg/edit"", ""Sheet1!B:D""), 2, FALSE), ""Not Found"")"),"nænsi")</f>
        <v>nænsi</v>
      </c>
      <c r="E2832" s="2" t="str">
        <f>IFERROR(__xludf.DUMMYFUNCTION("IFERROR(VLOOKUP(A2832, IMPORTRANGE(""https://docs.google.com/spreadsheets/d/1-3Vjw2Cyy-mry5gbC8ypIR3YVGFfEpyFESummAta6sg/edit"", ""Sheet1!B:D""), 3, FALSE), ""Not Found"")"),"n æ n s i ")</f>
        <v>n æ n s i </v>
      </c>
    </row>
    <row r="2833">
      <c r="A2833" s="1" t="s">
        <v>2834</v>
      </c>
      <c r="B2833" s="1" t="s">
        <v>5</v>
      </c>
      <c r="C2833" s="2">
        <f>IFERROR(__xludf.DUMMYFUNCTION("IFERROR(VLOOKUP(A2833, IMPORTRANGE(""https://docs.google.com/spreadsheets/d/1AVX9GT0dgogEBStecCXMMQ29tWz3gBrtNB8yIromXbY/edit?gid=741673867"", ""out1g!A:B""), 2, FALSE), 0)"),105.0)</f>
        <v>105</v>
      </c>
      <c r="D2833" s="2" t="str">
        <f>IFERROR(__xludf.DUMMYFUNCTION("IFERROR(VLOOKUP(A2833, IMPORTRANGE(""https://docs.google.com/spreadsheets/d/1-3Vjw2Cyy-mry5gbC8ypIR3YVGFfEpyFESummAta6sg/edit"", ""Sheet1!B:D""), 2, FALSE), ""Not Found"")"),"slipər")</f>
        <v>slipər</v>
      </c>
      <c r="E2833" s="2" t="str">
        <f>IFERROR(__xludf.DUMMYFUNCTION("IFERROR(VLOOKUP(A2833, IMPORTRANGE(""https://docs.google.com/spreadsheets/d/1-3Vjw2Cyy-mry5gbC8ypIR3YVGFfEpyFESummAta6sg/edit"", ""Sheet1!B:D""), 3, FALSE), ""Not Found"")"),"s l i p ə r ")</f>
        <v>s l i p ə r </v>
      </c>
    </row>
    <row r="2834">
      <c r="A2834" s="1" t="s">
        <v>2835</v>
      </c>
      <c r="B2834" s="1" t="s">
        <v>5</v>
      </c>
      <c r="C2834" s="2">
        <f>IFERROR(__xludf.DUMMYFUNCTION("IFERROR(VLOOKUP(A2834, IMPORTRANGE(""https://docs.google.com/spreadsheets/d/1AVX9GT0dgogEBStecCXMMQ29tWz3gBrtNB8yIromXbY/edit?gid=741673867"", ""out1g!A:B""), 2, FALSE), 0)"),485.0)</f>
        <v>485</v>
      </c>
      <c r="D2834" s="2" t="str">
        <f>IFERROR(__xludf.DUMMYFUNCTION("IFERROR(VLOOKUP(A2834, IMPORTRANGE(""https://docs.google.com/spreadsheets/d/1-3Vjw2Cyy-mry5gbC8ypIR3YVGFfEpyFESummAta6sg/edit"", ""Sheet1!B:D""), 2, FALSE), ""Not Found"")"),"smæk")</f>
        <v>smæk</v>
      </c>
      <c r="E2834" s="2" t="str">
        <f>IFERROR(__xludf.DUMMYFUNCTION("IFERROR(VLOOKUP(A2834, IMPORTRANGE(""https://docs.google.com/spreadsheets/d/1-3Vjw2Cyy-mry5gbC8ypIR3YVGFfEpyFESummAta6sg/edit"", ""Sheet1!B:D""), 3, FALSE), ""Not Found"")"),"s m æ k ")</f>
        <v>s m æ k </v>
      </c>
    </row>
    <row r="2835">
      <c r="A2835" s="1" t="s">
        <v>2836</v>
      </c>
      <c r="B2835" s="1" t="s">
        <v>5</v>
      </c>
      <c r="C2835" s="2">
        <f>IFERROR(__xludf.DUMMYFUNCTION("IFERROR(VLOOKUP(A2835, IMPORTRANGE(""https://docs.google.com/spreadsheets/d/1AVX9GT0dgogEBStecCXMMQ29tWz3gBrtNB8yIromXbY/edit?gid=741673867"", ""out1g!A:B""), 2, FALSE), 0)"),344.0)</f>
        <v>344</v>
      </c>
      <c r="D2835" s="2" t="str">
        <f>IFERROR(__xludf.DUMMYFUNCTION("IFERROR(VLOOKUP(A2835, IMPORTRANGE(""https://docs.google.com/spreadsheets/d/1-3Vjw2Cyy-mry5gbC8ypIR3YVGFfEpyFESummAta6sg/edit"", ""Sheet1!B:D""), 2, FALSE), ""Not Found"")"),"penər")</f>
        <v>penər</v>
      </c>
      <c r="E2835" s="2" t="str">
        <f>IFERROR(__xludf.DUMMYFUNCTION("IFERROR(VLOOKUP(A2835, IMPORTRANGE(""https://docs.google.com/spreadsheets/d/1-3Vjw2Cyy-mry5gbC8ypIR3YVGFfEpyFESummAta6sg/edit"", ""Sheet1!B:D""), 3, FALSE), ""Not Found"")"),"p e n ə r ")</f>
        <v>p e n ə r </v>
      </c>
    </row>
    <row r="2836">
      <c r="A2836" s="1" t="s">
        <v>2837</v>
      </c>
      <c r="B2836" s="1" t="s">
        <v>5</v>
      </c>
      <c r="C2836" s="2">
        <f>IFERROR(__xludf.DUMMYFUNCTION("IFERROR(VLOOKUP(A2836, IMPORTRANGE(""https://docs.google.com/spreadsheets/d/1AVX9GT0dgogEBStecCXMMQ29tWz3gBrtNB8yIromXbY/edit?gid=741673867"", ""out1g!A:B""), 2, FALSE), 0)"),83.0)</f>
        <v>83</v>
      </c>
      <c r="D2836" s="2" t="str">
        <f>IFERROR(__xludf.DUMMYFUNCTION("IFERROR(VLOOKUP(A2836, IMPORTRANGE(""https://docs.google.com/spreadsheets/d/1-3Vjw2Cyy-mry5gbC8ypIR3YVGFfEpyFESummAta6sg/edit"", ""Sheet1!B:D""), 2, FALSE), ""Not Found"")"),"keʤd")</f>
        <v>keʤd</v>
      </c>
      <c r="E2836" s="2" t="str">
        <f>IFERROR(__xludf.DUMMYFUNCTION("IFERROR(VLOOKUP(A2836, IMPORTRANGE(""https://docs.google.com/spreadsheets/d/1-3Vjw2Cyy-mry5gbC8ypIR3YVGFfEpyFESummAta6sg/edit"", ""Sheet1!B:D""), 3, FALSE), ""Not Found"")"),"k e ʤ d ")</f>
        <v>k e ʤ d </v>
      </c>
    </row>
    <row r="2837">
      <c r="A2837" s="1" t="s">
        <v>2838</v>
      </c>
      <c r="B2837" s="1" t="s">
        <v>5</v>
      </c>
      <c r="C2837" s="2">
        <f>IFERROR(__xludf.DUMMYFUNCTION("IFERROR(VLOOKUP(A2837, IMPORTRANGE(""https://docs.google.com/spreadsheets/d/1AVX9GT0dgogEBStecCXMMQ29tWz3gBrtNB8yIromXbY/edit?gid=741673867"", ""out1g!A:B""), 2, FALSE), 0)"),127.0)</f>
        <v>127</v>
      </c>
      <c r="D2837" s="2" t="str">
        <f>IFERROR(__xludf.DUMMYFUNCTION("IFERROR(VLOOKUP(A2837, IMPORTRANGE(""https://docs.google.com/spreadsheets/d/1-3Vjw2Cyy-mry5gbC8ypIR3YVGFfEpyFESummAta6sg/edit"", ""Sheet1!B:D""), 2, FALSE), ""Not Found"")"),"sloʊgən")</f>
        <v>sloʊgən</v>
      </c>
      <c r="E2837" s="2" t="str">
        <f>IFERROR(__xludf.DUMMYFUNCTION("IFERROR(VLOOKUP(A2837, IMPORTRANGE(""https://docs.google.com/spreadsheets/d/1-3Vjw2Cyy-mry5gbC8ypIR3YVGFfEpyFESummAta6sg/edit"", ""Sheet1!B:D""), 3, FALSE), ""Not Found"")"),"s l o ʊ g ə n ")</f>
        <v>s l o ʊ g ə n </v>
      </c>
    </row>
    <row r="2838">
      <c r="A2838" s="1" t="s">
        <v>2839</v>
      </c>
      <c r="B2838" s="1" t="s">
        <v>5</v>
      </c>
      <c r="C2838" s="2">
        <f>IFERROR(__xludf.DUMMYFUNCTION("IFERROR(VLOOKUP(A2838, IMPORTRANGE(""https://docs.google.com/spreadsheets/d/1AVX9GT0dgogEBStecCXMMQ29tWz3gBrtNB8yIromXbY/edit?gid=741673867"", ""out1g!A:B""), 2, FALSE), 0)"),65.0)</f>
        <v>65</v>
      </c>
      <c r="D2838" s="2" t="str">
        <f>IFERROR(__xludf.DUMMYFUNCTION("IFERROR(VLOOKUP(A2838, IMPORTRANGE(""https://docs.google.com/spreadsheets/d/1-3Vjw2Cyy-mry5gbC8ypIR3YVGFfEpyFESummAta6sg/edit"", ""Sheet1!B:D""), 2, FALSE), ""Not Found"")"),"blɪŋkt")</f>
        <v>blɪŋkt</v>
      </c>
      <c r="E2838" s="2" t="str">
        <f>IFERROR(__xludf.DUMMYFUNCTION("IFERROR(VLOOKUP(A2838, IMPORTRANGE(""https://docs.google.com/spreadsheets/d/1-3Vjw2Cyy-mry5gbC8ypIR3YVGFfEpyFESummAta6sg/edit"", ""Sheet1!B:D""), 3, FALSE), ""Not Found"")"),"b l ɪ ŋ k t ")</f>
        <v>b l ɪ ŋ k t </v>
      </c>
    </row>
    <row r="2839">
      <c r="A2839" s="1" t="s">
        <v>2840</v>
      </c>
      <c r="B2839" s="1" t="s">
        <v>5</v>
      </c>
      <c r="C2839" s="2">
        <f>IFERROR(__xludf.DUMMYFUNCTION("IFERROR(VLOOKUP(A2839, IMPORTRANGE(""https://docs.google.com/spreadsheets/d/1AVX9GT0dgogEBStecCXMMQ29tWz3gBrtNB8yIromXbY/edit?gid=741673867"", ""out1g!A:B""), 2, FALSE), 0)"),174.0)</f>
        <v>174</v>
      </c>
      <c r="D2839" s="2" t="str">
        <f>IFERROR(__xludf.DUMMYFUNCTION("IFERROR(VLOOKUP(A2839, IMPORTRANGE(""https://docs.google.com/spreadsheets/d/1-3Vjw2Cyy-mry5gbC8ypIR3YVGFfEpyFESummAta6sg/edit"", ""Sheet1!B:D""), 2, FALSE), ""Not Found"")"),"dəm")</f>
        <v>dəm</v>
      </c>
      <c r="E2839" s="2" t="str">
        <f>IFERROR(__xludf.DUMMYFUNCTION("IFERROR(VLOOKUP(A2839, IMPORTRANGE(""https://docs.google.com/spreadsheets/d/1-3Vjw2Cyy-mry5gbC8ypIR3YVGFfEpyFESummAta6sg/edit"", ""Sheet1!B:D""), 3, FALSE), ""Not Found"")"),"d ə m ")</f>
        <v>d ə m </v>
      </c>
    </row>
    <row r="2840">
      <c r="A2840" s="1" t="s">
        <v>2841</v>
      </c>
      <c r="B2840" s="1" t="s">
        <v>5</v>
      </c>
      <c r="C2840" s="2">
        <f>IFERROR(__xludf.DUMMYFUNCTION("IFERROR(VLOOKUP(A2840, IMPORTRANGE(""https://docs.google.com/spreadsheets/d/1AVX9GT0dgogEBStecCXMMQ29tWz3gBrtNB8yIromXbY/edit?gid=741673867"", ""out1g!A:B""), 2, FALSE), 0)"),56.0)</f>
        <v>56</v>
      </c>
      <c r="D2840" s="2" t="str">
        <f>IFERROR(__xludf.DUMMYFUNCTION("IFERROR(VLOOKUP(A2840, IMPORTRANGE(""https://docs.google.com/spreadsheets/d/1-3Vjw2Cyy-mry5gbC8ypIR3YVGFfEpyFESummAta6sg/edit"", ""Sheet1!B:D""), 2, FALSE), ""Not Found"")"),"bɪlʤ")</f>
        <v>bɪlʤ</v>
      </c>
      <c r="E2840" s="2" t="str">
        <f>IFERROR(__xludf.DUMMYFUNCTION("IFERROR(VLOOKUP(A2840, IMPORTRANGE(""https://docs.google.com/spreadsheets/d/1-3Vjw2Cyy-mry5gbC8ypIR3YVGFfEpyFESummAta6sg/edit"", ""Sheet1!B:D""), 3, FALSE), ""Not Found"")"),"b ɪ l ʤ ")</f>
        <v>b ɪ l ʤ </v>
      </c>
    </row>
    <row r="2841">
      <c r="A2841" s="1" t="s">
        <v>2842</v>
      </c>
      <c r="B2841" s="1" t="s">
        <v>5</v>
      </c>
      <c r="C2841" s="2">
        <f>IFERROR(__xludf.DUMMYFUNCTION("IFERROR(VLOOKUP(A2841, IMPORTRANGE(""https://docs.google.com/spreadsheets/d/1AVX9GT0dgogEBStecCXMMQ29tWz3gBrtNB8yIromXbY/edit?gid=741673867"", ""out1g!A:B""), 2, FALSE), 0)"),331.0)</f>
        <v>331</v>
      </c>
      <c r="D2841" s="2" t="str">
        <f>IFERROR(__xludf.DUMMYFUNCTION("IFERROR(VLOOKUP(A2841, IMPORTRANGE(""https://docs.google.com/spreadsheets/d/1-3Vjw2Cyy-mry5gbC8ypIR3YVGFfEpyFESummAta6sg/edit"", ""Sheet1!B:D""), 2, FALSE), ""Not Found"")"),"raɪət")</f>
        <v>raɪət</v>
      </c>
      <c r="E2841" s="2" t="str">
        <f>IFERROR(__xludf.DUMMYFUNCTION("IFERROR(VLOOKUP(A2841, IMPORTRANGE(""https://docs.google.com/spreadsheets/d/1-3Vjw2Cyy-mry5gbC8ypIR3YVGFfEpyFESummAta6sg/edit"", ""Sheet1!B:D""), 3, FALSE), ""Not Found"")"),"r a ɪ ə t ")</f>
        <v>r a ɪ ə t </v>
      </c>
    </row>
    <row r="2842">
      <c r="A2842" s="1" t="s">
        <v>2843</v>
      </c>
      <c r="B2842" s="1" t="s">
        <v>5</v>
      </c>
      <c r="C2842" s="2">
        <f>IFERROR(__xludf.DUMMYFUNCTION("IFERROR(VLOOKUP(A2842, IMPORTRANGE(""https://docs.google.com/spreadsheets/d/1AVX9GT0dgogEBStecCXMMQ29tWz3gBrtNB8yIromXbY/edit?gid=741673867"", ""out1g!A:B""), 2, FALSE), 0)"),15.0)</f>
        <v>15</v>
      </c>
      <c r="D2842" s="2" t="str">
        <f>IFERROR(__xludf.DUMMYFUNCTION("IFERROR(VLOOKUP(A2842, IMPORTRANGE(""https://docs.google.com/spreadsheets/d/1-3Vjw2Cyy-mry5gbC8ypIR3YVGFfEpyFESummAta6sg/edit"", ""Sheet1!B:D""), 2, FALSE), ""Not Found"")"),"ræfts")</f>
        <v>ræfts</v>
      </c>
      <c r="E2842" s="2" t="str">
        <f>IFERROR(__xludf.DUMMYFUNCTION("IFERROR(VLOOKUP(A2842, IMPORTRANGE(""https://docs.google.com/spreadsheets/d/1-3Vjw2Cyy-mry5gbC8ypIR3YVGFfEpyFESummAta6sg/edit"", ""Sheet1!B:D""), 3, FALSE), ""Not Found"")"),"r æ f t s ")</f>
        <v>r æ f t s </v>
      </c>
    </row>
    <row r="2843">
      <c r="A2843" s="1" t="s">
        <v>2844</v>
      </c>
      <c r="B2843" s="1" t="s">
        <v>5</v>
      </c>
      <c r="C2843" s="2">
        <f>IFERROR(__xludf.DUMMYFUNCTION("IFERROR(VLOOKUP(A2843, IMPORTRANGE(""https://docs.google.com/spreadsheets/d/1AVX9GT0dgogEBStecCXMMQ29tWz3gBrtNB8yIromXbY/edit?gid=741673867"", ""out1g!A:B""), 2, FALSE), 0)"),646.0)</f>
        <v>646</v>
      </c>
      <c r="D2843" s="2" t="str">
        <f>IFERROR(__xludf.DUMMYFUNCTION("IFERROR(VLOOKUP(A2843, IMPORTRANGE(""https://docs.google.com/spreadsheets/d/1-3Vjw2Cyy-mry5gbC8ypIR3YVGFfEpyFESummAta6sg/edit"", ""Sheet1!B:D""), 2, FALSE), ""Not Found"")"),"ərnd")</f>
        <v>ərnd</v>
      </c>
      <c r="E2843" s="2" t="str">
        <f>IFERROR(__xludf.DUMMYFUNCTION("IFERROR(VLOOKUP(A2843, IMPORTRANGE(""https://docs.google.com/spreadsheets/d/1-3Vjw2Cyy-mry5gbC8ypIR3YVGFfEpyFESummAta6sg/edit"", ""Sheet1!B:D""), 3, FALSE), ""Not Found"")"),"ə r n d ")</f>
        <v>ə r n d </v>
      </c>
    </row>
    <row r="2844">
      <c r="A2844" s="1" t="s">
        <v>2845</v>
      </c>
      <c r="B2844" s="1" t="s">
        <v>5</v>
      </c>
      <c r="C2844" s="2">
        <f>IFERROR(__xludf.DUMMYFUNCTION("IFERROR(VLOOKUP(A2844, IMPORTRANGE(""https://docs.google.com/spreadsheets/d/1AVX9GT0dgogEBStecCXMMQ29tWz3gBrtNB8yIromXbY/edit?gid=741673867"", ""out1g!A:B""), 2, FALSE), 0)"),1019.0)</f>
        <v>1019</v>
      </c>
      <c r="D2844" s="2" t="str">
        <f>IFERROR(__xludf.DUMMYFUNCTION("IFERROR(VLOOKUP(A2844, IMPORTRANGE(""https://docs.google.com/spreadsheets/d/1-3Vjw2Cyy-mry5gbC8ypIR3YVGFfEpyFESummAta6sg/edit"", ""Sheet1!B:D""), 2, FALSE), ""Not Found"")"),"swɪmɪŋ")</f>
        <v>swɪmɪŋ</v>
      </c>
      <c r="E2844" s="2" t="str">
        <f>IFERROR(__xludf.DUMMYFUNCTION("IFERROR(VLOOKUP(A2844, IMPORTRANGE(""https://docs.google.com/spreadsheets/d/1-3Vjw2Cyy-mry5gbC8ypIR3YVGFfEpyFESummAta6sg/edit"", ""Sheet1!B:D""), 3, FALSE), ""Not Found"")"),"s w ɪ m ɪ ŋ ")</f>
        <v>s w ɪ m ɪ ŋ </v>
      </c>
    </row>
    <row r="2845">
      <c r="A2845" s="1" t="s">
        <v>2846</v>
      </c>
      <c r="B2845" s="1" t="s">
        <v>5</v>
      </c>
      <c r="C2845" s="2">
        <f>IFERROR(__xludf.DUMMYFUNCTION("IFERROR(VLOOKUP(A2845, IMPORTRANGE(""https://docs.google.com/spreadsheets/d/1AVX9GT0dgogEBStecCXMMQ29tWz3gBrtNB8yIromXbY/edit?gid=741673867"", ""out1g!A:B""), 2, FALSE), 0)"),1275.0)</f>
        <v>1275</v>
      </c>
      <c r="D2845" s="2" t="str">
        <f>IFERROR(__xludf.DUMMYFUNCTION("IFERROR(VLOOKUP(A2845, IMPORTRANGE(""https://docs.google.com/spreadsheets/d/1-3Vjw2Cyy-mry5gbC8ypIR3YVGFfEpyFESummAta6sg/edit"", ""Sheet1!B:D""), 2, FALSE), ""Not Found"")"),"groʊn")</f>
        <v>groʊn</v>
      </c>
      <c r="E2845" s="2" t="str">
        <f>IFERROR(__xludf.DUMMYFUNCTION("IFERROR(VLOOKUP(A2845, IMPORTRANGE(""https://docs.google.com/spreadsheets/d/1-3Vjw2Cyy-mry5gbC8ypIR3YVGFfEpyFESummAta6sg/edit"", ""Sheet1!B:D""), 3, FALSE), ""Not Found"")"),"g r o ʊ n ")</f>
        <v>g r o ʊ n </v>
      </c>
    </row>
    <row r="2846">
      <c r="A2846" s="1" t="s">
        <v>2847</v>
      </c>
      <c r="B2846" s="1" t="s">
        <v>5</v>
      </c>
      <c r="C2846" s="2">
        <f>IFERROR(__xludf.DUMMYFUNCTION("IFERROR(VLOOKUP(A2846, IMPORTRANGE(""https://docs.google.com/spreadsheets/d/1AVX9GT0dgogEBStecCXMMQ29tWz3gBrtNB8yIromXbY/edit?gid=741673867"", ""out1g!A:B""), 2, FALSE), 0)"),58.0)</f>
        <v>58</v>
      </c>
      <c r="D2846" s="2" t="str">
        <f>IFERROR(__xludf.DUMMYFUNCTION("IFERROR(VLOOKUP(A2846, IMPORTRANGE(""https://docs.google.com/spreadsheets/d/1-3Vjw2Cyy-mry5gbC8ypIR3YVGFfEpyFESummAta6sg/edit"", ""Sheet1!B:D""), 2, FALSE), ""Not Found"")"),"sæʃ")</f>
        <v>sæʃ</v>
      </c>
      <c r="E2846" s="2" t="str">
        <f>IFERROR(__xludf.DUMMYFUNCTION("IFERROR(VLOOKUP(A2846, IMPORTRANGE(""https://docs.google.com/spreadsheets/d/1-3Vjw2Cyy-mry5gbC8ypIR3YVGFfEpyFESummAta6sg/edit"", ""Sheet1!B:D""), 3, FALSE), ""Not Found"")"),"s æ ʃ ")</f>
        <v>s æ ʃ </v>
      </c>
    </row>
    <row r="2847">
      <c r="A2847" s="1" t="s">
        <v>2848</v>
      </c>
      <c r="B2847" s="1" t="s">
        <v>5</v>
      </c>
      <c r="C2847" s="2">
        <f>IFERROR(__xludf.DUMMYFUNCTION("IFERROR(VLOOKUP(A2847, IMPORTRANGE(""https://docs.google.com/spreadsheets/d/1AVX9GT0dgogEBStecCXMMQ29tWz3gBrtNB8yIromXbY/edit?gid=741673867"", ""out1g!A:B""), 2, FALSE), 0)"),715.0)</f>
        <v>715</v>
      </c>
      <c r="D2847" s="2" t="str">
        <f>IFERROR(__xludf.DUMMYFUNCTION("IFERROR(VLOOKUP(A2847, IMPORTRANGE(""https://docs.google.com/spreadsheets/d/1-3Vjw2Cyy-mry5gbC8ypIR3YVGFfEpyFESummAta6sg/edit"", ""Sheet1!B:D""), 2, FALSE), ""Not Found"")"),"pez")</f>
        <v>pez</v>
      </c>
      <c r="E2847" s="2" t="str">
        <f>IFERROR(__xludf.DUMMYFUNCTION("IFERROR(VLOOKUP(A2847, IMPORTRANGE(""https://docs.google.com/spreadsheets/d/1-3Vjw2Cyy-mry5gbC8ypIR3YVGFfEpyFESummAta6sg/edit"", ""Sheet1!B:D""), 3, FALSE), ""Not Found"")"),"p e z ")</f>
        <v>p e z </v>
      </c>
    </row>
    <row r="2848">
      <c r="A2848" s="1" t="s">
        <v>2849</v>
      </c>
      <c r="B2848" s="1" t="s">
        <v>5</v>
      </c>
      <c r="C2848" s="2">
        <f>IFERROR(__xludf.DUMMYFUNCTION("IFERROR(VLOOKUP(A2848, IMPORTRANGE(""https://docs.google.com/spreadsheets/d/1AVX9GT0dgogEBStecCXMMQ29tWz3gBrtNB8yIromXbY/edit?gid=741673867"", ""out1g!A:B""), 2, FALSE), 0)"),11259.0)</f>
        <v>11259</v>
      </c>
      <c r="D2848" s="2" t="str">
        <f>IFERROR(__xludf.DUMMYFUNCTION("IFERROR(VLOOKUP(A2848, IMPORTRANGE(""https://docs.google.com/spreadsheets/d/1-3Vjw2Cyy-mry5gbC8ypIR3YVGFfEpyFESummAta6sg/edit"", ""Sheet1!B:D""), 2, FALSE), ""Not Found"")"),"fɑr")</f>
        <v>fɑr</v>
      </c>
      <c r="E2848" s="2" t="str">
        <f>IFERROR(__xludf.DUMMYFUNCTION("IFERROR(VLOOKUP(A2848, IMPORTRANGE(""https://docs.google.com/spreadsheets/d/1-3Vjw2Cyy-mry5gbC8ypIR3YVGFfEpyFESummAta6sg/edit"", ""Sheet1!B:D""), 3, FALSE), ""Not Found"")"),"f ɑ r ")</f>
        <v>f ɑ r </v>
      </c>
    </row>
    <row r="2849">
      <c r="A2849" s="1" t="s">
        <v>2850</v>
      </c>
      <c r="B2849" s="1" t="s">
        <v>5</v>
      </c>
      <c r="C2849" s="2">
        <f>IFERROR(__xludf.DUMMYFUNCTION("IFERROR(VLOOKUP(A2849, IMPORTRANGE(""https://docs.google.com/spreadsheets/d/1AVX9GT0dgogEBStecCXMMQ29tWz3gBrtNB8yIromXbY/edit?gid=741673867"", ""out1g!A:B""), 2, FALSE), 0)"),244.0)</f>
        <v>244</v>
      </c>
      <c r="D2849" s="2" t="str">
        <f>IFERROR(__xludf.DUMMYFUNCTION("IFERROR(VLOOKUP(A2849, IMPORTRANGE(""https://docs.google.com/spreadsheets/d/1-3Vjw2Cyy-mry5gbC8ypIR3YVGFfEpyFESummAta6sg/edit"", ""Sheet1!B:D""), 2, FALSE), ""Not Found"")"),"tɪpt")</f>
        <v>tɪpt</v>
      </c>
      <c r="E2849" s="2" t="str">
        <f>IFERROR(__xludf.DUMMYFUNCTION("IFERROR(VLOOKUP(A2849, IMPORTRANGE(""https://docs.google.com/spreadsheets/d/1-3Vjw2Cyy-mry5gbC8ypIR3YVGFfEpyFESummAta6sg/edit"", ""Sheet1!B:D""), 3, FALSE), ""Not Found"")"),"t ɪ p t ")</f>
        <v>t ɪ p t </v>
      </c>
    </row>
    <row r="2850">
      <c r="A2850" s="1" t="s">
        <v>2851</v>
      </c>
      <c r="B2850" s="1" t="s">
        <v>5</v>
      </c>
      <c r="C2850" s="2">
        <f>IFERROR(__xludf.DUMMYFUNCTION("IFERROR(VLOOKUP(A2850, IMPORTRANGE(""https://docs.google.com/spreadsheets/d/1AVX9GT0dgogEBStecCXMMQ29tWz3gBrtNB8yIromXbY/edit?gid=741673867"", ""out1g!A:B""), 2, FALSE), 0)"),1065.0)</f>
        <v>1065</v>
      </c>
      <c r="D2850" s="2" t="str">
        <f>IFERROR(__xludf.DUMMYFUNCTION("IFERROR(VLOOKUP(A2850, IMPORTRANGE(""https://docs.google.com/spreadsheets/d/1-3Vjw2Cyy-mry5gbC8ypIR3YVGFfEpyFESummAta6sg/edit"", ""Sheet1!B:D""), 2, FALSE), ""Not Found"")"),"æn")</f>
        <v>æn</v>
      </c>
      <c r="E2850" s="2" t="str">
        <f>IFERROR(__xludf.DUMMYFUNCTION("IFERROR(VLOOKUP(A2850, IMPORTRANGE(""https://docs.google.com/spreadsheets/d/1-3Vjw2Cyy-mry5gbC8ypIR3YVGFfEpyFESummAta6sg/edit"", ""Sheet1!B:D""), 3, FALSE), ""Not Found"")"),"æ n ")</f>
        <v>æ n </v>
      </c>
    </row>
    <row r="2851">
      <c r="A2851" s="1" t="s">
        <v>2852</v>
      </c>
      <c r="B2851" s="1" t="s">
        <v>5</v>
      </c>
      <c r="C2851" s="2">
        <f>IFERROR(__xludf.DUMMYFUNCTION("IFERROR(VLOOKUP(A2851, IMPORTRANGE(""https://docs.google.com/spreadsheets/d/1AVX9GT0dgogEBStecCXMMQ29tWz3gBrtNB8yIromXbY/edit?gid=741673867"", ""out1g!A:B""), 2, FALSE), 0)"),80.0)</f>
        <v>80</v>
      </c>
      <c r="D2851" s="2" t="str">
        <f>IFERROR(__xludf.DUMMYFUNCTION("IFERROR(VLOOKUP(A2851, IMPORTRANGE(""https://docs.google.com/spreadsheets/d/1-3Vjw2Cyy-mry5gbC8ypIR3YVGFfEpyFESummAta6sg/edit"", ""Sheet1!B:D""), 2, FALSE), ""Not Found"")"),"vaɪnz")</f>
        <v>vaɪnz</v>
      </c>
      <c r="E2851" s="2" t="str">
        <f>IFERROR(__xludf.DUMMYFUNCTION("IFERROR(VLOOKUP(A2851, IMPORTRANGE(""https://docs.google.com/spreadsheets/d/1-3Vjw2Cyy-mry5gbC8ypIR3YVGFfEpyFESummAta6sg/edit"", ""Sheet1!B:D""), 3, FALSE), ""Not Found"")"),"v a ɪ n z ")</f>
        <v>v a ɪ n z </v>
      </c>
    </row>
    <row r="2852">
      <c r="A2852" s="1" t="s">
        <v>2853</v>
      </c>
      <c r="B2852" s="1" t="s">
        <v>5</v>
      </c>
      <c r="C2852" s="2">
        <f>IFERROR(__xludf.DUMMYFUNCTION("IFERROR(VLOOKUP(A2852, IMPORTRANGE(""https://docs.google.com/spreadsheets/d/1AVX9GT0dgogEBStecCXMMQ29tWz3gBrtNB8yIromXbY/edit?gid=741673867"", ""out1g!A:B""), 2, FALSE), 0)"),53.0)</f>
        <v>53</v>
      </c>
      <c r="D2852" s="2" t="str">
        <f>IFERROR(__xludf.DUMMYFUNCTION("IFERROR(VLOOKUP(A2852, IMPORTRANGE(""https://docs.google.com/spreadsheets/d/1-3Vjw2Cyy-mry5gbC8ypIR3YVGFfEpyFESummAta6sg/edit"", ""Sheet1!B:D""), 2, FALSE), ""Not Found"")"),"kæpə")</f>
        <v>kæpə</v>
      </c>
      <c r="E2852" s="2" t="str">
        <f>IFERROR(__xludf.DUMMYFUNCTION("IFERROR(VLOOKUP(A2852, IMPORTRANGE(""https://docs.google.com/spreadsheets/d/1-3Vjw2Cyy-mry5gbC8ypIR3YVGFfEpyFESummAta6sg/edit"", ""Sheet1!B:D""), 3, FALSE), ""Not Found"")"),"k æ p ə ")</f>
        <v>k æ p ə </v>
      </c>
    </row>
    <row r="2853">
      <c r="A2853" s="1" t="s">
        <v>2854</v>
      </c>
      <c r="B2853" s="1" t="s">
        <v>5</v>
      </c>
      <c r="C2853" s="2">
        <f>IFERROR(__xludf.DUMMYFUNCTION("IFERROR(VLOOKUP(A2853, IMPORTRANGE(""https://docs.google.com/spreadsheets/d/1AVX9GT0dgogEBStecCXMMQ29tWz3gBrtNB8yIromXbY/edit?gid=741673867"", ""out1g!A:B""), 2, FALSE), 0)"),4430.0)</f>
        <v>4430</v>
      </c>
      <c r="D2853" s="2" t="str">
        <f>IFERROR(__xludf.DUMMYFUNCTION("IFERROR(VLOOKUP(A2853, IMPORTRANGE(""https://docs.google.com/spreadsheets/d/1-3Vjw2Cyy-mry5gbC8ypIR3YVGFfEpyFESummAta6sg/edit"", ""Sheet1!B:D""), 2, FALSE), ""Not Found"")"),"strɔŋ")</f>
        <v>strɔŋ</v>
      </c>
      <c r="E2853" s="2" t="str">
        <f>IFERROR(__xludf.DUMMYFUNCTION("IFERROR(VLOOKUP(A2853, IMPORTRANGE(""https://docs.google.com/spreadsheets/d/1-3Vjw2Cyy-mry5gbC8ypIR3YVGFfEpyFESummAta6sg/edit"", ""Sheet1!B:D""), 3, FALSE), ""Not Found"")"),"s t r ɔ ŋ ")</f>
        <v>s t r ɔ ŋ </v>
      </c>
    </row>
    <row r="2854">
      <c r="A2854" s="1" t="s">
        <v>2855</v>
      </c>
      <c r="B2854" s="1" t="s">
        <v>5</v>
      </c>
      <c r="C2854" s="2">
        <f>IFERROR(__xludf.DUMMYFUNCTION("IFERROR(VLOOKUP(A2854, IMPORTRANGE(""https://docs.google.com/spreadsheets/d/1AVX9GT0dgogEBStecCXMMQ29tWz3gBrtNB8yIromXbY/edit?gid=741673867"", ""out1g!A:B""), 2, FALSE), 0)"),364.0)</f>
        <v>364</v>
      </c>
      <c r="D2854" s="2" t="str">
        <f>IFERROR(__xludf.DUMMYFUNCTION("IFERROR(VLOOKUP(A2854, IMPORTRANGE(""https://docs.google.com/spreadsheets/d/1-3Vjw2Cyy-mry5gbC8ypIR3YVGFfEpyFESummAta6sg/edit"", ""Sheet1!B:D""), 2, FALSE), ""Not Found"")"),"ʤɔ")</f>
        <v>ʤɔ</v>
      </c>
      <c r="E2854" s="2" t="str">
        <f>IFERROR(__xludf.DUMMYFUNCTION("IFERROR(VLOOKUP(A2854, IMPORTRANGE(""https://docs.google.com/spreadsheets/d/1-3Vjw2Cyy-mry5gbC8ypIR3YVGFfEpyFESummAta6sg/edit"", ""Sheet1!B:D""), 3, FALSE), ""Not Found"")"),"ʤ ɔ ")</f>
        <v>ʤ ɔ </v>
      </c>
    </row>
    <row r="2855">
      <c r="A2855" s="1" t="s">
        <v>2856</v>
      </c>
      <c r="B2855" s="1" t="s">
        <v>5</v>
      </c>
      <c r="C2855" s="2">
        <f>IFERROR(__xludf.DUMMYFUNCTION("IFERROR(VLOOKUP(A2855, IMPORTRANGE(""https://docs.google.com/spreadsheets/d/1AVX9GT0dgogEBStecCXMMQ29tWz3gBrtNB8yIromXbY/edit?gid=741673867"", ""out1g!A:B""), 2, FALSE), 0)"),1532.0)</f>
        <v>1532</v>
      </c>
      <c r="D2855" s="2" t="str">
        <f>IFERROR(__xludf.DUMMYFUNCTION("IFERROR(VLOOKUP(A2855, IMPORTRANGE(""https://docs.google.com/spreadsheets/d/1-3Vjw2Cyy-mry5gbC8ypIR3YVGFfEpyFESummAta6sg/edit"", ""Sheet1!B:D""), 2, FALSE), ""Not Found"")"),"fɑrm")</f>
        <v>fɑrm</v>
      </c>
      <c r="E2855" s="2" t="str">
        <f>IFERROR(__xludf.DUMMYFUNCTION("IFERROR(VLOOKUP(A2855, IMPORTRANGE(""https://docs.google.com/spreadsheets/d/1-3Vjw2Cyy-mry5gbC8ypIR3YVGFfEpyFESummAta6sg/edit"", ""Sheet1!B:D""), 3, FALSE), ""Not Found"")"),"f ɑ r m ")</f>
        <v>f ɑ r m </v>
      </c>
    </row>
    <row r="2856">
      <c r="A2856" s="1" t="s">
        <v>2857</v>
      </c>
      <c r="B2856" s="1" t="s">
        <v>5</v>
      </c>
      <c r="C2856" s="2">
        <f>IFERROR(__xludf.DUMMYFUNCTION("IFERROR(VLOOKUP(A2856, IMPORTRANGE(""https://docs.google.com/spreadsheets/d/1AVX9GT0dgogEBStecCXMMQ29tWz3gBrtNB8yIromXbY/edit?gid=741673867"", ""out1g!A:B""), 2, FALSE), 0)"),1334.0)</f>
        <v>1334</v>
      </c>
      <c r="D2856" s="2" t="str">
        <f>IFERROR(__xludf.DUMMYFUNCTION("IFERROR(VLOOKUP(A2856, IMPORTRANGE(""https://docs.google.com/spreadsheets/d/1-3Vjw2Cyy-mry5gbC8ypIR3YVGFfEpyFESummAta6sg/edit"", ""Sheet1!B:D""), 2, FALSE), ""Not Found"")"),"smoʊkɪŋ")</f>
        <v>smoʊkɪŋ</v>
      </c>
      <c r="E2856" s="2" t="str">
        <f>IFERROR(__xludf.DUMMYFUNCTION("IFERROR(VLOOKUP(A2856, IMPORTRANGE(""https://docs.google.com/spreadsheets/d/1-3Vjw2Cyy-mry5gbC8ypIR3YVGFfEpyFESummAta6sg/edit"", ""Sheet1!B:D""), 3, FALSE), ""Not Found"")"),"s m o ʊ k ɪ ŋ ")</f>
        <v>s m o ʊ k ɪ ŋ </v>
      </c>
    </row>
    <row r="2857">
      <c r="A2857" s="1" t="s">
        <v>2858</v>
      </c>
      <c r="B2857" s="1" t="s">
        <v>5</v>
      </c>
      <c r="C2857" s="2">
        <f>IFERROR(__xludf.DUMMYFUNCTION("IFERROR(VLOOKUP(A2857, IMPORTRANGE(""https://docs.google.com/spreadsheets/d/1AVX9GT0dgogEBStecCXMMQ29tWz3gBrtNB8yIromXbY/edit?gid=741673867"", ""out1g!A:B""), 2, FALSE), 0)"),1023.0)</f>
        <v>1023</v>
      </c>
      <c r="D2857" s="2" t="str">
        <f>IFERROR(__xludf.DUMMYFUNCTION("IFERROR(VLOOKUP(A2857, IMPORTRANGE(""https://docs.google.com/spreadsheets/d/1-3Vjw2Cyy-mry5gbC8ypIR3YVGFfEpyFESummAta6sg/edit"", ""Sheet1!B:D""), 2, FALSE), ""Not Found"")"),"spaɪ")</f>
        <v>spaɪ</v>
      </c>
      <c r="E2857" s="2" t="str">
        <f>IFERROR(__xludf.DUMMYFUNCTION("IFERROR(VLOOKUP(A2857, IMPORTRANGE(""https://docs.google.com/spreadsheets/d/1-3Vjw2Cyy-mry5gbC8ypIR3YVGFfEpyFESummAta6sg/edit"", ""Sheet1!B:D""), 3, FALSE), ""Not Found"")"),"s p a ɪ ")</f>
        <v>s p a ɪ </v>
      </c>
    </row>
    <row r="2858">
      <c r="A2858" s="1" t="s">
        <v>2859</v>
      </c>
      <c r="B2858" s="1" t="s">
        <v>5</v>
      </c>
      <c r="C2858" s="2">
        <f>IFERROR(__xludf.DUMMYFUNCTION("IFERROR(VLOOKUP(A2858, IMPORTRANGE(""https://docs.google.com/spreadsheets/d/1AVX9GT0dgogEBStecCXMMQ29tWz3gBrtNB8yIromXbY/edit?gid=741673867"", ""out1g!A:B""), 2, FALSE), 0)"),112.0)</f>
        <v>112</v>
      </c>
      <c r="D2858" s="2" t="str">
        <f>IFERROR(__xludf.DUMMYFUNCTION("IFERROR(VLOOKUP(A2858, IMPORTRANGE(""https://docs.google.com/spreadsheets/d/1-3Vjw2Cyy-mry5gbC8ypIR3YVGFfEpyFESummAta6sg/edit"", ""Sheet1!B:D""), 2, FALSE), ""Not Found"")"),"blækt")</f>
        <v>blækt</v>
      </c>
      <c r="E2858" s="2" t="str">
        <f>IFERROR(__xludf.DUMMYFUNCTION("IFERROR(VLOOKUP(A2858, IMPORTRANGE(""https://docs.google.com/spreadsheets/d/1-3Vjw2Cyy-mry5gbC8ypIR3YVGFfEpyFESummAta6sg/edit"", ""Sheet1!B:D""), 3, FALSE), ""Not Found"")"),"b l æ k t ")</f>
        <v>b l æ k t </v>
      </c>
    </row>
    <row r="2859">
      <c r="A2859" s="1" t="s">
        <v>2860</v>
      </c>
      <c r="B2859" s="1" t="s">
        <v>5</v>
      </c>
      <c r="C2859" s="2">
        <f>IFERROR(__xludf.DUMMYFUNCTION("IFERROR(VLOOKUP(A2859, IMPORTRANGE(""https://docs.google.com/spreadsheets/d/1AVX9GT0dgogEBStecCXMMQ29tWz3gBrtNB8yIromXbY/edit?gid=741673867"", ""out1g!A:B""), 2, FALSE), 0)"),57.0)</f>
        <v>57</v>
      </c>
      <c r="D2859" s="2" t="str">
        <f>IFERROR(__xludf.DUMMYFUNCTION("IFERROR(VLOOKUP(A2859, IMPORTRANGE(""https://docs.google.com/spreadsheets/d/1-3Vjw2Cyy-mry5gbC8ypIR3YVGFfEpyFESummAta6sg/edit"", ""Sheet1!B:D""), 2, FALSE), ""Not Found"")"),"stepəl")</f>
        <v>stepəl</v>
      </c>
      <c r="E2859" s="2" t="str">
        <f>IFERROR(__xludf.DUMMYFUNCTION("IFERROR(VLOOKUP(A2859, IMPORTRANGE(""https://docs.google.com/spreadsheets/d/1-3Vjw2Cyy-mry5gbC8ypIR3YVGFfEpyFESummAta6sg/edit"", ""Sheet1!B:D""), 3, FALSE), ""Not Found"")"),"s t e p ə l ")</f>
        <v>s t e p ə l </v>
      </c>
    </row>
    <row r="2860">
      <c r="A2860" s="1" t="s">
        <v>2861</v>
      </c>
      <c r="B2860" s="1" t="s">
        <v>5</v>
      </c>
      <c r="C2860" s="2">
        <f>IFERROR(__xludf.DUMMYFUNCTION("IFERROR(VLOOKUP(A2860, IMPORTRANGE(""https://docs.google.com/spreadsheets/d/1AVX9GT0dgogEBStecCXMMQ29tWz3gBrtNB8yIromXbY/edit?gid=741673867"", ""out1g!A:B""), 2, FALSE), 0)"),320.0)</f>
        <v>320</v>
      </c>
      <c r="D2860" s="2" t="str">
        <f>IFERROR(__xludf.DUMMYFUNCTION("IFERROR(VLOOKUP(A2860, IMPORTRANGE(""https://docs.google.com/spreadsheets/d/1-3Vjw2Cyy-mry5gbC8ypIR3YVGFfEpyFESummAta6sg/edit"", ""Sheet1!B:D""), 2, FALSE), ""Not Found"")"),"fest")</f>
        <v>fest</v>
      </c>
      <c r="E2860" s="2" t="str">
        <f>IFERROR(__xludf.DUMMYFUNCTION("IFERROR(VLOOKUP(A2860, IMPORTRANGE(""https://docs.google.com/spreadsheets/d/1-3Vjw2Cyy-mry5gbC8ypIR3YVGFfEpyFESummAta6sg/edit"", ""Sheet1!B:D""), 3, FALSE), ""Not Found"")"),"f e s t ")</f>
        <v>f e s t </v>
      </c>
    </row>
    <row r="2861">
      <c r="A2861" s="1" t="s">
        <v>2862</v>
      </c>
      <c r="B2861" s="1" t="s">
        <v>5</v>
      </c>
      <c r="C2861" s="2">
        <f>IFERROR(__xludf.DUMMYFUNCTION("IFERROR(VLOOKUP(A2861, IMPORTRANGE(""https://docs.google.com/spreadsheets/d/1AVX9GT0dgogEBStecCXMMQ29tWz3gBrtNB8yIromXbY/edit?gid=741673867"", ""out1g!A:B""), 2, FALSE), 0)"),285.0)</f>
        <v>285</v>
      </c>
      <c r="D2861" s="2" t="str">
        <f>IFERROR(__xludf.DUMMYFUNCTION("IFERROR(VLOOKUP(A2861, IMPORTRANGE(""https://docs.google.com/spreadsheets/d/1-3Vjw2Cyy-mry5gbC8ypIR3YVGFfEpyFESummAta6sg/edit"", ""Sheet1!B:D""), 2, FALSE), ""Not Found"")"),"nɑts")</f>
        <v>nɑts</v>
      </c>
      <c r="E2861" s="2" t="str">
        <f>IFERROR(__xludf.DUMMYFUNCTION("IFERROR(VLOOKUP(A2861, IMPORTRANGE(""https://docs.google.com/spreadsheets/d/1-3Vjw2Cyy-mry5gbC8ypIR3YVGFfEpyFESummAta6sg/edit"", ""Sheet1!B:D""), 3, FALSE), ""Not Found"")"),"n ɑ t s ")</f>
        <v>n ɑ t s </v>
      </c>
    </row>
    <row r="2862">
      <c r="A2862" s="1" t="s">
        <v>2863</v>
      </c>
      <c r="B2862" s="1" t="s">
        <v>5</v>
      </c>
      <c r="C2862" s="2">
        <f>IFERROR(__xludf.DUMMYFUNCTION("IFERROR(VLOOKUP(A2862, IMPORTRANGE(""https://docs.google.com/spreadsheets/d/1AVX9GT0dgogEBStecCXMMQ29tWz3gBrtNB8yIromXbY/edit?gid=741673867"", ""out1g!A:B""), 2, FALSE), 0)"),47.0)</f>
        <v>47</v>
      </c>
      <c r="D2862" s="2" t="str">
        <f>IFERROR(__xludf.DUMMYFUNCTION("IFERROR(VLOOKUP(A2862, IMPORTRANGE(""https://docs.google.com/spreadsheets/d/1-3Vjw2Cyy-mry5gbC8ypIR3YVGFfEpyFESummAta6sg/edit"", ""Sheet1!B:D""), 2, FALSE), ""Not Found"")"),"sikər")</f>
        <v>sikər</v>
      </c>
      <c r="E2862" s="2" t="str">
        <f>IFERROR(__xludf.DUMMYFUNCTION("IFERROR(VLOOKUP(A2862, IMPORTRANGE(""https://docs.google.com/spreadsheets/d/1-3Vjw2Cyy-mry5gbC8ypIR3YVGFfEpyFESummAta6sg/edit"", ""Sheet1!B:D""), 3, FALSE), ""Not Found"")"),"s i k ə r ")</f>
        <v>s i k ə r </v>
      </c>
    </row>
    <row r="2863">
      <c r="A2863" s="1" t="s">
        <v>2864</v>
      </c>
      <c r="B2863" s="1" t="s">
        <v>5</v>
      </c>
      <c r="C2863" s="2">
        <f>IFERROR(__xludf.DUMMYFUNCTION("IFERROR(VLOOKUP(A2863, IMPORTRANGE(""https://docs.google.com/spreadsheets/d/1AVX9GT0dgogEBStecCXMMQ29tWz3gBrtNB8yIromXbY/edit?gid=741673867"", ""out1g!A:B""), 2, FALSE), 0)"),674.0)</f>
        <v>674</v>
      </c>
      <c r="D2863" s="2" t="str">
        <f>IFERROR(__xludf.DUMMYFUNCTION("IFERROR(VLOOKUP(A2863, IMPORTRANGE(""https://docs.google.com/spreadsheets/d/1-3Vjw2Cyy-mry5gbC8ypIR3YVGFfEpyFESummAta6sg/edit"", ""Sheet1!B:D""), 2, FALSE), ""Not Found"")"),"pɪt")</f>
        <v>pɪt</v>
      </c>
      <c r="E2863" s="2" t="str">
        <f>IFERROR(__xludf.DUMMYFUNCTION("IFERROR(VLOOKUP(A2863, IMPORTRANGE(""https://docs.google.com/spreadsheets/d/1-3Vjw2Cyy-mry5gbC8ypIR3YVGFfEpyFESummAta6sg/edit"", ""Sheet1!B:D""), 3, FALSE), ""Not Found"")"),"p ɪ t ")</f>
        <v>p ɪ t </v>
      </c>
    </row>
    <row r="2864">
      <c r="A2864" s="1" t="s">
        <v>2865</v>
      </c>
      <c r="B2864" s="1" t="s">
        <v>5</v>
      </c>
      <c r="C2864" s="2">
        <f>IFERROR(__xludf.DUMMYFUNCTION("IFERROR(VLOOKUP(A2864, IMPORTRANGE(""https://docs.google.com/spreadsheets/d/1AVX9GT0dgogEBStecCXMMQ29tWz3gBrtNB8yIromXbY/edit?gid=741673867"", ""out1g!A:B""), 2, FALSE), 0)"),62.0)</f>
        <v>62</v>
      </c>
      <c r="D2864" s="2" t="str">
        <f>IFERROR(__xludf.DUMMYFUNCTION("IFERROR(VLOOKUP(A2864, IMPORTRANGE(""https://docs.google.com/spreadsheets/d/1-3Vjw2Cyy-mry5gbC8ypIR3YVGFfEpyFESummAta6sg/edit"", ""Sheet1!B:D""), 2, FALSE), ""Not Found"")"),"laɪnər")</f>
        <v>laɪnər</v>
      </c>
      <c r="E2864" s="2" t="str">
        <f>IFERROR(__xludf.DUMMYFUNCTION("IFERROR(VLOOKUP(A2864, IMPORTRANGE(""https://docs.google.com/spreadsheets/d/1-3Vjw2Cyy-mry5gbC8ypIR3YVGFfEpyFESummAta6sg/edit"", ""Sheet1!B:D""), 3, FALSE), ""Not Found"")"),"l a ɪ n ə r ")</f>
        <v>l a ɪ n ə r </v>
      </c>
    </row>
    <row r="2865">
      <c r="A2865" s="1" t="s">
        <v>2866</v>
      </c>
      <c r="B2865" s="1" t="s">
        <v>5</v>
      </c>
      <c r="C2865" s="2">
        <f>IFERROR(__xludf.DUMMYFUNCTION("IFERROR(VLOOKUP(A2865, IMPORTRANGE(""https://docs.google.com/spreadsheets/d/1AVX9GT0dgogEBStecCXMMQ29tWz3gBrtNB8yIromXbY/edit?gid=741673867"", ""out1g!A:B""), 2, FALSE), 0)"),1738.0)</f>
        <v>1738</v>
      </c>
      <c r="D2865" s="2" t="str">
        <f>IFERROR(__xludf.DUMMYFUNCTION("IFERROR(VLOOKUP(A2865, IMPORTRANGE(""https://docs.google.com/spreadsheets/d/1-3Vjw2Cyy-mry5gbC8ypIR3YVGFfEpyFESummAta6sg/edit"", ""Sheet1!B:D""), 2, FALSE), ""Not Found"")"),"ænə")</f>
        <v>ænə</v>
      </c>
      <c r="E2865" s="2" t="str">
        <f>IFERROR(__xludf.DUMMYFUNCTION("IFERROR(VLOOKUP(A2865, IMPORTRANGE(""https://docs.google.com/spreadsheets/d/1-3Vjw2Cyy-mry5gbC8ypIR3YVGFfEpyFESummAta6sg/edit"", ""Sheet1!B:D""), 3, FALSE), ""Not Found"")"),"æ n ə ")</f>
        <v>æ n ə </v>
      </c>
    </row>
    <row r="2866">
      <c r="A2866" s="1" t="s">
        <v>2867</v>
      </c>
      <c r="B2866" s="1" t="s">
        <v>5</v>
      </c>
      <c r="C2866" s="2">
        <f>IFERROR(__xludf.DUMMYFUNCTION("IFERROR(VLOOKUP(A2866, IMPORTRANGE(""https://docs.google.com/spreadsheets/d/1AVX9GT0dgogEBStecCXMMQ29tWz3gBrtNB8yIromXbY/edit?gid=741673867"", ""out1g!A:B""), 2, FALSE), 0)"),2998.0)</f>
        <v>2998</v>
      </c>
      <c r="D2866" s="2" t="str">
        <f>IFERROR(__xludf.DUMMYFUNCTION("IFERROR(VLOOKUP(A2866, IMPORTRANGE(""https://docs.google.com/spreadsheets/d/1-3Vjw2Cyy-mry5gbC8ypIR3YVGFfEpyFESummAta6sg/edit"", ""Sheet1!B:D""), 2, FALSE), ""Not Found"")"),"blem")</f>
        <v>blem</v>
      </c>
      <c r="E2866" s="2" t="str">
        <f>IFERROR(__xludf.DUMMYFUNCTION("IFERROR(VLOOKUP(A2866, IMPORTRANGE(""https://docs.google.com/spreadsheets/d/1-3Vjw2Cyy-mry5gbC8ypIR3YVGFfEpyFESummAta6sg/edit"", ""Sheet1!B:D""), 3, FALSE), ""Not Found"")"),"b l e m ")</f>
        <v>b l e m </v>
      </c>
    </row>
    <row r="2867">
      <c r="A2867" s="1" t="s">
        <v>2868</v>
      </c>
      <c r="B2867" s="1" t="s">
        <v>5</v>
      </c>
      <c r="C2867" s="2">
        <f>IFERROR(__xludf.DUMMYFUNCTION("IFERROR(VLOOKUP(A2867, IMPORTRANGE(""https://docs.google.com/spreadsheets/d/1AVX9GT0dgogEBStecCXMMQ29tWz3gBrtNB8yIromXbY/edit?gid=741673867"", ""out1g!A:B""), 2, FALSE), 0)"),9814.0)</f>
        <v>9814</v>
      </c>
      <c r="D2867" s="2" t="str">
        <f>IFERROR(__xludf.DUMMYFUNCTION("IFERROR(VLOOKUP(A2867, IMPORTRANGE(""https://docs.google.com/spreadsheets/d/1-3Vjw2Cyy-mry5gbC8ypIR3YVGFfEpyFESummAta6sg/edit"", ""Sheet1!B:D""), 2, FALSE), ""Not Found"")"),"baɪ")</f>
        <v>baɪ</v>
      </c>
      <c r="E2867" s="2" t="str">
        <f>IFERROR(__xludf.DUMMYFUNCTION("IFERROR(VLOOKUP(A2867, IMPORTRANGE(""https://docs.google.com/spreadsheets/d/1-3Vjw2Cyy-mry5gbC8ypIR3YVGFfEpyFESummAta6sg/edit"", ""Sheet1!B:D""), 3, FALSE), ""Not Found"")"),"b a ɪ ")</f>
        <v>b a ɪ </v>
      </c>
    </row>
    <row r="2868">
      <c r="A2868" s="1" t="s">
        <v>2869</v>
      </c>
      <c r="B2868" s="1" t="s">
        <v>5</v>
      </c>
      <c r="C2868" s="2">
        <f>IFERROR(__xludf.DUMMYFUNCTION("IFERROR(VLOOKUP(A2868, IMPORTRANGE(""https://docs.google.com/spreadsheets/d/1AVX9GT0dgogEBStecCXMMQ29tWz3gBrtNB8yIromXbY/edit?gid=741673867"", ""out1g!A:B""), 2, FALSE), 0)"),235.0)</f>
        <v>235</v>
      </c>
      <c r="D2868" s="2" t="str">
        <f>IFERROR(__xludf.DUMMYFUNCTION("IFERROR(VLOOKUP(A2868, IMPORTRANGE(""https://docs.google.com/spreadsheets/d/1-3Vjw2Cyy-mry5gbC8ypIR3YVGFfEpyFESummAta6sg/edit"", ""Sheet1!B:D""), 2, FALSE), ""Not Found"")"),"laɪtli")</f>
        <v>laɪtli</v>
      </c>
      <c r="E2868" s="2" t="str">
        <f>IFERROR(__xludf.DUMMYFUNCTION("IFERROR(VLOOKUP(A2868, IMPORTRANGE(""https://docs.google.com/spreadsheets/d/1-3Vjw2Cyy-mry5gbC8ypIR3YVGFfEpyFESummAta6sg/edit"", ""Sheet1!B:D""), 3, FALSE), ""Not Found"")"),"l a ɪ t l i ")</f>
        <v>l a ɪ t l i </v>
      </c>
    </row>
    <row r="2869">
      <c r="A2869" s="1" t="s">
        <v>2870</v>
      </c>
      <c r="B2869" s="1" t="s">
        <v>5</v>
      </c>
      <c r="C2869" s="2">
        <f>IFERROR(__xludf.DUMMYFUNCTION("IFERROR(VLOOKUP(A2869, IMPORTRANGE(""https://docs.google.com/spreadsheets/d/1AVX9GT0dgogEBStecCXMMQ29tWz3gBrtNB8yIromXbY/edit?gid=741673867"", ""out1g!A:B""), 2, FALSE), 0)"),27021.0)</f>
        <v>27021</v>
      </c>
      <c r="D2869" s="2" t="str">
        <f>IFERROR(__xludf.DUMMYFUNCTION("IFERROR(VLOOKUP(A2869, IMPORTRANGE(""https://docs.google.com/spreadsheets/d/1-3Vjw2Cyy-mry5gbC8ypIR3YVGFfEpyFESummAta6sg/edit"", ""Sheet1!B:D""), 2, FALSE), ""Not Found"")"),"bɔɪ")</f>
        <v>bɔɪ</v>
      </c>
      <c r="E2869" s="2" t="str">
        <f>IFERROR(__xludf.DUMMYFUNCTION("IFERROR(VLOOKUP(A2869, IMPORTRANGE(""https://docs.google.com/spreadsheets/d/1-3Vjw2Cyy-mry5gbC8ypIR3YVGFfEpyFESummAta6sg/edit"", ""Sheet1!B:D""), 3, FALSE), ""Not Found"")"),"b ɔ ɪ ")</f>
        <v>b ɔ ɪ </v>
      </c>
    </row>
    <row r="2870">
      <c r="A2870" s="1" t="s">
        <v>2871</v>
      </c>
      <c r="B2870" s="1" t="s">
        <v>5</v>
      </c>
      <c r="C2870" s="2">
        <f>IFERROR(__xludf.DUMMYFUNCTION("IFERROR(VLOOKUP(A2870, IMPORTRANGE(""https://docs.google.com/spreadsheets/d/1AVX9GT0dgogEBStecCXMMQ29tWz3gBrtNB8yIromXbY/edit?gid=741673867"", ""out1g!A:B""), 2, FALSE), 0)"),530.0)</f>
        <v>530</v>
      </c>
      <c r="D2870" s="2" t="str">
        <f>IFERROR(__xludf.DUMMYFUNCTION("IFERROR(VLOOKUP(A2870, IMPORTRANGE(""https://docs.google.com/spreadsheets/d/1-3Vjw2Cyy-mry5gbC8ypIR3YVGFfEpyFESummAta6sg/edit"", ""Sheet1!B:D""), 2, FALSE), ""Not Found"")"),"ənlaɪk")</f>
        <v>ənlaɪk</v>
      </c>
      <c r="E2870" s="2" t="str">
        <f>IFERROR(__xludf.DUMMYFUNCTION("IFERROR(VLOOKUP(A2870, IMPORTRANGE(""https://docs.google.com/spreadsheets/d/1-3Vjw2Cyy-mry5gbC8ypIR3YVGFfEpyFESummAta6sg/edit"", ""Sheet1!B:D""), 3, FALSE), ""Not Found"")"),"ə n l a ɪ k ")</f>
        <v>ə n l a ɪ k </v>
      </c>
    </row>
    <row r="2871">
      <c r="A2871" s="1" t="s">
        <v>2872</v>
      </c>
      <c r="B2871" s="1" t="s">
        <v>5</v>
      </c>
      <c r="C2871" s="2">
        <f>IFERROR(__xludf.DUMMYFUNCTION("IFERROR(VLOOKUP(A2871, IMPORTRANGE(""https://docs.google.com/spreadsheets/d/1AVX9GT0dgogEBStecCXMMQ29tWz3gBrtNB8yIromXbY/edit?gid=741673867"", ""out1g!A:B""), 2, FALSE), 0)"),240.0)</f>
        <v>240</v>
      </c>
      <c r="D2871" s="2" t="str">
        <f>IFERROR(__xludf.DUMMYFUNCTION("IFERROR(VLOOKUP(A2871, IMPORTRANGE(""https://docs.google.com/spreadsheets/d/1-3Vjw2Cyy-mry5gbC8ypIR3YVGFfEpyFESummAta6sg/edit"", ""Sheet1!B:D""), 2, FALSE), ""Not Found"")"),"suər")</f>
        <v>suər</v>
      </c>
      <c r="E2871" s="2" t="str">
        <f>IFERROR(__xludf.DUMMYFUNCTION("IFERROR(VLOOKUP(A2871, IMPORTRANGE(""https://docs.google.com/spreadsheets/d/1-3Vjw2Cyy-mry5gbC8ypIR3YVGFfEpyFESummAta6sg/edit"", ""Sheet1!B:D""), 3, FALSE), ""Not Found"")"),"s u ə r ")</f>
        <v>s u ə r </v>
      </c>
    </row>
    <row r="2872">
      <c r="A2872" s="1" t="s">
        <v>2873</v>
      </c>
      <c r="B2872" s="1" t="s">
        <v>5</v>
      </c>
      <c r="C2872" s="2">
        <f>IFERROR(__xludf.DUMMYFUNCTION("IFERROR(VLOOKUP(A2872, IMPORTRANGE(""https://docs.google.com/spreadsheets/d/1AVX9GT0dgogEBStecCXMMQ29tWz3gBrtNB8yIromXbY/edit?gid=741673867"", ""out1g!A:B""), 2, FALSE), 0)"),1313.0)</f>
        <v>1313</v>
      </c>
      <c r="D2872" s="2" t="str">
        <f>IFERROR(__xludf.DUMMYFUNCTION("IFERROR(VLOOKUP(A2872, IMPORTRANGE(""https://docs.google.com/spreadsheets/d/1-3Vjw2Cyy-mry5gbC8ypIR3YVGFfEpyFESummAta6sg/edit"", ""Sheet1!B:D""), 2, FALSE), ""Not Found"")"),"hets")</f>
        <v>hets</v>
      </c>
      <c r="E2872" s="2" t="str">
        <f>IFERROR(__xludf.DUMMYFUNCTION("IFERROR(VLOOKUP(A2872, IMPORTRANGE(""https://docs.google.com/spreadsheets/d/1-3Vjw2Cyy-mry5gbC8ypIR3YVGFfEpyFESummAta6sg/edit"", ""Sheet1!B:D""), 3, FALSE), ""Not Found"")"),"h e t s ")</f>
        <v>h e t s </v>
      </c>
    </row>
    <row r="2873">
      <c r="A2873" s="1" t="s">
        <v>2874</v>
      </c>
      <c r="B2873" s="1" t="s">
        <v>5</v>
      </c>
      <c r="C2873" s="2">
        <f>IFERROR(__xludf.DUMMYFUNCTION("IFERROR(VLOOKUP(A2873, IMPORTRANGE(""https://docs.google.com/spreadsheets/d/1AVX9GT0dgogEBStecCXMMQ29tWz3gBrtNB8yIromXbY/edit?gid=741673867"", ""out1g!A:B""), 2, FALSE), 0)"),525.0)</f>
        <v>525</v>
      </c>
      <c r="D2873" s="2" t="str">
        <f>IFERROR(__xludf.DUMMYFUNCTION("IFERROR(VLOOKUP(A2873, IMPORTRANGE(""https://docs.google.com/spreadsheets/d/1-3Vjw2Cyy-mry5gbC8ypIR3YVGFfEpyFESummAta6sg/edit"", ""Sheet1!B:D""), 2, FALSE), ""Not Found"")"),"ɔstən")</f>
        <v>ɔstən</v>
      </c>
      <c r="E2873" s="2" t="str">
        <f>IFERROR(__xludf.DUMMYFUNCTION("IFERROR(VLOOKUP(A2873, IMPORTRANGE(""https://docs.google.com/spreadsheets/d/1-3Vjw2Cyy-mry5gbC8ypIR3YVGFfEpyFESummAta6sg/edit"", ""Sheet1!B:D""), 3, FALSE), ""Not Found"")"),"ɔ s t ə n ")</f>
        <v>ɔ s t ə n </v>
      </c>
    </row>
    <row r="2874">
      <c r="A2874" s="1" t="s">
        <v>2875</v>
      </c>
      <c r="B2874" s="1" t="s">
        <v>5</v>
      </c>
      <c r="C2874" s="2">
        <f>IFERROR(__xludf.DUMMYFUNCTION("IFERROR(VLOOKUP(A2874, IMPORTRANGE(""https://docs.google.com/spreadsheets/d/1AVX9GT0dgogEBStecCXMMQ29tWz3gBrtNB8yIromXbY/edit?gid=741673867"", ""out1g!A:B""), 2, FALSE), 0)"),264.0)</f>
        <v>264</v>
      </c>
      <c r="D2874" s="2" t="str">
        <f>IFERROR(__xludf.DUMMYFUNCTION("IFERROR(VLOOKUP(A2874, IMPORTRANGE(""https://docs.google.com/spreadsheets/d/1-3Vjw2Cyy-mry5gbC8ypIR3YVGFfEpyFESummAta6sg/edit"", ""Sheet1!B:D""), 2, FALSE), ""Not Found"")"),"ɑnə")</f>
        <v>ɑnə</v>
      </c>
      <c r="E2874" s="2" t="str">
        <f>IFERROR(__xludf.DUMMYFUNCTION("IFERROR(VLOOKUP(A2874, IMPORTRANGE(""https://docs.google.com/spreadsheets/d/1-3Vjw2Cyy-mry5gbC8ypIR3YVGFfEpyFESummAta6sg/edit"", ""Sheet1!B:D""), 3, FALSE), ""Not Found"")"),"ɑ n ə ")</f>
        <v>ɑ n ə </v>
      </c>
    </row>
    <row r="2875">
      <c r="A2875" s="1" t="s">
        <v>2876</v>
      </c>
      <c r="B2875" s="1" t="s">
        <v>5</v>
      </c>
      <c r="C2875" s="2">
        <f>IFERROR(__xludf.DUMMYFUNCTION("IFERROR(VLOOKUP(A2875, IMPORTRANGE(""https://docs.google.com/spreadsheets/d/1AVX9GT0dgogEBStecCXMMQ29tWz3gBrtNB8yIromXbY/edit?gid=741673867"", ""out1g!A:B""), 2, FALSE), 0)"),349.0)</f>
        <v>349</v>
      </c>
      <c r="D2875" s="2" t="str">
        <f>IFERROR(__xludf.DUMMYFUNCTION("IFERROR(VLOOKUP(A2875, IMPORTRANGE(""https://docs.google.com/spreadsheets/d/1-3Vjw2Cyy-mry5gbC8ypIR3YVGFfEpyFESummAta6sg/edit"", ""Sheet1!B:D""), 2, FALSE), ""Not Found"")"),"rioʊ")</f>
        <v>rioʊ</v>
      </c>
      <c r="E2875" s="2" t="str">
        <f>IFERROR(__xludf.DUMMYFUNCTION("IFERROR(VLOOKUP(A2875, IMPORTRANGE(""https://docs.google.com/spreadsheets/d/1-3Vjw2Cyy-mry5gbC8ypIR3YVGFfEpyFESummAta6sg/edit"", ""Sheet1!B:D""), 3, FALSE), ""Not Found"")"),"r i o ʊ ")</f>
        <v>r i o ʊ </v>
      </c>
    </row>
    <row r="2876">
      <c r="A2876" s="1" t="s">
        <v>2877</v>
      </c>
      <c r="B2876" s="1" t="s">
        <v>5</v>
      </c>
      <c r="C2876" s="2">
        <f>IFERROR(__xludf.DUMMYFUNCTION("IFERROR(VLOOKUP(A2876, IMPORTRANGE(""https://docs.google.com/spreadsheets/d/1AVX9GT0dgogEBStecCXMMQ29tWz3gBrtNB8yIromXbY/edit?gid=741673867"", ""out1g!A:B""), 2, FALSE), 0)"),600.0)</f>
        <v>600</v>
      </c>
      <c r="D2876" s="2" t="str">
        <f>IFERROR(__xludf.DUMMYFUNCTION("IFERROR(VLOOKUP(A2876, IMPORTRANGE(""https://docs.google.com/spreadsheets/d/1-3Vjw2Cyy-mry5gbC8ypIR3YVGFfEpyFESummAta6sg/edit"", ""Sheet1!B:D""), 2, FALSE), ""Not Found"")"),"hɑrt")</f>
        <v>hɑrt</v>
      </c>
      <c r="E2876" s="2" t="str">
        <f>IFERROR(__xludf.DUMMYFUNCTION("IFERROR(VLOOKUP(A2876, IMPORTRANGE(""https://docs.google.com/spreadsheets/d/1-3Vjw2Cyy-mry5gbC8ypIR3YVGFfEpyFESummAta6sg/edit"", ""Sheet1!B:D""), 3, FALSE), ""Not Found"")"),"h ɑ r t ")</f>
        <v>h ɑ r t </v>
      </c>
    </row>
    <row r="2877">
      <c r="A2877" s="1" t="s">
        <v>2878</v>
      </c>
      <c r="B2877" s="1" t="s">
        <v>5</v>
      </c>
      <c r="C2877" s="2">
        <f>IFERROR(__xludf.DUMMYFUNCTION("IFERROR(VLOOKUP(A2877, IMPORTRANGE(""https://docs.google.com/spreadsheets/d/1AVX9GT0dgogEBStecCXMMQ29tWz3gBrtNB8yIromXbY/edit?gid=741673867"", ""out1g!A:B""), 2, FALSE), 0)"),85.0)</f>
        <v>85</v>
      </c>
      <c r="D2877" s="2" t="str">
        <f>IFERROR(__xludf.DUMMYFUNCTION("IFERROR(VLOOKUP(A2877, IMPORTRANGE(""https://docs.google.com/spreadsheets/d/1-3Vjw2Cyy-mry5gbC8ypIR3YVGFfEpyFESummAta6sg/edit"", ""Sheet1!B:D""), 2, FALSE), ""Not Found"")"),"faɪndər")</f>
        <v>faɪndər</v>
      </c>
      <c r="E2877" s="2" t="str">
        <f>IFERROR(__xludf.DUMMYFUNCTION("IFERROR(VLOOKUP(A2877, IMPORTRANGE(""https://docs.google.com/spreadsheets/d/1-3Vjw2Cyy-mry5gbC8ypIR3YVGFfEpyFESummAta6sg/edit"", ""Sheet1!B:D""), 3, FALSE), ""Not Found"")"),"f a ɪ n d ə r ")</f>
        <v>f a ɪ n d ə r </v>
      </c>
    </row>
    <row r="2878">
      <c r="A2878" s="1" t="s">
        <v>2879</v>
      </c>
      <c r="B2878" s="1" t="s">
        <v>5</v>
      </c>
      <c r="C2878" s="2">
        <f>IFERROR(__xludf.DUMMYFUNCTION("IFERROR(VLOOKUP(A2878, IMPORTRANGE(""https://docs.google.com/spreadsheets/d/1AVX9GT0dgogEBStecCXMMQ29tWz3gBrtNB8yIromXbY/edit?gid=741673867"", ""out1g!A:B""), 2, FALSE), 0)"),461.0)</f>
        <v>461</v>
      </c>
      <c r="D2878" s="2" t="str">
        <f>IFERROR(__xludf.DUMMYFUNCTION("IFERROR(VLOOKUP(A2878, IMPORTRANGE(""https://docs.google.com/spreadsheets/d/1-3Vjw2Cyy-mry5gbC8ypIR3YVGFfEpyFESummAta6sg/edit"", ""Sheet1!B:D""), 2, FALSE), ""Not Found"")"),"wæks")</f>
        <v>wæks</v>
      </c>
      <c r="E2878" s="2" t="str">
        <f>IFERROR(__xludf.DUMMYFUNCTION("IFERROR(VLOOKUP(A2878, IMPORTRANGE(""https://docs.google.com/spreadsheets/d/1-3Vjw2Cyy-mry5gbC8ypIR3YVGFfEpyFESummAta6sg/edit"", ""Sheet1!B:D""), 3, FALSE), ""Not Found"")"),"w æ k s ")</f>
        <v>w æ k s </v>
      </c>
    </row>
    <row r="2879">
      <c r="A2879" s="1" t="s">
        <v>2880</v>
      </c>
      <c r="B2879" s="1" t="s">
        <v>5</v>
      </c>
      <c r="C2879" s="2">
        <f>IFERROR(__xludf.DUMMYFUNCTION("IFERROR(VLOOKUP(A2879, IMPORTRANGE(""https://docs.google.com/spreadsheets/d/1AVX9GT0dgogEBStecCXMMQ29tWz3gBrtNB8yIromXbY/edit?gid=741673867"", ""out1g!A:B""), 2, FALSE), 0)"),371.0)</f>
        <v>371</v>
      </c>
      <c r="D2879" s="2" t="str">
        <f>IFERROR(__xludf.DUMMYFUNCTION("IFERROR(VLOOKUP(A2879, IMPORTRANGE(""https://docs.google.com/spreadsheets/d/1-3Vjw2Cyy-mry5gbC8ypIR3YVGFfEpyFESummAta6sg/edit"", ""Sheet1!B:D""), 2, FALSE), ""Not Found"")"),"ʤɔɪs")</f>
        <v>ʤɔɪs</v>
      </c>
      <c r="E2879" s="2" t="str">
        <f>IFERROR(__xludf.DUMMYFUNCTION("IFERROR(VLOOKUP(A2879, IMPORTRANGE(""https://docs.google.com/spreadsheets/d/1-3Vjw2Cyy-mry5gbC8ypIR3YVGFfEpyFESummAta6sg/edit"", ""Sheet1!B:D""), 3, FALSE), ""Not Found"")"),"ʤ ɔ ɪ s ")</f>
        <v>ʤ ɔ ɪ s </v>
      </c>
    </row>
    <row r="2880">
      <c r="A2880" s="1" t="s">
        <v>2881</v>
      </c>
      <c r="B2880" s="1" t="s">
        <v>5</v>
      </c>
      <c r="C2880" s="2">
        <f>IFERROR(__xludf.DUMMYFUNCTION("IFERROR(VLOOKUP(A2880, IMPORTRANGE(""https://docs.google.com/spreadsheets/d/1AVX9GT0dgogEBStecCXMMQ29tWz3gBrtNB8yIromXbY/edit?gid=741673867"", ""out1g!A:B""), 2, FALSE), 0)"),1835.0)</f>
        <v>1835</v>
      </c>
      <c r="D2880" s="2" t="str">
        <f>IFERROR(__xludf.DUMMYFUNCTION("IFERROR(VLOOKUP(A2880, IMPORTRANGE(""https://docs.google.com/spreadsheets/d/1-3Vjw2Cyy-mry5gbC8ypIR3YVGFfEpyFESummAta6sg/edit"", ""Sheet1!B:D""), 2, FALSE), ""Not Found"")"),"suzən")</f>
        <v>suzən</v>
      </c>
      <c r="E2880" s="2" t="str">
        <f>IFERROR(__xludf.DUMMYFUNCTION("IFERROR(VLOOKUP(A2880, IMPORTRANGE(""https://docs.google.com/spreadsheets/d/1-3Vjw2Cyy-mry5gbC8ypIR3YVGFfEpyFESummAta6sg/edit"", ""Sheet1!B:D""), 3, FALSE), ""Not Found"")"),"s u z ə n ")</f>
        <v>s u z ə n </v>
      </c>
    </row>
    <row r="2881">
      <c r="A2881" s="1" t="s">
        <v>2882</v>
      </c>
      <c r="B2881" s="1" t="s">
        <v>5</v>
      </c>
      <c r="C2881" s="2">
        <f>IFERROR(__xludf.DUMMYFUNCTION("IFERROR(VLOOKUP(A2881, IMPORTRANGE(""https://docs.google.com/spreadsheets/d/1AVX9GT0dgogEBStecCXMMQ29tWz3gBrtNB8yIromXbY/edit?gid=741673867"", ""out1g!A:B""), 2, FALSE), 0)"),104.0)</f>
        <v>104</v>
      </c>
      <c r="D2881" s="2" t="str">
        <f>IFERROR(__xludf.DUMMYFUNCTION("IFERROR(VLOOKUP(A2881, IMPORTRANGE(""https://docs.google.com/spreadsheets/d/1-3Vjw2Cyy-mry5gbC8ypIR3YVGFfEpyFESummAta6sg/edit"", ""Sheet1!B:D""), 2, FALSE), ""Not Found"")"),"peʤɪŋ")</f>
        <v>peʤɪŋ</v>
      </c>
      <c r="E2881" s="2" t="str">
        <f>IFERROR(__xludf.DUMMYFUNCTION("IFERROR(VLOOKUP(A2881, IMPORTRANGE(""https://docs.google.com/spreadsheets/d/1-3Vjw2Cyy-mry5gbC8ypIR3YVGFfEpyFESummAta6sg/edit"", ""Sheet1!B:D""), 3, FALSE), ""Not Found"")"),"p e ʤ ɪ ŋ ")</f>
        <v>p e ʤ ɪ ŋ </v>
      </c>
    </row>
    <row r="2882">
      <c r="A2882" s="1" t="s">
        <v>2883</v>
      </c>
      <c r="B2882" s="1" t="s">
        <v>5</v>
      </c>
      <c r="C2882" s="2">
        <f>IFERROR(__xludf.DUMMYFUNCTION("IFERROR(VLOOKUP(A2882, IMPORTRANGE(""https://docs.google.com/spreadsheets/d/1AVX9GT0dgogEBStecCXMMQ29tWz3gBrtNB8yIromXbY/edit?gid=741673867"", ""out1g!A:B""), 2, FALSE), 0)"),119.0)</f>
        <v>119</v>
      </c>
      <c r="D2882" s="2" t="str">
        <f>IFERROR(__xludf.DUMMYFUNCTION("IFERROR(VLOOKUP(A2882, IMPORTRANGE(""https://docs.google.com/spreadsheets/d/1-3Vjw2Cyy-mry5gbC8ypIR3YVGFfEpyFESummAta6sg/edit"", ""Sheet1!B:D""), 2, FALSE), ""Not Found"")"),"linə")</f>
        <v>linə</v>
      </c>
      <c r="E2882" s="2" t="str">
        <f>IFERROR(__xludf.DUMMYFUNCTION("IFERROR(VLOOKUP(A2882, IMPORTRANGE(""https://docs.google.com/spreadsheets/d/1-3Vjw2Cyy-mry5gbC8ypIR3YVGFfEpyFESummAta6sg/edit"", ""Sheet1!B:D""), 3, FALSE), ""Not Found"")"),"l i n ə ")</f>
        <v>l i n ə </v>
      </c>
    </row>
    <row r="2883">
      <c r="A2883" s="1" t="s">
        <v>2884</v>
      </c>
      <c r="B2883" s="1" t="s">
        <v>5</v>
      </c>
      <c r="C2883" s="2">
        <f>IFERROR(__xludf.DUMMYFUNCTION("IFERROR(VLOOKUP(A2883, IMPORTRANGE(""https://docs.google.com/spreadsheets/d/1AVX9GT0dgogEBStecCXMMQ29tWz3gBrtNB8yIromXbY/edit?gid=741673867"", ""out1g!A:B""), 2, FALSE), 0)"),116.0)</f>
        <v>116</v>
      </c>
      <c r="D2883" s="2" t="str">
        <f>IFERROR(__xludf.DUMMYFUNCTION("IFERROR(VLOOKUP(A2883, IMPORTRANGE(""https://docs.google.com/spreadsheets/d/1-3Vjw2Cyy-mry5gbC8ypIR3YVGFfEpyFESummAta6sg/edit"", ""Sheet1!B:D""), 2, FALSE), ""Not Found"")"),"weɪŋ")</f>
        <v>weɪŋ</v>
      </c>
      <c r="E2883" s="2" t="str">
        <f>IFERROR(__xludf.DUMMYFUNCTION("IFERROR(VLOOKUP(A2883, IMPORTRANGE(""https://docs.google.com/spreadsheets/d/1-3Vjw2Cyy-mry5gbC8ypIR3YVGFfEpyFESummAta6sg/edit"", ""Sheet1!B:D""), 3, FALSE), ""Not Found"")"),"w e ɪ ŋ ")</f>
        <v>w e ɪ ŋ </v>
      </c>
    </row>
    <row r="2884">
      <c r="A2884" s="1" t="s">
        <v>2885</v>
      </c>
      <c r="B2884" s="1" t="s">
        <v>5</v>
      </c>
      <c r="C2884" s="2">
        <f>IFERROR(__xludf.DUMMYFUNCTION("IFERROR(VLOOKUP(A2884, IMPORTRANGE(""https://docs.google.com/spreadsheets/d/1AVX9GT0dgogEBStecCXMMQ29tWz3gBrtNB8yIromXbY/edit?gid=741673867"", ""out1g!A:B""), 2, FALSE), 0)"),518.0)</f>
        <v>518</v>
      </c>
      <c r="D2884" s="2" t="str">
        <f>IFERROR(__xludf.DUMMYFUNCTION("IFERROR(VLOOKUP(A2884, IMPORTRANGE(""https://docs.google.com/spreadsheets/d/1-3Vjw2Cyy-mry5gbC8ypIR3YVGFfEpyFESummAta6sg/edit"", ""Sheet1!B:D""), 2, FALSE), ""Not Found"")"),"frid")</f>
        <v>frid</v>
      </c>
      <c r="E2884" s="2" t="str">
        <f>IFERROR(__xludf.DUMMYFUNCTION("IFERROR(VLOOKUP(A2884, IMPORTRANGE(""https://docs.google.com/spreadsheets/d/1-3Vjw2Cyy-mry5gbC8ypIR3YVGFfEpyFESummAta6sg/edit"", ""Sheet1!B:D""), 3, FALSE), ""Not Found"")"),"f r i d ")</f>
        <v>f r i d </v>
      </c>
    </row>
    <row r="2885">
      <c r="A2885" s="1" t="s">
        <v>2886</v>
      </c>
      <c r="B2885" s="1" t="s">
        <v>5</v>
      </c>
      <c r="C2885" s="2">
        <f>IFERROR(__xludf.DUMMYFUNCTION("IFERROR(VLOOKUP(A2885, IMPORTRANGE(""https://docs.google.com/spreadsheets/d/1AVX9GT0dgogEBStecCXMMQ29tWz3gBrtNB8yIromXbY/edit?gid=741673867"", ""out1g!A:B""), 2, FALSE), 0)"),64.0)</f>
        <v>64</v>
      </c>
      <c r="D2885" s="2" t="str">
        <f>IFERROR(__xludf.DUMMYFUNCTION("IFERROR(VLOOKUP(A2885, IMPORTRANGE(""https://docs.google.com/spreadsheets/d/1-3Vjw2Cyy-mry5gbC8ypIR3YVGFfEpyFESummAta6sg/edit"", ""Sheet1!B:D""), 2, FALSE), ""Not Found"")"),"rɑkər")</f>
        <v>rɑkər</v>
      </c>
      <c r="E2885" s="2" t="str">
        <f>IFERROR(__xludf.DUMMYFUNCTION("IFERROR(VLOOKUP(A2885, IMPORTRANGE(""https://docs.google.com/spreadsheets/d/1-3Vjw2Cyy-mry5gbC8ypIR3YVGFfEpyFESummAta6sg/edit"", ""Sheet1!B:D""), 3, FALSE), ""Not Found"")"),"r ɑ k ə r ")</f>
        <v>r ɑ k ə r </v>
      </c>
    </row>
    <row r="2886">
      <c r="A2886" s="1" t="s">
        <v>2887</v>
      </c>
      <c r="B2886" s="1" t="s">
        <v>5</v>
      </c>
      <c r="C2886" s="2">
        <f>IFERROR(__xludf.DUMMYFUNCTION("IFERROR(VLOOKUP(A2886, IMPORTRANGE(""https://docs.google.com/spreadsheets/d/1AVX9GT0dgogEBStecCXMMQ29tWz3gBrtNB8yIromXbY/edit?gid=741673867"", ""out1g!A:B""), 2, FALSE), 0)"),2882.0)</f>
        <v>2882</v>
      </c>
      <c r="D2886" s="2" t="str">
        <f>IFERROR(__xludf.DUMMYFUNCTION("IFERROR(VLOOKUP(A2886, IMPORTRANGE(""https://docs.google.com/spreadsheets/d/1-3Vjw2Cyy-mry5gbC8ypIR3YVGFfEpyFESummAta6sg/edit"", ""Sheet1!B:D""), 2, FALSE), ""Not Found"")"),"lɛg")</f>
        <v>lɛg</v>
      </c>
      <c r="E2886" s="2" t="str">
        <f>IFERROR(__xludf.DUMMYFUNCTION("IFERROR(VLOOKUP(A2886, IMPORTRANGE(""https://docs.google.com/spreadsheets/d/1-3Vjw2Cyy-mry5gbC8ypIR3YVGFfEpyFESummAta6sg/edit"", ""Sheet1!B:D""), 3, FALSE), ""Not Found"")"),"l ɛ g ")</f>
        <v>l ɛ g </v>
      </c>
    </row>
    <row r="2887">
      <c r="A2887" s="1" t="s">
        <v>2888</v>
      </c>
      <c r="B2887" s="1" t="s">
        <v>5</v>
      </c>
      <c r="C2887" s="2">
        <f>IFERROR(__xludf.DUMMYFUNCTION("IFERROR(VLOOKUP(A2887, IMPORTRANGE(""https://docs.google.com/spreadsheets/d/1AVX9GT0dgogEBStecCXMMQ29tWz3gBrtNB8yIromXbY/edit?gid=741673867"", ""out1g!A:B""), 2, FALSE), 0)"),129.0)</f>
        <v>129</v>
      </c>
      <c r="D2887" s="2" t="str">
        <f>IFERROR(__xludf.DUMMYFUNCTION("IFERROR(VLOOKUP(A2887, IMPORTRANGE(""https://docs.google.com/spreadsheets/d/1-3Vjw2Cyy-mry5gbC8ypIR3YVGFfEpyFESummAta6sg/edit"", ""Sheet1!B:D""), 2, FALSE), ""Not Found"")"),"lɛʒər")</f>
        <v>lɛʒər</v>
      </c>
      <c r="E2887" s="2" t="str">
        <f>IFERROR(__xludf.DUMMYFUNCTION("IFERROR(VLOOKUP(A2887, IMPORTRANGE(""https://docs.google.com/spreadsheets/d/1-3Vjw2Cyy-mry5gbC8ypIR3YVGFfEpyFESummAta6sg/edit"", ""Sheet1!B:D""), 3, FALSE), ""Not Found"")"),"l ɛ ʒ ə r ")</f>
        <v>l ɛ ʒ ə r </v>
      </c>
    </row>
    <row r="2888">
      <c r="A2888" s="1" t="s">
        <v>2889</v>
      </c>
      <c r="B2888" s="1" t="s">
        <v>5</v>
      </c>
      <c r="C2888" s="2">
        <f>IFERROR(__xludf.DUMMYFUNCTION("IFERROR(VLOOKUP(A2888, IMPORTRANGE(""https://docs.google.com/spreadsheets/d/1AVX9GT0dgogEBStecCXMMQ29tWz3gBrtNB8yIromXbY/edit?gid=741673867"", ""out1g!A:B""), 2, FALSE), 0)"),3965.0)</f>
        <v>3965</v>
      </c>
      <c r="D2888" s="2" t="str">
        <f>IFERROR(__xludf.DUMMYFUNCTION("IFERROR(VLOOKUP(A2888, IMPORTRANGE(""https://docs.google.com/spreadsheets/d/1-3Vjw2Cyy-mry5gbC8ypIR3YVGFfEpyFESummAta6sg/edit"", ""Sheet1!B:D""), 2, FALSE), ""Not Found"")"),"kɪlɪŋ")</f>
        <v>kɪlɪŋ</v>
      </c>
      <c r="E2888" s="2" t="str">
        <f>IFERROR(__xludf.DUMMYFUNCTION("IFERROR(VLOOKUP(A2888, IMPORTRANGE(""https://docs.google.com/spreadsheets/d/1-3Vjw2Cyy-mry5gbC8ypIR3YVGFfEpyFESummAta6sg/edit"", ""Sheet1!B:D""), 3, FALSE), ""Not Found"")"),"k ɪ l ɪ ŋ ")</f>
        <v>k ɪ l ɪ ŋ </v>
      </c>
    </row>
    <row r="2889">
      <c r="A2889" s="1" t="s">
        <v>2890</v>
      </c>
      <c r="B2889" s="1" t="s">
        <v>5</v>
      </c>
      <c r="C2889" s="2">
        <f>IFERROR(__xludf.DUMMYFUNCTION("IFERROR(VLOOKUP(A2889, IMPORTRANGE(""https://docs.google.com/spreadsheets/d/1AVX9GT0dgogEBStecCXMMQ29tWz3gBrtNB8yIromXbY/edit?gid=741673867"", ""out1g!A:B""), 2, FALSE), 0)"),127.0)</f>
        <v>127</v>
      </c>
      <c r="D2889" s="2" t="str">
        <f>IFERROR(__xludf.DUMMYFUNCTION("IFERROR(VLOOKUP(A2889, IMPORTRANGE(""https://docs.google.com/spreadsheets/d/1-3Vjw2Cyy-mry5gbC8ypIR3YVGFfEpyFESummAta6sg/edit"", ""Sheet1!B:D""), 2, FALSE), ""Not Found"")"),"sizər")</f>
        <v>sizər</v>
      </c>
      <c r="E2889" s="2" t="str">
        <f>IFERROR(__xludf.DUMMYFUNCTION("IFERROR(VLOOKUP(A2889, IMPORTRANGE(""https://docs.google.com/spreadsheets/d/1-3Vjw2Cyy-mry5gbC8ypIR3YVGFfEpyFESummAta6sg/edit"", ""Sheet1!B:D""), 3, FALSE), ""Not Found"")"),"s i z ə r ")</f>
        <v>s i z ə r </v>
      </c>
    </row>
    <row r="2890">
      <c r="A2890" s="1" t="s">
        <v>2891</v>
      </c>
      <c r="B2890" s="1" t="s">
        <v>5</v>
      </c>
      <c r="C2890" s="2">
        <f>IFERROR(__xludf.DUMMYFUNCTION("IFERROR(VLOOKUP(A2890, IMPORTRANGE(""https://docs.google.com/spreadsheets/d/1AVX9GT0dgogEBStecCXMMQ29tWz3gBrtNB8yIromXbY/edit?gid=741673867"", ""out1g!A:B""), 2, FALSE), 0)"),457.0)</f>
        <v>457</v>
      </c>
      <c r="D2890" s="2" t="str">
        <f>IFERROR(__xludf.DUMMYFUNCTION("IFERROR(VLOOKUP(A2890, IMPORTRANGE(""https://docs.google.com/spreadsheets/d/1-3Vjw2Cyy-mry5gbC8ypIR3YVGFfEpyFESummAta6sg/edit"", ""Sheet1!B:D""), 2, FALSE), ""Not Found"")"),"rəs")</f>
        <v>rəs</v>
      </c>
      <c r="E2890" s="2" t="str">
        <f>IFERROR(__xludf.DUMMYFUNCTION("IFERROR(VLOOKUP(A2890, IMPORTRANGE(""https://docs.google.com/spreadsheets/d/1-3Vjw2Cyy-mry5gbC8ypIR3YVGFfEpyFESummAta6sg/edit"", ""Sheet1!B:D""), 3, FALSE), ""Not Found"")"),"r ə s ")</f>
        <v>r ə s </v>
      </c>
    </row>
    <row r="2891">
      <c r="A2891" s="1" t="s">
        <v>2892</v>
      </c>
      <c r="B2891" s="1" t="s">
        <v>5</v>
      </c>
      <c r="C2891" s="2">
        <f>IFERROR(__xludf.DUMMYFUNCTION("IFERROR(VLOOKUP(A2891, IMPORTRANGE(""https://docs.google.com/spreadsheets/d/1AVX9GT0dgogEBStecCXMMQ29tWz3gBrtNB8yIromXbY/edit?gid=741673867"", ""out1g!A:B""), 2, FALSE), 0)"),727.0)</f>
        <v>727</v>
      </c>
      <c r="D2891" s="2" t="str">
        <f>IFERROR(__xludf.DUMMYFUNCTION("IFERROR(VLOOKUP(A2891, IMPORTRANGE(""https://docs.google.com/spreadsheets/d/1-3Vjw2Cyy-mry5gbC8ypIR3YVGFfEpyFESummAta6sg/edit"", ""Sheet1!B:D""), 2, FALSE), ""Not Found"")"),"wɔrd")</f>
        <v>wɔrd</v>
      </c>
      <c r="E2891" s="2" t="str">
        <f>IFERROR(__xludf.DUMMYFUNCTION("IFERROR(VLOOKUP(A2891, IMPORTRANGE(""https://docs.google.com/spreadsheets/d/1-3Vjw2Cyy-mry5gbC8ypIR3YVGFfEpyFESummAta6sg/edit"", ""Sheet1!B:D""), 3, FALSE), ""Not Found"")"),"w ɔ r d ")</f>
        <v>w ɔ r d </v>
      </c>
    </row>
    <row r="2892">
      <c r="A2892" s="1" t="s">
        <v>2893</v>
      </c>
      <c r="B2892" s="1" t="s">
        <v>5</v>
      </c>
      <c r="C2892" s="2">
        <f>IFERROR(__xludf.DUMMYFUNCTION("IFERROR(VLOOKUP(A2892, IMPORTRANGE(""https://docs.google.com/spreadsheets/d/1AVX9GT0dgogEBStecCXMMQ29tWz3gBrtNB8yIromXbY/edit?gid=741673867"", ""out1g!A:B""), 2, FALSE), 0)"),58.0)</f>
        <v>58</v>
      </c>
      <c r="D2892" s="2" t="str">
        <f>IFERROR(__xludf.DUMMYFUNCTION("IFERROR(VLOOKUP(A2892, IMPORTRANGE(""https://docs.google.com/spreadsheets/d/1-3Vjw2Cyy-mry5gbC8ypIR3YVGFfEpyFESummAta6sg/edit"", ""Sheet1!B:D""), 2, FALSE), ""Not Found"")"),"fimər")</f>
        <v>fimər</v>
      </c>
      <c r="E2892" s="2" t="str">
        <f>IFERROR(__xludf.DUMMYFUNCTION("IFERROR(VLOOKUP(A2892, IMPORTRANGE(""https://docs.google.com/spreadsheets/d/1-3Vjw2Cyy-mry5gbC8ypIR3YVGFfEpyFESummAta6sg/edit"", ""Sheet1!B:D""), 3, FALSE), ""Not Found"")"),"f i m ə r ")</f>
        <v>f i m ə r </v>
      </c>
    </row>
    <row r="2893">
      <c r="A2893" s="1" t="s">
        <v>2894</v>
      </c>
      <c r="B2893" s="1" t="s">
        <v>5</v>
      </c>
      <c r="C2893" s="2">
        <f>IFERROR(__xludf.DUMMYFUNCTION("IFERROR(VLOOKUP(A2893, IMPORTRANGE(""https://docs.google.com/spreadsheets/d/1AVX9GT0dgogEBStecCXMMQ29tWz3gBrtNB8yIromXbY/edit?gid=741673867"", ""out1g!A:B""), 2, FALSE), 0)"),488.0)</f>
        <v>488</v>
      </c>
      <c r="D2893" s="2" t="str">
        <f>IFERROR(__xludf.DUMMYFUNCTION("IFERROR(VLOOKUP(A2893, IMPORTRANGE(""https://docs.google.com/spreadsheets/d/1-3Vjw2Cyy-mry5gbC8ypIR3YVGFfEpyFESummAta6sg/edit"", ""Sheet1!B:D""), 2, FALSE), ""Not Found"")"),"sɔrts")</f>
        <v>sɔrts</v>
      </c>
      <c r="E2893" s="2" t="str">
        <f>IFERROR(__xludf.DUMMYFUNCTION("IFERROR(VLOOKUP(A2893, IMPORTRANGE(""https://docs.google.com/spreadsheets/d/1-3Vjw2Cyy-mry5gbC8ypIR3YVGFfEpyFESummAta6sg/edit"", ""Sheet1!B:D""), 3, FALSE), ""Not Found"")"),"s ɔ r t s ")</f>
        <v>s ɔ r t s </v>
      </c>
    </row>
    <row r="2894">
      <c r="A2894" s="1" t="s">
        <v>2895</v>
      </c>
      <c r="B2894" s="1" t="s">
        <v>5</v>
      </c>
      <c r="C2894" s="2">
        <f>IFERROR(__xludf.DUMMYFUNCTION("IFERROR(VLOOKUP(A2894, IMPORTRANGE(""https://docs.google.com/spreadsheets/d/1AVX9GT0dgogEBStecCXMMQ29tWz3gBrtNB8yIromXbY/edit?gid=741673867"", ""out1g!A:B""), 2, FALSE), 0)"),433.0)</f>
        <v>433</v>
      </c>
      <c r="D2894" s="2" t="str">
        <f>IFERROR(__xludf.DUMMYFUNCTION("IFERROR(VLOOKUP(A2894, IMPORTRANGE(""https://docs.google.com/spreadsheets/d/1-3Vjw2Cyy-mry5gbC8ypIR3YVGFfEpyFESummAta6sg/edit"", ""Sheet1!B:D""), 2, FALSE), ""Not Found"")"),"lezər")</f>
        <v>lezər</v>
      </c>
      <c r="E2894" s="2" t="str">
        <f>IFERROR(__xludf.DUMMYFUNCTION("IFERROR(VLOOKUP(A2894, IMPORTRANGE(""https://docs.google.com/spreadsheets/d/1-3Vjw2Cyy-mry5gbC8ypIR3YVGFfEpyFESummAta6sg/edit"", ""Sheet1!B:D""), 3, FALSE), ""Not Found"")"),"l e z ə r ")</f>
        <v>l e z ə r </v>
      </c>
    </row>
    <row r="2895">
      <c r="A2895" s="1" t="s">
        <v>2896</v>
      </c>
      <c r="B2895" s="1" t="s">
        <v>5</v>
      </c>
      <c r="C2895" s="2">
        <f>IFERROR(__xludf.DUMMYFUNCTION("IFERROR(VLOOKUP(A2895, IMPORTRANGE(""https://docs.google.com/spreadsheets/d/1AVX9GT0dgogEBStecCXMMQ29tWz3gBrtNB8yIromXbY/edit?gid=741673867"", ""out1g!A:B""), 2, FALSE), 0)"),83.0)</f>
        <v>83</v>
      </c>
      <c r="D2895" s="2" t="str">
        <f>IFERROR(__xludf.DUMMYFUNCTION("IFERROR(VLOOKUP(A2895, IMPORTRANGE(""https://docs.google.com/spreadsheets/d/1-3Vjw2Cyy-mry5gbC8ypIR3YVGFfEpyFESummAta6sg/edit"", ""Sheet1!B:D""), 2, FALSE), ""Not Found"")"),"rezɪn")</f>
        <v>rezɪn</v>
      </c>
      <c r="E2895" s="2" t="str">
        <f>IFERROR(__xludf.DUMMYFUNCTION("IFERROR(VLOOKUP(A2895, IMPORTRANGE(""https://docs.google.com/spreadsheets/d/1-3Vjw2Cyy-mry5gbC8ypIR3YVGFfEpyFESummAta6sg/edit"", ""Sheet1!B:D""), 3, FALSE), ""Not Found"")"),"r e z ɪ n ")</f>
        <v>r e z ɪ n </v>
      </c>
    </row>
    <row r="2896">
      <c r="A2896" s="1" t="s">
        <v>2897</v>
      </c>
      <c r="B2896" s="1" t="s">
        <v>5</v>
      </c>
      <c r="C2896" s="2">
        <f>IFERROR(__xludf.DUMMYFUNCTION("IFERROR(VLOOKUP(A2896, IMPORTRANGE(""https://docs.google.com/spreadsheets/d/1AVX9GT0dgogEBStecCXMMQ29tWz3gBrtNB8yIromXbY/edit?gid=741673867"", ""out1g!A:B""), 2, FALSE), 0)"),1302.0)</f>
        <v>1302</v>
      </c>
      <c r="D2896" s="2" t="str">
        <f>IFERROR(__xludf.DUMMYFUNCTION("IFERROR(VLOOKUP(A2896, IMPORTRANGE(""https://docs.google.com/spreadsheets/d/1-3Vjw2Cyy-mry5gbC8ypIR3YVGFfEpyFESummAta6sg/edit"", ""Sheet1!B:D""), 2, FALSE), ""Not Found"")"),"gɔlf")</f>
        <v>gɔlf</v>
      </c>
      <c r="E2896" s="2" t="str">
        <f>IFERROR(__xludf.DUMMYFUNCTION("IFERROR(VLOOKUP(A2896, IMPORTRANGE(""https://docs.google.com/spreadsheets/d/1-3Vjw2Cyy-mry5gbC8ypIR3YVGFfEpyFESummAta6sg/edit"", ""Sheet1!B:D""), 3, FALSE), ""Not Found"")"),"g ɔ l f ")</f>
        <v>g ɔ l f </v>
      </c>
    </row>
    <row r="2897">
      <c r="A2897" s="1" t="s">
        <v>2898</v>
      </c>
      <c r="B2897" s="1" t="s">
        <v>5</v>
      </c>
      <c r="C2897" s="2">
        <f>IFERROR(__xludf.DUMMYFUNCTION("IFERROR(VLOOKUP(A2897, IMPORTRANGE(""https://docs.google.com/spreadsheets/d/1AVX9GT0dgogEBStecCXMMQ29tWz3gBrtNB8yIromXbY/edit?gid=741673867"", ""out1g!A:B""), 2, FALSE), 0)"),126.0)</f>
        <v>126</v>
      </c>
      <c r="D2897" s="2" t="str">
        <f>IFERROR(__xludf.DUMMYFUNCTION("IFERROR(VLOOKUP(A2897, IMPORTRANGE(""https://docs.google.com/spreadsheets/d/1-3Vjw2Cyy-mry5gbC8ypIR3YVGFfEpyFESummAta6sg/edit"", ""Sheet1!B:D""), 2, FALSE), ""Not Found"")"),"ʃɛr")</f>
        <v>ʃɛr</v>
      </c>
      <c r="E2897" s="2" t="str">
        <f>IFERROR(__xludf.DUMMYFUNCTION("IFERROR(VLOOKUP(A2897, IMPORTRANGE(""https://docs.google.com/spreadsheets/d/1-3Vjw2Cyy-mry5gbC8ypIR3YVGFfEpyFESummAta6sg/edit"", ""Sheet1!B:D""), 3, FALSE), ""Not Found"")"),"ʃ ɛ r ")</f>
        <v>ʃ ɛ r </v>
      </c>
    </row>
    <row r="2898">
      <c r="A2898" s="1" t="s">
        <v>2899</v>
      </c>
      <c r="B2898" s="1" t="s">
        <v>5</v>
      </c>
      <c r="C2898" s="2">
        <f>IFERROR(__xludf.DUMMYFUNCTION("IFERROR(VLOOKUP(A2898, IMPORTRANGE(""https://docs.google.com/spreadsheets/d/1AVX9GT0dgogEBStecCXMMQ29tWz3gBrtNB8yIromXbY/edit?gid=741673867"", ""out1g!A:B""), 2, FALSE), 0)"),58.0)</f>
        <v>58</v>
      </c>
      <c r="D2898" s="2" t="str">
        <f>IFERROR(__xludf.DUMMYFUNCTION("IFERROR(VLOOKUP(A2898, IMPORTRANGE(""https://docs.google.com/spreadsheets/d/1-3Vjw2Cyy-mry5gbC8ypIR3YVGFfEpyFESummAta6sg/edit"", ""Sheet1!B:D""), 2, FALSE), ""Not Found"")"),"loʊkəli")</f>
        <v>loʊkəli</v>
      </c>
      <c r="E2898" s="2" t="str">
        <f>IFERROR(__xludf.DUMMYFUNCTION("IFERROR(VLOOKUP(A2898, IMPORTRANGE(""https://docs.google.com/spreadsheets/d/1-3Vjw2Cyy-mry5gbC8ypIR3YVGFfEpyFESummAta6sg/edit"", ""Sheet1!B:D""), 3, FALSE), ""Not Found"")"),"l o ʊ k ə l i ")</f>
        <v>l o ʊ k ə l i </v>
      </c>
    </row>
    <row r="2899">
      <c r="A2899" s="1" t="s">
        <v>2900</v>
      </c>
      <c r="B2899" s="1" t="s">
        <v>5</v>
      </c>
      <c r="C2899" s="2">
        <f>IFERROR(__xludf.DUMMYFUNCTION("IFERROR(VLOOKUP(A2899, IMPORTRANGE(""https://docs.google.com/spreadsheets/d/1AVX9GT0dgogEBStecCXMMQ29tWz3gBrtNB8yIromXbY/edit?gid=741673867"", ""out1g!A:B""), 2, FALSE), 0)"),107.0)</f>
        <v>107</v>
      </c>
      <c r="D2899" s="2" t="str">
        <f>IFERROR(__xludf.DUMMYFUNCTION("IFERROR(VLOOKUP(A2899, IMPORTRANGE(""https://docs.google.com/spreadsheets/d/1-3Vjw2Cyy-mry5gbC8ypIR3YVGFfEpyFESummAta6sg/edit"", ""Sheet1!B:D""), 2, FALSE), ""Not Found"")"),"blez")</f>
        <v>blez</v>
      </c>
      <c r="E2899" s="2" t="str">
        <f>IFERROR(__xludf.DUMMYFUNCTION("IFERROR(VLOOKUP(A2899, IMPORTRANGE(""https://docs.google.com/spreadsheets/d/1-3Vjw2Cyy-mry5gbC8ypIR3YVGFfEpyFESummAta6sg/edit"", ""Sheet1!B:D""), 3, FALSE), ""Not Found"")"),"b l e z ")</f>
        <v>b l e z </v>
      </c>
    </row>
    <row r="2900">
      <c r="A2900" s="1" t="s">
        <v>2901</v>
      </c>
      <c r="B2900" s="1" t="s">
        <v>5</v>
      </c>
      <c r="C2900" s="2">
        <f>IFERROR(__xludf.DUMMYFUNCTION("IFERROR(VLOOKUP(A2900, IMPORTRANGE(""https://docs.google.com/spreadsheets/d/1AVX9GT0dgogEBStecCXMMQ29tWz3gBrtNB8yIromXbY/edit?gid=741673867"", ""out1g!A:B""), 2, FALSE), 0)"),26.0)</f>
        <v>26</v>
      </c>
      <c r="D2900" s="2" t="str">
        <f>IFERROR(__xludf.DUMMYFUNCTION("IFERROR(VLOOKUP(A2900, IMPORTRANGE(""https://docs.google.com/spreadsheets/d/1-3Vjw2Cyy-mry5gbC8ypIR3YVGFfEpyFESummAta6sg/edit"", ""Sheet1!B:D""), 2, FALSE), ""Not Found"")"),"bifɪŋ")</f>
        <v>bifɪŋ</v>
      </c>
      <c r="E2900" s="2" t="str">
        <f>IFERROR(__xludf.DUMMYFUNCTION("IFERROR(VLOOKUP(A2900, IMPORTRANGE(""https://docs.google.com/spreadsheets/d/1-3Vjw2Cyy-mry5gbC8ypIR3YVGFfEpyFESummAta6sg/edit"", ""Sheet1!B:D""), 3, FALSE), ""Not Found"")"),"b i f ɪ ŋ ")</f>
        <v>b i f ɪ ŋ </v>
      </c>
    </row>
    <row r="2901">
      <c r="A2901" s="1" t="s">
        <v>2902</v>
      </c>
      <c r="B2901" s="1" t="s">
        <v>5</v>
      </c>
      <c r="C2901" s="2">
        <f>IFERROR(__xludf.DUMMYFUNCTION("IFERROR(VLOOKUP(A2901, IMPORTRANGE(""https://docs.google.com/spreadsheets/d/1AVX9GT0dgogEBStecCXMMQ29tWz3gBrtNB8yIromXbY/edit?gid=741673867"", ""out1g!A:B""), 2, FALSE), 0)"),81.0)</f>
        <v>81</v>
      </c>
      <c r="D2901" s="2" t="str">
        <f>IFERROR(__xludf.DUMMYFUNCTION("IFERROR(VLOOKUP(A2901, IMPORTRANGE(""https://docs.google.com/spreadsheets/d/1-3Vjw2Cyy-mry5gbC8ypIR3YVGFfEpyFESummAta6sg/edit"", ""Sheet1!B:D""), 2, FALSE), ""Not Found"")"),"θɔ")</f>
        <v>θɔ</v>
      </c>
      <c r="E2901" s="2" t="str">
        <f>IFERROR(__xludf.DUMMYFUNCTION("IFERROR(VLOOKUP(A2901, IMPORTRANGE(""https://docs.google.com/spreadsheets/d/1-3Vjw2Cyy-mry5gbC8ypIR3YVGFfEpyFESummAta6sg/edit"", ""Sheet1!B:D""), 3, FALSE), ""Not Found"")"),"θ ɔ ")</f>
        <v>θ ɔ </v>
      </c>
    </row>
    <row r="2902">
      <c r="A2902" s="1" t="s">
        <v>2903</v>
      </c>
      <c r="B2902" s="1" t="s">
        <v>5</v>
      </c>
      <c r="C2902" s="2">
        <f>IFERROR(__xludf.DUMMYFUNCTION("IFERROR(VLOOKUP(A2902, IMPORTRANGE(""https://docs.google.com/spreadsheets/d/1AVX9GT0dgogEBStecCXMMQ29tWz3gBrtNB8yIromXbY/edit?gid=741673867"", ""out1g!A:B""), 2, FALSE), 0)"),19633.0)</f>
        <v>19633</v>
      </c>
      <c r="D2902" s="2" t="str">
        <f>IFERROR(__xludf.DUMMYFUNCTION("IFERROR(VLOOKUP(A2902, IMPORTRANGE(""https://docs.google.com/spreadsheets/d/1-3Vjw2Cyy-mry5gbC8ypIR3YVGFfEpyFESummAta6sg/edit"", ""Sheet1!B:D""), 2, FALSE), ""Not Found"")"),"sin")</f>
        <v>sin</v>
      </c>
      <c r="E2902" s="2" t="str">
        <f>IFERROR(__xludf.DUMMYFUNCTION("IFERROR(VLOOKUP(A2902, IMPORTRANGE(""https://docs.google.com/spreadsheets/d/1-3Vjw2Cyy-mry5gbC8ypIR3YVGFfEpyFESummAta6sg/edit"", ""Sheet1!B:D""), 3, FALSE), ""Not Found"")"),"s i n ")</f>
        <v>s i n </v>
      </c>
    </row>
    <row r="2903">
      <c r="A2903" s="1" t="s">
        <v>2904</v>
      </c>
      <c r="B2903" s="1" t="s">
        <v>5</v>
      </c>
      <c r="C2903" s="2">
        <f>IFERROR(__xludf.DUMMYFUNCTION("IFERROR(VLOOKUP(A2903, IMPORTRANGE(""https://docs.google.com/spreadsheets/d/1AVX9GT0dgogEBStecCXMMQ29tWz3gBrtNB8yIromXbY/edit?gid=741673867"", ""out1g!A:B""), 2, FALSE), 0)"),623.0)</f>
        <v>623</v>
      </c>
      <c r="D2903" s="2" t="str">
        <f>IFERROR(__xludf.DUMMYFUNCTION("IFERROR(VLOOKUP(A2903, IMPORTRANGE(""https://docs.google.com/spreadsheets/d/1-3Vjw2Cyy-mry5gbC8ypIR3YVGFfEpyFESummAta6sg/edit"", ""Sheet1!B:D""), 2, FALSE), ""Not Found"")"),"ətæʧt")</f>
        <v>ətæʧt</v>
      </c>
      <c r="E2903" s="2" t="str">
        <f>IFERROR(__xludf.DUMMYFUNCTION("IFERROR(VLOOKUP(A2903, IMPORTRANGE(""https://docs.google.com/spreadsheets/d/1-3Vjw2Cyy-mry5gbC8ypIR3YVGFfEpyFESummAta6sg/edit"", ""Sheet1!B:D""), 3, FALSE), ""Not Found"")"),"ə t æ ʧ t ")</f>
        <v>ə t æ ʧ t </v>
      </c>
    </row>
    <row r="2904">
      <c r="A2904" s="1" t="s">
        <v>2905</v>
      </c>
      <c r="B2904" s="1" t="s">
        <v>5</v>
      </c>
      <c r="C2904" s="2">
        <f>IFERROR(__xludf.DUMMYFUNCTION("IFERROR(VLOOKUP(A2904, IMPORTRANGE(""https://docs.google.com/spreadsheets/d/1AVX9GT0dgogEBStecCXMMQ29tWz3gBrtNB8yIromXbY/edit?gid=741673867"", ""out1g!A:B""), 2, FALSE), 0)"),581.0)</f>
        <v>581</v>
      </c>
      <c r="D2904" s="2" t="str">
        <f>IFERROR(__xludf.DUMMYFUNCTION("IFERROR(VLOOKUP(A2904, IMPORTRANGE(""https://docs.google.com/spreadsheets/d/1-3Vjw2Cyy-mry5gbC8ypIR3YVGFfEpyFESummAta6sg/edit"", ""Sheet1!B:D""), 2, FALSE), ""Not Found"")"),"græm")</f>
        <v>græm</v>
      </c>
      <c r="E2904" s="2" t="str">
        <f>IFERROR(__xludf.DUMMYFUNCTION("IFERROR(VLOOKUP(A2904, IMPORTRANGE(""https://docs.google.com/spreadsheets/d/1-3Vjw2Cyy-mry5gbC8ypIR3YVGFfEpyFESummAta6sg/edit"", ""Sheet1!B:D""), 3, FALSE), ""Not Found"")"),"g r æ m ")</f>
        <v>g r æ m </v>
      </c>
    </row>
    <row r="2905">
      <c r="A2905" s="1" t="s">
        <v>2906</v>
      </c>
      <c r="B2905" s="1" t="s">
        <v>5</v>
      </c>
      <c r="C2905" s="2">
        <f>IFERROR(__xludf.DUMMYFUNCTION("IFERROR(VLOOKUP(A2905, IMPORTRANGE(""https://docs.google.com/spreadsheets/d/1AVX9GT0dgogEBStecCXMMQ29tWz3gBrtNB8yIromXbY/edit?gid=741673867"", ""out1g!A:B""), 2, FALSE), 0)"),11260.0)</f>
        <v>11260</v>
      </c>
      <c r="D2905" s="2" t="str">
        <f>IFERROR(__xludf.DUMMYFUNCTION("IFERROR(VLOOKUP(A2905, IMPORTRANGE(""https://docs.google.com/spreadsheets/d/1-3Vjw2Cyy-mry5gbC8ypIR3YVGFfEpyFESummAta6sg/edit"", ""Sheet1!B:D""), 2, FALSE), ""Not Found"")"),"stɔri")</f>
        <v>stɔri</v>
      </c>
      <c r="E2905" s="2" t="str">
        <f>IFERROR(__xludf.DUMMYFUNCTION("IFERROR(VLOOKUP(A2905, IMPORTRANGE(""https://docs.google.com/spreadsheets/d/1-3Vjw2Cyy-mry5gbC8ypIR3YVGFfEpyFESummAta6sg/edit"", ""Sheet1!B:D""), 3, FALSE), ""Not Found"")"),"s t ɔ r i ")</f>
        <v>s t ɔ r i </v>
      </c>
    </row>
    <row r="2906">
      <c r="A2906" s="1" t="s">
        <v>2907</v>
      </c>
      <c r="B2906" s="1" t="s">
        <v>5</v>
      </c>
      <c r="C2906" s="2">
        <f>IFERROR(__xludf.DUMMYFUNCTION("IFERROR(VLOOKUP(A2906, IMPORTRANGE(""https://docs.google.com/spreadsheets/d/1AVX9GT0dgogEBStecCXMMQ29tWz3gBrtNB8yIromXbY/edit?gid=741673867"", ""out1g!A:B""), 2, FALSE), 0)"),4097.0)</f>
        <v>4097</v>
      </c>
      <c r="D2906" s="2" t="str">
        <f>IFERROR(__xludf.DUMMYFUNCTION("IFERROR(VLOOKUP(A2906, IMPORTRANGE(""https://docs.google.com/spreadsheets/d/1-3Vjw2Cyy-mry5gbC8ypIR3YVGFfEpyFESummAta6sg/edit"", ""Sheet1!B:D""), 2, FALSE), ""Not Found"")"),"kɔlz")</f>
        <v>kɔlz</v>
      </c>
      <c r="E2906" s="2" t="str">
        <f>IFERROR(__xludf.DUMMYFUNCTION("IFERROR(VLOOKUP(A2906, IMPORTRANGE(""https://docs.google.com/spreadsheets/d/1-3Vjw2Cyy-mry5gbC8ypIR3YVGFfEpyFESummAta6sg/edit"", ""Sheet1!B:D""), 3, FALSE), ""Not Found"")"),"k ɔ l z ")</f>
        <v>k ɔ l z </v>
      </c>
    </row>
    <row r="2907">
      <c r="A2907" s="1" t="s">
        <v>2908</v>
      </c>
      <c r="B2907" s="1" t="s">
        <v>5</v>
      </c>
      <c r="C2907" s="2">
        <f>IFERROR(__xludf.DUMMYFUNCTION("IFERROR(VLOOKUP(A2907, IMPORTRANGE(""https://docs.google.com/spreadsheets/d/1AVX9GT0dgogEBStecCXMMQ29tWz3gBrtNB8yIromXbY/edit?gid=741673867"", ""out1g!A:B""), 2, FALSE), 0)"),59.0)</f>
        <v>59</v>
      </c>
      <c r="D2907" s="2" t="str">
        <f>IFERROR(__xludf.DUMMYFUNCTION("IFERROR(VLOOKUP(A2907, IMPORTRANGE(""https://docs.google.com/spreadsheets/d/1-3Vjw2Cyy-mry5gbC8ypIR3YVGFfEpyFESummAta6sg/edit"", ""Sheet1!B:D""), 2, FALSE), ""Not Found"")"),"fraɪtfəl")</f>
        <v>fraɪtfəl</v>
      </c>
      <c r="E2907" s="2" t="str">
        <f>IFERROR(__xludf.DUMMYFUNCTION("IFERROR(VLOOKUP(A2907, IMPORTRANGE(""https://docs.google.com/spreadsheets/d/1-3Vjw2Cyy-mry5gbC8ypIR3YVGFfEpyFESummAta6sg/edit"", ""Sheet1!B:D""), 3, FALSE), ""Not Found"")"),"f r a ɪ t f ə l ")</f>
        <v>f r a ɪ t f ə l </v>
      </c>
    </row>
    <row r="2908">
      <c r="A2908" s="1" t="s">
        <v>2909</v>
      </c>
      <c r="B2908" s="1" t="s">
        <v>5</v>
      </c>
      <c r="C2908" s="2">
        <f>IFERROR(__xludf.DUMMYFUNCTION("IFERROR(VLOOKUP(A2908, IMPORTRANGE(""https://docs.google.com/spreadsheets/d/1AVX9GT0dgogEBStecCXMMQ29tWz3gBrtNB8yIromXbY/edit?gid=741673867"", ""out1g!A:B""), 2, FALSE), 0)"),42343.0)</f>
        <v>42343</v>
      </c>
      <c r="D2908" s="2" t="str">
        <f>IFERROR(__xludf.DUMMYFUNCTION("IFERROR(VLOOKUP(A2908, IMPORTRANGE(""https://docs.google.com/spreadsheets/d/1-3Vjw2Cyy-mry5gbC8ypIR3YVGFfEpyFESummAta6sg/edit"", ""Sheet1!B:D""), 2, FALSE), ""Not Found"")"),"wet")</f>
        <v>wet</v>
      </c>
      <c r="E2908" s="2" t="str">
        <f>IFERROR(__xludf.DUMMYFUNCTION("IFERROR(VLOOKUP(A2908, IMPORTRANGE(""https://docs.google.com/spreadsheets/d/1-3Vjw2Cyy-mry5gbC8ypIR3YVGFfEpyFESummAta6sg/edit"", ""Sheet1!B:D""), 3, FALSE), ""Not Found"")"),"w e t ")</f>
        <v>w e t </v>
      </c>
    </row>
    <row r="2909">
      <c r="A2909" s="1" t="s">
        <v>2910</v>
      </c>
      <c r="B2909" s="1" t="s">
        <v>5</v>
      </c>
      <c r="C2909" s="2">
        <f>IFERROR(__xludf.DUMMYFUNCTION("IFERROR(VLOOKUP(A2909, IMPORTRANGE(""https://docs.google.com/spreadsheets/d/1AVX9GT0dgogEBStecCXMMQ29tWz3gBrtNB8yIromXbY/edit?gid=741673867"", ""out1g!A:B""), 2, FALSE), 0)"),428.0)</f>
        <v>428</v>
      </c>
      <c r="D2909" s="2" t="str">
        <f>IFERROR(__xludf.DUMMYFUNCTION("IFERROR(VLOOKUP(A2909, IMPORTRANGE(""https://docs.google.com/spreadsheets/d/1-3Vjw2Cyy-mry5gbC8ypIR3YVGFfEpyFESummAta6sg/edit"", ""Sheet1!B:D""), 2, FALSE), ""Not Found"")"),"ɪn")</f>
        <v>ɪn</v>
      </c>
      <c r="E2909" s="2" t="str">
        <f>IFERROR(__xludf.DUMMYFUNCTION("IFERROR(VLOOKUP(A2909, IMPORTRANGE(""https://docs.google.com/spreadsheets/d/1-3Vjw2Cyy-mry5gbC8ypIR3YVGFfEpyFESummAta6sg/edit"", ""Sheet1!B:D""), 3, FALSE), ""Not Found"")"),"ɪ n ")</f>
        <v>ɪ n </v>
      </c>
    </row>
    <row r="2910">
      <c r="A2910" s="1" t="s">
        <v>2911</v>
      </c>
      <c r="B2910" s="1" t="s">
        <v>5</v>
      </c>
      <c r="C2910" s="2">
        <f>IFERROR(__xludf.DUMMYFUNCTION("IFERROR(VLOOKUP(A2910, IMPORTRANGE(""https://docs.google.com/spreadsheets/d/1AVX9GT0dgogEBStecCXMMQ29tWz3gBrtNB8yIromXbY/edit?gid=741673867"", ""out1g!A:B""), 2, FALSE), 0)"),81.0)</f>
        <v>81</v>
      </c>
      <c r="D2910" s="2" t="str">
        <f>IFERROR(__xludf.DUMMYFUNCTION("IFERROR(VLOOKUP(A2910, IMPORTRANGE(""https://docs.google.com/spreadsheets/d/1-3Vjw2Cyy-mry5gbC8ypIR3YVGFfEpyFESummAta6sg/edit"", ""Sheet1!B:D""), 2, FALSE), ""Not Found"")"),"mp")</f>
        <v>mp</v>
      </c>
      <c r="E2910" s="2" t="str">
        <f>IFERROR(__xludf.DUMMYFUNCTION("IFERROR(VLOOKUP(A2910, IMPORTRANGE(""https://docs.google.com/spreadsheets/d/1-3Vjw2Cyy-mry5gbC8ypIR3YVGFfEpyFESummAta6sg/edit"", ""Sheet1!B:D""), 3, FALSE), ""Not Found"")"),"m p ")</f>
        <v>m p </v>
      </c>
    </row>
    <row r="2911">
      <c r="A2911" s="1" t="s">
        <v>2912</v>
      </c>
      <c r="B2911" s="1" t="s">
        <v>5</v>
      </c>
      <c r="C2911" s="2">
        <f>IFERROR(__xludf.DUMMYFUNCTION("IFERROR(VLOOKUP(A2911, IMPORTRANGE(""https://docs.google.com/spreadsheets/d/1AVX9GT0dgogEBStecCXMMQ29tWz3gBrtNB8yIromXbY/edit?gid=741673867"", ""out1g!A:B""), 2, FALSE), 0)"),56.0)</f>
        <v>56</v>
      </c>
      <c r="D2911" s="2" t="str">
        <f>IFERROR(__xludf.DUMMYFUNCTION("IFERROR(VLOOKUP(A2911, IMPORTRANGE(""https://docs.google.com/spreadsheets/d/1-3Vjw2Cyy-mry5gbC8ypIR3YVGFfEpyFESummAta6sg/edit"", ""Sheet1!B:D""), 2, FALSE), ""Not Found"")"),"fənəl")</f>
        <v>fənəl</v>
      </c>
      <c r="E2911" s="2" t="str">
        <f>IFERROR(__xludf.DUMMYFUNCTION("IFERROR(VLOOKUP(A2911, IMPORTRANGE(""https://docs.google.com/spreadsheets/d/1-3Vjw2Cyy-mry5gbC8ypIR3YVGFfEpyFESummAta6sg/edit"", ""Sheet1!B:D""), 3, FALSE), ""Not Found"")"),"f ə n ə l ")</f>
        <v>f ə n ə l </v>
      </c>
    </row>
    <row r="2912">
      <c r="A2912" s="1" t="s">
        <v>2913</v>
      </c>
      <c r="B2912" s="1" t="s">
        <v>5</v>
      </c>
      <c r="C2912" s="2">
        <f>IFERROR(__xludf.DUMMYFUNCTION("IFERROR(VLOOKUP(A2912, IMPORTRANGE(""https://docs.google.com/spreadsheets/d/1AVX9GT0dgogEBStecCXMMQ29tWz3gBrtNB8yIromXbY/edit?gid=741673867"", ""out1g!A:B""), 2, FALSE), 0)"),173.0)</f>
        <v>173</v>
      </c>
      <c r="D2912" s="2" t="str">
        <f>IFERROR(__xludf.DUMMYFUNCTION("IFERROR(VLOOKUP(A2912, IMPORTRANGE(""https://docs.google.com/spreadsheets/d/1-3Vjw2Cyy-mry5gbC8ypIR3YVGFfEpyFESummAta6sg/edit"", ""Sheet1!B:D""), 2, FALSE), ""Not Found"")"),"saɪ")</f>
        <v>saɪ</v>
      </c>
      <c r="E2912" s="2" t="str">
        <f>IFERROR(__xludf.DUMMYFUNCTION("IFERROR(VLOOKUP(A2912, IMPORTRANGE(""https://docs.google.com/spreadsheets/d/1-3Vjw2Cyy-mry5gbC8ypIR3YVGFfEpyFESummAta6sg/edit"", ""Sheet1!B:D""), 3, FALSE), ""Not Found"")"),"s a ɪ ")</f>
        <v>s a ɪ </v>
      </c>
    </row>
    <row r="2913">
      <c r="A2913" s="1" t="s">
        <v>2914</v>
      </c>
      <c r="B2913" s="1" t="s">
        <v>5</v>
      </c>
      <c r="C2913" s="2">
        <f>IFERROR(__xludf.DUMMYFUNCTION("IFERROR(VLOOKUP(A2913, IMPORTRANGE(""https://docs.google.com/spreadsheets/d/1AVX9GT0dgogEBStecCXMMQ29tWz3gBrtNB8yIromXbY/edit?gid=741673867"", ""out1g!A:B""), 2, FALSE), 0)"),116.0)</f>
        <v>116</v>
      </c>
      <c r="D2913" s="2" t="str">
        <f>IFERROR(__xludf.DUMMYFUNCTION("IFERROR(VLOOKUP(A2913, IMPORTRANGE(""https://docs.google.com/spreadsheets/d/1-3Vjw2Cyy-mry5gbC8ypIR3YVGFfEpyFESummAta6sg/edit"", ""Sheet1!B:D""), 2, FALSE), ""Not Found"")"),"kɛmp")</f>
        <v>kɛmp</v>
      </c>
      <c r="E2913" s="2" t="str">
        <f>IFERROR(__xludf.DUMMYFUNCTION("IFERROR(VLOOKUP(A2913, IMPORTRANGE(""https://docs.google.com/spreadsheets/d/1-3Vjw2Cyy-mry5gbC8ypIR3YVGFfEpyFESummAta6sg/edit"", ""Sheet1!B:D""), 3, FALSE), ""Not Found"")"),"k ɛ m p ")</f>
        <v>k ɛ m p </v>
      </c>
    </row>
    <row r="2914">
      <c r="A2914" s="1" t="s">
        <v>2915</v>
      </c>
      <c r="B2914" s="1" t="s">
        <v>5</v>
      </c>
      <c r="C2914" s="2">
        <f>IFERROR(__xludf.DUMMYFUNCTION("IFERROR(VLOOKUP(A2914, IMPORTRANGE(""https://docs.google.com/spreadsheets/d/1AVX9GT0dgogEBStecCXMMQ29tWz3gBrtNB8yIromXbY/edit?gid=741673867"", ""out1g!A:B""), 2, FALSE), 0)"),676.0)</f>
        <v>676</v>
      </c>
      <c r="D2914" s="2" t="str">
        <f>IFERROR(__xludf.DUMMYFUNCTION("IFERROR(VLOOKUP(A2914, IMPORTRANGE(""https://docs.google.com/spreadsheets/d/1-3Vjw2Cyy-mry5gbC8ypIR3YVGFfEpyFESummAta6sg/edit"", ""Sheet1!B:D""), 2, FALSE), ""Not Found"")"),"bərt")</f>
        <v>bərt</v>
      </c>
      <c r="E2914" s="2" t="str">
        <f>IFERROR(__xludf.DUMMYFUNCTION("IFERROR(VLOOKUP(A2914, IMPORTRANGE(""https://docs.google.com/spreadsheets/d/1-3Vjw2Cyy-mry5gbC8ypIR3YVGFfEpyFESummAta6sg/edit"", ""Sheet1!B:D""), 3, FALSE), ""Not Found"")"),"b ə r t ")</f>
        <v>b ə r t </v>
      </c>
    </row>
    <row r="2915">
      <c r="A2915" s="1" t="s">
        <v>2916</v>
      </c>
      <c r="B2915" s="1" t="s">
        <v>5</v>
      </c>
      <c r="C2915" s="2">
        <f>IFERROR(__xludf.DUMMYFUNCTION("IFERROR(VLOOKUP(A2915, IMPORTRANGE(""https://docs.google.com/spreadsheets/d/1AVX9GT0dgogEBStecCXMMQ29tWz3gBrtNB8yIromXbY/edit?gid=741673867"", ""out1g!A:B""), 2, FALSE), 0)"),2226.0)</f>
        <v>2226</v>
      </c>
      <c r="D2915" s="2" t="str">
        <f>IFERROR(__xludf.DUMMYFUNCTION("IFERROR(VLOOKUP(A2915, IMPORTRANGE(""https://docs.google.com/spreadsheets/d/1-3Vjw2Cyy-mry5gbC8ypIR3YVGFfEpyFESummAta6sg/edit"", ""Sheet1!B:D""), 2, FALSE), ""Not Found"")"),"mit")</f>
        <v>mit</v>
      </c>
      <c r="E2915" s="2" t="str">
        <f>IFERROR(__xludf.DUMMYFUNCTION("IFERROR(VLOOKUP(A2915, IMPORTRANGE(""https://docs.google.com/spreadsheets/d/1-3Vjw2Cyy-mry5gbC8ypIR3YVGFfEpyFESummAta6sg/edit"", ""Sheet1!B:D""), 3, FALSE), ""Not Found"")"),"m i t ")</f>
        <v>m i t </v>
      </c>
    </row>
    <row r="2916">
      <c r="A2916" s="1" t="s">
        <v>2917</v>
      </c>
      <c r="B2916" s="1" t="s">
        <v>5</v>
      </c>
      <c r="C2916" s="2">
        <f>IFERROR(__xludf.DUMMYFUNCTION("IFERROR(VLOOKUP(A2916, IMPORTRANGE(""https://docs.google.com/spreadsheets/d/1AVX9GT0dgogEBStecCXMMQ29tWz3gBrtNB8yIromXbY/edit?gid=741673867"", ""out1g!A:B""), 2, FALSE), 0)"),645.0)</f>
        <v>645</v>
      </c>
      <c r="D2916" s="2" t="str">
        <f>IFERROR(__xludf.DUMMYFUNCTION("IFERROR(VLOOKUP(A2916, IMPORTRANGE(""https://docs.google.com/spreadsheets/d/1-3Vjw2Cyy-mry5gbC8ypIR3YVGFfEpyFESummAta6sg/edit"", ""Sheet1!B:D""), 2, FALSE), ""Not Found"")"),"pəmp")</f>
        <v>pəmp</v>
      </c>
      <c r="E2916" s="2" t="str">
        <f>IFERROR(__xludf.DUMMYFUNCTION("IFERROR(VLOOKUP(A2916, IMPORTRANGE(""https://docs.google.com/spreadsheets/d/1-3Vjw2Cyy-mry5gbC8ypIR3YVGFfEpyFESummAta6sg/edit"", ""Sheet1!B:D""), 3, FALSE), ""Not Found"")"),"p ə m p ")</f>
        <v>p ə m p </v>
      </c>
    </row>
    <row r="2917">
      <c r="A2917" s="1" t="s">
        <v>2918</v>
      </c>
      <c r="B2917" s="1" t="s">
        <v>5</v>
      </c>
      <c r="C2917" s="2">
        <f>IFERROR(__xludf.DUMMYFUNCTION("IFERROR(VLOOKUP(A2917, IMPORTRANGE(""https://docs.google.com/spreadsheets/d/1AVX9GT0dgogEBStecCXMMQ29tWz3gBrtNB8yIromXbY/edit?gid=741673867"", ""out1g!A:B""), 2, FALSE), 0)"),48.0)</f>
        <v>48</v>
      </c>
      <c r="D2917" s="2" t="str">
        <f>IFERROR(__xludf.DUMMYFUNCTION("IFERROR(VLOOKUP(A2917, IMPORTRANGE(""https://docs.google.com/spreadsheets/d/1-3Vjw2Cyy-mry5gbC8ypIR3YVGFfEpyFESummAta6sg/edit"", ""Sheet1!B:D""), 2, FALSE), ""Not Found"")"),"pɛlt")</f>
        <v>pɛlt</v>
      </c>
      <c r="E2917" s="2" t="str">
        <f>IFERROR(__xludf.DUMMYFUNCTION("IFERROR(VLOOKUP(A2917, IMPORTRANGE(""https://docs.google.com/spreadsheets/d/1-3Vjw2Cyy-mry5gbC8ypIR3YVGFfEpyFESummAta6sg/edit"", ""Sheet1!B:D""), 3, FALSE), ""Not Found"")"),"p ɛ l t ")</f>
        <v>p ɛ l t </v>
      </c>
    </row>
    <row r="2918">
      <c r="A2918" s="1" t="s">
        <v>2919</v>
      </c>
      <c r="B2918" s="1" t="s">
        <v>5</v>
      </c>
      <c r="C2918" s="2">
        <f>IFERROR(__xludf.DUMMYFUNCTION("IFERROR(VLOOKUP(A2918, IMPORTRANGE(""https://docs.google.com/spreadsheets/d/1AVX9GT0dgogEBStecCXMMQ29tWz3gBrtNB8yIromXbY/edit?gid=741673867"", ""out1g!A:B""), 2, FALSE), 0)"),636.0)</f>
        <v>636</v>
      </c>
      <c r="D2918" s="2" t="str">
        <f>IFERROR(__xludf.DUMMYFUNCTION("IFERROR(VLOOKUP(A2918, IMPORTRANGE(""https://docs.google.com/spreadsheets/d/1-3Vjw2Cyy-mry5gbC8ypIR3YVGFfEpyFESummAta6sg/edit"", ""Sheet1!B:D""), 2, FALSE), ""Not Found"")"),"ʤərmənz")</f>
        <v>ʤərmənz</v>
      </c>
      <c r="E2918" s="2" t="str">
        <f>IFERROR(__xludf.DUMMYFUNCTION("IFERROR(VLOOKUP(A2918, IMPORTRANGE(""https://docs.google.com/spreadsheets/d/1-3Vjw2Cyy-mry5gbC8ypIR3YVGFfEpyFESummAta6sg/edit"", ""Sheet1!B:D""), 3, FALSE), ""Not Found"")"),"ʤ ə r m ə n z ")</f>
        <v>ʤ ə r m ə n z </v>
      </c>
    </row>
    <row r="2919">
      <c r="A2919" s="1" t="s">
        <v>2920</v>
      </c>
      <c r="B2919" s="1" t="s">
        <v>5</v>
      </c>
      <c r="C2919" s="2">
        <f>IFERROR(__xludf.DUMMYFUNCTION("IFERROR(VLOOKUP(A2919, IMPORTRANGE(""https://docs.google.com/spreadsheets/d/1AVX9GT0dgogEBStecCXMMQ29tWz3gBrtNB8yIromXbY/edit?gid=741673867"", ""out1g!A:B""), 2, FALSE), 0)"),105.0)</f>
        <v>105</v>
      </c>
      <c r="D2919" s="2" t="str">
        <f>IFERROR(__xludf.DUMMYFUNCTION("IFERROR(VLOOKUP(A2919, IMPORTRANGE(""https://docs.google.com/spreadsheets/d/1-3Vjw2Cyy-mry5gbC8ypIR3YVGFfEpyFESummAta6sg/edit"", ""Sheet1!B:D""), 2, FALSE), ""Not Found"")"),"nilə")</f>
        <v>nilə</v>
      </c>
      <c r="E2919" s="2" t="str">
        <f>IFERROR(__xludf.DUMMYFUNCTION("IFERROR(VLOOKUP(A2919, IMPORTRANGE(""https://docs.google.com/spreadsheets/d/1-3Vjw2Cyy-mry5gbC8ypIR3YVGFfEpyFESummAta6sg/edit"", ""Sheet1!B:D""), 3, FALSE), ""Not Found"")"),"n i l ə ")</f>
        <v>n i l ə </v>
      </c>
    </row>
    <row r="2920">
      <c r="A2920" s="1" t="s">
        <v>2921</v>
      </c>
      <c r="B2920" s="1" t="s">
        <v>5</v>
      </c>
      <c r="C2920" s="2">
        <f>IFERROR(__xludf.DUMMYFUNCTION("IFERROR(VLOOKUP(A2920, IMPORTRANGE(""https://docs.google.com/spreadsheets/d/1AVX9GT0dgogEBStecCXMMQ29tWz3gBrtNB8yIromXbY/edit?gid=741673867"", ""out1g!A:B""), 2, FALSE), 0)"),204.0)</f>
        <v>204</v>
      </c>
      <c r="D2920" s="2" t="str">
        <f>IFERROR(__xludf.DUMMYFUNCTION("IFERROR(VLOOKUP(A2920, IMPORTRANGE(""https://docs.google.com/spreadsheets/d/1-3Vjw2Cyy-mry5gbC8ypIR3YVGFfEpyFESummAta6sg/edit"", ""Sheet1!B:D""), 2, FALSE), ""Not Found"")"),"retɪŋz")</f>
        <v>retɪŋz</v>
      </c>
      <c r="E2920" s="2" t="str">
        <f>IFERROR(__xludf.DUMMYFUNCTION("IFERROR(VLOOKUP(A2920, IMPORTRANGE(""https://docs.google.com/spreadsheets/d/1-3Vjw2Cyy-mry5gbC8ypIR3YVGFfEpyFESummAta6sg/edit"", ""Sheet1!B:D""), 3, FALSE), ""Not Found"")"),"r e t ɪ ŋ z ")</f>
        <v>r e t ɪ ŋ z </v>
      </c>
    </row>
    <row r="2921">
      <c r="A2921" s="1" t="s">
        <v>2922</v>
      </c>
      <c r="B2921" s="1" t="s">
        <v>5</v>
      </c>
      <c r="C2921" s="2">
        <f>IFERROR(__xludf.DUMMYFUNCTION("IFERROR(VLOOKUP(A2921, IMPORTRANGE(""https://docs.google.com/spreadsheets/d/1AVX9GT0dgogEBStecCXMMQ29tWz3gBrtNB8yIromXbY/edit?gid=741673867"", ""out1g!A:B""), 2, FALSE), 0)"),273.0)</f>
        <v>273</v>
      </c>
      <c r="D2921" s="2" t="str">
        <f>IFERROR(__xludf.DUMMYFUNCTION("IFERROR(VLOOKUP(A2921, IMPORTRANGE(""https://docs.google.com/spreadsheets/d/1-3Vjw2Cyy-mry5gbC8ypIR3YVGFfEpyFESummAta6sg/edit"", ""Sheet1!B:D""), 2, FALSE), ""Not Found"")"),"hɛlm")</f>
        <v>hɛlm</v>
      </c>
      <c r="E2921" s="2" t="str">
        <f>IFERROR(__xludf.DUMMYFUNCTION("IFERROR(VLOOKUP(A2921, IMPORTRANGE(""https://docs.google.com/spreadsheets/d/1-3Vjw2Cyy-mry5gbC8ypIR3YVGFfEpyFESummAta6sg/edit"", ""Sheet1!B:D""), 3, FALSE), ""Not Found"")"),"h ɛ l m ")</f>
        <v>h ɛ l m </v>
      </c>
    </row>
    <row r="2922">
      <c r="A2922" s="1" t="s">
        <v>2923</v>
      </c>
      <c r="B2922" s="1" t="s">
        <v>5</v>
      </c>
      <c r="C2922" s="2">
        <f>IFERROR(__xludf.DUMMYFUNCTION("IFERROR(VLOOKUP(A2922, IMPORTRANGE(""https://docs.google.com/spreadsheets/d/1AVX9GT0dgogEBStecCXMMQ29tWz3gBrtNB8yIromXbY/edit?gid=741673867"", ""out1g!A:B""), 2, FALSE), 0)"),1573.0)</f>
        <v>1573</v>
      </c>
      <c r="D2922" s="2" t="str">
        <f>IFERROR(__xludf.DUMMYFUNCTION("IFERROR(VLOOKUP(A2922, IMPORTRANGE(""https://docs.google.com/spreadsheets/d/1-3Vjw2Cyy-mry5gbC8ypIR3YVGFfEpyFESummAta6sg/edit"", ""Sheet1!B:D""), 2, FALSE), ""Not Found"")"),"spɛr")</f>
        <v>spɛr</v>
      </c>
      <c r="E2922" s="2" t="str">
        <f>IFERROR(__xludf.DUMMYFUNCTION("IFERROR(VLOOKUP(A2922, IMPORTRANGE(""https://docs.google.com/spreadsheets/d/1-3Vjw2Cyy-mry5gbC8ypIR3YVGFfEpyFESummAta6sg/edit"", ""Sheet1!B:D""), 3, FALSE), ""Not Found"")"),"s p ɛ r ")</f>
        <v>s p ɛ r </v>
      </c>
    </row>
    <row r="2923">
      <c r="A2923" s="1" t="s">
        <v>2924</v>
      </c>
      <c r="B2923" s="1" t="s">
        <v>5</v>
      </c>
      <c r="C2923" s="2">
        <f>IFERROR(__xludf.DUMMYFUNCTION("IFERROR(VLOOKUP(A2923, IMPORTRANGE(""https://docs.google.com/spreadsheets/d/1AVX9GT0dgogEBStecCXMMQ29tWz3gBrtNB8yIromXbY/edit?gid=741673867"", ""out1g!A:B""), 2, FALSE), 0)"),1516.0)</f>
        <v>1516</v>
      </c>
      <c r="D2923" s="2" t="str">
        <f>IFERROR(__xludf.DUMMYFUNCTION("IFERROR(VLOOKUP(A2923, IMPORTRANGE(""https://docs.google.com/spreadsheets/d/1-3Vjw2Cyy-mry5gbC8ypIR3YVGFfEpyFESummAta6sg/edit"", ""Sheet1!B:D""), 2, FALSE), ""Not Found"")"),"ɛnər")</f>
        <v>ɛnər</v>
      </c>
      <c r="E2923" s="2" t="str">
        <f>IFERROR(__xludf.DUMMYFUNCTION("IFERROR(VLOOKUP(A2923, IMPORTRANGE(""https://docs.google.com/spreadsheets/d/1-3Vjw2Cyy-mry5gbC8ypIR3YVGFfEpyFESummAta6sg/edit"", ""Sheet1!B:D""), 3, FALSE), ""Not Found"")"),"ɛ n ə r ")</f>
        <v>ɛ n ə r </v>
      </c>
    </row>
    <row r="2924">
      <c r="A2924" s="1" t="s">
        <v>2925</v>
      </c>
      <c r="B2924" s="1" t="s">
        <v>5</v>
      </c>
      <c r="C2924" s="2">
        <f>IFERROR(__xludf.DUMMYFUNCTION("IFERROR(VLOOKUP(A2924, IMPORTRANGE(""https://docs.google.com/spreadsheets/d/1AVX9GT0dgogEBStecCXMMQ29tWz3gBrtNB8yIromXbY/edit?gid=741673867"", ""out1g!A:B""), 2, FALSE), 0)"),51.0)</f>
        <v>51</v>
      </c>
      <c r="D2924" s="2" t="str">
        <f>IFERROR(__xludf.DUMMYFUNCTION("IFERROR(VLOOKUP(A2924, IMPORTRANGE(""https://docs.google.com/spreadsheets/d/1-3Vjw2Cyy-mry5gbC8ypIR3YVGFfEpyFESummAta6sg/edit"", ""Sheet1!B:D""), 2, FALSE), ""Not Found"")"),"sməʤ")</f>
        <v>sməʤ</v>
      </c>
      <c r="E2924" s="2" t="str">
        <f>IFERROR(__xludf.DUMMYFUNCTION("IFERROR(VLOOKUP(A2924, IMPORTRANGE(""https://docs.google.com/spreadsheets/d/1-3Vjw2Cyy-mry5gbC8ypIR3YVGFfEpyFESummAta6sg/edit"", ""Sheet1!B:D""), 3, FALSE), ""Not Found"")"),"s m ə ʤ ")</f>
        <v>s m ə ʤ </v>
      </c>
    </row>
    <row r="2925">
      <c r="A2925" s="1" t="s">
        <v>2926</v>
      </c>
      <c r="B2925" s="1" t="s">
        <v>5</v>
      </c>
      <c r="C2925" s="2">
        <f>IFERROR(__xludf.DUMMYFUNCTION("IFERROR(VLOOKUP(A2925, IMPORTRANGE(""https://docs.google.com/spreadsheets/d/1AVX9GT0dgogEBStecCXMMQ29tWz3gBrtNB8yIromXbY/edit?gid=741673867"", ""out1g!A:B""), 2, FALSE), 0)"),146.0)</f>
        <v>146</v>
      </c>
      <c r="D2925" s="2" t="str">
        <f>IFERROR(__xludf.DUMMYFUNCTION("IFERROR(VLOOKUP(A2925, IMPORTRANGE(""https://docs.google.com/spreadsheets/d/1-3Vjw2Cyy-mry5gbC8ypIR3YVGFfEpyFESummAta6sg/edit"", ""Sheet1!B:D""), 2, FALSE), ""Not Found"")"),"kətlər")</f>
        <v>kətlər</v>
      </c>
      <c r="E2925" s="2" t="str">
        <f>IFERROR(__xludf.DUMMYFUNCTION("IFERROR(VLOOKUP(A2925, IMPORTRANGE(""https://docs.google.com/spreadsheets/d/1-3Vjw2Cyy-mry5gbC8ypIR3YVGFfEpyFESummAta6sg/edit"", ""Sheet1!B:D""), 3, FALSE), ""Not Found"")"),"k ə t l ə r ")</f>
        <v>k ə t l ə r </v>
      </c>
    </row>
    <row r="2926">
      <c r="A2926" s="1" t="s">
        <v>2927</v>
      </c>
      <c r="B2926" s="1" t="s">
        <v>5</v>
      </c>
      <c r="C2926" s="2">
        <f>IFERROR(__xludf.DUMMYFUNCTION("IFERROR(VLOOKUP(A2926, IMPORTRANGE(""https://docs.google.com/spreadsheets/d/1AVX9GT0dgogEBStecCXMMQ29tWz3gBrtNB8yIromXbY/edit?gid=741673867"", ""out1g!A:B""), 2, FALSE), 0)"),66.0)</f>
        <v>66</v>
      </c>
      <c r="D2926" s="2" t="str">
        <f>IFERROR(__xludf.DUMMYFUNCTION("IFERROR(VLOOKUP(A2926, IMPORTRANGE(""https://docs.google.com/spreadsheets/d/1-3Vjw2Cyy-mry5gbC8ypIR3YVGFfEpyFESummAta6sg/edit"", ""Sheet1!B:D""), 2, FALSE), ""Not Found"")"),"pæp")</f>
        <v>pæp</v>
      </c>
      <c r="E2926" s="2" t="str">
        <f>IFERROR(__xludf.DUMMYFUNCTION("IFERROR(VLOOKUP(A2926, IMPORTRANGE(""https://docs.google.com/spreadsheets/d/1-3Vjw2Cyy-mry5gbC8ypIR3YVGFfEpyFESummAta6sg/edit"", ""Sheet1!B:D""), 3, FALSE), ""Not Found"")"),"p æ p ")</f>
        <v>p æ p </v>
      </c>
    </row>
    <row r="2927">
      <c r="A2927" s="1" t="s">
        <v>2928</v>
      </c>
      <c r="B2927" s="1" t="s">
        <v>5</v>
      </c>
      <c r="C2927" s="2">
        <f>IFERROR(__xludf.DUMMYFUNCTION("IFERROR(VLOOKUP(A2927, IMPORTRANGE(""https://docs.google.com/spreadsheets/d/1AVX9GT0dgogEBStecCXMMQ29tWz3gBrtNB8yIromXbY/edit?gid=741673867"", ""out1g!A:B""), 2, FALSE), 0)"),519.0)</f>
        <v>519</v>
      </c>
      <c r="D2927" s="2" t="str">
        <f>IFERROR(__xludf.DUMMYFUNCTION("IFERROR(VLOOKUP(A2927, IMPORTRANGE(""https://docs.google.com/spreadsheets/d/1-3Vjw2Cyy-mry5gbC8ypIR3YVGFfEpyFESummAta6sg/edit"", ""Sheet1!B:D""), 2, FALSE), ""Not Found"")"),"liɑn")</f>
        <v>liɑn</v>
      </c>
      <c r="E2927" s="2" t="str">
        <f>IFERROR(__xludf.DUMMYFUNCTION("IFERROR(VLOOKUP(A2927, IMPORTRANGE(""https://docs.google.com/spreadsheets/d/1-3Vjw2Cyy-mry5gbC8ypIR3YVGFfEpyFESummAta6sg/edit"", ""Sheet1!B:D""), 3, FALSE), ""Not Found"")"),"l i ɑ n ")</f>
        <v>l i ɑ n </v>
      </c>
    </row>
    <row r="2928">
      <c r="A2928" s="1" t="s">
        <v>2929</v>
      </c>
      <c r="B2928" s="1" t="s">
        <v>5</v>
      </c>
      <c r="C2928" s="2">
        <f>IFERROR(__xludf.DUMMYFUNCTION("IFERROR(VLOOKUP(A2928, IMPORTRANGE(""https://docs.google.com/spreadsheets/d/1AVX9GT0dgogEBStecCXMMQ29tWz3gBrtNB8yIromXbY/edit?gid=741673867"", ""out1g!A:B""), 2, FALSE), 0)"),1321.0)</f>
        <v>1321</v>
      </c>
      <c r="D2928" s="2" t="str">
        <f>IFERROR(__xludf.DUMMYFUNCTION("IFERROR(VLOOKUP(A2928, IMPORTRANGE(""https://docs.google.com/spreadsheets/d/1-3Vjw2Cyy-mry5gbC8ypIR3YVGFfEpyFESummAta6sg/edit"", ""Sheet1!B:D""), 2, FALSE), ""Not Found"")"),"luɪs")</f>
        <v>luɪs</v>
      </c>
      <c r="E2928" s="2" t="str">
        <f>IFERROR(__xludf.DUMMYFUNCTION("IFERROR(VLOOKUP(A2928, IMPORTRANGE(""https://docs.google.com/spreadsheets/d/1-3Vjw2Cyy-mry5gbC8ypIR3YVGFfEpyFESummAta6sg/edit"", ""Sheet1!B:D""), 3, FALSE), ""Not Found"")"),"l u ɪ s ")</f>
        <v>l u ɪ s </v>
      </c>
    </row>
    <row r="2929">
      <c r="A2929" s="1" t="s">
        <v>2930</v>
      </c>
      <c r="B2929" s="1" t="s">
        <v>5</v>
      </c>
      <c r="C2929" s="2">
        <f>IFERROR(__xludf.DUMMYFUNCTION("IFERROR(VLOOKUP(A2929, IMPORTRANGE(""https://docs.google.com/spreadsheets/d/1AVX9GT0dgogEBStecCXMMQ29tWz3gBrtNB8yIromXbY/edit?gid=741673867"", ""out1g!A:B""), 2, FALSE), 0)"),169.0)</f>
        <v>169</v>
      </c>
      <c r="D2929" s="2" t="str">
        <f>IFERROR(__xludf.DUMMYFUNCTION("IFERROR(VLOOKUP(A2929, IMPORTRANGE(""https://docs.google.com/spreadsheets/d/1-3Vjw2Cyy-mry5gbC8ypIR3YVGFfEpyFESummAta6sg/edit"", ""Sheet1!B:D""), 2, FALSE), ""Not Found"")"),"ɔɪ")</f>
        <v>ɔɪ</v>
      </c>
      <c r="E2929" s="2" t="str">
        <f>IFERROR(__xludf.DUMMYFUNCTION("IFERROR(VLOOKUP(A2929, IMPORTRANGE(""https://docs.google.com/spreadsheets/d/1-3Vjw2Cyy-mry5gbC8ypIR3YVGFfEpyFESummAta6sg/edit"", ""Sheet1!B:D""), 3, FALSE), ""Not Found"")"),"ɔ ɪ ")</f>
        <v>ɔ ɪ </v>
      </c>
    </row>
    <row r="2930">
      <c r="A2930" s="1" t="s">
        <v>2931</v>
      </c>
      <c r="B2930" s="1" t="s">
        <v>5</v>
      </c>
      <c r="C2930" s="2">
        <f>IFERROR(__xludf.DUMMYFUNCTION("IFERROR(VLOOKUP(A2930, IMPORTRANGE(""https://docs.google.com/spreadsheets/d/1AVX9GT0dgogEBStecCXMMQ29tWz3gBrtNB8yIromXbY/edit?gid=741673867"", ""out1g!A:B""), 2, FALSE), 0)"),439.0)</f>
        <v>439</v>
      </c>
      <c r="D2930" s="2" t="str">
        <f>IFERROR(__xludf.DUMMYFUNCTION("IFERROR(VLOOKUP(A2930, IMPORTRANGE(""https://docs.google.com/spreadsheets/d/1-3Vjw2Cyy-mry5gbC8ypIR3YVGFfEpyFESummAta6sg/edit"", ""Sheet1!B:D""), 2, FALSE), ""Not Found"")"),"tæn")</f>
        <v>tæn</v>
      </c>
      <c r="E2930" s="2" t="str">
        <f>IFERROR(__xludf.DUMMYFUNCTION("IFERROR(VLOOKUP(A2930, IMPORTRANGE(""https://docs.google.com/spreadsheets/d/1-3Vjw2Cyy-mry5gbC8ypIR3YVGFfEpyFESummAta6sg/edit"", ""Sheet1!B:D""), 3, FALSE), ""Not Found"")"),"t æ n ")</f>
        <v>t æ n </v>
      </c>
    </row>
    <row r="2931">
      <c r="A2931" s="1" t="s">
        <v>2932</v>
      </c>
      <c r="B2931" s="1" t="s">
        <v>5</v>
      </c>
      <c r="C2931" s="2">
        <f>IFERROR(__xludf.DUMMYFUNCTION("IFERROR(VLOOKUP(A2931, IMPORTRANGE(""https://docs.google.com/spreadsheets/d/1AVX9GT0dgogEBStecCXMMQ29tWz3gBrtNB8yIromXbY/edit?gid=741673867"", ""out1g!A:B""), 2, FALSE), 0)"),276.0)</f>
        <v>276</v>
      </c>
      <c r="D2931" s="2" t="str">
        <f>IFERROR(__xludf.DUMMYFUNCTION("IFERROR(VLOOKUP(A2931, IMPORTRANGE(""https://docs.google.com/spreadsheets/d/1-3Vjw2Cyy-mry5gbC8ypIR3YVGFfEpyFESummAta6sg/edit"", ""Sheet1!B:D""), 2, FALSE), ""Not Found"")"),"təfər")</f>
        <v>təfər</v>
      </c>
      <c r="E2931" s="2" t="str">
        <f>IFERROR(__xludf.DUMMYFUNCTION("IFERROR(VLOOKUP(A2931, IMPORTRANGE(""https://docs.google.com/spreadsheets/d/1-3Vjw2Cyy-mry5gbC8ypIR3YVGFfEpyFESummAta6sg/edit"", ""Sheet1!B:D""), 3, FALSE), ""Not Found"")"),"t ə f ə r ")</f>
        <v>t ə f ə r </v>
      </c>
    </row>
    <row r="2932">
      <c r="A2932" s="1" t="s">
        <v>2933</v>
      </c>
      <c r="B2932" s="1" t="s">
        <v>5</v>
      </c>
      <c r="C2932" s="2">
        <f>IFERROR(__xludf.DUMMYFUNCTION("IFERROR(VLOOKUP(A2932, IMPORTRANGE(""https://docs.google.com/spreadsheets/d/1AVX9GT0dgogEBStecCXMMQ29tWz3gBrtNB8yIromXbY/edit?gid=741673867"", ""out1g!A:B""), 2, FALSE), 0)"),4118.0)</f>
        <v>4118</v>
      </c>
      <c r="D2932" s="2" t="str">
        <f>IFERROR(__xludf.DUMMYFUNCTION("IFERROR(VLOOKUP(A2932, IMPORTRANGE(""https://docs.google.com/spreadsheets/d/1-3Vjw2Cyy-mry5gbC8ypIR3YVGFfEpyFESummAta6sg/edit"", ""Sheet1!B:D""), 2, FALSE), ""Not Found"")"),"ɔt")</f>
        <v>ɔt</v>
      </c>
      <c r="E2932" s="2" t="str">
        <f>IFERROR(__xludf.DUMMYFUNCTION("IFERROR(VLOOKUP(A2932, IMPORTRANGE(""https://docs.google.com/spreadsheets/d/1-3Vjw2Cyy-mry5gbC8ypIR3YVGFfEpyFESummAta6sg/edit"", ""Sheet1!B:D""), 3, FALSE), ""Not Found"")"),"ɔ t ")</f>
        <v>ɔ t </v>
      </c>
    </row>
    <row r="2933">
      <c r="A2933" s="1" t="s">
        <v>2934</v>
      </c>
      <c r="B2933" s="1" t="s">
        <v>5</v>
      </c>
      <c r="C2933" s="2">
        <f>IFERROR(__xludf.DUMMYFUNCTION("IFERROR(VLOOKUP(A2933, IMPORTRANGE(""https://docs.google.com/spreadsheets/d/1AVX9GT0dgogEBStecCXMMQ29tWz3gBrtNB8yIromXbY/edit?gid=741673867"", ""out1g!A:B""), 2, FALSE), 0)"),1491.0)</f>
        <v>1491</v>
      </c>
      <c r="D2933" s="2" t="str">
        <f>IFERROR(__xludf.DUMMYFUNCTION("IFERROR(VLOOKUP(A2933, IMPORTRANGE(""https://docs.google.com/spreadsheets/d/1-3Vjw2Cyy-mry5gbC8ypIR3YVGFfEpyFESummAta6sg/edit"", ""Sheet1!B:D""), 2, FALSE), ""Not Found"")"),"koʊl")</f>
        <v>koʊl</v>
      </c>
      <c r="E2933" s="2" t="str">
        <f>IFERROR(__xludf.DUMMYFUNCTION("IFERROR(VLOOKUP(A2933, IMPORTRANGE(""https://docs.google.com/spreadsheets/d/1-3Vjw2Cyy-mry5gbC8ypIR3YVGFfEpyFESummAta6sg/edit"", ""Sheet1!B:D""), 3, FALSE), ""Not Found"")"),"k o ʊ l ")</f>
        <v>k o ʊ l </v>
      </c>
    </row>
    <row r="2934">
      <c r="A2934" s="1" t="s">
        <v>2935</v>
      </c>
      <c r="B2934" s="1" t="s">
        <v>5</v>
      </c>
      <c r="C2934" s="2">
        <f>IFERROR(__xludf.DUMMYFUNCTION("IFERROR(VLOOKUP(A2934, IMPORTRANGE(""https://docs.google.com/spreadsheets/d/1AVX9GT0dgogEBStecCXMMQ29tWz3gBrtNB8yIromXbY/edit?gid=741673867"", ""out1g!A:B""), 2, FALSE), 0)"),10255.0)</f>
        <v>10255</v>
      </c>
      <c r="D2934" s="2" t="str">
        <f>IFERROR(__xludf.DUMMYFUNCTION("IFERROR(VLOOKUP(A2934, IMPORTRANGE(""https://docs.google.com/spreadsheets/d/1-3Vjw2Cyy-mry5gbC8ypIR3YVGFfEpyFESummAta6sg/edit"", ""Sheet1!B:D""), 2, FALSE), ""Not Found"")"),"faɪt")</f>
        <v>faɪt</v>
      </c>
      <c r="E2934" s="2" t="str">
        <f>IFERROR(__xludf.DUMMYFUNCTION("IFERROR(VLOOKUP(A2934, IMPORTRANGE(""https://docs.google.com/spreadsheets/d/1-3Vjw2Cyy-mry5gbC8ypIR3YVGFfEpyFESummAta6sg/edit"", ""Sheet1!B:D""), 3, FALSE), ""Not Found"")"),"f a ɪ t ")</f>
        <v>f a ɪ t </v>
      </c>
    </row>
    <row r="2935">
      <c r="A2935" s="1" t="s">
        <v>2936</v>
      </c>
      <c r="B2935" s="1" t="s">
        <v>5</v>
      </c>
      <c r="C2935" s="2">
        <f>IFERROR(__xludf.DUMMYFUNCTION("IFERROR(VLOOKUP(A2935, IMPORTRANGE(""https://docs.google.com/spreadsheets/d/1AVX9GT0dgogEBStecCXMMQ29tWz3gBrtNB8yIromXbY/edit?gid=741673867"", ""out1g!A:B""), 2, FALSE), 0)"),48.0)</f>
        <v>48</v>
      </c>
      <c r="D2935" s="2" t="str">
        <f>IFERROR(__xludf.DUMMYFUNCTION("IFERROR(VLOOKUP(A2935, IMPORTRANGE(""https://docs.google.com/spreadsheets/d/1-3Vjw2Cyy-mry5gbC8ypIR3YVGFfEpyFESummAta6sg/edit"", ""Sheet1!B:D""), 2, FALSE), ""Not Found"")"),"bimd")</f>
        <v>bimd</v>
      </c>
      <c r="E2935" s="2" t="str">
        <f>IFERROR(__xludf.DUMMYFUNCTION("IFERROR(VLOOKUP(A2935, IMPORTRANGE(""https://docs.google.com/spreadsheets/d/1-3Vjw2Cyy-mry5gbC8ypIR3YVGFfEpyFESummAta6sg/edit"", ""Sheet1!B:D""), 3, FALSE), ""Not Found"")"),"b i m d ")</f>
        <v>b i m d </v>
      </c>
    </row>
    <row r="2936">
      <c r="A2936" s="1" t="s">
        <v>2937</v>
      </c>
      <c r="B2936" s="1" t="s">
        <v>5</v>
      </c>
      <c r="C2936" s="2">
        <f>IFERROR(__xludf.DUMMYFUNCTION("IFERROR(VLOOKUP(A2936, IMPORTRANGE(""https://docs.google.com/spreadsheets/d/1AVX9GT0dgogEBStecCXMMQ29tWz3gBrtNB8yIromXbY/edit?gid=741673867"", ""out1g!A:B""), 2, FALSE), 0)"),62.0)</f>
        <v>62</v>
      </c>
      <c r="D2936" s="2" t="str">
        <f>IFERROR(__xludf.DUMMYFUNCTION("IFERROR(VLOOKUP(A2936, IMPORTRANGE(""https://docs.google.com/spreadsheets/d/1-3Vjw2Cyy-mry5gbC8ypIR3YVGFfEpyFESummAta6sg/edit"", ""Sheet1!B:D""), 2, FALSE), ""Not Found"")"),"hlɑ")</f>
        <v>hlɑ</v>
      </c>
      <c r="E2936" s="2" t="str">
        <f>IFERROR(__xludf.DUMMYFUNCTION("IFERROR(VLOOKUP(A2936, IMPORTRANGE(""https://docs.google.com/spreadsheets/d/1-3Vjw2Cyy-mry5gbC8ypIR3YVGFfEpyFESummAta6sg/edit"", ""Sheet1!B:D""), 3, FALSE), ""Not Found"")"),"h l ɑ ")</f>
        <v>h l ɑ </v>
      </c>
    </row>
    <row r="2937">
      <c r="A2937" s="1" t="s">
        <v>2938</v>
      </c>
      <c r="B2937" s="1" t="s">
        <v>5</v>
      </c>
      <c r="C2937" s="2">
        <f>IFERROR(__xludf.DUMMYFUNCTION("IFERROR(VLOOKUP(A2937, IMPORTRANGE(""https://docs.google.com/spreadsheets/d/1AVX9GT0dgogEBStecCXMMQ29tWz3gBrtNB8yIromXbY/edit?gid=741673867"", ""out1g!A:B""), 2, FALSE), 0)"),47.0)</f>
        <v>47</v>
      </c>
      <c r="D2937" s="2" t="str">
        <f>IFERROR(__xludf.DUMMYFUNCTION("IFERROR(VLOOKUP(A2937, IMPORTRANGE(""https://docs.google.com/spreadsheets/d/1-3Vjw2Cyy-mry5gbC8ypIR3YVGFfEpyFESummAta6sg/edit"", ""Sheet1!B:D""), 2, FALSE), ""Not Found"")"),"spɪlər")</f>
        <v>spɪlər</v>
      </c>
      <c r="E2937" s="2" t="str">
        <f>IFERROR(__xludf.DUMMYFUNCTION("IFERROR(VLOOKUP(A2937, IMPORTRANGE(""https://docs.google.com/spreadsheets/d/1-3Vjw2Cyy-mry5gbC8ypIR3YVGFfEpyFESummAta6sg/edit"", ""Sheet1!B:D""), 3, FALSE), ""Not Found"")"),"s p ɪ l ə r ")</f>
        <v>s p ɪ l ə r </v>
      </c>
    </row>
    <row r="2938">
      <c r="A2938" s="1" t="s">
        <v>2939</v>
      </c>
      <c r="B2938" s="1" t="s">
        <v>5</v>
      </c>
      <c r="C2938" s="2">
        <f>IFERROR(__xludf.DUMMYFUNCTION("IFERROR(VLOOKUP(A2938, IMPORTRANGE(""https://docs.google.com/spreadsheets/d/1AVX9GT0dgogEBStecCXMMQ29tWz3gBrtNB8yIromXbY/edit?gid=741673867"", ""out1g!A:B""), 2, FALSE), 0)"),591.0)</f>
        <v>591</v>
      </c>
      <c r="D2938" s="2" t="str">
        <f>IFERROR(__xludf.DUMMYFUNCTION("IFERROR(VLOOKUP(A2938, IMPORTRANGE(""https://docs.google.com/spreadsheets/d/1-3Vjw2Cyy-mry5gbC8ypIR3YVGFfEpyFESummAta6sg/edit"", ""Sheet1!B:D""), 2, FALSE), ""Not Found"")"),"hæm")</f>
        <v>hæm</v>
      </c>
      <c r="E2938" s="2" t="str">
        <f>IFERROR(__xludf.DUMMYFUNCTION("IFERROR(VLOOKUP(A2938, IMPORTRANGE(""https://docs.google.com/spreadsheets/d/1-3Vjw2Cyy-mry5gbC8ypIR3YVGFfEpyFESummAta6sg/edit"", ""Sheet1!B:D""), 3, FALSE), ""Not Found"")"),"h æ m ")</f>
        <v>h æ m </v>
      </c>
    </row>
    <row r="2939">
      <c r="A2939" s="1" t="s">
        <v>2940</v>
      </c>
      <c r="B2939" s="1" t="s">
        <v>5</v>
      </c>
      <c r="C2939" s="2">
        <f>IFERROR(__xludf.DUMMYFUNCTION("IFERROR(VLOOKUP(A2939, IMPORTRANGE(""https://docs.google.com/spreadsheets/d/1AVX9GT0dgogEBStecCXMMQ29tWz3gBrtNB8yIromXbY/edit?gid=741673867"", ""out1g!A:B""), 2, FALSE), 0)"),240.0)</f>
        <v>240</v>
      </c>
      <c r="D2939" s="2" t="str">
        <f>IFERROR(__xludf.DUMMYFUNCTION("IFERROR(VLOOKUP(A2939, IMPORTRANGE(""https://docs.google.com/spreadsheets/d/1-3Vjw2Cyy-mry5gbC8ypIR3YVGFfEpyFESummAta6sg/edit"", ""Sheet1!B:D""), 2, FALSE), ""Not Found"")"),"ræft")</f>
        <v>ræft</v>
      </c>
      <c r="E2939" s="2" t="str">
        <f>IFERROR(__xludf.DUMMYFUNCTION("IFERROR(VLOOKUP(A2939, IMPORTRANGE(""https://docs.google.com/spreadsheets/d/1-3Vjw2Cyy-mry5gbC8ypIR3YVGFfEpyFESummAta6sg/edit"", ""Sheet1!B:D""), 3, FALSE), ""Not Found"")"),"r æ f t ")</f>
        <v>r æ f t </v>
      </c>
    </row>
    <row r="2940">
      <c r="A2940" s="1" t="s">
        <v>2941</v>
      </c>
      <c r="B2940" s="1" t="s">
        <v>5</v>
      </c>
      <c r="C2940" s="2">
        <f>IFERROR(__xludf.DUMMYFUNCTION("IFERROR(VLOOKUP(A2940, IMPORTRANGE(""https://docs.google.com/spreadsheets/d/1AVX9GT0dgogEBStecCXMMQ29tWz3gBrtNB8yIromXbY/edit?gid=741673867"", ""out1g!A:B""), 2, FALSE), 0)"),438.0)</f>
        <v>438</v>
      </c>
      <c r="D2940" s="2" t="str">
        <f>IFERROR(__xludf.DUMMYFUNCTION("IFERROR(VLOOKUP(A2940, IMPORTRANGE(""https://docs.google.com/spreadsheets/d/1-3Vjw2Cyy-mry5gbC8ypIR3YVGFfEpyFESummAta6sg/edit"", ""Sheet1!B:D""), 2, FALSE), ""Not Found"")"),"pɛti")</f>
        <v>pɛti</v>
      </c>
      <c r="E2940" s="2" t="str">
        <f>IFERROR(__xludf.DUMMYFUNCTION("IFERROR(VLOOKUP(A2940, IMPORTRANGE(""https://docs.google.com/spreadsheets/d/1-3Vjw2Cyy-mry5gbC8ypIR3YVGFfEpyFESummAta6sg/edit"", ""Sheet1!B:D""), 3, FALSE), ""Not Found"")"),"p ɛ t i ")</f>
        <v>p ɛ t i </v>
      </c>
    </row>
    <row r="2941">
      <c r="A2941" s="1" t="s">
        <v>2942</v>
      </c>
      <c r="B2941" s="1" t="s">
        <v>5</v>
      </c>
      <c r="C2941" s="2">
        <f>IFERROR(__xludf.DUMMYFUNCTION("IFERROR(VLOOKUP(A2941, IMPORTRANGE(""https://docs.google.com/spreadsheets/d/1AVX9GT0dgogEBStecCXMMQ29tWz3gBrtNB8yIromXbY/edit?gid=741673867"", ""out1g!A:B""), 2, FALSE), 0)"),55.0)</f>
        <v>55</v>
      </c>
      <c r="D2941" s="2" t="str">
        <f>IFERROR(__xludf.DUMMYFUNCTION("IFERROR(VLOOKUP(A2941, IMPORTRANGE(""https://docs.google.com/spreadsheets/d/1-3Vjw2Cyy-mry5gbC8ypIR3YVGFfEpyFESummAta6sg/edit"", ""Sheet1!B:D""), 2, FALSE), ""Not Found"")"),"dəb")</f>
        <v>dəb</v>
      </c>
      <c r="E2941" s="2" t="str">
        <f>IFERROR(__xludf.DUMMYFUNCTION("IFERROR(VLOOKUP(A2941, IMPORTRANGE(""https://docs.google.com/spreadsheets/d/1-3Vjw2Cyy-mry5gbC8ypIR3YVGFfEpyFESummAta6sg/edit"", ""Sheet1!B:D""), 3, FALSE), ""Not Found"")"),"d ə b ")</f>
        <v>d ə b </v>
      </c>
    </row>
    <row r="2942">
      <c r="A2942" s="1" t="s">
        <v>2943</v>
      </c>
      <c r="B2942" s="1" t="s">
        <v>5</v>
      </c>
      <c r="C2942" s="2">
        <f>IFERROR(__xludf.DUMMYFUNCTION("IFERROR(VLOOKUP(A2942, IMPORTRANGE(""https://docs.google.com/spreadsheets/d/1AVX9GT0dgogEBStecCXMMQ29tWz3gBrtNB8yIromXbY/edit?gid=741673867"", ""out1g!A:B""), 2, FALSE), 0)"),549.0)</f>
        <v>549</v>
      </c>
      <c r="D2942" s="2" t="str">
        <f>IFERROR(__xludf.DUMMYFUNCTION("IFERROR(VLOOKUP(A2942, IMPORTRANGE(""https://docs.google.com/spreadsheets/d/1-3Vjw2Cyy-mry5gbC8ypIR3YVGFfEpyFESummAta6sg/edit"", ""Sheet1!B:D""), 2, FALSE), ""Not Found"")"),"bɪts")</f>
        <v>bɪts</v>
      </c>
      <c r="E2942" s="2" t="str">
        <f>IFERROR(__xludf.DUMMYFUNCTION("IFERROR(VLOOKUP(A2942, IMPORTRANGE(""https://docs.google.com/spreadsheets/d/1-3Vjw2Cyy-mry5gbC8ypIR3YVGFfEpyFESummAta6sg/edit"", ""Sheet1!B:D""), 3, FALSE), ""Not Found"")"),"b ɪ t s ")</f>
        <v>b ɪ t s </v>
      </c>
    </row>
    <row r="2943">
      <c r="A2943" s="1" t="s">
        <v>2944</v>
      </c>
      <c r="B2943" s="1" t="s">
        <v>5</v>
      </c>
      <c r="C2943" s="2">
        <f>IFERROR(__xludf.DUMMYFUNCTION("IFERROR(VLOOKUP(A2943, IMPORTRANGE(""https://docs.google.com/spreadsheets/d/1AVX9GT0dgogEBStecCXMMQ29tWz3gBrtNB8yIromXbY/edit?gid=741673867"", ""out1g!A:B""), 2, FALSE), 0)"),379.0)</f>
        <v>379</v>
      </c>
      <c r="D2943" s="2" t="str">
        <f>IFERROR(__xludf.DUMMYFUNCTION("IFERROR(VLOOKUP(A2943, IMPORTRANGE(""https://docs.google.com/spreadsheets/d/1-3Vjw2Cyy-mry5gbC8ypIR3YVGFfEpyFESummAta6sg/edit"", ""Sheet1!B:D""), 2, FALSE), ""Not Found"")"),"beðɪŋ")</f>
        <v>beðɪŋ</v>
      </c>
      <c r="E2943" s="2" t="str">
        <f>IFERROR(__xludf.DUMMYFUNCTION("IFERROR(VLOOKUP(A2943, IMPORTRANGE(""https://docs.google.com/spreadsheets/d/1-3Vjw2Cyy-mry5gbC8ypIR3YVGFfEpyFESummAta6sg/edit"", ""Sheet1!B:D""), 3, FALSE), ""Not Found"")"),"b e ð ɪ ŋ ")</f>
        <v>b e ð ɪ ŋ </v>
      </c>
    </row>
    <row r="2944">
      <c r="A2944" s="1" t="s">
        <v>2945</v>
      </c>
      <c r="B2944" s="1" t="s">
        <v>5</v>
      </c>
      <c r="C2944" s="2">
        <f>IFERROR(__xludf.DUMMYFUNCTION("IFERROR(VLOOKUP(A2944, IMPORTRANGE(""https://docs.google.com/spreadsheets/d/1AVX9GT0dgogEBStecCXMMQ29tWz3gBrtNB8yIromXbY/edit?gid=741673867"", ""out1g!A:B""), 2, FALSE), 0)"),16.0)</f>
        <v>16</v>
      </c>
      <c r="D2944" s="2" t="str">
        <f>IFERROR(__xludf.DUMMYFUNCTION("IFERROR(VLOOKUP(A2944, IMPORTRANGE(""https://docs.google.com/spreadsheets/d/1-3Vjw2Cyy-mry5gbC8ypIR3YVGFfEpyFESummAta6sg/edit"", ""Sheet1!B:D""), 2, FALSE), ""Not Found"")"),"spɛlərz")</f>
        <v>spɛlərz</v>
      </c>
      <c r="E2944" s="2" t="str">
        <f>IFERROR(__xludf.DUMMYFUNCTION("IFERROR(VLOOKUP(A2944, IMPORTRANGE(""https://docs.google.com/spreadsheets/d/1-3Vjw2Cyy-mry5gbC8ypIR3YVGFfEpyFESummAta6sg/edit"", ""Sheet1!B:D""), 3, FALSE), ""Not Found"")"),"s p ɛ l ə r z ")</f>
        <v>s p ɛ l ə r z </v>
      </c>
    </row>
    <row r="2945">
      <c r="A2945" s="1" t="s">
        <v>2946</v>
      </c>
      <c r="B2945" s="1" t="s">
        <v>5</v>
      </c>
      <c r="C2945" s="2">
        <f>IFERROR(__xludf.DUMMYFUNCTION("IFERROR(VLOOKUP(A2945, IMPORTRANGE(""https://docs.google.com/spreadsheets/d/1AVX9GT0dgogEBStecCXMMQ29tWz3gBrtNB8yIromXbY/edit?gid=741673867"", ""out1g!A:B""), 2, FALSE), 0)"),892.0)</f>
        <v>892</v>
      </c>
      <c r="D2945" s="2" t="str">
        <f>IFERROR(__xludf.DUMMYFUNCTION("IFERROR(VLOOKUP(A2945, IMPORTRANGE(""https://docs.google.com/spreadsheets/d/1-3Vjw2Cyy-mry5gbC8ypIR3YVGFfEpyFESummAta6sg/edit"", ""Sheet1!B:D""), 2, FALSE), ""Not Found"")"),"dæfni")</f>
        <v>dæfni</v>
      </c>
      <c r="E2945" s="2" t="str">
        <f>IFERROR(__xludf.DUMMYFUNCTION("IFERROR(VLOOKUP(A2945, IMPORTRANGE(""https://docs.google.com/spreadsheets/d/1-3Vjw2Cyy-mry5gbC8ypIR3YVGFfEpyFESummAta6sg/edit"", ""Sheet1!B:D""), 3, FALSE), ""Not Found"")"),"d æ f n i ")</f>
        <v>d æ f n i </v>
      </c>
    </row>
    <row r="2946">
      <c r="A2946" s="1" t="s">
        <v>2947</v>
      </c>
      <c r="B2946" s="1" t="s">
        <v>5</v>
      </c>
      <c r="C2946" s="2">
        <f>IFERROR(__xludf.DUMMYFUNCTION("IFERROR(VLOOKUP(A2946, IMPORTRANGE(""https://docs.google.com/spreadsheets/d/1AVX9GT0dgogEBStecCXMMQ29tWz3gBrtNB8yIromXbY/edit?gid=741673867"", ""out1g!A:B""), 2, FALSE), 0)"),10.0)</f>
        <v>10</v>
      </c>
      <c r="D2946" s="2" t="str">
        <f>IFERROR(__xludf.DUMMYFUNCTION("IFERROR(VLOOKUP(A2946, IMPORTRANGE(""https://docs.google.com/spreadsheets/d/1-3Vjw2Cyy-mry5gbC8ypIR3YVGFfEpyFESummAta6sg/edit"", ""Sheet1!B:D""), 2, FALSE), ""Not Found"")"),"rɪv")</f>
        <v>rɪv</v>
      </c>
      <c r="E2946" s="2" t="str">
        <f>IFERROR(__xludf.DUMMYFUNCTION("IFERROR(VLOOKUP(A2946, IMPORTRANGE(""https://docs.google.com/spreadsheets/d/1-3Vjw2Cyy-mry5gbC8ypIR3YVGFfEpyFESummAta6sg/edit"", ""Sheet1!B:D""), 3, FALSE), ""Not Found"")"),"r ɪ v ")</f>
        <v>r ɪ v </v>
      </c>
    </row>
    <row r="2947">
      <c r="A2947" s="1" t="s">
        <v>2948</v>
      </c>
      <c r="B2947" s="1" t="s">
        <v>5</v>
      </c>
      <c r="C2947" s="2">
        <f>IFERROR(__xludf.DUMMYFUNCTION("IFERROR(VLOOKUP(A2947, IMPORTRANGE(""https://docs.google.com/spreadsheets/d/1AVX9GT0dgogEBStecCXMMQ29tWz3gBrtNB8yIromXbY/edit?gid=741673867"", ""out1g!A:B""), 2, FALSE), 0)"),89.0)</f>
        <v>89</v>
      </c>
      <c r="D2947" s="2" t="str">
        <f>IFERROR(__xludf.DUMMYFUNCTION("IFERROR(VLOOKUP(A2947, IMPORTRANGE(""https://docs.google.com/spreadsheets/d/1-3Vjw2Cyy-mry5gbC8ypIR3YVGFfEpyFESummAta6sg/edit"", ""Sheet1!B:D""), 2, FALSE), ""Not Found"")"),"fɑrs")</f>
        <v>fɑrs</v>
      </c>
      <c r="E2947" s="2" t="str">
        <f>IFERROR(__xludf.DUMMYFUNCTION("IFERROR(VLOOKUP(A2947, IMPORTRANGE(""https://docs.google.com/spreadsheets/d/1-3Vjw2Cyy-mry5gbC8ypIR3YVGFfEpyFESummAta6sg/edit"", ""Sheet1!B:D""), 3, FALSE), ""Not Found"")"),"f ɑ r s ")</f>
        <v>f ɑ r s </v>
      </c>
    </row>
    <row r="2948">
      <c r="A2948" s="1" t="s">
        <v>2949</v>
      </c>
      <c r="B2948" s="1" t="s">
        <v>5</v>
      </c>
      <c r="C2948" s="2">
        <f>IFERROR(__xludf.DUMMYFUNCTION("IFERROR(VLOOKUP(A2948, IMPORTRANGE(""https://docs.google.com/spreadsheets/d/1AVX9GT0dgogEBStecCXMMQ29tWz3gBrtNB8yIromXbY/edit?gid=741673867"", ""out1g!A:B""), 2, FALSE), 0)"),548.0)</f>
        <v>548</v>
      </c>
      <c r="D2948" s="2" t="str">
        <f>IFERROR(__xludf.DUMMYFUNCTION("IFERROR(VLOOKUP(A2948, IMPORTRANGE(""https://docs.google.com/spreadsheets/d/1-3Vjw2Cyy-mry5gbC8ypIR3YVGFfEpyFESummAta6sg/edit"", ""Sheet1!B:D""), 2, FALSE), ""Not Found"")"),"sæləri")</f>
        <v>sæləri</v>
      </c>
      <c r="E2948" s="2" t="str">
        <f>IFERROR(__xludf.DUMMYFUNCTION("IFERROR(VLOOKUP(A2948, IMPORTRANGE(""https://docs.google.com/spreadsheets/d/1-3Vjw2Cyy-mry5gbC8ypIR3YVGFfEpyFESummAta6sg/edit"", ""Sheet1!B:D""), 3, FALSE), ""Not Found"")"),"s æ l ə r i ")</f>
        <v>s æ l ə r i </v>
      </c>
    </row>
    <row r="2949">
      <c r="A2949" s="1" t="s">
        <v>2950</v>
      </c>
      <c r="B2949" s="1" t="s">
        <v>5</v>
      </c>
      <c r="C2949" s="2">
        <f>IFERROR(__xludf.DUMMYFUNCTION("IFERROR(VLOOKUP(A2949, IMPORTRANGE(""https://docs.google.com/spreadsheets/d/1AVX9GT0dgogEBStecCXMMQ29tWz3gBrtNB8yIromXbY/edit?gid=741673867"", ""out1g!A:B""), 2, FALSE), 0)"),1214.0)</f>
        <v>1214</v>
      </c>
      <c r="D2949" s="2" t="str">
        <f>IFERROR(__xludf.DUMMYFUNCTION("IFERROR(VLOOKUP(A2949, IMPORTRANGE(""https://docs.google.com/spreadsheets/d/1-3Vjw2Cyy-mry5gbC8ypIR3YVGFfEpyFESummAta6sg/edit"", ""Sheet1!B:D""), 2, FALSE), ""Not Found"")"),"waɪd")</f>
        <v>waɪd</v>
      </c>
      <c r="E2949" s="2" t="str">
        <f>IFERROR(__xludf.DUMMYFUNCTION("IFERROR(VLOOKUP(A2949, IMPORTRANGE(""https://docs.google.com/spreadsheets/d/1-3Vjw2Cyy-mry5gbC8ypIR3YVGFfEpyFESummAta6sg/edit"", ""Sheet1!B:D""), 3, FALSE), ""Not Found"")"),"w a ɪ d ")</f>
        <v>w a ɪ d </v>
      </c>
    </row>
    <row r="2950">
      <c r="A2950" s="1" t="s">
        <v>2951</v>
      </c>
      <c r="B2950" s="1" t="s">
        <v>5</v>
      </c>
      <c r="C2950" s="2">
        <f>IFERROR(__xludf.DUMMYFUNCTION("IFERROR(VLOOKUP(A2950, IMPORTRANGE(""https://docs.google.com/spreadsheets/d/1AVX9GT0dgogEBStecCXMMQ29tWz3gBrtNB8yIromXbY/edit?gid=741673867"", ""out1g!A:B""), 2, FALSE), 0)"),637.0)</f>
        <v>637</v>
      </c>
      <c r="D2950" s="2" t="str">
        <f>IFERROR(__xludf.DUMMYFUNCTION("IFERROR(VLOOKUP(A2950, IMPORTRANGE(""https://docs.google.com/spreadsheets/d/1-3Vjw2Cyy-mry5gbC8ypIR3YVGFfEpyFESummAta6sg/edit"", ""Sheet1!B:D""), 2, FALSE), ""Not Found"")"),"æbi")</f>
        <v>æbi</v>
      </c>
      <c r="E2950" s="2" t="str">
        <f>IFERROR(__xludf.DUMMYFUNCTION("IFERROR(VLOOKUP(A2950, IMPORTRANGE(""https://docs.google.com/spreadsheets/d/1-3Vjw2Cyy-mry5gbC8ypIR3YVGFfEpyFESummAta6sg/edit"", ""Sheet1!B:D""), 3, FALSE), ""Not Found"")"),"æ b i ")</f>
        <v>æ b i </v>
      </c>
    </row>
    <row r="2951">
      <c r="A2951" s="1" t="s">
        <v>2952</v>
      </c>
      <c r="B2951" s="1" t="s">
        <v>5</v>
      </c>
      <c r="C2951" s="2">
        <f>IFERROR(__xludf.DUMMYFUNCTION("IFERROR(VLOOKUP(A2951, IMPORTRANGE(""https://docs.google.com/spreadsheets/d/1AVX9GT0dgogEBStecCXMMQ29tWz3gBrtNB8yIromXbY/edit?gid=741673867"", ""out1g!A:B""), 2, FALSE), 0)"),711.0)</f>
        <v>711</v>
      </c>
      <c r="D2951" s="2" t="str">
        <f>IFERROR(__xludf.DUMMYFUNCTION("IFERROR(VLOOKUP(A2951, IMPORTRANGE(""https://docs.google.com/spreadsheets/d/1-3Vjw2Cyy-mry5gbC8ypIR3YVGFfEpyFESummAta6sg/edit"", ""Sheet1!B:D""), 2, FALSE), ""Not Found"")"),"kəlʧər")</f>
        <v>kəlʧər</v>
      </c>
      <c r="E2951" s="2" t="str">
        <f>IFERROR(__xludf.DUMMYFUNCTION("IFERROR(VLOOKUP(A2951, IMPORTRANGE(""https://docs.google.com/spreadsheets/d/1-3Vjw2Cyy-mry5gbC8ypIR3YVGFfEpyFESummAta6sg/edit"", ""Sheet1!B:D""), 3, FALSE), ""Not Found"")"),"k ə l ʧ ə r ")</f>
        <v>k ə l ʧ ə r </v>
      </c>
    </row>
    <row r="2952">
      <c r="A2952" s="1" t="s">
        <v>2953</v>
      </c>
      <c r="B2952" s="1" t="s">
        <v>5</v>
      </c>
      <c r="C2952" s="2">
        <f>IFERROR(__xludf.DUMMYFUNCTION("IFERROR(VLOOKUP(A2952, IMPORTRANGE(""https://docs.google.com/spreadsheets/d/1AVX9GT0dgogEBStecCXMMQ29tWz3gBrtNB8yIromXbY/edit?gid=741673867"", ""out1g!A:B""), 2, FALSE), 0)"),58.0)</f>
        <v>58</v>
      </c>
      <c r="D2952" s="2" t="str">
        <f>IFERROR(__xludf.DUMMYFUNCTION("IFERROR(VLOOKUP(A2952, IMPORTRANGE(""https://docs.google.com/spreadsheets/d/1-3Vjw2Cyy-mry5gbC8ypIR3YVGFfEpyFESummAta6sg/edit"", ""Sheet1!B:D""), 2, FALSE), ""Not Found"")"),"ɛrəs")</f>
        <v>ɛrəs</v>
      </c>
      <c r="E2952" s="2" t="str">
        <f>IFERROR(__xludf.DUMMYFUNCTION("IFERROR(VLOOKUP(A2952, IMPORTRANGE(""https://docs.google.com/spreadsheets/d/1-3Vjw2Cyy-mry5gbC8ypIR3YVGFfEpyFESummAta6sg/edit"", ""Sheet1!B:D""), 3, FALSE), ""Not Found"")"),"ɛ r ə s ")</f>
        <v>ɛ r ə s </v>
      </c>
    </row>
    <row r="2953">
      <c r="A2953" s="1" t="s">
        <v>2954</v>
      </c>
      <c r="B2953" s="1" t="s">
        <v>5</v>
      </c>
      <c r="C2953" s="2">
        <f>IFERROR(__xludf.DUMMYFUNCTION("IFERROR(VLOOKUP(A2953, IMPORTRANGE(""https://docs.google.com/spreadsheets/d/1AVX9GT0dgogEBStecCXMMQ29tWz3gBrtNB8yIromXbY/edit?gid=741673867"", ""out1g!A:B""), 2, FALSE), 0)"),232.0)</f>
        <v>232</v>
      </c>
      <c r="D2953" s="2" t="str">
        <f>IFERROR(__xludf.DUMMYFUNCTION("IFERROR(VLOOKUP(A2953, IMPORTRANGE(""https://docs.google.com/spreadsheets/d/1-3Vjw2Cyy-mry5gbC8ypIR3YVGFfEpyFESummAta6sg/edit"", ""Sheet1!B:D""), 2, FALSE), ""Not Found"")"),"spɪr")</f>
        <v>spɪr</v>
      </c>
      <c r="E2953" s="2" t="str">
        <f>IFERROR(__xludf.DUMMYFUNCTION("IFERROR(VLOOKUP(A2953, IMPORTRANGE(""https://docs.google.com/spreadsheets/d/1-3Vjw2Cyy-mry5gbC8ypIR3YVGFfEpyFESummAta6sg/edit"", ""Sheet1!B:D""), 3, FALSE), ""Not Found"")"),"s p ɪ r ")</f>
        <v>s p ɪ r </v>
      </c>
    </row>
    <row r="2954">
      <c r="A2954" s="1" t="s">
        <v>2955</v>
      </c>
      <c r="B2954" s="1" t="s">
        <v>5</v>
      </c>
      <c r="C2954" s="2">
        <f>IFERROR(__xludf.DUMMYFUNCTION("IFERROR(VLOOKUP(A2954, IMPORTRANGE(""https://docs.google.com/spreadsheets/d/1AVX9GT0dgogEBStecCXMMQ29tWz3gBrtNB8yIromXbY/edit?gid=741673867"", ""out1g!A:B""), 2, FALSE), 0)"),254.0)</f>
        <v>254</v>
      </c>
      <c r="D2954" s="2" t="str">
        <f>IFERROR(__xludf.DUMMYFUNCTION("IFERROR(VLOOKUP(A2954, IMPORTRANGE(""https://docs.google.com/spreadsheets/d/1-3Vjw2Cyy-mry5gbC8ypIR3YVGFfEpyFESummAta6sg/edit"", ""Sheet1!B:D""), 2, FALSE), ""Not Found"")"),"stoʊnd")</f>
        <v>stoʊnd</v>
      </c>
      <c r="E2954" s="2" t="str">
        <f>IFERROR(__xludf.DUMMYFUNCTION("IFERROR(VLOOKUP(A2954, IMPORTRANGE(""https://docs.google.com/spreadsheets/d/1-3Vjw2Cyy-mry5gbC8ypIR3YVGFfEpyFESummAta6sg/edit"", ""Sheet1!B:D""), 3, FALSE), ""Not Found"")"),"s t o ʊ n d ")</f>
        <v>s t o ʊ n d </v>
      </c>
    </row>
    <row r="2955">
      <c r="A2955" s="1" t="s">
        <v>2956</v>
      </c>
      <c r="B2955" s="1" t="s">
        <v>5</v>
      </c>
      <c r="C2955" s="2">
        <f>IFERROR(__xludf.DUMMYFUNCTION("IFERROR(VLOOKUP(A2955, IMPORTRANGE(""https://docs.google.com/spreadsheets/d/1AVX9GT0dgogEBStecCXMMQ29tWz3gBrtNB8yIromXbY/edit?gid=741673867"", ""out1g!A:B""), 2, FALSE), 0)"),642.0)</f>
        <v>642</v>
      </c>
      <c r="D2955" s="2" t="str">
        <f>IFERROR(__xludf.DUMMYFUNCTION("IFERROR(VLOOKUP(A2955, IMPORTRANGE(""https://docs.google.com/spreadsheets/d/1-3Vjw2Cyy-mry5gbC8ypIR3YVGFfEpyFESummAta6sg/edit"", ""Sheet1!B:D""), 2, FALSE), ""Not Found"")"),"poʊl")</f>
        <v>poʊl</v>
      </c>
      <c r="E2955" s="2" t="str">
        <f>IFERROR(__xludf.DUMMYFUNCTION("IFERROR(VLOOKUP(A2955, IMPORTRANGE(""https://docs.google.com/spreadsheets/d/1-3Vjw2Cyy-mry5gbC8ypIR3YVGFfEpyFESummAta6sg/edit"", ""Sheet1!B:D""), 3, FALSE), ""Not Found"")"),"p o ʊ l ")</f>
        <v>p o ʊ l </v>
      </c>
    </row>
    <row r="2956">
      <c r="A2956" s="1" t="s">
        <v>2957</v>
      </c>
      <c r="B2956" s="1" t="s">
        <v>5</v>
      </c>
      <c r="C2956" s="2">
        <f>IFERROR(__xludf.DUMMYFUNCTION("IFERROR(VLOOKUP(A2956, IMPORTRANGE(""https://docs.google.com/spreadsheets/d/1AVX9GT0dgogEBStecCXMMQ29tWz3gBrtNB8yIromXbY/edit?gid=741673867"", ""out1g!A:B""), 2, FALSE), 0)"),65.0)</f>
        <v>65</v>
      </c>
      <c r="D2956" s="2" t="str">
        <f>IFERROR(__xludf.DUMMYFUNCTION("IFERROR(VLOOKUP(A2956, IMPORTRANGE(""https://docs.google.com/spreadsheets/d/1-3Vjw2Cyy-mry5gbC8ypIR3YVGFfEpyFESummAta6sg/edit"", ""Sheet1!B:D""), 2, FALSE), ""Not Found"")"),"fækst")</f>
        <v>fækst</v>
      </c>
      <c r="E2956" s="2" t="str">
        <f>IFERROR(__xludf.DUMMYFUNCTION("IFERROR(VLOOKUP(A2956, IMPORTRANGE(""https://docs.google.com/spreadsheets/d/1-3Vjw2Cyy-mry5gbC8ypIR3YVGFfEpyFESummAta6sg/edit"", ""Sheet1!B:D""), 3, FALSE), ""Not Found"")"),"f æ k s t ")</f>
        <v>f æ k s t </v>
      </c>
    </row>
    <row r="2957">
      <c r="A2957" s="1" t="s">
        <v>2958</v>
      </c>
      <c r="B2957" s="1" t="s">
        <v>5</v>
      </c>
      <c r="C2957" s="2">
        <f>IFERROR(__xludf.DUMMYFUNCTION("IFERROR(VLOOKUP(A2957, IMPORTRANGE(""https://docs.google.com/spreadsheets/d/1AVX9GT0dgogEBStecCXMMQ29tWz3gBrtNB8yIromXbY/edit?gid=741673867"", ""out1g!A:B""), 2, FALSE), 0)"),1821.0)</f>
        <v>1821</v>
      </c>
      <c r="D2957" s="2" t="str">
        <f>IFERROR(__xludf.DUMMYFUNCTION("IFERROR(VLOOKUP(A2957, IMPORTRANGE(""https://docs.google.com/spreadsheets/d/1-3Vjw2Cyy-mry5gbC8ypIR3YVGFfEpyFESummAta6sg/edit"", ""Sheet1!B:D""), 2, FALSE), ""Not Found"")"),"skɑt")</f>
        <v>skɑt</v>
      </c>
      <c r="E2957" s="2" t="str">
        <f>IFERROR(__xludf.DUMMYFUNCTION("IFERROR(VLOOKUP(A2957, IMPORTRANGE(""https://docs.google.com/spreadsheets/d/1-3Vjw2Cyy-mry5gbC8ypIR3YVGFfEpyFESummAta6sg/edit"", ""Sheet1!B:D""), 3, FALSE), ""Not Found"")"),"s k ɑ t ")</f>
        <v>s k ɑ t </v>
      </c>
    </row>
    <row r="2958">
      <c r="A2958" s="1" t="s">
        <v>2959</v>
      </c>
      <c r="B2958" s="1" t="s">
        <v>5</v>
      </c>
      <c r="C2958" s="2">
        <f>IFERROR(__xludf.DUMMYFUNCTION("IFERROR(VLOOKUP(A2958, IMPORTRANGE(""https://docs.google.com/spreadsheets/d/1AVX9GT0dgogEBStecCXMMQ29tWz3gBrtNB8yIromXbY/edit?gid=741673867"", ""out1g!A:B""), 2, FALSE), 0)"),159.0)</f>
        <v>159</v>
      </c>
      <c r="D2958" s="2" t="str">
        <f>IFERROR(__xludf.DUMMYFUNCTION("IFERROR(VLOOKUP(A2958, IMPORTRANGE(""https://docs.google.com/spreadsheets/d/1-3Vjw2Cyy-mry5gbC8ypIR3YVGFfEpyFESummAta6sg/edit"", ""Sheet1!B:D""), 2, FALSE), ""Not Found"")"),"weʤ")</f>
        <v>weʤ</v>
      </c>
      <c r="E2958" s="2" t="str">
        <f>IFERROR(__xludf.DUMMYFUNCTION("IFERROR(VLOOKUP(A2958, IMPORTRANGE(""https://docs.google.com/spreadsheets/d/1-3Vjw2Cyy-mry5gbC8ypIR3YVGFfEpyFESummAta6sg/edit"", ""Sheet1!B:D""), 3, FALSE), ""Not Found"")"),"w e ʤ ")</f>
        <v>w e ʤ </v>
      </c>
    </row>
    <row r="2959">
      <c r="A2959" s="1" t="s">
        <v>2960</v>
      </c>
      <c r="B2959" s="1" t="s">
        <v>5</v>
      </c>
      <c r="C2959" s="2">
        <f>IFERROR(__xludf.DUMMYFUNCTION("IFERROR(VLOOKUP(A2959, IMPORTRANGE(""https://docs.google.com/spreadsheets/d/1AVX9GT0dgogEBStecCXMMQ29tWz3gBrtNB8yIromXbY/edit?gid=741673867"", ""out1g!A:B""), 2, FALSE), 0)"),1420.0)</f>
        <v>1420</v>
      </c>
      <c r="D2959" s="2" t="str">
        <f>IFERROR(__xludf.DUMMYFUNCTION("IFERROR(VLOOKUP(A2959, IMPORTRANGE(""https://docs.google.com/spreadsheets/d/1-3Vjw2Cyy-mry5gbC8ypIR3YVGFfEpyFESummAta6sg/edit"", ""Sheet1!B:D""), 2, FALSE), ""Not Found"")"),"muvz")</f>
        <v>muvz</v>
      </c>
      <c r="E2959" s="2" t="str">
        <f>IFERROR(__xludf.DUMMYFUNCTION("IFERROR(VLOOKUP(A2959, IMPORTRANGE(""https://docs.google.com/spreadsheets/d/1-3Vjw2Cyy-mry5gbC8ypIR3YVGFfEpyFESummAta6sg/edit"", ""Sheet1!B:D""), 3, FALSE), ""Not Found"")"),"m u v z ")</f>
        <v>m u v z </v>
      </c>
    </row>
    <row r="2960">
      <c r="A2960" s="1" t="s">
        <v>2961</v>
      </c>
      <c r="B2960" s="1" t="s">
        <v>5</v>
      </c>
      <c r="C2960" s="2">
        <f>IFERROR(__xludf.DUMMYFUNCTION("IFERROR(VLOOKUP(A2960, IMPORTRANGE(""https://docs.google.com/spreadsheets/d/1AVX9GT0dgogEBStecCXMMQ29tWz3gBrtNB8yIromXbY/edit?gid=741673867"", ""out1g!A:B""), 2, FALSE), 0)"),186.0)</f>
        <v>186</v>
      </c>
      <c r="D2960" s="2" t="str">
        <f>IFERROR(__xludf.DUMMYFUNCTION("IFERROR(VLOOKUP(A2960, IMPORTRANGE(""https://docs.google.com/spreadsheets/d/1-3Vjw2Cyy-mry5gbC8ypIR3YVGFfEpyFESummAta6sg/edit"", ""Sheet1!B:D""), 2, FALSE), ""Not Found"")"),"lɔft")</f>
        <v>lɔft</v>
      </c>
      <c r="E2960" s="2" t="str">
        <f>IFERROR(__xludf.DUMMYFUNCTION("IFERROR(VLOOKUP(A2960, IMPORTRANGE(""https://docs.google.com/spreadsheets/d/1-3Vjw2Cyy-mry5gbC8ypIR3YVGFfEpyFESummAta6sg/edit"", ""Sheet1!B:D""), 3, FALSE), ""Not Found"")"),"l ɔ f t ")</f>
        <v>l ɔ f t </v>
      </c>
    </row>
    <row r="2961">
      <c r="A2961" s="1" t="s">
        <v>2962</v>
      </c>
      <c r="B2961" s="1" t="s">
        <v>5</v>
      </c>
      <c r="C2961" s="2">
        <f>IFERROR(__xludf.DUMMYFUNCTION("IFERROR(VLOOKUP(A2961, IMPORTRANGE(""https://docs.google.com/spreadsheets/d/1AVX9GT0dgogEBStecCXMMQ29tWz3gBrtNB8yIromXbY/edit?gid=741673867"", ""out1g!A:B""), 2, FALSE), 0)"),95.0)</f>
        <v>95</v>
      </c>
      <c r="D2961" s="2" t="str">
        <f>IFERROR(__xludf.DUMMYFUNCTION("IFERROR(VLOOKUP(A2961, IMPORTRANGE(""https://docs.google.com/spreadsheets/d/1-3Vjw2Cyy-mry5gbC8ypIR3YVGFfEpyFESummAta6sg/edit"", ""Sheet1!B:D""), 2, FALSE), ""Not Found"")"),"gʊdiz")</f>
        <v>gʊdiz</v>
      </c>
      <c r="E2961" s="2" t="str">
        <f>IFERROR(__xludf.DUMMYFUNCTION("IFERROR(VLOOKUP(A2961, IMPORTRANGE(""https://docs.google.com/spreadsheets/d/1-3Vjw2Cyy-mry5gbC8ypIR3YVGFfEpyFESummAta6sg/edit"", ""Sheet1!B:D""), 3, FALSE), ""Not Found"")"),"g ʊ d i z ")</f>
        <v>g ʊ d i z </v>
      </c>
    </row>
    <row r="2962">
      <c r="A2962" s="1" t="s">
        <v>2963</v>
      </c>
      <c r="B2962" s="1" t="s">
        <v>5</v>
      </c>
      <c r="C2962" s="2">
        <f>IFERROR(__xludf.DUMMYFUNCTION("IFERROR(VLOOKUP(A2962, IMPORTRANGE(""https://docs.google.com/spreadsheets/d/1AVX9GT0dgogEBStecCXMMQ29tWz3gBrtNB8yIromXbY/edit?gid=741673867"", ""out1g!A:B""), 2, FALSE), 0)"),5387.0)</f>
        <v>5387</v>
      </c>
      <c r="D2962" s="2" t="str">
        <f>IFERROR(__xludf.DUMMYFUNCTION("IFERROR(VLOOKUP(A2962, IMPORTRANGE(""https://docs.google.com/spreadsheets/d/1-3Vjw2Cyy-mry5gbC8ypIR3YVGFfEpyFESummAta6sg/edit"", ""Sheet1!B:D""), 2, FALSE), ""Not Found"")"),"tebəl")</f>
        <v>tebəl</v>
      </c>
      <c r="E2962" s="2" t="str">
        <f>IFERROR(__xludf.DUMMYFUNCTION("IFERROR(VLOOKUP(A2962, IMPORTRANGE(""https://docs.google.com/spreadsheets/d/1-3Vjw2Cyy-mry5gbC8ypIR3YVGFfEpyFESummAta6sg/edit"", ""Sheet1!B:D""), 3, FALSE), ""Not Found"")"),"t e b ə l ")</f>
        <v>t e b ə l </v>
      </c>
    </row>
    <row r="2963">
      <c r="A2963" s="1" t="s">
        <v>2964</v>
      </c>
      <c r="B2963" s="1" t="s">
        <v>5</v>
      </c>
      <c r="C2963" s="2">
        <f>IFERROR(__xludf.DUMMYFUNCTION("IFERROR(VLOOKUP(A2963, IMPORTRANGE(""https://docs.google.com/spreadsheets/d/1AVX9GT0dgogEBStecCXMMQ29tWz3gBrtNB8yIromXbY/edit?gid=741673867"", ""out1g!A:B""), 2, FALSE), 0)"),1051.0)</f>
        <v>1051</v>
      </c>
      <c r="D2963" s="2" t="str">
        <f>IFERROR(__xludf.DUMMYFUNCTION("IFERROR(VLOOKUP(A2963, IMPORTRANGE(""https://docs.google.com/spreadsheets/d/1-3Vjw2Cyy-mry5gbC8ypIR3YVGFfEpyFESummAta6sg/edit"", ""Sheet1!B:D""), 2, FALSE), ""Not Found"")"),"ɛks")</f>
        <v>ɛks</v>
      </c>
      <c r="E2963" s="2" t="str">
        <f>IFERROR(__xludf.DUMMYFUNCTION("IFERROR(VLOOKUP(A2963, IMPORTRANGE(""https://docs.google.com/spreadsheets/d/1-3Vjw2Cyy-mry5gbC8ypIR3YVGFfEpyFESummAta6sg/edit"", ""Sheet1!B:D""), 3, FALSE), ""Not Found"")"),"ɛ k s ")</f>
        <v>ɛ k s </v>
      </c>
    </row>
    <row r="2964">
      <c r="A2964" s="1" t="s">
        <v>2965</v>
      </c>
      <c r="B2964" s="1" t="s">
        <v>5</v>
      </c>
      <c r="C2964" s="2">
        <f>IFERROR(__xludf.DUMMYFUNCTION("IFERROR(VLOOKUP(A2964, IMPORTRANGE(""https://docs.google.com/spreadsheets/d/1AVX9GT0dgogEBStecCXMMQ29tWz3gBrtNB8yIromXbY/edit?gid=741673867"", ""out1g!A:B""), 2, FALSE), 0)"),3157.0)</f>
        <v>3157</v>
      </c>
      <c r="D2964" s="2" t="str">
        <f>IFERROR(__xludf.DUMMYFUNCTION("IFERROR(VLOOKUP(A2964, IMPORTRANGE(""https://docs.google.com/spreadsheets/d/1-3Vjw2Cyy-mry5gbC8ypIR3YVGFfEpyFESummAta6sg/edit"", ""Sheet1!B:D""), 2, FALSE), ""Not Found"")"),"res")</f>
        <v>res</v>
      </c>
      <c r="E2964" s="2" t="str">
        <f>IFERROR(__xludf.DUMMYFUNCTION("IFERROR(VLOOKUP(A2964, IMPORTRANGE(""https://docs.google.com/spreadsheets/d/1-3Vjw2Cyy-mry5gbC8ypIR3YVGFfEpyFESummAta6sg/edit"", ""Sheet1!B:D""), 3, FALSE), ""Not Found"")"),"r e s ")</f>
        <v>r e s </v>
      </c>
    </row>
    <row r="2965">
      <c r="A2965" s="1" t="s">
        <v>2966</v>
      </c>
      <c r="B2965" s="1" t="s">
        <v>5</v>
      </c>
      <c r="C2965" s="2">
        <f>IFERROR(__xludf.DUMMYFUNCTION("IFERROR(VLOOKUP(A2965, IMPORTRANGE(""https://docs.google.com/spreadsheets/d/1AVX9GT0dgogEBStecCXMMQ29tWz3gBrtNB8yIromXbY/edit?gid=741673867"", ""out1g!A:B""), 2, FALSE), 0)"),704.0)</f>
        <v>704</v>
      </c>
      <c r="D2965" s="2" t="str">
        <f>IFERROR(__xludf.DUMMYFUNCTION("IFERROR(VLOOKUP(A2965, IMPORTRANGE(""https://docs.google.com/spreadsheets/d/1-3Vjw2Cyy-mry5gbC8ypIR3YVGFfEpyFESummAta6sg/edit"", ""Sheet1!B:D""), 2, FALSE), ""Not Found"")"),"sæmi")</f>
        <v>sæmi</v>
      </c>
      <c r="E2965" s="2" t="str">
        <f>IFERROR(__xludf.DUMMYFUNCTION("IFERROR(VLOOKUP(A2965, IMPORTRANGE(""https://docs.google.com/spreadsheets/d/1-3Vjw2Cyy-mry5gbC8ypIR3YVGFfEpyFESummAta6sg/edit"", ""Sheet1!B:D""), 3, FALSE), ""Not Found"")"),"s æ m i ")</f>
        <v>s æ m i </v>
      </c>
    </row>
    <row r="2966">
      <c r="A2966" s="1" t="s">
        <v>2967</v>
      </c>
      <c r="B2966" s="1" t="s">
        <v>5</v>
      </c>
      <c r="C2966" s="2">
        <f>IFERROR(__xludf.DUMMYFUNCTION("IFERROR(VLOOKUP(A2966, IMPORTRANGE(""https://docs.google.com/spreadsheets/d/1AVX9GT0dgogEBStecCXMMQ29tWz3gBrtNB8yIromXbY/edit?gid=741673867"", ""out1g!A:B""), 2, FALSE), 0)"),3731.0)</f>
        <v>3731</v>
      </c>
      <c r="D2966" s="2" t="str">
        <f>IFERROR(__xludf.DUMMYFUNCTION("IFERROR(VLOOKUP(A2966, IMPORTRANGE(""https://docs.google.com/spreadsheets/d/1-3Vjw2Cyy-mry5gbC8ypIR3YVGFfEpyFESummAta6sg/edit"", ""Sheet1!B:D""), 2, FALSE), ""Not Found"")"),"ivəl")</f>
        <v>ivəl</v>
      </c>
      <c r="E2966" s="2" t="str">
        <f>IFERROR(__xludf.DUMMYFUNCTION("IFERROR(VLOOKUP(A2966, IMPORTRANGE(""https://docs.google.com/spreadsheets/d/1-3Vjw2Cyy-mry5gbC8ypIR3YVGFfEpyFESummAta6sg/edit"", ""Sheet1!B:D""), 3, FALSE), ""Not Found"")"),"i v ə l ")</f>
        <v>i v ə l </v>
      </c>
    </row>
    <row r="2967">
      <c r="A2967" s="1" t="s">
        <v>2968</v>
      </c>
      <c r="B2967" s="1" t="s">
        <v>5</v>
      </c>
      <c r="C2967" s="2">
        <f>IFERROR(__xludf.DUMMYFUNCTION("IFERROR(VLOOKUP(A2967, IMPORTRANGE(""https://docs.google.com/spreadsheets/d/1AVX9GT0dgogEBStecCXMMQ29tWz3gBrtNB8yIromXbY/edit?gid=741673867"", ""out1g!A:B""), 2, FALSE), 0)"),453.0)</f>
        <v>453</v>
      </c>
      <c r="D2967" s="2" t="str">
        <f>IFERROR(__xludf.DUMMYFUNCTION("IFERROR(VLOOKUP(A2967, IMPORTRANGE(""https://docs.google.com/spreadsheets/d/1-3Vjw2Cyy-mry5gbC8ypIR3YVGFfEpyFESummAta6sg/edit"", ""Sheet1!B:D""), 2, FALSE), ""Not Found"")"),"wərldz")</f>
        <v>wərldz</v>
      </c>
      <c r="E2967" s="2" t="str">
        <f>IFERROR(__xludf.DUMMYFUNCTION("IFERROR(VLOOKUP(A2967, IMPORTRANGE(""https://docs.google.com/spreadsheets/d/1-3Vjw2Cyy-mry5gbC8ypIR3YVGFfEpyFESummAta6sg/edit"", ""Sheet1!B:D""), 3, FALSE), ""Not Found"")"),"w ə r l d z ")</f>
        <v>w ə r l d z </v>
      </c>
    </row>
    <row r="2968">
      <c r="A2968" s="1" t="s">
        <v>2969</v>
      </c>
      <c r="B2968" s="1" t="s">
        <v>5</v>
      </c>
      <c r="C2968" s="2">
        <f>IFERROR(__xludf.DUMMYFUNCTION("IFERROR(VLOOKUP(A2968, IMPORTRANGE(""https://docs.google.com/spreadsheets/d/1AVX9GT0dgogEBStecCXMMQ29tWz3gBrtNB8yIromXbY/edit?gid=741673867"", ""out1g!A:B""), 2, FALSE), 0)"),2324.0)</f>
        <v>2324</v>
      </c>
      <c r="D2968" s="2" t="str">
        <f>IFERROR(__xludf.DUMMYFUNCTION("IFERROR(VLOOKUP(A2968, IMPORTRANGE(""https://docs.google.com/spreadsheets/d/1-3Vjw2Cyy-mry5gbC8ypIR3YVGFfEpyFESummAta6sg/edit"", ""Sheet1!B:D""), 2, FALSE), ""Not Found"")"),"tɪkɪt")</f>
        <v>tɪkɪt</v>
      </c>
      <c r="E2968" s="2" t="str">
        <f>IFERROR(__xludf.DUMMYFUNCTION("IFERROR(VLOOKUP(A2968, IMPORTRANGE(""https://docs.google.com/spreadsheets/d/1-3Vjw2Cyy-mry5gbC8ypIR3YVGFfEpyFESummAta6sg/edit"", ""Sheet1!B:D""), 3, FALSE), ""Not Found"")"),"t ɪ k ɪ t ")</f>
        <v>t ɪ k ɪ t </v>
      </c>
    </row>
    <row r="2969">
      <c r="A2969" s="1" t="s">
        <v>2970</v>
      </c>
      <c r="B2969" s="1" t="s">
        <v>5</v>
      </c>
      <c r="C2969" s="2">
        <f>IFERROR(__xludf.DUMMYFUNCTION("IFERROR(VLOOKUP(A2969, IMPORTRANGE(""https://docs.google.com/spreadsheets/d/1AVX9GT0dgogEBStecCXMMQ29tWz3gBrtNB8yIromXbY/edit?gid=741673867"", ""out1g!A:B""), 2, FALSE), 0)"),1907.0)</f>
        <v>1907</v>
      </c>
      <c r="D2969" s="2" t="str">
        <f>IFERROR(__xludf.DUMMYFUNCTION("IFERROR(VLOOKUP(A2969, IMPORTRANGE(""https://docs.google.com/spreadsheets/d/1-3Vjw2Cyy-mry5gbC8ypIR3YVGFfEpyFESummAta6sg/edit"", ""Sheet1!B:D""), 2, FALSE), ""Not Found"")"),"hərts")</f>
        <v>hərts</v>
      </c>
      <c r="E2969" s="2" t="str">
        <f>IFERROR(__xludf.DUMMYFUNCTION("IFERROR(VLOOKUP(A2969, IMPORTRANGE(""https://docs.google.com/spreadsheets/d/1-3Vjw2Cyy-mry5gbC8ypIR3YVGFfEpyFESummAta6sg/edit"", ""Sheet1!B:D""), 3, FALSE), ""Not Found"")"),"h ə r t s ")</f>
        <v>h ə r t s </v>
      </c>
    </row>
    <row r="2970">
      <c r="A2970" s="1" t="s">
        <v>2971</v>
      </c>
      <c r="B2970" s="1" t="s">
        <v>5</v>
      </c>
      <c r="C2970" s="2">
        <f>IFERROR(__xludf.DUMMYFUNCTION("IFERROR(VLOOKUP(A2970, IMPORTRANGE(""https://docs.google.com/spreadsheets/d/1AVX9GT0dgogEBStecCXMMQ29tWz3gBrtNB8yIromXbY/edit?gid=741673867"", ""out1g!A:B""), 2, FALSE), 0)"),372.0)</f>
        <v>372</v>
      </c>
      <c r="D2970" s="2" t="str">
        <f>IFERROR(__xludf.DUMMYFUNCTION("IFERROR(VLOOKUP(A2970, IMPORTRANGE(""https://docs.google.com/spreadsheets/d/1-3Vjw2Cyy-mry5gbC8ypIR3YVGFfEpyFESummAta6sg/edit"", ""Sheet1!B:D""), 2, FALSE), ""Not Found"")"),"spɛnsər")</f>
        <v>spɛnsər</v>
      </c>
      <c r="E2970" s="2" t="str">
        <f>IFERROR(__xludf.DUMMYFUNCTION("IFERROR(VLOOKUP(A2970, IMPORTRANGE(""https://docs.google.com/spreadsheets/d/1-3Vjw2Cyy-mry5gbC8ypIR3YVGFfEpyFESummAta6sg/edit"", ""Sheet1!B:D""), 3, FALSE), ""Not Found"")"),"s p ɛ n s ə r ")</f>
        <v>s p ɛ n s ə r </v>
      </c>
    </row>
    <row r="2971">
      <c r="A2971" s="1" t="s">
        <v>2972</v>
      </c>
      <c r="B2971" s="1" t="s">
        <v>5</v>
      </c>
      <c r="C2971" s="2">
        <f>IFERROR(__xludf.DUMMYFUNCTION("IFERROR(VLOOKUP(A2971, IMPORTRANGE(""https://docs.google.com/spreadsheets/d/1AVX9GT0dgogEBStecCXMMQ29tWz3gBrtNB8yIromXbY/edit?gid=741673867"", ""out1g!A:B""), 2, FALSE), 0)"),77.0)</f>
        <v>77</v>
      </c>
      <c r="D2971" s="2" t="str">
        <f>IFERROR(__xludf.DUMMYFUNCTION("IFERROR(VLOOKUP(A2971, IMPORTRANGE(""https://docs.google.com/spreadsheets/d/1-3Vjw2Cyy-mry5gbC8ypIR3YVGFfEpyFESummAta6sg/edit"", ""Sheet1!B:D""), 2, FALSE), ""Not Found"")"),"dæfi")</f>
        <v>dæfi</v>
      </c>
      <c r="E2971" s="2" t="str">
        <f>IFERROR(__xludf.DUMMYFUNCTION("IFERROR(VLOOKUP(A2971, IMPORTRANGE(""https://docs.google.com/spreadsheets/d/1-3Vjw2Cyy-mry5gbC8ypIR3YVGFfEpyFESummAta6sg/edit"", ""Sheet1!B:D""), 3, FALSE), ""Not Found"")"),"d æ f i ")</f>
        <v>d æ f i </v>
      </c>
    </row>
    <row r="2972">
      <c r="A2972" s="1" t="s">
        <v>2973</v>
      </c>
      <c r="B2972" s="1" t="s">
        <v>5</v>
      </c>
      <c r="C2972" s="2">
        <f>IFERROR(__xludf.DUMMYFUNCTION("IFERROR(VLOOKUP(A2972, IMPORTRANGE(""https://docs.google.com/spreadsheets/d/1AVX9GT0dgogEBStecCXMMQ29tWz3gBrtNB8yIromXbY/edit?gid=741673867"", ""out1g!A:B""), 2, FALSE), 0)"),47.0)</f>
        <v>47</v>
      </c>
      <c r="D2972" s="2" t="str">
        <f>IFERROR(__xludf.DUMMYFUNCTION("IFERROR(VLOOKUP(A2972, IMPORTRANGE(""https://docs.google.com/spreadsheets/d/1-3Vjw2Cyy-mry5gbC8ypIR3YVGFfEpyFESummAta6sg/edit"", ""Sheet1!B:D""), 2, FALSE), ""Not Found"")"),"væmp")</f>
        <v>væmp</v>
      </c>
      <c r="E2972" s="2" t="str">
        <f>IFERROR(__xludf.DUMMYFUNCTION("IFERROR(VLOOKUP(A2972, IMPORTRANGE(""https://docs.google.com/spreadsheets/d/1-3Vjw2Cyy-mry5gbC8ypIR3YVGFfEpyFESummAta6sg/edit"", ""Sheet1!B:D""), 3, FALSE), ""Not Found"")"),"v æ m p ")</f>
        <v>v æ m p </v>
      </c>
    </row>
    <row r="2973">
      <c r="A2973" s="1" t="s">
        <v>2974</v>
      </c>
      <c r="B2973" s="1" t="s">
        <v>5</v>
      </c>
      <c r="C2973" s="2">
        <f>IFERROR(__xludf.DUMMYFUNCTION("IFERROR(VLOOKUP(A2973, IMPORTRANGE(""https://docs.google.com/spreadsheets/d/1AVX9GT0dgogEBStecCXMMQ29tWz3gBrtNB8yIromXbY/edit?gid=741673867"", ""out1g!A:B""), 2, FALSE), 0)"),52.0)</f>
        <v>52</v>
      </c>
      <c r="D2973" s="2" t="str">
        <f>IFERROR(__xludf.DUMMYFUNCTION("IFERROR(VLOOKUP(A2973, IMPORTRANGE(""https://docs.google.com/spreadsheets/d/1-3Vjw2Cyy-mry5gbC8ypIR3YVGFfEpyFESummAta6sg/edit"", ""Sheet1!B:D""), 2, FALSE), ""Not Found"")"),"ʃraʊd")</f>
        <v>ʃraʊd</v>
      </c>
      <c r="E2973" s="2" t="str">
        <f>IFERROR(__xludf.DUMMYFUNCTION("IFERROR(VLOOKUP(A2973, IMPORTRANGE(""https://docs.google.com/spreadsheets/d/1-3Vjw2Cyy-mry5gbC8ypIR3YVGFfEpyFESummAta6sg/edit"", ""Sheet1!B:D""), 3, FALSE), ""Not Found"")"),"ʃ r a ʊ d ")</f>
        <v>ʃ r a ʊ d </v>
      </c>
    </row>
    <row r="2974">
      <c r="A2974" s="1" t="s">
        <v>2975</v>
      </c>
      <c r="B2974" s="1" t="s">
        <v>5</v>
      </c>
      <c r="C2974" s="2">
        <f>IFERROR(__xludf.DUMMYFUNCTION("IFERROR(VLOOKUP(A2974, IMPORTRANGE(""https://docs.google.com/spreadsheets/d/1AVX9GT0dgogEBStecCXMMQ29tWz3gBrtNB8yIromXbY/edit?gid=741673867"", ""out1g!A:B""), 2, FALSE), 0)"),1926.0)</f>
        <v>1926</v>
      </c>
      <c r="D2974" s="2" t="str">
        <f>IFERROR(__xludf.DUMMYFUNCTION("IFERROR(VLOOKUP(A2974, IMPORTRANGE(""https://docs.google.com/spreadsheets/d/1-3Vjw2Cyy-mry5gbC8ypIR3YVGFfEpyFESummAta6sg/edit"", ""Sheet1!B:D""), 2, FALSE), ""Not Found"")"),"pleər")</f>
        <v>pleər</v>
      </c>
      <c r="E2974" s="2" t="str">
        <f>IFERROR(__xludf.DUMMYFUNCTION("IFERROR(VLOOKUP(A2974, IMPORTRANGE(""https://docs.google.com/spreadsheets/d/1-3Vjw2Cyy-mry5gbC8ypIR3YVGFfEpyFESummAta6sg/edit"", ""Sheet1!B:D""), 3, FALSE), ""Not Found"")"),"p l e ə r ")</f>
        <v>p l e ə r </v>
      </c>
    </row>
    <row r="2975">
      <c r="A2975" s="1" t="s">
        <v>2976</v>
      </c>
      <c r="B2975" s="1" t="s">
        <v>5</v>
      </c>
      <c r="C2975" s="2">
        <f>IFERROR(__xludf.DUMMYFUNCTION("IFERROR(VLOOKUP(A2975, IMPORTRANGE(""https://docs.google.com/spreadsheets/d/1AVX9GT0dgogEBStecCXMMQ29tWz3gBrtNB8yIromXbY/edit?gid=741673867"", ""out1g!A:B""), 2, FALSE), 0)"),26878.0)</f>
        <v>26878</v>
      </c>
      <c r="D2975" s="2" t="str">
        <f>IFERROR(__xludf.DUMMYFUNCTION("IFERROR(VLOOKUP(A2975, IMPORTRANGE(""https://docs.google.com/spreadsheets/d/1-3Vjw2Cyy-mry5gbC8ypIR3YVGFfEpyFESummAta6sg/edit"", ""Sheet1!B:D""), 2, FALSE), ""Not Found"")"),"kəmɪŋ")</f>
        <v>kəmɪŋ</v>
      </c>
      <c r="E2975" s="2" t="str">
        <f>IFERROR(__xludf.DUMMYFUNCTION("IFERROR(VLOOKUP(A2975, IMPORTRANGE(""https://docs.google.com/spreadsheets/d/1-3Vjw2Cyy-mry5gbC8ypIR3YVGFfEpyFESummAta6sg/edit"", ""Sheet1!B:D""), 3, FALSE), ""Not Found"")"),"k ə m ɪ ŋ ")</f>
        <v>k ə m ɪ ŋ </v>
      </c>
    </row>
    <row r="2976">
      <c r="A2976" s="1" t="s">
        <v>2977</v>
      </c>
      <c r="B2976" s="1" t="s">
        <v>5</v>
      </c>
      <c r="C2976" s="2">
        <f>IFERROR(__xludf.DUMMYFUNCTION("IFERROR(VLOOKUP(A2976, IMPORTRANGE(""https://docs.google.com/spreadsheets/d/1AVX9GT0dgogEBStecCXMMQ29tWz3gBrtNB8yIromXbY/edit?gid=741673867"", ""out1g!A:B""), 2, FALSE), 0)"),478.0)</f>
        <v>478</v>
      </c>
      <c r="D2976" s="2" t="str">
        <f>IFERROR(__xludf.DUMMYFUNCTION("IFERROR(VLOOKUP(A2976, IMPORTRANGE(""https://docs.google.com/spreadsheets/d/1-3Vjw2Cyy-mry5gbC8ypIR3YVGFfEpyFESummAta6sg/edit"", ""Sheet1!B:D""), 2, FALSE), ""Not Found"")"),"fləʃ")</f>
        <v>fləʃ</v>
      </c>
      <c r="E2976" s="2" t="str">
        <f>IFERROR(__xludf.DUMMYFUNCTION("IFERROR(VLOOKUP(A2976, IMPORTRANGE(""https://docs.google.com/spreadsheets/d/1-3Vjw2Cyy-mry5gbC8ypIR3YVGFfEpyFESummAta6sg/edit"", ""Sheet1!B:D""), 3, FALSE), ""Not Found"")"),"f l ə ʃ ")</f>
        <v>f l ə ʃ </v>
      </c>
    </row>
    <row r="2977">
      <c r="A2977" s="1" t="s">
        <v>2978</v>
      </c>
      <c r="B2977" s="1" t="s">
        <v>5</v>
      </c>
      <c r="C2977" s="2">
        <f>IFERROR(__xludf.DUMMYFUNCTION("IFERROR(VLOOKUP(A2977, IMPORTRANGE(""https://docs.google.com/spreadsheets/d/1AVX9GT0dgogEBStecCXMMQ29tWz3gBrtNB8yIromXbY/edit?gid=741673867"", ""out1g!A:B""), 2, FALSE), 0)"),295.0)</f>
        <v>295</v>
      </c>
      <c r="D2977" s="2" t="str">
        <f>IFERROR(__xludf.DUMMYFUNCTION("IFERROR(VLOOKUP(A2977, IMPORTRANGE(""https://docs.google.com/spreadsheets/d/1-3Vjw2Cyy-mry5gbC8ypIR3YVGFfEpyFESummAta6sg/edit"", ""Sheet1!B:D""), 2, FALSE), ""Not Found"")"),"toʊ")</f>
        <v>toʊ</v>
      </c>
      <c r="E2977" s="2" t="str">
        <f>IFERROR(__xludf.DUMMYFUNCTION("IFERROR(VLOOKUP(A2977, IMPORTRANGE(""https://docs.google.com/spreadsheets/d/1-3Vjw2Cyy-mry5gbC8ypIR3YVGFfEpyFESummAta6sg/edit"", ""Sheet1!B:D""), 3, FALSE), ""Not Found"")"),"t o ʊ ")</f>
        <v>t o ʊ </v>
      </c>
    </row>
    <row r="2978">
      <c r="A2978" s="1" t="s">
        <v>2979</v>
      </c>
      <c r="B2978" s="1" t="s">
        <v>5</v>
      </c>
      <c r="C2978" s="2">
        <f>IFERROR(__xludf.DUMMYFUNCTION("IFERROR(VLOOKUP(A2978, IMPORTRANGE(""https://docs.google.com/spreadsheets/d/1AVX9GT0dgogEBStecCXMMQ29tWz3gBrtNB8yIromXbY/edit?gid=741673867"", ""out1g!A:B""), 2, FALSE), 0)"),95.0)</f>
        <v>95</v>
      </c>
      <c r="D2978" s="2" t="str">
        <f>IFERROR(__xludf.DUMMYFUNCTION("IFERROR(VLOOKUP(A2978, IMPORTRANGE(""https://docs.google.com/spreadsheets/d/1-3Vjw2Cyy-mry5gbC8ypIR3YVGFfEpyFESummAta6sg/edit"", ""Sheet1!B:D""), 2, FALSE), ""Not Found"")"),"naɪl")</f>
        <v>naɪl</v>
      </c>
      <c r="E2978" s="2" t="str">
        <f>IFERROR(__xludf.DUMMYFUNCTION("IFERROR(VLOOKUP(A2978, IMPORTRANGE(""https://docs.google.com/spreadsheets/d/1-3Vjw2Cyy-mry5gbC8ypIR3YVGFfEpyFESummAta6sg/edit"", ""Sheet1!B:D""), 3, FALSE), ""Not Found"")"),"n a ɪ l ")</f>
        <v>n a ɪ l </v>
      </c>
    </row>
    <row r="2979">
      <c r="A2979" s="1" t="s">
        <v>2980</v>
      </c>
      <c r="B2979" s="1" t="s">
        <v>5</v>
      </c>
      <c r="C2979" s="2">
        <f>IFERROR(__xludf.DUMMYFUNCTION("IFERROR(VLOOKUP(A2979, IMPORTRANGE(""https://docs.google.com/spreadsheets/d/1AVX9GT0dgogEBStecCXMMQ29tWz3gBrtNB8yIromXbY/edit?gid=741673867"", ""out1g!A:B""), 2, FALSE), 0)"),82.0)</f>
        <v>82</v>
      </c>
      <c r="D2979" s="2" t="str">
        <f>IFERROR(__xludf.DUMMYFUNCTION("IFERROR(VLOOKUP(A2979, IMPORTRANGE(""https://docs.google.com/spreadsheets/d/1-3Vjw2Cyy-mry5gbC8ypIR3YVGFfEpyFESummAta6sg/edit"", ""Sheet1!B:D""), 2, FALSE), ""Not Found"")"),"kɑz")</f>
        <v>kɑz</v>
      </c>
      <c r="E2979" s="2" t="str">
        <f>IFERROR(__xludf.DUMMYFUNCTION("IFERROR(VLOOKUP(A2979, IMPORTRANGE(""https://docs.google.com/spreadsheets/d/1-3Vjw2Cyy-mry5gbC8ypIR3YVGFfEpyFESummAta6sg/edit"", ""Sheet1!B:D""), 3, FALSE), ""Not Found"")"),"k ɑ z ")</f>
        <v>k ɑ z </v>
      </c>
    </row>
    <row r="2980">
      <c r="A2980" s="1" t="s">
        <v>2981</v>
      </c>
      <c r="B2980" s="1" t="s">
        <v>5</v>
      </c>
      <c r="C2980" s="2">
        <f>IFERROR(__xludf.DUMMYFUNCTION("IFERROR(VLOOKUP(A2980, IMPORTRANGE(""https://docs.google.com/spreadsheets/d/1AVX9GT0dgogEBStecCXMMQ29tWz3gBrtNB8yIromXbY/edit?gid=741673867"", ""out1g!A:B""), 2, FALSE), 0)"),98.0)</f>
        <v>98</v>
      </c>
      <c r="D2980" s="2" t="str">
        <f>IFERROR(__xludf.DUMMYFUNCTION("IFERROR(VLOOKUP(A2980, IMPORTRANGE(""https://docs.google.com/spreadsheets/d/1-3Vjw2Cyy-mry5gbC8ypIR3YVGFfEpyFESummAta6sg/edit"", ""Sheet1!B:D""), 2, FALSE), ""Not Found"")"),"hoʊld")</f>
        <v>hoʊld</v>
      </c>
      <c r="E2980" s="2" t="str">
        <f>IFERROR(__xludf.DUMMYFUNCTION("IFERROR(VLOOKUP(A2980, IMPORTRANGE(""https://docs.google.com/spreadsheets/d/1-3Vjw2Cyy-mry5gbC8ypIR3YVGFfEpyFESummAta6sg/edit"", ""Sheet1!B:D""), 3, FALSE), ""Not Found"")"),"h o ʊ l d ")</f>
        <v>h o ʊ l d </v>
      </c>
    </row>
    <row r="2981">
      <c r="A2981" s="1" t="s">
        <v>2982</v>
      </c>
      <c r="B2981" s="1" t="s">
        <v>5</v>
      </c>
      <c r="C2981" s="2">
        <f>IFERROR(__xludf.DUMMYFUNCTION("IFERROR(VLOOKUP(A2981, IMPORTRANGE(""https://docs.google.com/spreadsheets/d/1AVX9GT0dgogEBStecCXMMQ29tWz3gBrtNB8yIromXbY/edit?gid=741673867"", ""out1g!A:B""), 2, FALSE), 0)"),435.0)</f>
        <v>435</v>
      </c>
      <c r="D2981" s="2" t="str">
        <f>IFERROR(__xludf.DUMMYFUNCTION("IFERROR(VLOOKUP(A2981, IMPORTRANGE(""https://docs.google.com/spreadsheets/d/1-3Vjw2Cyy-mry5gbC8ypIR3YVGFfEpyFESummAta6sg/edit"", ""Sheet1!B:D""), 2, FALSE), ""Not Found"")"),"ilaɪ")</f>
        <v>ilaɪ</v>
      </c>
      <c r="E2981" s="2" t="str">
        <f>IFERROR(__xludf.DUMMYFUNCTION("IFERROR(VLOOKUP(A2981, IMPORTRANGE(""https://docs.google.com/spreadsheets/d/1-3Vjw2Cyy-mry5gbC8ypIR3YVGFfEpyFESummAta6sg/edit"", ""Sheet1!B:D""), 3, FALSE), ""Not Found"")"),"i l a ɪ ")</f>
        <v>i l a ɪ </v>
      </c>
    </row>
    <row r="2982">
      <c r="A2982" s="1" t="s">
        <v>2983</v>
      </c>
      <c r="B2982" s="1" t="s">
        <v>5</v>
      </c>
      <c r="C2982" s="2">
        <f>IFERROR(__xludf.DUMMYFUNCTION("IFERROR(VLOOKUP(A2982, IMPORTRANGE(""https://docs.google.com/spreadsheets/d/1AVX9GT0dgogEBStecCXMMQ29tWz3gBrtNB8yIromXbY/edit?gid=741673867"", ""out1g!A:B""), 2, FALSE), 0)"),55269.0)</f>
        <v>55269</v>
      </c>
      <c r="D2982" s="2" t="str">
        <f>IFERROR(__xludf.DUMMYFUNCTION("IFERROR(VLOOKUP(A2982, IMPORTRANGE(""https://docs.google.com/spreadsheets/d/1-3Vjw2Cyy-mry5gbC8ypIR3YVGFfEpyFESummAta6sg/edit"", ""Sheet1!B:D""), 2, FALSE), ""Not Found"")"),"oʊnli")</f>
        <v>oʊnli</v>
      </c>
      <c r="E2982" s="2" t="str">
        <f>IFERROR(__xludf.DUMMYFUNCTION("IFERROR(VLOOKUP(A2982, IMPORTRANGE(""https://docs.google.com/spreadsheets/d/1-3Vjw2Cyy-mry5gbC8ypIR3YVGFfEpyFESummAta6sg/edit"", ""Sheet1!B:D""), 3, FALSE), ""Not Found"")"),"o ʊ n l i ")</f>
        <v>o ʊ n l i </v>
      </c>
    </row>
    <row r="2983">
      <c r="A2983" s="1" t="s">
        <v>2984</v>
      </c>
      <c r="B2983" s="1" t="s">
        <v>5</v>
      </c>
      <c r="C2983" s="2">
        <f>IFERROR(__xludf.DUMMYFUNCTION("IFERROR(VLOOKUP(A2983, IMPORTRANGE(""https://docs.google.com/spreadsheets/d/1AVX9GT0dgogEBStecCXMMQ29tWz3gBrtNB8yIromXbY/edit?gid=741673867"", ""out1g!A:B""), 2, FALSE), 0)"),1189.0)</f>
        <v>1189</v>
      </c>
      <c r="D2983" s="2" t="str">
        <f>IFERROR(__xludf.DUMMYFUNCTION("IFERROR(VLOOKUP(A2983, IMPORTRANGE(""https://docs.google.com/spreadsheets/d/1-3Vjw2Cyy-mry5gbC8ypIR3YVGFfEpyFESummAta6sg/edit"", ""Sheet1!B:D""), 2, FALSE), ""Not Found"")"),"kɪsɪŋ")</f>
        <v>kɪsɪŋ</v>
      </c>
      <c r="E2983" s="2" t="str">
        <f>IFERROR(__xludf.DUMMYFUNCTION("IFERROR(VLOOKUP(A2983, IMPORTRANGE(""https://docs.google.com/spreadsheets/d/1-3Vjw2Cyy-mry5gbC8ypIR3YVGFfEpyFESummAta6sg/edit"", ""Sheet1!B:D""), 3, FALSE), ""Not Found"")"),"k ɪ s ɪ ŋ ")</f>
        <v>k ɪ s ɪ ŋ </v>
      </c>
    </row>
    <row r="2984">
      <c r="A2984" s="1" t="s">
        <v>2985</v>
      </c>
      <c r="B2984" s="1" t="s">
        <v>5</v>
      </c>
      <c r="C2984" s="2">
        <f>IFERROR(__xludf.DUMMYFUNCTION("IFERROR(VLOOKUP(A2984, IMPORTRANGE(""https://docs.google.com/spreadsheets/d/1AVX9GT0dgogEBStecCXMMQ29tWz3gBrtNB8yIromXbY/edit?gid=741673867"", ""out1g!A:B""), 2, FALSE), 0)"),54.0)</f>
        <v>54</v>
      </c>
      <c r="D2984" s="2" t="str">
        <f>IFERROR(__xludf.DUMMYFUNCTION("IFERROR(VLOOKUP(A2984, IMPORTRANGE(""https://docs.google.com/spreadsheets/d/1-3Vjw2Cyy-mry5gbC8ypIR3YVGFfEpyFESummAta6sg/edit"", ""Sheet1!B:D""), 2, FALSE), ""Not Found"")"),"boʊst")</f>
        <v>boʊst</v>
      </c>
      <c r="E2984" s="2" t="str">
        <f>IFERROR(__xludf.DUMMYFUNCTION("IFERROR(VLOOKUP(A2984, IMPORTRANGE(""https://docs.google.com/spreadsheets/d/1-3Vjw2Cyy-mry5gbC8ypIR3YVGFfEpyFESummAta6sg/edit"", ""Sheet1!B:D""), 3, FALSE), ""Not Found"")"),"b o ʊ s t ")</f>
        <v>b o ʊ s t </v>
      </c>
    </row>
    <row r="2985">
      <c r="A2985" s="1" t="s">
        <v>2986</v>
      </c>
      <c r="B2985" s="1" t="s">
        <v>5</v>
      </c>
      <c r="C2985" s="2">
        <f>IFERROR(__xludf.DUMMYFUNCTION("IFERROR(VLOOKUP(A2985, IMPORTRANGE(""https://docs.google.com/spreadsheets/d/1AVX9GT0dgogEBStecCXMMQ29tWz3gBrtNB8yIromXbY/edit?gid=741673867"", ""out1g!A:B""), 2, FALSE), 0)"),2379.0)</f>
        <v>2379</v>
      </c>
      <c r="D2985" s="2" t="str">
        <f>IFERROR(__xludf.DUMMYFUNCTION("IFERROR(VLOOKUP(A2985, IMPORTRANGE(""https://docs.google.com/spreadsheets/d/1-3Vjw2Cyy-mry5gbC8ypIR3YVGFfEpyFESummAta6sg/edit"", ""Sheet1!B:D""), 2, FALSE), ""Not Found"")"),"wɛpən")</f>
        <v>wɛpən</v>
      </c>
      <c r="E2985" s="2" t="str">
        <f>IFERROR(__xludf.DUMMYFUNCTION("IFERROR(VLOOKUP(A2985, IMPORTRANGE(""https://docs.google.com/spreadsheets/d/1-3Vjw2Cyy-mry5gbC8ypIR3YVGFfEpyFESummAta6sg/edit"", ""Sheet1!B:D""), 3, FALSE), ""Not Found"")"),"w ɛ p ə n ")</f>
        <v>w ɛ p ə n </v>
      </c>
    </row>
    <row r="2986">
      <c r="A2986" s="1" t="s">
        <v>2987</v>
      </c>
      <c r="B2986" s="1" t="s">
        <v>5</v>
      </c>
      <c r="C2986" s="2">
        <f>IFERROR(__xludf.DUMMYFUNCTION("IFERROR(VLOOKUP(A2986, IMPORTRANGE(""https://docs.google.com/spreadsheets/d/1AVX9GT0dgogEBStecCXMMQ29tWz3gBrtNB8yIromXbY/edit?gid=741673867"", ""out1g!A:B""), 2, FALSE), 0)"),13318.0)</f>
        <v>13318</v>
      </c>
      <c r="D2986" s="2" t="str">
        <f>IFERROR(__xludf.DUMMYFUNCTION("IFERROR(VLOOKUP(A2986, IMPORTRANGE(""https://docs.google.com/spreadsheets/d/1-3Vjw2Cyy-mry5gbC8ypIR3YVGFfEpyFESummAta6sg/edit"", ""Sheet1!B:D""), 2, FALSE), ""Not Found"")"),"daɪ")</f>
        <v>daɪ</v>
      </c>
      <c r="E2986" s="2" t="str">
        <f>IFERROR(__xludf.DUMMYFUNCTION("IFERROR(VLOOKUP(A2986, IMPORTRANGE(""https://docs.google.com/spreadsheets/d/1-3Vjw2Cyy-mry5gbC8ypIR3YVGFfEpyFESummAta6sg/edit"", ""Sheet1!B:D""), 3, FALSE), ""Not Found"")"),"d a ɪ ")</f>
        <v>d a ɪ </v>
      </c>
    </row>
    <row r="2987">
      <c r="A2987" s="1" t="s">
        <v>2988</v>
      </c>
      <c r="B2987" s="1" t="s">
        <v>5</v>
      </c>
      <c r="C2987" s="2">
        <f>IFERROR(__xludf.DUMMYFUNCTION("IFERROR(VLOOKUP(A2987, IMPORTRANGE(""https://docs.google.com/spreadsheets/d/1AVX9GT0dgogEBStecCXMMQ29tWz3gBrtNB8yIromXbY/edit?gid=741673867"", ""out1g!A:B""), 2, FALSE), 0)"),81.0)</f>
        <v>81</v>
      </c>
      <c r="D2987" s="2" t="str">
        <f>IFERROR(__xludf.DUMMYFUNCTION("IFERROR(VLOOKUP(A2987, IMPORTRANGE(""https://docs.google.com/spreadsheets/d/1-3Vjw2Cyy-mry5gbC8ypIR3YVGFfEpyFESummAta6sg/edit"", ""Sheet1!B:D""), 2, FALSE), ""Not Found"")"),"rɛb")</f>
        <v>rɛb</v>
      </c>
      <c r="E2987" s="2" t="str">
        <f>IFERROR(__xludf.DUMMYFUNCTION("IFERROR(VLOOKUP(A2987, IMPORTRANGE(""https://docs.google.com/spreadsheets/d/1-3Vjw2Cyy-mry5gbC8ypIR3YVGFfEpyFESummAta6sg/edit"", ""Sheet1!B:D""), 3, FALSE), ""Not Found"")"),"r ɛ b ")</f>
        <v>r ɛ b </v>
      </c>
    </row>
    <row r="2988">
      <c r="A2988" s="1" t="s">
        <v>2989</v>
      </c>
      <c r="B2988" s="1" t="s">
        <v>5</v>
      </c>
      <c r="C2988" s="2">
        <f>IFERROR(__xludf.DUMMYFUNCTION("IFERROR(VLOOKUP(A2988, IMPORTRANGE(""https://docs.google.com/spreadsheets/d/1AVX9GT0dgogEBStecCXMMQ29tWz3gBrtNB8yIromXbY/edit?gid=741673867"", ""out1g!A:B""), 2, FALSE), 0)"),111.0)</f>
        <v>111</v>
      </c>
      <c r="D2988" s="2" t="str">
        <f>IFERROR(__xludf.DUMMYFUNCTION("IFERROR(VLOOKUP(A2988, IMPORTRANGE(""https://docs.google.com/spreadsheets/d/1-3Vjw2Cyy-mry5gbC8ypIR3YVGFfEpyFESummAta6sg/edit"", ""Sheet1!B:D""), 2, FALSE), ""Not Found"")"),"boʊlts")</f>
        <v>boʊlts</v>
      </c>
      <c r="E2988" s="2" t="str">
        <f>IFERROR(__xludf.DUMMYFUNCTION("IFERROR(VLOOKUP(A2988, IMPORTRANGE(""https://docs.google.com/spreadsheets/d/1-3Vjw2Cyy-mry5gbC8ypIR3YVGFfEpyFESummAta6sg/edit"", ""Sheet1!B:D""), 3, FALSE), ""Not Found"")"),"b o ʊ l t s ")</f>
        <v>b o ʊ l t s </v>
      </c>
    </row>
    <row r="2989">
      <c r="A2989" s="1" t="s">
        <v>2990</v>
      </c>
      <c r="B2989" s="1" t="s">
        <v>5</v>
      </c>
      <c r="C2989" s="2">
        <f>IFERROR(__xludf.DUMMYFUNCTION("IFERROR(VLOOKUP(A2989, IMPORTRANGE(""https://docs.google.com/spreadsheets/d/1AVX9GT0dgogEBStecCXMMQ29tWz3gBrtNB8yIromXbY/edit?gid=741673867"", ""out1g!A:B""), 2, FALSE), 0)"),10.0)</f>
        <v>10</v>
      </c>
      <c r="D2989" s="2" t="str">
        <f>IFERROR(__xludf.DUMMYFUNCTION("IFERROR(VLOOKUP(A2989, IMPORTRANGE(""https://docs.google.com/spreadsheets/d/1-3Vjw2Cyy-mry5gbC8ypIR3YVGFfEpyFESummAta6sg/edit"", ""Sheet1!B:D""), 2, FALSE), ""Not Found"")"),"bəlgər")</f>
        <v>bəlgər</v>
      </c>
      <c r="E2989" s="2" t="str">
        <f>IFERROR(__xludf.DUMMYFUNCTION("IFERROR(VLOOKUP(A2989, IMPORTRANGE(""https://docs.google.com/spreadsheets/d/1-3Vjw2Cyy-mry5gbC8ypIR3YVGFfEpyFESummAta6sg/edit"", ""Sheet1!B:D""), 3, FALSE), ""Not Found"")"),"b ə l g ə r ")</f>
        <v>b ə l g ə r </v>
      </c>
    </row>
    <row r="2990">
      <c r="A2990" s="1" t="s">
        <v>2991</v>
      </c>
      <c r="B2990" s="1" t="s">
        <v>5</v>
      </c>
      <c r="C2990" s="2">
        <f>IFERROR(__xludf.DUMMYFUNCTION("IFERROR(VLOOKUP(A2990, IMPORTRANGE(""https://docs.google.com/spreadsheets/d/1AVX9GT0dgogEBStecCXMMQ29tWz3gBrtNB8yIromXbY/edit?gid=741673867"", ""out1g!A:B""), 2, FALSE), 0)"),3062.0)</f>
        <v>3062</v>
      </c>
      <c r="D2990" s="2" t="str">
        <f>IFERROR(__xludf.DUMMYFUNCTION("IFERROR(VLOOKUP(A2990, IMPORTRANGE(""https://docs.google.com/spreadsheets/d/1-3Vjw2Cyy-mry5gbC8ypIR3YVGFfEpyFESummAta6sg/edit"", ""Sheet1!B:D""), 2, FALSE), ""Not Found"")"),"nɪk")</f>
        <v>nɪk</v>
      </c>
      <c r="E2990" s="2" t="str">
        <f>IFERROR(__xludf.DUMMYFUNCTION("IFERROR(VLOOKUP(A2990, IMPORTRANGE(""https://docs.google.com/spreadsheets/d/1-3Vjw2Cyy-mry5gbC8ypIR3YVGFfEpyFESummAta6sg/edit"", ""Sheet1!B:D""), 3, FALSE), ""Not Found"")"),"n ɪ k ")</f>
        <v>n ɪ k </v>
      </c>
    </row>
    <row r="2991">
      <c r="A2991" s="1" t="s">
        <v>2992</v>
      </c>
      <c r="B2991" s="1" t="s">
        <v>5</v>
      </c>
      <c r="C2991" s="2">
        <f>IFERROR(__xludf.DUMMYFUNCTION("IFERROR(VLOOKUP(A2991, IMPORTRANGE(""https://docs.google.com/spreadsheets/d/1AVX9GT0dgogEBStecCXMMQ29tWz3gBrtNB8yIromXbY/edit?gid=741673867"", ""out1g!A:B""), 2, FALSE), 0)"),17.0)</f>
        <v>17</v>
      </c>
      <c r="D2991" s="2" t="str">
        <f>IFERROR(__xludf.DUMMYFUNCTION("IFERROR(VLOOKUP(A2991, IMPORTRANGE(""https://docs.google.com/spreadsheets/d/1-3Vjw2Cyy-mry5gbC8ypIR3YVGFfEpyFESummAta6sg/edit"", ""Sheet1!B:D""), 2, FALSE), ""Not Found"")"),"bloʊər")</f>
        <v>bloʊər</v>
      </c>
      <c r="E2991" s="2" t="str">
        <f>IFERROR(__xludf.DUMMYFUNCTION("IFERROR(VLOOKUP(A2991, IMPORTRANGE(""https://docs.google.com/spreadsheets/d/1-3Vjw2Cyy-mry5gbC8ypIR3YVGFfEpyFESummAta6sg/edit"", ""Sheet1!B:D""), 3, FALSE), ""Not Found"")"),"b l o ʊ ə r ")</f>
        <v>b l o ʊ ə r </v>
      </c>
    </row>
    <row r="2992">
      <c r="A2992" s="1" t="s">
        <v>2993</v>
      </c>
      <c r="B2992" s="1" t="s">
        <v>5</v>
      </c>
      <c r="C2992" s="2">
        <f>IFERROR(__xludf.DUMMYFUNCTION("IFERROR(VLOOKUP(A2992, IMPORTRANGE(""https://docs.google.com/spreadsheets/d/1AVX9GT0dgogEBStecCXMMQ29tWz3gBrtNB8yIromXbY/edit?gid=741673867"", ""out1g!A:B""), 2, FALSE), 0)"),23.0)</f>
        <v>23</v>
      </c>
      <c r="D2992" s="2" t="str">
        <f>IFERROR(__xludf.DUMMYFUNCTION("IFERROR(VLOOKUP(A2992, IMPORTRANGE(""https://docs.google.com/spreadsheets/d/1-3Vjw2Cyy-mry5gbC8ypIR3YVGFfEpyFESummAta6sg/edit"", ""Sheet1!B:D""), 2, FALSE), ""Not Found"")"),"flelɪŋ")</f>
        <v>flelɪŋ</v>
      </c>
      <c r="E2992" s="2" t="str">
        <f>IFERROR(__xludf.DUMMYFUNCTION("IFERROR(VLOOKUP(A2992, IMPORTRANGE(""https://docs.google.com/spreadsheets/d/1-3Vjw2Cyy-mry5gbC8ypIR3YVGFfEpyFESummAta6sg/edit"", ""Sheet1!B:D""), 3, FALSE), ""Not Found"")"),"f l e l ɪ ŋ ")</f>
        <v>f l e l ɪ ŋ </v>
      </c>
    </row>
    <row r="2993">
      <c r="A2993" s="1" t="s">
        <v>2994</v>
      </c>
      <c r="B2993" s="1" t="s">
        <v>5</v>
      </c>
      <c r="C2993" s="2">
        <f>IFERROR(__xludf.DUMMYFUNCTION("IFERROR(VLOOKUP(A2993, IMPORTRANGE(""https://docs.google.com/spreadsheets/d/1AVX9GT0dgogEBStecCXMMQ29tWz3gBrtNB8yIromXbY/edit?gid=741673867"", ""out1g!A:B""), 2, FALSE), 0)"),1076.0)</f>
        <v>1076</v>
      </c>
      <c r="D2993" s="2" t="str">
        <f>IFERROR(__xludf.DUMMYFUNCTION("IFERROR(VLOOKUP(A2993, IMPORTRANGE(""https://docs.google.com/spreadsheets/d/1-3Vjw2Cyy-mry5gbC8ypIR3YVGFfEpyFESummAta6sg/edit"", ""Sheet1!B:D""), 2, FALSE), ""Not Found"")"),"ɛstet")</f>
        <v>ɛstet</v>
      </c>
      <c r="E2993" s="2" t="str">
        <f>IFERROR(__xludf.DUMMYFUNCTION("IFERROR(VLOOKUP(A2993, IMPORTRANGE(""https://docs.google.com/spreadsheets/d/1-3Vjw2Cyy-mry5gbC8ypIR3YVGFfEpyFESummAta6sg/edit"", ""Sheet1!B:D""), 3, FALSE), ""Not Found"")"),"ɛ s t e t ")</f>
        <v>ɛ s t e t </v>
      </c>
    </row>
    <row r="2994">
      <c r="A2994" s="1" t="s">
        <v>2995</v>
      </c>
      <c r="B2994" s="1" t="s">
        <v>5</v>
      </c>
      <c r="C2994" s="2">
        <f>IFERROR(__xludf.DUMMYFUNCTION("IFERROR(VLOOKUP(A2994, IMPORTRANGE(""https://docs.google.com/spreadsheets/d/1AVX9GT0dgogEBStecCXMMQ29tWz3gBrtNB8yIromXbY/edit?gid=741673867"", ""out1g!A:B""), 2, FALSE), 0)"),954.0)</f>
        <v>954</v>
      </c>
      <c r="D2994" s="2" t="str">
        <f>IFERROR(__xludf.DUMMYFUNCTION("IFERROR(VLOOKUP(A2994, IMPORTRANGE(""https://docs.google.com/spreadsheets/d/1-3Vjw2Cyy-mry5gbC8ypIR3YVGFfEpyFESummAta6sg/edit"", ""Sheet1!B:D""), 2, FALSE), ""Not Found"")"),"ʤoʊn")</f>
        <v>ʤoʊn</v>
      </c>
      <c r="E2994" s="2" t="str">
        <f>IFERROR(__xludf.DUMMYFUNCTION("IFERROR(VLOOKUP(A2994, IMPORTRANGE(""https://docs.google.com/spreadsheets/d/1-3Vjw2Cyy-mry5gbC8ypIR3YVGFfEpyFESummAta6sg/edit"", ""Sheet1!B:D""), 3, FALSE), ""Not Found"")"),"ʤ o ʊ n ")</f>
        <v>ʤ o ʊ n </v>
      </c>
    </row>
    <row r="2995">
      <c r="A2995" s="1" t="s">
        <v>2996</v>
      </c>
      <c r="B2995" s="1" t="s">
        <v>5</v>
      </c>
      <c r="C2995" s="2">
        <f>IFERROR(__xludf.DUMMYFUNCTION("IFERROR(VLOOKUP(A2995, IMPORTRANGE(""https://docs.google.com/spreadsheets/d/1AVX9GT0dgogEBStecCXMMQ29tWz3gBrtNB8yIromXbY/edit?gid=741673867"", ""out1g!A:B""), 2, FALSE), 0)"),98.0)</f>
        <v>98</v>
      </c>
      <c r="D2995" s="2" t="str">
        <f>IFERROR(__xludf.DUMMYFUNCTION("IFERROR(VLOOKUP(A2995, IMPORTRANGE(""https://docs.google.com/spreadsheets/d/1-3Vjw2Cyy-mry5gbC8ypIR3YVGFfEpyFESummAta6sg/edit"", ""Sheet1!B:D""), 2, FALSE), ""Not Found"")"),"læʧ")</f>
        <v>læʧ</v>
      </c>
      <c r="E2995" s="2" t="str">
        <f>IFERROR(__xludf.DUMMYFUNCTION("IFERROR(VLOOKUP(A2995, IMPORTRANGE(""https://docs.google.com/spreadsheets/d/1-3Vjw2Cyy-mry5gbC8ypIR3YVGFfEpyFESummAta6sg/edit"", ""Sheet1!B:D""), 3, FALSE), ""Not Found"")"),"l æ ʧ ")</f>
        <v>l æ ʧ </v>
      </c>
    </row>
    <row r="2996">
      <c r="A2996" s="1" t="s">
        <v>2997</v>
      </c>
      <c r="B2996" s="1" t="s">
        <v>5</v>
      </c>
      <c r="C2996" s="2">
        <f>IFERROR(__xludf.DUMMYFUNCTION("IFERROR(VLOOKUP(A2996, IMPORTRANGE(""https://docs.google.com/spreadsheets/d/1AVX9GT0dgogEBStecCXMMQ29tWz3gBrtNB8yIromXbY/edit?gid=741673867"", ""out1g!A:B""), 2, FALSE), 0)"),841.0)</f>
        <v>841</v>
      </c>
      <c r="D2996" s="2" t="str">
        <f>IFERROR(__xludf.DUMMYFUNCTION("IFERROR(VLOOKUP(A2996, IMPORTRANGE(""https://docs.google.com/spreadsheets/d/1-3Vjw2Cyy-mry5gbC8ypIR3YVGFfEpyFESummAta6sg/edit"", ""Sheet1!B:D""), 2, FALSE), ""Not Found"")"),"ʤɔɪnd")</f>
        <v>ʤɔɪnd</v>
      </c>
      <c r="E2996" s="2" t="str">
        <f>IFERROR(__xludf.DUMMYFUNCTION("IFERROR(VLOOKUP(A2996, IMPORTRANGE(""https://docs.google.com/spreadsheets/d/1-3Vjw2Cyy-mry5gbC8ypIR3YVGFfEpyFESummAta6sg/edit"", ""Sheet1!B:D""), 3, FALSE), ""Not Found"")"),"ʤ ɔ ɪ n d ")</f>
        <v>ʤ ɔ ɪ n d </v>
      </c>
    </row>
    <row r="2997">
      <c r="A2997" s="1" t="s">
        <v>2998</v>
      </c>
      <c r="B2997" s="1" t="s">
        <v>5</v>
      </c>
      <c r="C2997" s="2">
        <f>IFERROR(__xludf.DUMMYFUNCTION("IFERROR(VLOOKUP(A2997, IMPORTRANGE(""https://docs.google.com/spreadsheets/d/1AVX9GT0dgogEBStecCXMMQ29tWz3gBrtNB8yIromXbY/edit?gid=741673867"", ""out1g!A:B""), 2, FALSE), 0)"),22898.0)</f>
        <v>22898</v>
      </c>
      <c r="D2997" s="2" t="str">
        <f>IFERROR(__xludf.DUMMYFUNCTION("IFERROR(VLOOKUP(A2997, IMPORTRANGE(""https://docs.google.com/spreadsheets/d/1-3Vjw2Cyy-mry5gbC8ypIR3YVGFfEpyFESummAta6sg/edit"", ""Sheet1!B:D""), 2, FALSE), ""Not Found"")"),"dɛd")</f>
        <v>dɛd</v>
      </c>
      <c r="E2997" s="2" t="str">
        <f>IFERROR(__xludf.DUMMYFUNCTION("IFERROR(VLOOKUP(A2997, IMPORTRANGE(""https://docs.google.com/spreadsheets/d/1-3Vjw2Cyy-mry5gbC8ypIR3YVGFfEpyFESummAta6sg/edit"", ""Sheet1!B:D""), 3, FALSE), ""Not Found"")"),"d ɛ d ")</f>
        <v>d ɛ d </v>
      </c>
    </row>
    <row r="2998">
      <c r="A2998" s="1" t="s">
        <v>2999</v>
      </c>
      <c r="B2998" s="1" t="s">
        <v>5</v>
      </c>
      <c r="C2998" s="2">
        <f>IFERROR(__xludf.DUMMYFUNCTION("IFERROR(VLOOKUP(A2998, IMPORTRANGE(""https://docs.google.com/spreadsheets/d/1AVX9GT0dgogEBStecCXMMQ29tWz3gBrtNB8yIromXbY/edit?gid=741673867"", ""out1g!A:B""), 2, FALSE), 0)"),54.0)</f>
        <v>54</v>
      </c>
      <c r="D2998" s="2" t="str">
        <f>IFERROR(__xludf.DUMMYFUNCTION("IFERROR(VLOOKUP(A2998, IMPORTRANGE(""https://docs.google.com/spreadsheets/d/1-3Vjw2Cyy-mry5gbC8ypIR3YVGFfEpyFESummAta6sg/edit"", ""Sheet1!B:D""), 2, FALSE), ""Not Found"")"),"rubiz")</f>
        <v>rubiz</v>
      </c>
      <c r="E2998" s="2" t="str">
        <f>IFERROR(__xludf.DUMMYFUNCTION("IFERROR(VLOOKUP(A2998, IMPORTRANGE(""https://docs.google.com/spreadsheets/d/1-3Vjw2Cyy-mry5gbC8ypIR3YVGFfEpyFESummAta6sg/edit"", ""Sheet1!B:D""), 3, FALSE), ""Not Found"")"),"r u b i z ")</f>
        <v>r u b i z </v>
      </c>
    </row>
    <row r="2999">
      <c r="A2999" s="1" t="s">
        <v>3000</v>
      </c>
      <c r="B2999" s="1" t="s">
        <v>5</v>
      </c>
      <c r="C2999" s="2">
        <f>IFERROR(__xludf.DUMMYFUNCTION("IFERROR(VLOOKUP(A2999, IMPORTRANGE(""https://docs.google.com/spreadsheets/d/1AVX9GT0dgogEBStecCXMMQ29tWz3gBrtNB8yIromXbY/edit?gid=741673867"", ""out1g!A:B""), 2, FALSE), 0)"),281.0)</f>
        <v>281</v>
      </c>
      <c r="D2999" s="2" t="str">
        <f>IFERROR(__xludf.DUMMYFUNCTION("IFERROR(VLOOKUP(A2999, IMPORTRANGE(""https://docs.google.com/spreadsheets/d/1-3Vjw2Cyy-mry5gbC8ypIR3YVGFfEpyFESummAta6sg/edit"", ""Sheet1!B:D""), 2, FALSE), ""Not Found"")"),"ruld")</f>
        <v>ruld</v>
      </c>
      <c r="E2999" s="2" t="str">
        <f>IFERROR(__xludf.DUMMYFUNCTION("IFERROR(VLOOKUP(A2999, IMPORTRANGE(""https://docs.google.com/spreadsheets/d/1-3Vjw2Cyy-mry5gbC8ypIR3YVGFfEpyFESummAta6sg/edit"", ""Sheet1!B:D""), 3, FALSE), ""Not Found"")"),"r u l d ")</f>
        <v>r u l d </v>
      </c>
    </row>
    <row r="3000">
      <c r="A3000" s="1" t="s">
        <v>3001</v>
      </c>
      <c r="B3000" s="1" t="s">
        <v>5</v>
      </c>
      <c r="C3000" s="2">
        <f>IFERROR(__xludf.DUMMYFUNCTION("IFERROR(VLOOKUP(A3000, IMPORTRANGE(""https://docs.google.com/spreadsheets/d/1AVX9GT0dgogEBStecCXMMQ29tWz3gBrtNB8yIromXbY/edit?gid=741673867"", ""out1g!A:B""), 2, FALSE), 0)"),18900.0)</f>
        <v>18900</v>
      </c>
      <c r="D3000" s="2" t="str">
        <f>IFERROR(__xludf.DUMMYFUNCTION("IFERROR(VLOOKUP(A3000, IMPORTRANGE(""https://docs.google.com/spreadsheets/d/1-3Vjw2Cyy-mry5gbC8ypIR3YVGFfEpyFESummAta6sg/edit"", ""Sheet1!B:D""), 2, FALSE), ""Not Found"")"),"mætər")</f>
        <v>mætər</v>
      </c>
      <c r="E3000" s="2" t="str">
        <f>IFERROR(__xludf.DUMMYFUNCTION("IFERROR(VLOOKUP(A3000, IMPORTRANGE(""https://docs.google.com/spreadsheets/d/1-3Vjw2Cyy-mry5gbC8ypIR3YVGFfEpyFESummAta6sg/edit"", ""Sheet1!B:D""), 3, FALSE), ""Not Found"")"),"m æ t ə r ")</f>
        <v>m æ t ə r </v>
      </c>
    </row>
    <row r="3001">
      <c r="A3001" s="1" t="s">
        <v>3002</v>
      </c>
      <c r="B3001" s="1" t="s">
        <v>5</v>
      </c>
      <c r="C3001" s="2">
        <f>IFERROR(__xludf.DUMMYFUNCTION("IFERROR(VLOOKUP(A3001, IMPORTRANGE(""https://docs.google.com/spreadsheets/d/1AVX9GT0dgogEBStecCXMMQ29tWz3gBrtNB8yIromXbY/edit?gid=741673867"", ""out1g!A:B""), 2, FALSE), 0)"),2460.0)</f>
        <v>2460</v>
      </c>
      <c r="D3001" s="2" t="str">
        <f>IFERROR(__xludf.DUMMYFUNCTION("IFERROR(VLOOKUP(A3001, IMPORTRANGE(""https://docs.google.com/spreadsheets/d/1-3Vjw2Cyy-mry5gbC8ypIR3YVGFfEpyFESummAta6sg/edit"", ""Sheet1!B:D""), 2, FALSE), ""Not Found"")"),"bjuti")</f>
        <v>bjuti</v>
      </c>
      <c r="E3001" s="2" t="str">
        <f>IFERROR(__xludf.DUMMYFUNCTION("IFERROR(VLOOKUP(A3001, IMPORTRANGE(""https://docs.google.com/spreadsheets/d/1-3Vjw2Cyy-mry5gbC8ypIR3YVGFfEpyFESummAta6sg/edit"", ""Sheet1!B:D""), 3, FALSE), ""Not Found"")"),"b j u t i ")</f>
        <v>b j u t i </v>
      </c>
    </row>
    <row r="3002">
      <c r="A3002" s="1" t="s">
        <v>3003</v>
      </c>
      <c r="B3002" s="1" t="s">
        <v>5</v>
      </c>
      <c r="C3002" s="2">
        <f>IFERROR(__xludf.DUMMYFUNCTION("IFERROR(VLOOKUP(A3002, IMPORTRANGE(""https://docs.google.com/spreadsheets/d/1AVX9GT0dgogEBStecCXMMQ29tWz3gBrtNB8yIromXbY/edit?gid=741673867"", ""out1g!A:B""), 2, FALSE), 0)"),469.0)</f>
        <v>469</v>
      </c>
      <c r="D3002" s="2" t="str">
        <f>IFERROR(__xludf.DUMMYFUNCTION("IFERROR(VLOOKUP(A3002, IMPORTRANGE(""https://docs.google.com/spreadsheets/d/1-3Vjw2Cyy-mry5gbC8ypIR3YVGFfEpyFESummAta6sg/edit"", ""Sheet1!B:D""), 2, FALSE), ""Not Found"")"),"hɪnt")</f>
        <v>hɪnt</v>
      </c>
      <c r="E3002" s="2" t="str">
        <f>IFERROR(__xludf.DUMMYFUNCTION("IFERROR(VLOOKUP(A3002, IMPORTRANGE(""https://docs.google.com/spreadsheets/d/1-3Vjw2Cyy-mry5gbC8ypIR3YVGFfEpyFESummAta6sg/edit"", ""Sheet1!B:D""), 3, FALSE), ""Not Found"")"),"h ɪ n t ")</f>
        <v>h ɪ n t </v>
      </c>
    </row>
    <row r="3003">
      <c r="A3003" s="1" t="s">
        <v>3004</v>
      </c>
      <c r="B3003" s="1" t="s">
        <v>5</v>
      </c>
      <c r="C3003" s="2">
        <f>IFERROR(__xludf.DUMMYFUNCTION("IFERROR(VLOOKUP(A3003, IMPORTRANGE(""https://docs.google.com/spreadsheets/d/1AVX9GT0dgogEBStecCXMMQ29tWz3gBrtNB8yIromXbY/edit?gid=741673867"", ""out1g!A:B""), 2, FALSE), 0)"),202.0)</f>
        <v>202</v>
      </c>
      <c r="D3003" s="2" t="str">
        <f>IFERROR(__xludf.DUMMYFUNCTION("IFERROR(VLOOKUP(A3003, IMPORTRANGE(""https://docs.google.com/spreadsheets/d/1-3Vjw2Cyy-mry5gbC8ypIR3YVGFfEpyFESummAta6sg/edit"", ""Sheet1!B:D""), 2, FALSE), ""Not Found"")"),"faʊlər")</f>
        <v>faʊlər</v>
      </c>
      <c r="E3003" s="2" t="str">
        <f>IFERROR(__xludf.DUMMYFUNCTION("IFERROR(VLOOKUP(A3003, IMPORTRANGE(""https://docs.google.com/spreadsheets/d/1-3Vjw2Cyy-mry5gbC8ypIR3YVGFfEpyFESummAta6sg/edit"", ""Sheet1!B:D""), 3, FALSE), ""Not Found"")"),"f a ʊ l ə r ")</f>
        <v>f a ʊ l ə r </v>
      </c>
    </row>
    <row r="3004">
      <c r="A3004" s="1" t="s">
        <v>3005</v>
      </c>
      <c r="B3004" s="1" t="s">
        <v>5</v>
      </c>
      <c r="C3004" s="2">
        <f>IFERROR(__xludf.DUMMYFUNCTION("IFERROR(VLOOKUP(A3004, IMPORTRANGE(""https://docs.google.com/spreadsheets/d/1AVX9GT0dgogEBStecCXMMQ29tWz3gBrtNB8yIromXbY/edit?gid=741673867"", ""out1g!A:B""), 2, FALSE), 0)"),190.0)</f>
        <v>190</v>
      </c>
      <c r="D3004" s="2" t="str">
        <f>IFERROR(__xludf.DUMMYFUNCTION("IFERROR(VLOOKUP(A3004, IMPORTRANGE(""https://docs.google.com/spreadsheets/d/1-3Vjw2Cyy-mry5gbC8ypIR3YVGFfEpyFESummAta6sg/edit"", ""Sheet1!B:D""), 2, FALSE), ""Not Found"")"),"roʊg")</f>
        <v>roʊg</v>
      </c>
      <c r="E3004" s="2" t="str">
        <f>IFERROR(__xludf.DUMMYFUNCTION("IFERROR(VLOOKUP(A3004, IMPORTRANGE(""https://docs.google.com/spreadsheets/d/1-3Vjw2Cyy-mry5gbC8ypIR3YVGFfEpyFESummAta6sg/edit"", ""Sheet1!B:D""), 3, FALSE), ""Not Found"")"),"r o ʊ g ")</f>
        <v>r o ʊ g </v>
      </c>
    </row>
    <row r="3005">
      <c r="A3005" s="1" t="s">
        <v>3006</v>
      </c>
      <c r="B3005" s="1" t="s">
        <v>5</v>
      </c>
      <c r="C3005" s="2">
        <f>IFERROR(__xludf.DUMMYFUNCTION("IFERROR(VLOOKUP(A3005, IMPORTRANGE(""https://docs.google.com/spreadsheets/d/1AVX9GT0dgogEBStecCXMMQ29tWz3gBrtNB8yIromXbY/edit?gid=741673867"", ""out1g!A:B""), 2, FALSE), 0)"),62.0)</f>
        <v>62</v>
      </c>
      <c r="D3005" s="2" t="str">
        <f>IFERROR(__xludf.DUMMYFUNCTION("IFERROR(VLOOKUP(A3005, IMPORTRANGE(""https://docs.google.com/spreadsheets/d/1-3Vjw2Cyy-mry5gbC8ypIR3YVGFfEpyFESummAta6sg/edit"", ""Sheet1!B:D""), 2, FALSE), ""Not Found"")"),"hɔnts")</f>
        <v>hɔnts</v>
      </c>
      <c r="E3005" s="2" t="str">
        <f>IFERROR(__xludf.DUMMYFUNCTION("IFERROR(VLOOKUP(A3005, IMPORTRANGE(""https://docs.google.com/spreadsheets/d/1-3Vjw2Cyy-mry5gbC8ypIR3YVGFfEpyFESummAta6sg/edit"", ""Sheet1!B:D""), 3, FALSE), ""Not Found"")"),"h ɔ n t s ")</f>
        <v>h ɔ n t s </v>
      </c>
    </row>
    <row r="3006">
      <c r="A3006" s="1" t="s">
        <v>3007</v>
      </c>
      <c r="B3006" s="1" t="s">
        <v>5</v>
      </c>
      <c r="C3006" s="2">
        <f>IFERROR(__xludf.DUMMYFUNCTION("IFERROR(VLOOKUP(A3006, IMPORTRANGE(""https://docs.google.com/spreadsheets/d/1AVX9GT0dgogEBStecCXMMQ29tWz3gBrtNB8yIromXbY/edit?gid=741673867"", ""out1g!A:B""), 2, FALSE), 0)"),206.0)</f>
        <v>206</v>
      </c>
      <c r="D3006" s="2" t="str">
        <f>IFERROR(__xludf.DUMMYFUNCTION("IFERROR(VLOOKUP(A3006, IMPORTRANGE(""https://docs.google.com/spreadsheets/d/1-3Vjw2Cyy-mry5gbC8ypIR3YVGFfEpyFESummAta6sg/edit"", ""Sheet1!B:D""), 2, FALSE), ""Not Found"")"),"fɪŋk")</f>
        <v>fɪŋk</v>
      </c>
      <c r="E3006" s="2" t="str">
        <f>IFERROR(__xludf.DUMMYFUNCTION("IFERROR(VLOOKUP(A3006, IMPORTRANGE(""https://docs.google.com/spreadsheets/d/1-3Vjw2Cyy-mry5gbC8ypIR3YVGFfEpyFESummAta6sg/edit"", ""Sheet1!B:D""), 3, FALSE), ""Not Found"")"),"f ɪ ŋ k ")</f>
        <v>f ɪ ŋ k </v>
      </c>
    </row>
    <row r="3007">
      <c r="A3007" s="1" t="s">
        <v>3008</v>
      </c>
      <c r="B3007" s="1" t="s">
        <v>5</v>
      </c>
      <c r="C3007" s="2">
        <f>IFERROR(__xludf.DUMMYFUNCTION("IFERROR(VLOOKUP(A3007, IMPORTRANGE(""https://docs.google.com/spreadsheets/d/1AVX9GT0dgogEBStecCXMMQ29tWz3gBrtNB8yIromXbY/edit?gid=741673867"", ""out1g!A:B""), 2, FALSE), 0)"),111.0)</f>
        <v>111</v>
      </c>
      <c r="D3007" s="2" t="str">
        <f>IFERROR(__xludf.DUMMYFUNCTION("IFERROR(VLOOKUP(A3007, IMPORTRANGE(""https://docs.google.com/spreadsheets/d/1-3Vjw2Cyy-mry5gbC8ypIR3YVGFfEpyFESummAta6sg/edit"", ""Sheet1!B:D""), 2, FALSE), ""Not Found"")"),"nus")</f>
        <v>nus</v>
      </c>
      <c r="E3007" s="2" t="str">
        <f>IFERROR(__xludf.DUMMYFUNCTION("IFERROR(VLOOKUP(A3007, IMPORTRANGE(""https://docs.google.com/spreadsheets/d/1-3Vjw2Cyy-mry5gbC8ypIR3YVGFfEpyFESummAta6sg/edit"", ""Sheet1!B:D""), 3, FALSE), ""Not Found"")"),"n u s ")</f>
        <v>n u s </v>
      </c>
    </row>
    <row r="3008">
      <c r="A3008" s="1" t="s">
        <v>3009</v>
      </c>
      <c r="B3008" s="1" t="s">
        <v>5</v>
      </c>
      <c r="C3008" s="2">
        <f>IFERROR(__xludf.DUMMYFUNCTION("IFERROR(VLOOKUP(A3008, IMPORTRANGE(""https://docs.google.com/spreadsheets/d/1AVX9GT0dgogEBStecCXMMQ29tWz3gBrtNB8yIromXbY/edit?gid=741673867"", ""out1g!A:B""), 2, FALSE), 0)"),117.0)</f>
        <v>117</v>
      </c>
      <c r="D3008" s="2" t="str">
        <f>IFERROR(__xludf.DUMMYFUNCTION("IFERROR(VLOOKUP(A3008, IMPORTRANGE(""https://docs.google.com/spreadsheets/d/1-3Vjw2Cyy-mry5gbC8ypIR3YVGFfEpyFESummAta6sg/edit"", ""Sheet1!B:D""), 2, FALSE), ""Not Found"")"),"swəŋ")</f>
        <v>swəŋ</v>
      </c>
      <c r="E3008" s="2" t="str">
        <f>IFERROR(__xludf.DUMMYFUNCTION("IFERROR(VLOOKUP(A3008, IMPORTRANGE(""https://docs.google.com/spreadsheets/d/1-3Vjw2Cyy-mry5gbC8ypIR3YVGFfEpyFESummAta6sg/edit"", ""Sheet1!B:D""), 3, FALSE), ""Not Found"")"),"s w ə ŋ ")</f>
        <v>s w ə ŋ </v>
      </c>
    </row>
    <row r="3009">
      <c r="A3009" s="1" t="s">
        <v>3010</v>
      </c>
      <c r="B3009" s="1" t="s">
        <v>5</v>
      </c>
      <c r="C3009" s="2">
        <f>IFERROR(__xludf.DUMMYFUNCTION("IFERROR(VLOOKUP(A3009, IMPORTRANGE(""https://docs.google.com/spreadsheets/d/1AVX9GT0dgogEBStecCXMMQ29tWz3gBrtNB8yIromXbY/edit?gid=741673867"", ""out1g!A:B""), 2, FALSE), 0)"),206.0)</f>
        <v>206</v>
      </c>
      <c r="D3009" s="2" t="str">
        <f>IFERROR(__xludf.DUMMYFUNCTION("IFERROR(VLOOKUP(A3009, IMPORTRANGE(""https://docs.google.com/spreadsheets/d/1-3Vjw2Cyy-mry5gbC8ypIR3YVGFfEpyFESummAta6sg/edit"", ""Sheet1!B:D""), 2, FALSE), ""Not Found"")"),"mænli")</f>
        <v>mænli</v>
      </c>
      <c r="E3009" s="2" t="str">
        <f>IFERROR(__xludf.DUMMYFUNCTION("IFERROR(VLOOKUP(A3009, IMPORTRANGE(""https://docs.google.com/spreadsheets/d/1-3Vjw2Cyy-mry5gbC8ypIR3YVGFfEpyFESummAta6sg/edit"", ""Sheet1!B:D""), 3, FALSE), ""Not Found"")"),"m æ n l i ")</f>
        <v>m æ n l i </v>
      </c>
    </row>
    <row r="3010">
      <c r="A3010" s="1" t="s">
        <v>3011</v>
      </c>
      <c r="B3010" s="1" t="s">
        <v>5</v>
      </c>
      <c r="C3010" s="2">
        <f>IFERROR(__xludf.DUMMYFUNCTION("IFERROR(VLOOKUP(A3010, IMPORTRANGE(""https://docs.google.com/spreadsheets/d/1AVX9GT0dgogEBStecCXMMQ29tWz3gBrtNB8yIromXbY/edit?gid=741673867"", ""out1g!A:B""), 2, FALSE), 0)"),50.0)</f>
        <v>50</v>
      </c>
      <c r="D3010" s="2" t="str">
        <f>IFERROR(__xludf.DUMMYFUNCTION("IFERROR(VLOOKUP(A3010, IMPORTRANGE(""https://docs.google.com/spreadsheets/d/1-3Vjw2Cyy-mry5gbC8ypIR3YVGFfEpyFESummAta6sg/edit"", ""Sheet1!B:D""), 2, FALSE), ""Not Found"")"),"rækt")</f>
        <v>rækt</v>
      </c>
      <c r="E3010" s="2" t="str">
        <f>IFERROR(__xludf.DUMMYFUNCTION("IFERROR(VLOOKUP(A3010, IMPORTRANGE(""https://docs.google.com/spreadsheets/d/1-3Vjw2Cyy-mry5gbC8ypIR3YVGFfEpyFESummAta6sg/edit"", ""Sheet1!B:D""), 3, FALSE), ""Not Found"")"),"r æ k t ")</f>
        <v>r æ k t </v>
      </c>
    </row>
    <row r="3011">
      <c r="A3011" s="1" t="s">
        <v>3012</v>
      </c>
      <c r="B3011" s="1" t="s">
        <v>5</v>
      </c>
      <c r="C3011" s="2">
        <f>IFERROR(__xludf.DUMMYFUNCTION("IFERROR(VLOOKUP(A3011, IMPORTRANGE(""https://docs.google.com/spreadsheets/d/1AVX9GT0dgogEBStecCXMMQ29tWz3gBrtNB8yIromXbY/edit?gid=741673867"", ""out1g!A:B""), 2, FALSE), 0)"),209.0)</f>
        <v>209</v>
      </c>
      <c r="D3011" s="2" t="str">
        <f>IFERROR(__xludf.DUMMYFUNCTION("IFERROR(VLOOKUP(A3011, IMPORTRANGE(""https://docs.google.com/spreadsheets/d/1-3Vjw2Cyy-mry5gbC8ypIR3YVGFfEpyFESummAta6sg/edit"", ""Sheet1!B:D""), 2, FALSE), ""Not Found"")"),"kərb")</f>
        <v>kərb</v>
      </c>
      <c r="E3011" s="2" t="str">
        <f>IFERROR(__xludf.DUMMYFUNCTION("IFERROR(VLOOKUP(A3011, IMPORTRANGE(""https://docs.google.com/spreadsheets/d/1-3Vjw2Cyy-mry5gbC8ypIR3YVGFfEpyFESummAta6sg/edit"", ""Sheet1!B:D""), 3, FALSE), ""Not Found"")"),"k ə r b ")</f>
        <v>k ə r b </v>
      </c>
    </row>
    <row r="3012">
      <c r="A3012" s="1" t="s">
        <v>3013</v>
      </c>
      <c r="B3012" s="1" t="s">
        <v>5</v>
      </c>
      <c r="C3012" s="2">
        <f>IFERROR(__xludf.DUMMYFUNCTION("IFERROR(VLOOKUP(A3012, IMPORTRANGE(""https://docs.google.com/spreadsheets/d/1AVX9GT0dgogEBStecCXMMQ29tWz3gBrtNB8yIromXbY/edit?gid=741673867"", ""out1g!A:B""), 2, FALSE), 0)"),14592.0)</f>
        <v>14592</v>
      </c>
      <c r="D3012" s="2" t="str">
        <f>IFERROR(__xludf.DUMMYFUNCTION("IFERROR(VLOOKUP(A3012, IMPORTRANGE(""https://docs.google.com/spreadsheets/d/1-3Vjw2Cyy-mry5gbC8ypIR3YVGFfEpyFESummAta6sg/edit"", ""Sheet1!B:D""), 2, FALSE), ""Not Found"")"),"əgoʊ")</f>
        <v>əgoʊ</v>
      </c>
      <c r="E3012" s="2" t="str">
        <f>IFERROR(__xludf.DUMMYFUNCTION("IFERROR(VLOOKUP(A3012, IMPORTRANGE(""https://docs.google.com/spreadsheets/d/1-3Vjw2Cyy-mry5gbC8ypIR3YVGFfEpyFESummAta6sg/edit"", ""Sheet1!B:D""), 3, FALSE), ""Not Found"")"),"ə g o ʊ ")</f>
        <v>ə g o ʊ </v>
      </c>
    </row>
    <row r="3013">
      <c r="A3013" s="1" t="s">
        <v>3014</v>
      </c>
      <c r="B3013" s="1" t="s">
        <v>5</v>
      </c>
      <c r="C3013" s="2">
        <f>IFERROR(__xludf.DUMMYFUNCTION("IFERROR(VLOOKUP(A3013, IMPORTRANGE(""https://docs.google.com/spreadsheets/d/1AVX9GT0dgogEBStecCXMMQ29tWz3gBrtNB8yIromXbY/edit?gid=741673867"", ""out1g!A:B""), 2, FALSE), 0)"),3140.0)</f>
        <v>3140</v>
      </c>
      <c r="D3013" s="2" t="str">
        <f>IFERROR(__xludf.DUMMYFUNCTION("IFERROR(VLOOKUP(A3013, IMPORTRANGE(""https://docs.google.com/spreadsheets/d/1-3Vjw2Cyy-mry5gbC8ypIR3YVGFfEpyFESummAta6sg/edit"", ""Sheet1!B:D""), 2, FALSE), ""Not Found"")"),"spɑt")</f>
        <v>spɑt</v>
      </c>
      <c r="E3013" s="2" t="str">
        <f>IFERROR(__xludf.DUMMYFUNCTION("IFERROR(VLOOKUP(A3013, IMPORTRANGE(""https://docs.google.com/spreadsheets/d/1-3Vjw2Cyy-mry5gbC8ypIR3YVGFfEpyFESummAta6sg/edit"", ""Sheet1!B:D""), 3, FALSE), ""Not Found"")"),"s p ɑ t ")</f>
        <v>s p ɑ t </v>
      </c>
    </row>
    <row r="3014">
      <c r="A3014" s="1" t="s">
        <v>3015</v>
      </c>
      <c r="B3014" s="1" t="s">
        <v>5</v>
      </c>
      <c r="C3014" s="2">
        <f>IFERROR(__xludf.DUMMYFUNCTION("IFERROR(VLOOKUP(A3014, IMPORTRANGE(""https://docs.google.com/spreadsheets/d/1AVX9GT0dgogEBStecCXMMQ29tWz3gBrtNB8yIromXbY/edit?gid=741673867"", ""out1g!A:B""), 2, FALSE), 0)"),137.0)</f>
        <v>137</v>
      </c>
      <c r="D3014" s="2" t="str">
        <f>IFERROR(__xludf.DUMMYFUNCTION("IFERROR(VLOOKUP(A3014, IMPORTRANGE(""https://docs.google.com/spreadsheets/d/1-3Vjw2Cyy-mry5gbC8ypIR3YVGFfEpyFESummAta6sg/edit"", ""Sheet1!B:D""), 2, FALSE), ""Not Found"")"),"grel")</f>
        <v>grel</v>
      </c>
      <c r="E3014" s="2" t="str">
        <f>IFERROR(__xludf.DUMMYFUNCTION("IFERROR(VLOOKUP(A3014, IMPORTRANGE(""https://docs.google.com/spreadsheets/d/1-3Vjw2Cyy-mry5gbC8ypIR3YVGFfEpyFESummAta6sg/edit"", ""Sheet1!B:D""), 3, FALSE), ""Not Found"")"),"g r e l ")</f>
        <v>g r e l </v>
      </c>
    </row>
    <row r="3015">
      <c r="A3015" s="1" t="s">
        <v>3016</v>
      </c>
      <c r="B3015" s="1" t="s">
        <v>5</v>
      </c>
      <c r="C3015" s="2">
        <f>IFERROR(__xludf.DUMMYFUNCTION("IFERROR(VLOOKUP(A3015, IMPORTRANGE(""https://docs.google.com/spreadsheets/d/1AVX9GT0dgogEBStecCXMMQ29tWz3gBrtNB8yIromXbY/edit?gid=741673867"", ""out1g!A:B""), 2, FALSE), 0)"),296.0)</f>
        <v>296</v>
      </c>
      <c r="D3015" s="2" t="str">
        <f>IFERROR(__xludf.DUMMYFUNCTION("IFERROR(VLOOKUP(A3015, IMPORTRANGE(""https://docs.google.com/spreadsheets/d/1-3Vjw2Cyy-mry5gbC8ypIR3YVGFfEpyFESummAta6sg/edit"", ""Sheet1!B:D""), 2, FALSE), ""Not Found"")"),"vɛt")</f>
        <v>vɛt</v>
      </c>
      <c r="E3015" s="2" t="str">
        <f>IFERROR(__xludf.DUMMYFUNCTION("IFERROR(VLOOKUP(A3015, IMPORTRANGE(""https://docs.google.com/spreadsheets/d/1-3Vjw2Cyy-mry5gbC8ypIR3YVGFfEpyFESummAta6sg/edit"", ""Sheet1!B:D""), 3, FALSE), ""Not Found"")"),"v ɛ t ")</f>
        <v>v ɛ t </v>
      </c>
    </row>
    <row r="3016">
      <c r="A3016" s="1" t="s">
        <v>3017</v>
      </c>
      <c r="B3016" s="1" t="s">
        <v>5</v>
      </c>
      <c r="C3016" s="2">
        <f>IFERROR(__xludf.DUMMYFUNCTION("IFERROR(VLOOKUP(A3016, IMPORTRANGE(""https://docs.google.com/spreadsheets/d/1AVX9GT0dgogEBStecCXMMQ29tWz3gBrtNB8yIromXbY/edit?gid=741673867"", ""out1g!A:B""), 2, FALSE), 0)"),455.0)</f>
        <v>455</v>
      </c>
      <c r="D3016" s="2" t="str">
        <f>IFERROR(__xludf.DUMMYFUNCTION("IFERROR(VLOOKUP(A3016, IMPORTRANGE(""https://docs.google.com/spreadsheets/d/1-3Vjw2Cyy-mry5gbC8ypIR3YVGFfEpyFESummAta6sg/edit"", ""Sheet1!B:D""), 2, FALSE), ""Not Found"")"),"noʊə")</f>
        <v>noʊə</v>
      </c>
      <c r="E3016" s="2" t="str">
        <f>IFERROR(__xludf.DUMMYFUNCTION("IFERROR(VLOOKUP(A3016, IMPORTRANGE(""https://docs.google.com/spreadsheets/d/1-3Vjw2Cyy-mry5gbC8ypIR3YVGFfEpyFESummAta6sg/edit"", ""Sheet1!B:D""), 3, FALSE), ""Not Found"")"),"n o ʊ ə ")</f>
        <v>n o ʊ ə </v>
      </c>
    </row>
    <row r="3017">
      <c r="A3017" s="1" t="s">
        <v>3018</v>
      </c>
      <c r="B3017" s="1" t="s">
        <v>5</v>
      </c>
      <c r="C3017" s="2">
        <f>IFERROR(__xludf.DUMMYFUNCTION("IFERROR(VLOOKUP(A3017, IMPORTRANGE(""https://docs.google.com/spreadsheets/d/1AVX9GT0dgogEBStecCXMMQ29tWz3gBrtNB8yIromXbY/edit?gid=741673867"", ""out1g!A:B""), 2, FALSE), 0)"),51.0)</f>
        <v>51</v>
      </c>
      <c r="D3017" s="2" t="str">
        <f>IFERROR(__xludf.DUMMYFUNCTION("IFERROR(VLOOKUP(A3017, IMPORTRANGE(""https://docs.google.com/spreadsheets/d/1-3Vjw2Cyy-mry5gbC8ypIR3YVGFfEpyFESummAta6sg/edit"", ""Sheet1!B:D""), 2, FALSE), ""Not Found"")"),"buɪŋ")</f>
        <v>buɪŋ</v>
      </c>
      <c r="E3017" s="2" t="str">
        <f>IFERROR(__xludf.DUMMYFUNCTION("IFERROR(VLOOKUP(A3017, IMPORTRANGE(""https://docs.google.com/spreadsheets/d/1-3Vjw2Cyy-mry5gbC8ypIR3YVGFfEpyFESummAta6sg/edit"", ""Sheet1!B:D""), 3, FALSE), ""Not Found"")"),"b u ɪ ŋ ")</f>
        <v>b u ɪ ŋ </v>
      </c>
    </row>
    <row r="3018">
      <c r="A3018" s="1" t="s">
        <v>3019</v>
      </c>
      <c r="B3018" s="1" t="s">
        <v>5</v>
      </c>
      <c r="C3018" s="2">
        <f>IFERROR(__xludf.DUMMYFUNCTION("IFERROR(VLOOKUP(A3018, IMPORTRANGE(""https://docs.google.com/spreadsheets/d/1AVX9GT0dgogEBStecCXMMQ29tWz3gBrtNB8yIromXbY/edit?gid=741673867"", ""out1g!A:B""), 2, FALSE), 0)"),469.0)</f>
        <v>469</v>
      </c>
      <c r="D3018" s="2" t="str">
        <f>IFERROR(__xludf.DUMMYFUNCTION("IFERROR(VLOOKUP(A3018, IMPORTRANGE(""https://docs.google.com/spreadsheets/d/1-3Vjw2Cyy-mry5gbC8ypIR3YVGFfEpyFESummAta6sg/edit"", ""Sheet1!B:D""), 2, FALSE), ""Not Found"")"),"æʃ")</f>
        <v>æʃ</v>
      </c>
      <c r="E3018" s="2" t="str">
        <f>IFERROR(__xludf.DUMMYFUNCTION("IFERROR(VLOOKUP(A3018, IMPORTRANGE(""https://docs.google.com/spreadsheets/d/1-3Vjw2Cyy-mry5gbC8ypIR3YVGFfEpyFESummAta6sg/edit"", ""Sheet1!B:D""), 3, FALSE), ""Not Found"")"),"æ ʃ ")</f>
        <v>æ ʃ </v>
      </c>
    </row>
    <row r="3019">
      <c r="A3019" s="1" t="s">
        <v>3020</v>
      </c>
      <c r="B3019" s="1" t="s">
        <v>5</v>
      </c>
      <c r="C3019" s="2">
        <f>IFERROR(__xludf.DUMMYFUNCTION("IFERROR(VLOOKUP(A3019, IMPORTRANGE(""https://docs.google.com/spreadsheets/d/1AVX9GT0dgogEBStecCXMMQ29tWz3gBrtNB8yIromXbY/edit?gid=741673867"", ""out1g!A:B""), 2, FALSE), 0)"),132.0)</f>
        <v>132</v>
      </c>
      <c r="D3019" s="2" t="str">
        <f>IFERROR(__xludf.DUMMYFUNCTION("IFERROR(VLOOKUP(A3019, IMPORTRANGE(""https://docs.google.com/spreadsheets/d/1-3Vjw2Cyy-mry5gbC8ypIR3YVGFfEpyFESummAta6sg/edit"", ""Sheet1!B:D""), 2, FALSE), ""Not Found"")"),"lɛks")</f>
        <v>lɛks</v>
      </c>
      <c r="E3019" s="2" t="str">
        <f>IFERROR(__xludf.DUMMYFUNCTION("IFERROR(VLOOKUP(A3019, IMPORTRANGE(""https://docs.google.com/spreadsheets/d/1-3Vjw2Cyy-mry5gbC8ypIR3YVGFfEpyFESummAta6sg/edit"", ""Sheet1!B:D""), 3, FALSE), ""Not Found"")"),"l ɛ k s ")</f>
        <v>l ɛ k s </v>
      </c>
    </row>
    <row r="3020">
      <c r="A3020" s="1" t="s">
        <v>3021</v>
      </c>
      <c r="B3020" s="1" t="s">
        <v>5</v>
      </c>
      <c r="C3020" s="2">
        <f>IFERROR(__xludf.DUMMYFUNCTION("IFERROR(VLOOKUP(A3020, IMPORTRANGE(""https://docs.google.com/spreadsheets/d/1AVX9GT0dgogEBStecCXMMQ29tWz3gBrtNB8yIromXbY/edit?gid=741673867"", ""out1g!A:B""), 2, FALSE), 0)"),10247.0)</f>
        <v>10247</v>
      </c>
      <c r="D3020" s="2" t="str">
        <f>IFERROR(__xludf.DUMMYFUNCTION("IFERROR(VLOOKUP(A3020, IMPORTRANGE(""https://docs.google.com/spreadsheets/d/1-3Vjw2Cyy-mry5gbC8ypIR3YVGFfEpyFESummAta6sg/edit"", ""Sheet1!B:D""), 2, FALSE), ""Not Found"")"),"saɪd")</f>
        <v>saɪd</v>
      </c>
      <c r="E3020" s="2" t="str">
        <f>IFERROR(__xludf.DUMMYFUNCTION("IFERROR(VLOOKUP(A3020, IMPORTRANGE(""https://docs.google.com/spreadsheets/d/1-3Vjw2Cyy-mry5gbC8ypIR3YVGFfEpyFESummAta6sg/edit"", ""Sheet1!B:D""), 3, FALSE), ""Not Found"")"),"s a ɪ d ")</f>
        <v>s a ɪ d </v>
      </c>
    </row>
    <row r="3021">
      <c r="A3021" s="1" t="s">
        <v>3022</v>
      </c>
      <c r="B3021" s="1" t="s">
        <v>5</v>
      </c>
      <c r="C3021" s="2">
        <f>IFERROR(__xludf.DUMMYFUNCTION("IFERROR(VLOOKUP(A3021, IMPORTRANGE(""https://docs.google.com/spreadsheets/d/1AVX9GT0dgogEBStecCXMMQ29tWz3gBrtNB8yIromXbY/edit?gid=741673867"", ""out1g!A:B""), 2, FALSE), 0)"),1204.0)</f>
        <v>1204</v>
      </c>
      <c r="D3021" s="2" t="str">
        <f>IFERROR(__xludf.DUMMYFUNCTION("IFERROR(VLOOKUP(A3021, IMPORTRANGE(""https://docs.google.com/spreadsheets/d/1-3Vjw2Cyy-mry5gbC8ypIR3YVGFfEpyFESummAta6sg/edit"", ""Sheet1!B:D""), 2, FALSE), ""Not Found"")"),"fɪʃɪŋ")</f>
        <v>fɪʃɪŋ</v>
      </c>
      <c r="E3021" s="2" t="str">
        <f>IFERROR(__xludf.DUMMYFUNCTION("IFERROR(VLOOKUP(A3021, IMPORTRANGE(""https://docs.google.com/spreadsheets/d/1-3Vjw2Cyy-mry5gbC8ypIR3YVGFfEpyFESummAta6sg/edit"", ""Sheet1!B:D""), 3, FALSE), ""Not Found"")"),"f ɪ ʃ ɪ ŋ ")</f>
        <v>f ɪ ʃ ɪ ŋ </v>
      </c>
    </row>
    <row r="3022">
      <c r="A3022" s="1" t="s">
        <v>3023</v>
      </c>
      <c r="B3022" s="1" t="s">
        <v>5</v>
      </c>
      <c r="C3022" s="2">
        <f>IFERROR(__xludf.DUMMYFUNCTION("IFERROR(VLOOKUP(A3022, IMPORTRANGE(""https://docs.google.com/spreadsheets/d/1AVX9GT0dgogEBStecCXMMQ29tWz3gBrtNB8yIromXbY/edit?gid=741673867"", ""out1g!A:B""), 2, FALSE), 0)"),644.0)</f>
        <v>644</v>
      </c>
      <c r="D3022" s="2" t="str">
        <f>IFERROR(__xludf.DUMMYFUNCTION("IFERROR(VLOOKUP(A3022, IMPORTRANGE(""https://docs.google.com/spreadsheets/d/1-3Vjw2Cyy-mry5gbC8ypIR3YVGFfEpyFESummAta6sg/edit"", ""Sheet1!B:D""), 2, FALSE), ""Not Found"")"),"dipər")</f>
        <v>dipər</v>
      </c>
      <c r="E3022" s="2" t="str">
        <f>IFERROR(__xludf.DUMMYFUNCTION("IFERROR(VLOOKUP(A3022, IMPORTRANGE(""https://docs.google.com/spreadsheets/d/1-3Vjw2Cyy-mry5gbC8ypIR3YVGFfEpyFESummAta6sg/edit"", ""Sheet1!B:D""), 3, FALSE), ""Not Found"")"),"d i p ə r ")</f>
        <v>d i p ə r </v>
      </c>
    </row>
    <row r="3023">
      <c r="A3023" s="1" t="s">
        <v>3024</v>
      </c>
      <c r="B3023" s="1" t="s">
        <v>5</v>
      </c>
      <c r="C3023" s="2">
        <f>IFERROR(__xludf.DUMMYFUNCTION("IFERROR(VLOOKUP(A3023, IMPORTRANGE(""https://docs.google.com/spreadsheets/d/1AVX9GT0dgogEBStecCXMMQ29tWz3gBrtNB8yIromXbY/edit?gid=741673867"", ""out1g!A:B""), 2, FALSE), 0)"),61.0)</f>
        <v>61</v>
      </c>
      <c r="D3023" s="2" t="str">
        <f>IFERROR(__xludf.DUMMYFUNCTION("IFERROR(VLOOKUP(A3023, IMPORTRANGE(""https://docs.google.com/spreadsheets/d/1-3Vjw2Cyy-mry5gbC8ypIR3YVGFfEpyFESummAta6sg/edit"", ""Sheet1!B:D""), 2, FALSE), ""Not Found"")"),"kil")</f>
        <v>kil</v>
      </c>
      <c r="E3023" s="2" t="str">
        <f>IFERROR(__xludf.DUMMYFUNCTION("IFERROR(VLOOKUP(A3023, IMPORTRANGE(""https://docs.google.com/spreadsheets/d/1-3Vjw2Cyy-mry5gbC8ypIR3YVGFfEpyFESummAta6sg/edit"", ""Sheet1!B:D""), 3, FALSE), ""Not Found"")"),"k i l ")</f>
        <v>k i l </v>
      </c>
    </row>
    <row r="3024">
      <c r="A3024" s="1" t="s">
        <v>3025</v>
      </c>
      <c r="B3024" s="1" t="s">
        <v>5</v>
      </c>
      <c r="C3024" s="2">
        <f>IFERROR(__xludf.DUMMYFUNCTION("IFERROR(VLOOKUP(A3024, IMPORTRANGE(""https://docs.google.com/spreadsheets/d/1AVX9GT0dgogEBStecCXMMQ29tWz3gBrtNB8yIromXbY/edit?gid=741673867"", ""out1g!A:B""), 2, FALSE), 0)"),166.0)</f>
        <v>166</v>
      </c>
      <c r="D3024" s="2" t="str">
        <f>IFERROR(__xludf.DUMMYFUNCTION("IFERROR(VLOOKUP(A3024, IMPORTRANGE(""https://docs.google.com/spreadsheets/d/1-3Vjw2Cyy-mry5gbC8ypIR3YVGFfEpyFESummAta6sg/edit"", ""Sheet1!B:D""), 2, FALSE), ""Not Found"")"),"wɪtni")</f>
        <v>wɪtni</v>
      </c>
      <c r="E3024" s="2" t="str">
        <f>IFERROR(__xludf.DUMMYFUNCTION("IFERROR(VLOOKUP(A3024, IMPORTRANGE(""https://docs.google.com/spreadsheets/d/1-3Vjw2Cyy-mry5gbC8ypIR3YVGFfEpyFESummAta6sg/edit"", ""Sheet1!B:D""), 3, FALSE), ""Not Found"")"),"w ɪ t n i ")</f>
        <v>w ɪ t n i </v>
      </c>
    </row>
    <row r="3025">
      <c r="A3025" s="1" t="s">
        <v>3026</v>
      </c>
      <c r="B3025" s="1" t="s">
        <v>5</v>
      </c>
      <c r="C3025" s="2">
        <f>IFERROR(__xludf.DUMMYFUNCTION("IFERROR(VLOOKUP(A3025, IMPORTRANGE(""https://docs.google.com/spreadsheets/d/1AVX9GT0dgogEBStecCXMMQ29tWz3gBrtNB8yIromXbY/edit?gid=741673867"", ""out1g!A:B""), 2, FALSE), 0)"),23.0)</f>
        <v>23</v>
      </c>
      <c r="D3025" s="2" t="str">
        <f>IFERROR(__xludf.DUMMYFUNCTION("IFERROR(VLOOKUP(A3025, IMPORTRANGE(""https://docs.google.com/spreadsheets/d/1-3Vjw2Cyy-mry5gbC8ypIR3YVGFfEpyFESummAta6sg/edit"", ""Sheet1!B:D""), 2, FALSE), ""Not Found"")"),"hɔrd")</f>
        <v>hɔrd</v>
      </c>
      <c r="E3025" s="2" t="str">
        <f>IFERROR(__xludf.DUMMYFUNCTION("IFERROR(VLOOKUP(A3025, IMPORTRANGE(""https://docs.google.com/spreadsheets/d/1-3Vjw2Cyy-mry5gbC8ypIR3YVGFfEpyFESummAta6sg/edit"", ""Sheet1!B:D""), 3, FALSE), ""Not Found"")"),"h ɔ r d ")</f>
        <v>h ɔ r d </v>
      </c>
    </row>
    <row r="3026">
      <c r="A3026" s="1" t="s">
        <v>3027</v>
      </c>
      <c r="B3026" s="1" t="s">
        <v>5</v>
      </c>
      <c r="C3026" s="2">
        <f>IFERROR(__xludf.DUMMYFUNCTION("IFERROR(VLOOKUP(A3026, IMPORTRANGE(""https://docs.google.com/spreadsheets/d/1AVX9GT0dgogEBStecCXMMQ29tWz3gBrtNB8yIromXbY/edit?gid=741673867"", ""out1g!A:B""), 2, FALSE), 0)"),1349.0)</f>
        <v>1349</v>
      </c>
      <c r="D3026" s="2" t="str">
        <f>IFERROR(__xludf.DUMMYFUNCTION("IFERROR(VLOOKUP(A3026, IMPORTRANGE(""https://docs.google.com/spreadsheets/d/1-3Vjw2Cyy-mry5gbC8ypIR3YVGFfEpyFESummAta6sg/edit"", ""Sheet1!B:D""), 2, FALSE), ""Not Found"")"),"dræg")</f>
        <v>dræg</v>
      </c>
      <c r="E3026" s="2" t="str">
        <f>IFERROR(__xludf.DUMMYFUNCTION("IFERROR(VLOOKUP(A3026, IMPORTRANGE(""https://docs.google.com/spreadsheets/d/1-3Vjw2Cyy-mry5gbC8ypIR3YVGFfEpyFESummAta6sg/edit"", ""Sheet1!B:D""), 3, FALSE), ""Not Found"")"),"d r æ g ")</f>
        <v>d r æ g </v>
      </c>
    </row>
    <row r="3027">
      <c r="A3027" s="1" t="s">
        <v>3028</v>
      </c>
      <c r="B3027" s="1" t="s">
        <v>5</v>
      </c>
      <c r="C3027" s="2">
        <f>IFERROR(__xludf.DUMMYFUNCTION("IFERROR(VLOOKUP(A3027, IMPORTRANGE(""https://docs.google.com/spreadsheets/d/1AVX9GT0dgogEBStecCXMMQ29tWz3gBrtNB8yIromXbY/edit?gid=741673867"", ""out1g!A:B""), 2, FALSE), 0)"),60.0)</f>
        <v>60</v>
      </c>
      <c r="D3027" s="2" t="str">
        <f>IFERROR(__xludf.DUMMYFUNCTION("IFERROR(VLOOKUP(A3027, IMPORTRANGE(""https://docs.google.com/spreadsheets/d/1-3Vjw2Cyy-mry5gbC8ypIR3YVGFfEpyFESummAta6sg/edit"", ""Sheet1!B:D""), 2, FALSE), ""Not Found"")"),"detən")</f>
        <v>detən</v>
      </c>
      <c r="E3027" s="2" t="str">
        <f>IFERROR(__xludf.DUMMYFUNCTION("IFERROR(VLOOKUP(A3027, IMPORTRANGE(""https://docs.google.com/spreadsheets/d/1-3Vjw2Cyy-mry5gbC8ypIR3YVGFfEpyFESummAta6sg/edit"", ""Sheet1!B:D""), 3, FALSE), ""Not Found"")"),"d e t ə n ")</f>
        <v>d e t ə n </v>
      </c>
    </row>
    <row r="3028">
      <c r="A3028" s="1" t="s">
        <v>3029</v>
      </c>
      <c r="B3028" s="1" t="s">
        <v>5</v>
      </c>
      <c r="C3028" s="2">
        <f>IFERROR(__xludf.DUMMYFUNCTION("IFERROR(VLOOKUP(A3028, IMPORTRANGE(""https://docs.google.com/spreadsheets/d/1AVX9GT0dgogEBStecCXMMQ29tWz3gBrtNB8yIromXbY/edit?gid=741673867"", ""out1g!A:B""), 2, FALSE), 0)"),12.0)</f>
        <v>12</v>
      </c>
      <c r="D3028" s="2" t="str">
        <f>IFERROR(__xludf.DUMMYFUNCTION("IFERROR(VLOOKUP(A3028, IMPORTRANGE(""https://docs.google.com/spreadsheets/d/1-3Vjw2Cyy-mry5gbC8ypIR3YVGFfEpyFESummAta6sg/edit"", ""Sheet1!B:D""), 2, FALSE), ""Not Found"")"),"put")</f>
        <v>put</v>
      </c>
      <c r="E3028" s="2" t="str">
        <f>IFERROR(__xludf.DUMMYFUNCTION("IFERROR(VLOOKUP(A3028, IMPORTRANGE(""https://docs.google.com/spreadsheets/d/1-3Vjw2Cyy-mry5gbC8ypIR3YVGFfEpyFESummAta6sg/edit"", ""Sheet1!B:D""), 3, FALSE), ""Not Found"")"),"p u t ")</f>
        <v>p u t </v>
      </c>
    </row>
    <row r="3029">
      <c r="A3029" s="1" t="s">
        <v>3030</v>
      </c>
      <c r="B3029" s="1" t="s">
        <v>5</v>
      </c>
      <c r="C3029" s="2">
        <f>IFERROR(__xludf.DUMMYFUNCTION("IFERROR(VLOOKUP(A3029, IMPORTRANGE(""https://docs.google.com/spreadsheets/d/1AVX9GT0dgogEBStecCXMMQ29tWz3gBrtNB8yIromXbY/edit?gid=741673867"", ""out1g!A:B""), 2, FALSE), 0)"),452.0)</f>
        <v>452</v>
      </c>
      <c r="D3029" s="2" t="str">
        <f>IFERROR(__xludf.DUMMYFUNCTION("IFERROR(VLOOKUP(A3029, IMPORTRANGE(""https://docs.google.com/spreadsheets/d/1-3Vjw2Cyy-mry5gbC8ypIR3YVGFfEpyFESummAta6sg/edit"", ""Sheet1!B:D""), 2, FALSE), ""Not Found"")"),"væl")</f>
        <v>væl</v>
      </c>
      <c r="E3029" s="2" t="str">
        <f>IFERROR(__xludf.DUMMYFUNCTION("IFERROR(VLOOKUP(A3029, IMPORTRANGE(""https://docs.google.com/spreadsheets/d/1-3Vjw2Cyy-mry5gbC8ypIR3YVGFfEpyFESummAta6sg/edit"", ""Sheet1!B:D""), 3, FALSE), ""Not Found"")"),"v æ l ")</f>
        <v>v æ l </v>
      </c>
    </row>
    <row r="3030">
      <c r="A3030" s="1" t="s">
        <v>3031</v>
      </c>
      <c r="B3030" s="1" t="s">
        <v>5</v>
      </c>
      <c r="C3030" s="2">
        <f>IFERROR(__xludf.DUMMYFUNCTION("IFERROR(VLOOKUP(A3030, IMPORTRANGE(""https://docs.google.com/spreadsheets/d/1AVX9GT0dgogEBStecCXMMQ29tWz3gBrtNB8yIromXbY/edit?gid=741673867"", ""out1g!A:B""), 2, FALSE), 0)"),157.0)</f>
        <v>157</v>
      </c>
      <c r="D3030" s="2" t="str">
        <f>IFERROR(__xludf.DUMMYFUNCTION("IFERROR(VLOOKUP(A3030, IMPORTRANGE(""https://docs.google.com/spreadsheets/d/1-3Vjw2Cyy-mry5gbC8ypIR3YVGFfEpyFESummAta6sg/edit"", ""Sheet1!B:D""), 2, FALSE), ""Not Found"")"),"slivz")</f>
        <v>slivz</v>
      </c>
      <c r="E3030" s="2" t="str">
        <f>IFERROR(__xludf.DUMMYFUNCTION("IFERROR(VLOOKUP(A3030, IMPORTRANGE(""https://docs.google.com/spreadsheets/d/1-3Vjw2Cyy-mry5gbC8ypIR3YVGFfEpyFESummAta6sg/edit"", ""Sheet1!B:D""), 3, FALSE), ""Not Found"")"),"s l i v z ")</f>
        <v>s l i v z </v>
      </c>
    </row>
    <row r="3031">
      <c r="A3031" s="1" t="s">
        <v>3032</v>
      </c>
      <c r="B3031" s="1" t="s">
        <v>5</v>
      </c>
      <c r="C3031" s="2">
        <f>IFERROR(__xludf.DUMMYFUNCTION("IFERROR(VLOOKUP(A3031, IMPORTRANGE(""https://docs.google.com/spreadsheets/d/1AVX9GT0dgogEBStecCXMMQ29tWz3gBrtNB8yIromXbY/edit?gid=741673867"", ""out1g!A:B""), 2, FALSE), 0)"),742.0)</f>
        <v>742</v>
      </c>
      <c r="D3031" s="2" t="str">
        <f>IFERROR(__xludf.DUMMYFUNCTION("IFERROR(VLOOKUP(A3031, IMPORTRANGE(""https://docs.google.com/spreadsheets/d/1-3Vjw2Cyy-mry5gbC8ypIR3YVGFfEpyFESummAta6sg/edit"", ""Sheet1!B:D""), 2, FALSE), ""Not Found"")"),"boʊ")</f>
        <v>boʊ</v>
      </c>
      <c r="E3031" s="2" t="str">
        <f>IFERROR(__xludf.DUMMYFUNCTION("IFERROR(VLOOKUP(A3031, IMPORTRANGE(""https://docs.google.com/spreadsheets/d/1-3Vjw2Cyy-mry5gbC8ypIR3YVGFfEpyFESummAta6sg/edit"", ""Sheet1!B:D""), 3, FALSE), ""Not Found"")"),"b o ʊ ")</f>
        <v>b o ʊ </v>
      </c>
    </row>
    <row r="3032">
      <c r="A3032" s="1" t="s">
        <v>3033</v>
      </c>
      <c r="B3032" s="1" t="s">
        <v>5</v>
      </c>
      <c r="C3032" s="2">
        <f>IFERROR(__xludf.DUMMYFUNCTION("IFERROR(VLOOKUP(A3032, IMPORTRANGE(""https://docs.google.com/spreadsheets/d/1AVX9GT0dgogEBStecCXMMQ29tWz3gBrtNB8yIromXbY/edit?gid=741673867"", ""out1g!A:B""), 2, FALSE), 0)"),634.0)</f>
        <v>634</v>
      </c>
      <c r="D3032" s="2" t="str">
        <f>IFERROR(__xludf.DUMMYFUNCTION("IFERROR(VLOOKUP(A3032, IMPORTRANGE(""https://docs.google.com/spreadsheets/d/1-3Vjw2Cyy-mry5gbC8ypIR3YVGFfEpyFESummAta6sg/edit"", ""Sheet1!B:D""), 2, FALSE), ""Not Found"")"),"rɪr")</f>
        <v>rɪr</v>
      </c>
      <c r="E3032" s="2" t="str">
        <f>IFERROR(__xludf.DUMMYFUNCTION("IFERROR(VLOOKUP(A3032, IMPORTRANGE(""https://docs.google.com/spreadsheets/d/1-3Vjw2Cyy-mry5gbC8ypIR3YVGFfEpyFESummAta6sg/edit"", ""Sheet1!B:D""), 3, FALSE), ""Not Found"")"),"r ɪ r ")</f>
        <v>r ɪ r </v>
      </c>
    </row>
    <row r="3033">
      <c r="A3033" s="1" t="s">
        <v>3034</v>
      </c>
      <c r="B3033" s="1" t="s">
        <v>5</v>
      </c>
      <c r="C3033" s="2">
        <f>IFERROR(__xludf.DUMMYFUNCTION("IFERROR(VLOOKUP(A3033, IMPORTRANGE(""https://docs.google.com/spreadsheets/d/1AVX9GT0dgogEBStecCXMMQ29tWz3gBrtNB8yIromXbY/edit?gid=741673867"", ""out1g!A:B""), 2, FALSE), 0)"),353.0)</f>
        <v>353</v>
      </c>
      <c r="D3033" s="2" t="str">
        <f>IFERROR(__xludf.DUMMYFUNCTION("IFERROR(VLOOKUP(A3033, IMPORTRANGE(""https://docs.google.com/spreadsheets/d/1-3Vjw2Cyy-mry5gbC8ypIR3YVGFfEpyFESummAta6sg/edit"", ""Sheet1!B:D""), 2, FALSE), ""Not Found"")"),"naɪvz")</f>
        <v>naɪvz</v>
      </c>
      <c r="E3033" s="2" t="str">
        <f>IFERROR(__xludf.DUMMYFUNCTION("IFERROR(VLOOKUP(A3033, IMPORTRANGE(""https://docs.google.com/spreadsheets/d/1-3Vjw2Cyy-mry5gbC8ypIR3YVGFfEpyFESummAta6sg/edit"", ""Sheet1!B:D""), 3, FALSE), ""Not Found"")"),"n a ɪ v z ")</f>
        <v>n a ɪ v z </v>
      </c>
    </row>
    <row r="3034">
      <c r="A3034" s="1" t="s">
        <v>3035</v>
      </c>
      <c r="B3034" s="1" t="s">
        <v>5</v>
      </c>
      <c r="C3034" s="2">
        <f>IFERROR(__xludf.DUMMYFUNCTION("IFERROR(VLOOKUP(A3034, IMPORTRANGE(""https://docs.google.com/spreadsheets/d/1AVX9GT0dgogEBStecCXMMQ29tWz3gBrtNB8yIromXbY/edit?gid=741673867"", ""out1g!A:B""), 2, FALSE), 0)"),78.0)</f>
        <v>78</v>
      </c>
      <c r="D3034" s="2" t="str">
        <f>IFERROR(__xludf.DUMMYFUNCTION("IFERROR(VLOOKUP(A3034, IMPORTRANGE(""https://docs.google.com/spreadsheets/d/1-3Vjw2Cyy-mry5gbC8ypIR3YVGFfEpyFESummAta6sg/edit"", ""Sheet1!B:D""), 2, FALSE), ""Not Found"")"),"ʤɑvə")</f>
        <v>ʤɑvə</v>
      </c>
      <c r="E3034" s="2" t="str">
        <f>IFERROR(__xludf.DUMMYFUNCTION("IFERROR(VLOOKUP(A3034, IMPORTRANGE(""https://docs.google.com/spreadsheets/d/1-3Vjw2Cyy-mry5gbC8ypIR3YVGFfEpyFESummAta6sg/edit"", ""Sheet1!B:D""), 3, FALSE), ""Not Found"")"),"ʤ ɑ v ə ")</f>
        <v>ʤ ɑ v ə </v>
      </c>
    </row>
    <row r="3035">
      <c r="A3035" s="1" t="s">
        <v>3036</v>
      </c>
      <c r="B3035" s="1" t="s">
        <v>5</v>
      </c>
      <c r="C3035" s="2">
        <f>IFERROR(__xludf.DUMMYFUNCTION("IFERROR(VLOOKUP(A3035, IMPORTRANGE(""https://docs.google.com/spreadsheets/d/1AVX9GT0dgogEBStecCXMMQ29tWz3gBrtNB8yIromXbY/edit?gid=741673867"", ""out1g!A:B""), 2, FALSE), 0)"),823.0)</f>
        <v>823</v>
      </c>
      <c r="D3035" s="2" t="str">
        <f>IFERROR(__xludf.DUMMYFUNCTION("IFERROR(VLOOKUP(A3035, IMPORTRANGE(""https://docs.google.com/spreadsheets/d/1-3Vjw2Cyy-mry5gbC8ypIR3YVGFfEpyFESummAta6sg/edit"", ""Sheet1!B:D""), 2, FALSE), ""Not Found"")"),"bəstər")</f>
        <v>bəstər</v>
      </c>
      <c r="E3035" s="2" t="str">
        <f>IFERROR(__xludf.DUMMYFUNCTION("IFERROR(VLOOKUP(A3035, IMPORTRANGE(""https://docs.google.com/spreadsheets/d/1-3Vjw2Cyy-mry5gbC8ypIR3YVGFfEpyFESummAta6sg/edit"", ""Sheet1!B:D""), 3, FALSE), ""Not Found"")"),"b ə s t ə r ")</f>
        <v>b ə s t ə r </v>
      </c>
    </row>
    <row r="3036">
      <c r="A3036" s="1" t="s">
        <v>3037</v>
      </c>
      <c r="B3036" s="1" t="s">
        <v>5</v>
      </c>
      <c r="C3036" s="2">
        <f>IFERROR(__xludf.DUMMYFUNCTION("IFERROR(VLOOKUP(A3036, IMPORTRANGE(""https://docs.google.com/spreadsheets/d/1AVX9GT0dgogEBStecCXMMQ29tWz3gBrtNB8yIromXbY/edit?gid=741673867"", ""out1g!A:B""), 2, FALSE), 0)"),389497.0)</f>
        <v>389497</v>
      </c>
      <c r="D3036" s="2" t="str">
        <f>IFERROR(__xludf.DUMMYFUNCTION("IFERROR(VLOOKUP(A3036, IMPORTRANGE(""https://docs.google.com/spreadsheets/d/1-3Vjw2Cyy-mry5gbC8ypIR3YVGFfEpyFESummAta6sg/edit"", ""Sheet1!B:D""), 2, FALSE), ""Not Found"")"),"hi")</f>
        <v>hi</v>
      </c>
      <c r="E3036" s="2" t="str">
        <f>IFERROR(__xludf.DUMMYFUNCTION("IFERROR(VLOOKUP(A3036, IMPORTRANGE(""https://docs.google.com/spreadsheets/d/1-3Vjw2Cyy-mry5gbC8ypIR3YVGFfEpyFESummAta6sg/edit"", ""Sheet1!B:D""), 3, FALSE), ""Not Found"")"),"h i ")</f>
        <v>h i </v>
      </c>
    </row>
    <row r="3037">
      <c r="A3037" s="1" t="s">
        <v>3038</v>
      </c>
      <c r="B3037" s="1" t="s">
        <v>5</v>
      </c>
      <c r="C3037" s="2">
        <f>IFERROR(__xludf.DUMMYFUNCTION("IFERROR(VLOOKUP(A3037, IMPORTRANGE(""https://docs.google.com/spreadsheets/d/1AVX9GT0dgogEBStecCXMMQ29tWz3gBrtNB8yIromXbY/edit?gid=741673867"", ""out1g!A:B""), 2, FALSE), 0)"),22.0)</f>
        <v>22</v>
      </c>
      <c r="D3037" s="2" t="str">
        <f>IFERROR(__xludf.DUMMYFUNCTION("IFERROR(VLOOKUP(A3037, IMPORTRANGE(""https://docs.google.com/spreadsheets/d/1-3Vjw2Cyy-mry5gbC8ypIR3YVGFfEpyFESummAta6sg/edit"", ""Sheet1!B:D""), 2, FALSE), ""Not Found"")"),"vlɑ")</f>
        <v>vlɑ</v>
      </c>
      <c r="E3037" s="2" t="str">
        <f>IFERROR(__xludf.DUMMYFUNCTION("IFERROR(VLOOKUP(A3037, IMPORTRANGE(""https://docs.google.com/spreadsheets/d/1-3Vjw2Cyy-mry5gbC8ypIR3YVGFfEpyFESummAta6sg/edit"", ""Sheet1!B:D""), 3, FALSE), ""Not Found"")"),"v l ɑ ")</f>
        <v>v l ɑ </v>
      </c>
    </row>
    <row r="3038">
      <c r="A3038" s="1" t="s">
        <v>3039</v>
      </c>
      <c r="B3038" s="1" t="s">
        <v>5</v>
      </c>
      <c r="C3038" s="2">
        <f>IFERROR(__xludf.DUMMYFUNCTION("IFERROR(VLOOKUP(A3038, IMPORTRANGE(""https://docs.google.com/spreadsheets/d/1AVX9GT0dgogEBStecCXMMQ29tWz3gBrtNB8yIromXbY/edit?gid=741673867"", ""out1g!A:B""), 2, FALSE), 0)"),108.0)</f>
        <v>108</v>
      </c>
      <c r="D3038" s="2" t="str">
        <f>IFERROR(__xludf.DUMMYFUNCTION("IFERROR(VLOOKUP(A3038, IMPORTRANGE(""https://docs.google.com/spreadsheets/d/1-3Vjw2Cyy-mry5gbC8ypIR3YVGFfEpyFESummAta6sg/edit"", ""Sheet1!B:D""), 2, FALSE), ""Not Found"")"),"əre")</f>
        <v>əre</v>
      </c>
      <c r="E3038" s="2" t="str">
        <f>IFERROR(__xludf.DUMMYFUNCTION("IFERROR(VLOOKUP(A3038, IMPORTRANGE(""https://docs.google.com/spreadsheets/d/1-3Vjw2Cyy-mry5gbC8ypIR3YVGFfEpyFESummAta6sg/edit"", ""Sheet1!B:D""), 3, FALSE), ""Not Found"")"),"ə r e ")</f>
        <v>ə r e </v>
      </c>
    </row>
    <row r="3039">
      <c r="A3039" s="1" t="s">
        <v>3040</v>
      </c>
      <c r="B3039" s="1" t="s">
        <v>5</v>
      </c>
      <c r="C3039" s="2">
        <f>IFERROR(__xludf.DUMMYFUNCTION("IFERROR(VLOOKUP(A3039, IMPORTRANGE(""https://docs.google.com/spreadsheets/d/1AVX9GT0dgogEBStecCXMMQ29tWz3gBrtNB8yIromXbY/edit?gid=741673867"", ""out1g!A:B""), 2, FALSE), 0)"),459607.0)</f>
        <v>459607</v>
      </c>
      <c r="D3039" s="2" t="str">
        <f>IFERROR(__xludf.DUMMYFUNCTION("IFERROR(VLOOKUP(A3039, IMPORTRANGE(""https://docs.google.com/spreadsheets/d/1-3Vjw2Cyy-mry5gbC8ypIR3YVGFfEpyFESummAta6sg/edit"", ""Sheet1!B:D""), 2, FALSE), ""Not Found"")"),"wi")</f>
        <v>wi</v>
      </c>
      <c r="E3039" s="2" t="str">
        <f>IFERROR(__xludf.DUMMYFUNCTION("IFERROR(VLOOKUP(A3039, IMPORTRANGE(""https://docs.google.com/spreadsheets/d/1-3Vjw2Cyy-mry5gbC8ypIR3YVGFfEpyFESummAta6sg/edit"", ""Sheet1!B:D""), 3, FALSE), ""Not Found"")"),"w i ")</f>
        <v>w i </v>
      </c>
    </row>
    <row r="3040">
      <c r="A3040" s="1" t="s">
        <v>3041</v>
      </c>
      <c r="B3040" s="1" t="s">
        <v>5</v>
      </c>
      <c r="C3040" s="2">
        <f>IFERROR(__xludf.DUMMYFUNCTION("IFERROR(VLOOKUP(A3040, IMPORTRANGE(""https://docs.google.com/spreadsheets/d/1AVX9GT0dgogEBStecCXMMQ29tWz3gBrtNB8yIromXbY/edit?gid=741673867"", ""out1g!A:B""), 2, FALSE), 0)"),171.0)</f>
        <v>171</v>
      </c>
      <c r="D3040" s="2" t="str">
        <f>IFERROR(__xludf.DUMMYFUNCTION("IFERROR(VLOOKUP(A3040, IMPORTRANGE(""https://docs.google.com/spreadsheets/d/1-3Vjw2Cyy-mry5gbC8ypIR3YVGFfEpyFESummAta6sg/edit"", ""Sheet1!B:D""), 2, FALSE), ""Not Found"")"),"toʊl")</f>
        <v>toʊl</v>
      </c>
      <c r="E3040" s="2" t="str">
        <f>IFERROR(__xludf.DUMMYFUNCTION("IFERROR(VLOOKUP(A3040, IMPORTRANGE(""https://docs.google.com/spreadsheets/d/1-3Vjw2Cyy-mry5gbC8ypIR3YVGFfEpyFESummAta6sg/edit"", ""Sheet1!B:D""), 3, FALSE), ""Not Found"")"),"t o ʊ l ")</f>
        <v>t o ʊ l </v>
      </c>
    </row>
    <row r="3041">
      <c r="A3041" s="1" t="s">
        <v>3042</v>
      </c>
      <c r="B3041" s="1" t="s">
        <v>5</v>
      </c>
      <c r="C3041" s="2">
        <f>IFERROR(__xludf.DUMMYFUNCTION("IFERROR(VLOOKUP(A3041, IMPORTRANGE(""https://docs.google.com/spreadsheets/d/1AVX9GT0dgogEBStecCXMMQ29tWz3gBrtNB8yIromXbY/edit?gid=741673867"", ""out1g!A:B""), 2, FALSE), 0)"),78.0)</f>
        <v>78</v>
      </c>
      <c r="D3041" s="2" t="str">
        <f>IFERROR(__xludf.DUMMYFUNCTION("IFERROR(VLOOKUP(A3041, IMPORTRANGE(""https://docs.google.com/spreadsheets/d/1-3Vjw2Cyy-mry5gbC8ypIR3YVGFfEpyFESummAta6sg/edit"", ""Sheet1!B:D""), 2, FALSE), ""Not Found"")"),"skɔfs")</f>
        <v>skɔfs</v>
      </c>
      <c r="E3041" s="2" t="str">
        <f>IFERROR(__xludf.DUMMYFUNCTION("IFERROR(VLOOKUP(A3041, IMPORTRANGE(""https://docs.google.com/spreadsheets/d/1-3Vjw2Cyy-mry5gbC8ypIR3YVGFfEpyFESummAta6sg/edit"", ""Sheet1!B:D""), 3, FALSE), ""Not Found"")"),"s k ɔ f s ")</f>
        <v>s k ɔ f s </v>
      </c>
    </row>
    <row r="3042">
      <c r="A3042" s="1" t="s">
        <v>3043</v>
      </c>
      <c r="B3042" s="1" t="s">
        <v>5</v>
      </c>
      <c r="C3042" s="2">
        <f>IFERROR(__xludf.DUMMYFUNCTION("IFERROR(VLOOKUP(A3042, IMPORTRANGE(""https://docs.google.com/spreadsheets/d/1AVX9GT0dgogEBStecCXMMQ29tWz3gBrtNB8yIromXbY/edit?gid=741673867"", ""out1g!A:B""), 2, FALSE), 0)"),47.0)</f>
        <v>47</v>
      </c>
      <c r="D3042" s="2" t="str">
        <f>IFERROR(__xludf.DUMMYFUNCTION("IFERROR(VLOOKUP(A3042, IMPORTRANGE(""https://docs.google.com/spreadsheets/d/1-3Vjw2Cyy-mry5gbC8ypIR3YVGFfEpyFESummAta6sg/edit"", ""Sheet1!B:D""), 2, FALSE), ""Not Found"")"),"bɛriərz")</f>
        <v>bɛriərz</v>
      </c>
      <c r="E3042" s="2" t="str">
        <f>IFERROR(__xludf.DUMMYFUNCTION("IFERROR(VLOOKUP(A3042, IMPORTRANGE(""https://docs.google.com/spreadsheets/d/1-3Vjw2Cyy-mry5gbC8ypIR3YVGFfEpyFESummAta6sg/edit"", ""Sheet1!B:D""), 3, FALSE), ""Not Found"")"),"b ɛ r i ə r z ")</f>
        <v>b ɛ r i ə r z </v>
      </c>
    </row>
    <row r="3043">
      <c r="A3043" s="1" t="s">
        <v>3044</v>
      </c>
      <c r="B3043" s="1" t="s">
        <v>5</v>
      </c>
      <c r="C3043" s="2">
        <f>IFERROR(__xludf.DUMMYFUNCTION("IFERROR(VLOOKUP(A3043, IMPORTRANGE(""https://docs.google.com/spreadsheets/d/1AVX9GT0dgogEBStecCXMMQ29tWz3gBrtNB8yIromXbY/edit?gid=741673867"", ""out1g!A:B""), 2, FALSE), 0)"),164.0)</f>
        <v>164</v>
      </c>
      <c r="D3043" s="2" t="str">
        <f>IFERROR(__xludf.DUMMYFUNCTION("IFERROR(VLOOKUP(A3043, IMPORTRANGE(""https://docs.google.com/spreadsheets/d/1-3Vjw2Cyy-mry5gbC8ypIR3YVGFfEpyFESummAta6sg/edit"", ""Sheet1!B:D""), 2, FALSE), ""Not Found"")"),"bætɪŋ")</f>
        <v>bætɪŋ</v>
      </c>
      <c r="E3043" s="2" t="str">
        <f>IFERROR(__xludf.DUMMYFUNCTION("IFERROR(VLOOKUP(A3043, IMPORTRANGE(""https://docs.google.com/spreadsheets/d/1-3Vjw2Cyy-mry5gbC8ypIR3YVGFfEpyFESummAta6sg/edit"", ""Sheet1!B:D""), 3, FALSE), ""Not Found"")"),"b æ t ɪ ŋ ")</f>
        <v>b æ t ɪ ŋ </v>
      </c>
    </row>
    <row r="3044">
      <c r="A3044" s="1" t="s">
        <v>3045</v>
      </c>
      <c r="B3044" s="1" t="s">
        <v>5</v>
      </c>
      <c r="C3044" s="2">
        <f>IFERROR(__xludf.DUMMYFUNCTION("IFERROR(VLOOKUP(A3044, IMPORTRANGE(""https://docs.google.com/spreadsheets/d/1AVX9GT0dgogEBStecCXMMQ29tWz3gBrtNB8yIromXbY/edit?gid=741673867"", ""out1g!A:B""), 2, FALSE), 0)"),856.0)</f>
        <v>856</v>
      </c>
      <c r="D3044" s="2" t="str">
        <f>IFERROR(__xludf.DUMMYFUNCTION("IFERROR(VLOOKUP(A3044, IMPORTRANGE(""https://docs.google.com/spreadsheets/d/1-3Vjw2Cyy-mry5gbC8ypIR3YVGFfEpyFESummAta6sg/edit"", ""Sheet1!B:D""), 2, FALSE), ""Not Found"")"),"græs")</f>
        <v>græs</v>
      </c>
      <c r="E3044" s="2" t="str">
        <f>IFERROR(__xludf.DUMMYFUNCTION("IFERROR(VLOOKUP(A3044, IMPORTRANGE(""https://docs.google.com/spreadsheets/d/1-3Vjw2Cyy-mry5gbC8ypIR3YVGFfEpyFESummAta6sg/edit"", ""Sheet1!B:D""), 3, FALSE), ""Not Found"")"),"g r æ s ")</f>
        <v>g r æ s </v>
      </c>
    </row>
    <row r="3045">
      <c r="A3045" s="1" t="s">
        <v>3046</v>
      </c>
      <c r="B3045" s="1" t="s">
        <v>5</v>
      </c>
      <c r="C3045" s="2">
        <f>IFERROR(__xludf.DUMMYFUNCTION("IFERROR(VLOOKUP(A3045, IMPORTRANGE(""https://docs.google.com/spreadsheets/d/1AVX9GT0dgogEBStecCXMMQ29tWz3gBrtNB8yIromXbY/edit?gid=741673867"", ""out1g!A:B""), 2, FALSE), 0)"),80.0)</f>
        <v>80</v>
      </c>
      <c r="D3045" s="2" t="str">
        <f>IFERROR(__xludf.DUMMYFUNCTION("IFERROR(VLOOKUP(A3045, IMPORTRANGE(""https://docs.google.com/spreadsheets/d/1-3Vjw2Cyy-mry5gbC8ypIR3YVGFfEpyFESummAta6sg/edit"", ""Sheet1!B:D""), 2, FALSE), ""Not Found"")"),"pɑpaɪ")</f>
        <v>pɑpaɪ</v>
      </c>
      <c r="E3045" s="2" t="str">
        <f>IFERROR(__xludf.DUMMYFUNCTION("IFERROR(VLOOKUP(A3045, IMPORTRANGE(""https://docs.google.com/spreadsheets/d/1-3Vjw2Cyy-mry5gbC8ypIR3YVGFfEpyFESummAta6sg/edit"", ""Sheet1!B:D""), 3, FALSE), ""Not Found"")"),"p ɑ p a ɪ ")</f>
        <v>p ɑ p a ɪ </v>
      </c>
    </row>
    <row r="3046">
      <c r="A3046" s="1" t="s">
        <v>3047</v>
      </c>
      <c r="B3046" s="1" t="s">
        <v>5</v>
      </c>
      <c r="C3046" s="2">
        <f>IFERROR(__xludf.DUMMYFUNCTION("IFERROR(VLOOKUP(A3046, IMPORTRANGE(""https://docs.google.com/spreadsheets/d/1AVX9GT0dgogEBStecCXMMQ29tWz3gBrtNB8yIromXbY/edit?gid=741673867"", ""out1g!A:B""), 2, FALSE), 0)"),284.0)</f>
        <v>284</v>
      </c>
      <c r="D3046" s="2" t="str">
        <f>IFERROR(__xludf.DUMMYFUNCTION("IFERROR(VLOOKUP(A3046, IMPORTRANGE(""https://docs.google.com/spreadsheets/d/1-3Vjw2Cyy-mry5gbC8ypIR3YVGFfEpyFESummAta6sg/edit"", ""Sheet1!B:D""), 2, FALSE), ""Not Found"")"),"ɑz")</f>
        <v>ɑz</v>
      </c>
      <c r="E3046" s="2" t="str">
        <f>IFERROR(__xludf.DUMMYFUNCTION("IFERROR(VLOOKUP(A3046, IMPORTRANGE(""https://docs.google.com/spreadsheets/d/1-3Vjw2Cyy-mry5gbC8ypIR3YVGFfEpyFESummAta6sg/edit"", ""Sheet1!B:D""), 3, FALSE), ""Not Found"")"),"ɑ z ")</f>
        <v>ɑ z </v>
      </c>
    </row>
    <row r="3047">
      <c r="A3047" s="1" t="s">
        <v>3048</v>
      </c>
      <c r="B3047" s="1" t="s">
        <v>5</v>
      </c>
      <c r="C3047" s="2">
        <f>IFERROR(__xludf.DUMMYFUNCTION("IFERROR(VLOOKUP(A3047, IMPORTRANGE(""https://docs.google.com/spreadsheets/d/1AVX9GT0dgogEBStecCXMMQ29tWz3gBrtNB8yIromXbY/edit?gid=741673867"", ""out1g!A:B""), 2, FALSE), 0)"),2527.0)</f>
        <v>2527</v>
      </c>
      <c r="D3047" s="2" t="str">
        <f>IFERROR(__xludf.DUMMYFUNCTION("IFERROR(VLOOKUP(A3047, IMPORTRANGE(""https://docs.google.com/spreadsheets/d/1-3Vjw2Cyy-mry5gbC8ypIR3YVGFfEpyFESummAta6sg/edit"", ""Sheet1!B:D""), 2, FALSE), ""Not Found"")"),"ist")</f>
        <v>ist</v>
      </c>
      <c r="E3047" s="2" t="str">
        <f>IFERROR(__xludf.DUMMYFUNCTION("IFERROR(VLOOKUP(A3047, IMPORTRANGE(""https://docs.google.com/spreadsheets/d/1-3Vjw2Cyy-mry5gbC8ypIR3YVGFfEpyFESummAta6sg/edit"", ""Sheet1!B:D""), 3, FALSE), ""Not Found"")"),"i s t ")</f>
        <v>i s t </v>
      </c>
    </row>
    <row r="3048">
      <c r="A3048" s="1" t="s">
        <v>3049</v>
      </c>
      <c r="B3048" s="1" t="s">
        <v>5</v>
      </c>
      <c r="C3048" s="2">
        <f>IFERROR(__xludf.DUMMYFUNCTION("IFERROR(VLOOKUP(A3048, IMPORTRANGE(""https://docs.google.com/spreadsheets/d/1AVX9GT0dgogEBStecCXMMQ29tWz3gBrtNB8yIromXbY/edit?gid=741673867"", ""out1g!A:B""), 2, FALSE), 0)"),3604.0)</f>
        <v>3604</v>
      </c>
      <c r="D3048" s="2" t="str">
        <f>IFERROR(__xludf.DUMMYFUNCTION("IFERROR(VLOOKUP(A3048, IMPORTRANGE(""https://docs.google.com/spreadsheets/d/1-3Vjw2Cyy-mry5gbC8ypIR3YVGFfEpyFESummAta6sg/edit"", ""Sheet1!B:D""), 2, FALSE), ""Not Found"")"),"fɔrs")</f>
        <v>fɔrs</v>
      </c>
      <c r="E3048" s="2" t="str">
        <f>IFERROR(__xludf.DUMMYFUNCTION("IFERROR(VLOOKUP(A3048, IMPORTRANGE(""https://docs.google.com/spreadsheets/d/1-3Vjw2Cyy-mry5gbC8ypIR3YVGFfEpyFESummAta6sg/edit"", ""Sheet1!B:D""), 3, FALSE), ""Not Found"")"),"f ɔ r s ")</f>
        <v>f ɔ r s </v>
      </c>
    </row>
    <row r="3049">
      <c r="A3049" s="1" t="s">
        <v>3050</v>
      </c>
      <c r="B3049" s="1" t="s">
        <v>5</v>
      </c>
      <c r="C3049" s="2">
        <f>IFERROR(__xludf.DUMMYFUNCTION("IFERROR(VLOOKUP(A3049, IMPORTRANGE(""https://docs.google.com/spreadsheets/d/1AVX9GT0dgogEBStecCXMMQ29tWz3gBrtNB8yIromXbY/edit?gid=741673867"", ""out1g!A:B""), 2, FALSE), 0)"),1164.0)</f>
        <v>1164</v>
      </c>
      <c r="D3049" s="2" t="str">
        <f>IFERROR(__xludf.DUMMYFUNCTION("IFERROR(VLOOKUP(A3049, IMPORTRANGE(""https://docs.google.com/spreadsheets/d/1-3Vjw2Cyy-mry5gbC8ypIR3YVGFfEpyFESummAta6sg/edit"", ""Sheet1!B:D""), 2, FALSE), ""Not Found"")"),"med")</f>
        <v>med</v>
      </c>
      <c r="E3049" s="2" t="str">
        <f>IFERROR(__xludf.DUMMYFUNCTION("IFERROR(VLOOKUP(A3049, IMPORTRANGE(""https://docs.google.com/spreadsheets/d/1-3Vjw2Cyy-mry5gbC8ypIR3YVGFfEpyFESummAta6sg/edit"", ""Sheet1!B:D""), 3, FALSE), ""Not Found"")"),"m e d ")</f>
        <v>m e d </v>
      </c>
    </row>
    <row r="3050">
      <c r="A3050" s="1" t="s">
        <v>3051</v>
      </c>
      <c r="B3050" s="1" t="s">
        <v>5</v>
      </c>
      <c r="C3050" s="2">
        <f>IFERROR(__xludf.DUMMYFUNCTION("IFERROR(VLOOKUP(A3050, IMPORTRANGE(""https://docs.google.com/spreadsheets/d/1AVX9GT0dgogEBStecCXMMQ29tWz3gBrtNB8yIromXbY/edit?gid=741673867"", ""out1g!A:B""), 2, FALSE), 0)"),89.0)</f>
        <v>89</v>
      </c>
      <c r="D3050" s="2" t="str">
        <f>IFERROR(__xludf.DUMMYFUNCTION("IFERROR(VLOOKUP(A3050, IMPORTRANGE(""https://docs.google.com/spreadsheets/d/1-3Vjw2Cyy-mry5gbC8ypIR3YVGFfEpyFESummAta6sg/edit"", ""Sheet1!B:D""), 2, FALSE), ""Not Found"")"),"ɪri")</f>
        <v>ɪri</v>
      </c>
      <c r="E3050" s="2" t="str">
        <f>IFERROR(__xludf.DUMMYFUNCTION("IFERROR(VLOOKUP(A3050, IMPORTRANGE(""https://docs.google.com/spreadsheets/d/1-3Vjw2Cyy-mry5gbC8ypIR3YVGFfEpyFESummAta6sg/edit"", ""Sheet1!B:D""), 3, FALSE), ""Not Found"")"),"ɪ r i ")</f>
        <v>ɪ r i </v>
      </c>
    </row>
    <row r="3051">
      <c r="A3051" s="1" t="s">
        <v>3052</v>
      </c>
      <c r="B3051" s="1" t="s">
        <v>5</v>
      </c>
      <c r="C3051" s="2">
        <f>IFERROR(__xludf.DUMMYFUNCTION("IFERROR(VLOOKUP(A3051, IMPORTRANGE(""https://docs.google.com/spreadsheets/d/1AVX9GT0dgogEBStecCXMMQ29tWz3gBrtNB8yIromXbY/edit?gid=741673867"", ""out1g!A:B""), 2, FALSE), 0)"),47.0)</f>
        <v>47</v>
      </c>
      <c r="D3051" s="2" t="str">
        <f>IFERROR(__xludf.DUMMYFUNCTION("IFERROR(VLOOKUP(A3051, IMPORTRANGE(""https://docs.google.com/spreadsheets/d/1-3Vjw2Cyy-mry5gbC8ypIR3YVGFfEpyFESummAta6sg/edit"", ""Sheet1!B:D""), 2, FALSE), ""Not Found"")"),"moʊgəl")</f>
        <v>moʊgəl</v>
      </c>
      <c r="E3051" s="2" t="str">
        <f>IFERROR(__xludf.DUMMYFUNCTION("IFERROR(VLOOKUP(A3051, IMPORTRANGE(""https://docs.google.com/spreadsheets/d/1-3Vjw2Cyy-mry5gbC8ypIR3YVGFfEpyFESummAta6sg/edit"", ""Sheet1!B:D""), 3, FALSE), ""Not Found"")"),"m o ʊ g ə l ")</f>
        <v>m o ʊ g ə l </v>
      </c>
    </row>
    <row r="3052">
      <c r="A3052" s="1" t="s">
        <v>3053</v>
      </c>
      <c r="B3052" s="1" t="s">
        <v>5</v>
      </c>
      <c r="C3052" s="2">
        <f>IFERROR(__xludf.DUMMYFUNCTION("IFERROR(VLOOKUP(A3052, IMPORTRANGE(""https://docs.google.com/spreadsheets/d/1AVX9GT0dgogEBStecCXMMQ29tWz3gBrtNB8yIromXbY/edit?gid=741673867"", ""out1g!A:B""), 2, FALSE), 0)"),62.0)</f>
        <v>62</v>
      </c>
      <c r="D3052" s="2" t="str">
        <f>IFERROR(__xludf.DUMMYFUNCTION("IFERROR(VLOOKUP(A3052, IMPORTRANGE(""https://docs.google.com/spreadsheets/d/1-3Vjw2Cyy-mry5gbC8ypIR3YVGFfEpyFESummAta6sg/edit"", ""Sheet1!B:D""), 2, FALSE), ""Not Found"")"),"rufs")</f>
        <v>rufs</v>
      </c>
      <c r="E3052" s="2" t="str">
        <f>IFERROR(__xludf.DUMMYFUNCTION("IFERROR(VLOOKUP(A3052, IMPORTRANGE(""https://docs.google.com/spreadsheets/d/1-3Vjw2Cyy-mry5gbC8ypIR3YVGFfEpyFESummAta6sg/edit"", ""Sheet1!B:D""), 3, FALSE), ""Not Found"")"),"r u f s ")</f>
        <v>r u f s </v>
      </c>
    </row>
    <row r="3053">
      <c r="A3053" s="1" t="s">
        <v>3054</v>
      </c>
      <c r="B3053" s="1" t="s">
        <v>5</v>
      </c>
      <c r="C3053" s="2">
        <f>IFERROR(__xludf.DUMMYFUNCTION("IFERROR(VLOOKUP(A3053, IMPORTRANGE(""https://docs.google.com/spreadsheets/d/1AVX9GT0dgogEBStecCXMMQ29tWz3gBrtNB8yIromXbY/edit?gid=741673867"", ""out1g!A:B""), 2, FALSE), 0)"),3028.0)</f>
        <v>3028</v>
      </c>
      <c r="D3053" s="2" t="str">
        <f>IFERROR(__xludf.DUMMYFUNCTION("IFERROR(VLOOKUP(A3053, IMPORTRANGE(""https://docs.google.com/spreadsheets/d/1-3Vjw2Cyy-mry5gbC8ypIR3YVGFfEpyFESummAta6sg/edit"", ""Sheet1!B:D""), 2, FALSE), ""Not Found"")"),"wɪnd")</f>
        <v>wɪnd</v>
      </c>
      <c r="E3053" s="2" t="str">
        <f>IFERROR(__xludf.DUMMYFUNCTION("IFERROR(VLOOKUP(A3053, IMPORTRANGE(""https://docs.google.com/spreadsheets/d/1-3Vjw2Cyy-mry5gbC8ypIR3YVGFfEpyFESummAta6sg/edit"", ""Sheet1!B:D""), 3, FALSE), ""Not Found"")"),"w ɪ n d ")</f>
        <v>w ɪ n d </v>
      </c>
    </row>
    <row r="3054">
      <c r="A3054" s="1" t="s">
        <v>3055</v>
      </c>
      <c r="B3054" s="1" t="s">
        <v>5</v>
      </c>
      <c r="C3054" s="2">
        <f>IFERROR(__xludf.DUMMYFUNCTION("IFERROR(VLOOKUP(A3054, IMPORTRANGE(""https://docs.google.com/spreadsheets/d/1AVX9GT0dgogEBStecCXMMQ29tWz3gBrtNB8yIromXbY/edit?gid=741673867"", ""out1g!A:B""), 2, FALSE), 0)"),52.0)</f>
        <v>52</v>
      </c>
      <c r="D3054" s="2" t="str">
        <f>IFERROR(__xludf.DUMMYFUNCTION("IFERROR(VLOOKUP(A3054, IMPORTRANGE(""https://docs.google.com/spreadsheets/d/1-3Vjw2Cyy-mry5gbC8ypIR3YVGFfEpyFESummAta6sg/edit"", ""Sheet1!B:D""), 2, FALSE), ""Not Found"")"),"əfʊt")</f>
        <v>əfʊt</v>
      </c>
      <c r="E3054" s="2" t="str">
        <f>IFERROR(__xludf.DUMMYFUNCTION("IFERROR(VLOOKUP(A3054, IMPORTRANGE(""https://docs.google.com/spreadsheets/d/1-3Vjw2Cyy-mry5gbC8ypIR3YVGFfEpyFESummAta6sg/edit"", ""Sheet1!B:D""), 3, FALSE), ""Not Found"")"),"ə f ʊ t ")</f>
        <v>ə f ʊ t </v>
      </c>
    </row>
    <row r="3055">
      <c r="A3055" s="1" t="s">
        <v>3056</v>
      </c>
      <c r="B3055" s="1" t="s">
        <v>5</v>
      </c>
      <c r="C3055" s="2">
        <f>IFERROR(__xludf.DUMMYFUNCTION("IFERROR(VLOOKUP(A3055, IMPORTRANGE(""https://docs.google.com/spreadsheets/d/1AVX9GT0dgogEBStecCXMMQ29tWz3gBrtNB8yIromXbY/edit?gid=741673867"", ""out1g!A:B""), 2, FALSE), 0)"),102.0)</f>
        <v>102</v>
      </c>
      <c r="D3055" s="2" t="str">
        <f>IFERROR(__xludf.DUMMYFUNCTION("IFERROR(VLOOKUP(A3055, IMPORTRANGE(""https://docs.google.com/spreadsheets/d/1-3Vjw2Cyy-mry5gbC8ypIR3YVGFfEpyFESummAta6sg/edit"", ""Sheet1!B:D""), 2, FALSE), ""Not Found"")"),"bɑk")</f>
        <v>bɑk</v>
      </c>
      <c r="E3055" s="2" t="str">
        <f>IFERROR(__xludf.DUMMYFUNCTION("IFERROR(VLOOKUP(A3055, IMPORTRANGE(""https://docs.google.com/spreadsheets/d/1-3Vjw2Cyy-mry5gbC8ypIR3YVGFfEpyFESummAta6sg/edit"", ""Sheet1!B:D""), 3, FALSE), ""Not Found"")"),"b ɑ k ")</f>
        <v>b ɑ k </v>
      </c>
    </row>
    <row r="3056">
      <c r="A3056" s="1" t="s">
        <v>3057</v>
      </c>
      <c r="B3056" s="1" t="s">
        <v>5</v>
      </c>
      <c r="C3056" s="2">
        <f>IFERROR(__xludf.DUMMYFUNCTION("IFERROR(VLOOKUP(A3056, IMPORTRANGE(""https://docs.google.com/spreadsheets/d/1AVX9GT0dgogEBStecCXMMQ29tWz3gBrtNB8yIromXbY/edit?gid=741673867"", ""out1g!A:B""), 2, FALSE), 0)"),47.0)</f>
        <v>47</v>
      </c>
      <c r="D3056" s="2" t="str">
        <f>IFERROR(__xludf.DUMMYFUNCTION("IFERROR(VLOOKUP(A3056, IMPORTRANGE(""https://docs.google.com/spreadsheets/d/1-3Vjw2Cyy-mry5gbC8ypIR3YVGFfEpyFESummAta6sg/edit"", ""Sheet1!B:D""), 2, FALSE), ""Not Found"")"),"wɪðər")</f>
        <v>wɪðər</v>
      </c>
      <c r="E3056" s="2" t="str">
        <f>IFERROR(__xludf.DUMMYFUNCTION("IFERROR(VLOOKUP(A3056, IMPORTRANGE(""https://docs.google.com/spreadsheets/d/1-3Vjw2Cyy-mry5gbC8ypIR3YVGFfEpyFESummAta6sg/edit"", ""Sheet1!B:D""), 3, FALSE), ""Not Found"")"),"w ɪ ð ə r ")</f>
        <v>w ɪ ð ə r </v>
      </c>
    </row>
    <row r="3057">
      <c r="A3057" s="1" t="s">
        <v>3058</v>
      </c>
      <c r="B3057" s="1" t="s">
        <v>5</v>
      </c>
      <c r="C3057" s="2">
        <f>IFERROR(__xludf.DUMMYFUNCTION("IFERROR(VLOOKUP(A3057, IMPORTRANGE(""https://docs.google.com/spreadsheets/d/1AVX9GT0dgogEBStecCXMMQ29tWz3gBrtNB8yIromXbY/edit?gid=741673867"", ""out1g!A:B""), 2, FALSE), 0)"),100.0)</f>
        <v>100</v>
      </c>
      <c r="D3057" s="2" t="str">
        <f>IFERROR(__xludf.DUMMYFUNCTION("IFERROR(VLOOKUP(A3057, IMPORTRANGE(""https://docs.google.com/spreadsheets/d/1-3Vjw2Cyy-mry5gbC8ypIR3YVGFfEpyFESummAta6sg/edit"", ""Sheet1!B:D""), 2, FALSE), ""Not Found"")"),"bɑrf")</f>
        <v>bɑrf</v>
      </c>
      <c r="E3057" s="2" t="str">
        <f>IFERROR(__xludf.DUMMYFUNCTION("IFERROR(VLOOKUP(A3057, IMPORTRANGE(""https://docs.google.com/spreadsheets/d/1-3Vjw2Cyy-mry5gbC8ypIR3YVGFfEpyFESummAta6sg/edit"", ""Sheet1!B:D""), 3, FALSE), ""Not Found"")"),"b ɑ r f ")</f>
        <v>b ɑ r f </v>
      </c>
    </row>
    <row r="3058">
      <c r="A3058" s="1" t="s">
        <v>3059</v>
      </c>
      <c r="B3058" s="1" t="s">
        <v>5</v>
      </c>
      <c r="C3058" s="2">
        <f>IFERROR(__xludf.DUMMYFUNCTION("IFERROR(VLOOKUP(A3058, IMPORTRANGE(""https://docs.google.com/spreadsheets/d/1AVX9GT0dgogEBStecCXMMQ29tWz3gBrtNB8yIromXbY/edit?gid=741673867"", ""out1g!A:B""), 2, FALSE), 0)"),120.0)</f>
        <v>120</v>
      </c>
      <c r="D3058" s="2" t="str">
        <f>IFERROR(__xludf.DUMMYFUNCTION("IFERROR(VLOOKUP(A3058, IMPORTRANGE(""https://docs.google.com/spreadsheets/d/1-3Vjw2Cyy-mry5gbC8ypIR3YVGFfEpyFESummAta6sg/edit"", ""Sheet1!B:D""), 2, FALSE), ""Not Found"")"),"pəts")</f>
        <v>pəts</v>
      </c>
      <c r="E3058" s="2" t="str">
        <f>IFERROR(__xludf.DUMMYFUNCTION("IFERROR(VLOOKUP(A3058, IMPORTRANGE(""https://docs.google.com/spreadsheets/d/1-3Vjw2Cyy-mry5gbC8ypIR3YVGFfEpyFESummAta6sg/edit"", ""Sheet1!B:D""), 3, FALSE), ""Not Found"")"),"p ə t s ")</f>
        <v>p ə t s </v>
      </c>
    </row>
    <row r="3059">
      <c r="A3059" s="1" t="s">
        <v>3060</v>
      </c>
      <c r="B3059" s="1" t="s">
        <v>5</v>
      </c>
      <c r="C3059" s="2">
        <f>IFERROR(__xludf.DUMMYFUNCTION("IFERROR(VLOOKUP(A3059, IMPORTRANGE(""https://docs.google.com/spreadsheets/d/1AVX9GT0dgogEBStecCXMMQ29tWz3gBrtNB8yIromXbY/edit?gid=741673867"", ""out1g!A:B""), 2, FALSE), 0)"),2357.0)</f>
        <v>2357</v>
      </c>
      <c r="D3059" s="2" t="str">
        <f>IFERROR(__xludf.DUMMYFUNCTION("IFERROR(VLOOKUP(A3059, IMPORTRANGE(""https://docs.google.com/spreadsheets/d/1-3Vjw2Cyy-mry5gbC8ypIR3YVGFfEpyFESummAta6sg/edit"", ""Sheet1!B:D""), 2, FALSE), ""Not Found"")"),"dɪg")</f>
        <v>dɪg</v>
      </c>
      <c r="E3059" s="2" t="str">
        <f>IFERROR(__xludf.DUMMYFUNCTION("IFERROR(VLOOKUP(A3059, IMPORTRANGE(""https://docs.google.com/spreadsheets/d/1-3Vjw2Cyy-mry5gbC8ypIR3YVGFfEpyFESummAta6sg/edit"", ""Sheet1!B:D""), 3, FALSE), ""Not Found"")"),"d ɪ g ")</f>
        <v>d ɪ g </v>
      </c>
    </row>
    <row r="3060">
      <c r="A3060" s="1" t="s">
        <v>3061</v>
      </c>
      <c r="B3060" s="1" t="s">
        <v>5</v>
      </c>
      <c r="C3060" s="2">
        <f>IFERROR(__xludf.DUMMYFUNCTION("IFERROR(VLOOKUP(A3060, IMPORTRANGE(""https://docs.google.com/spreadsheets/d/1AVX9GT0dgogEBStecCXMMQ29tWz3gBrtNB8yIromXbY/edit?gid=741673867"", ""out1g!A:B""), 2, FALSE), 0)"),22248.0)</f>
        <v>22248</v>
      </c>
      <c r="D3060" s="2" t="str">
        <f>IFERROR(__xludf.DUMMYFUNCTION("IFERROR(VLOOKUP(A3060, IMPORTRANGE(""https://docs.google.com/spreadsheets/d/1-3Vjw2Cyy-mry5gbC8ypIR3YVGFfEpyFESummAta6sg/edit"", ""Sheet1!B:D""), 2, FALSE), ""Not Found"")"),"en")</f>
        <v>en</v>
      </c>
      <c r="E3060" s="2" t="str">
        <f>IFERROR(__xludf.DUMMYFUNCTION("IFERROR(VLOOKUP(A3060, IMPORTRANGE(""https://docs.google.com/spreadsheets/d/1-3Vjw2Cyy-mry5gbC8ypIR3YVGFfEpyFESummAta6sg/edit"", ""Sheet1!B:D""), 3, FALSE), ""Not Found"")"),"e n ")</f>
        <v>e n </v>
      </c>
    </row>
    <row r="3061">
      <c r="A3061" s="1" t="s">
        <v>3062</v>
      </c>
      <c r="B3061" s="1" t="s">
        <v>5</v>
      </c>
      <c r="C3061" s="2">
        <f>IFERROR(__xludf.DUMMYFUNCTION("IFERROR(VLOOKUP(A3061, IMPORTRANGE(""https://docs.google.com/spreadsheets/d/1AVX9GT0dgogEBStecCXMMQ29tWz3gBrtNB8yIromXbY/edit?gid=741673867"", ""out1g!A:B""), 2, FALSE), 0)"),249.0)</f>
        <v>249</v>
      </c>
      <c r="D3061" s="2" t="str">
        <f>IFERROR(__xludf.DUMMYFUNCTION("IFERROR(VLOOKUP(A3061, IMPORTRANGE(""https://docs.google.com/spreadsheets/d/1-3Vjw2Cyy-mry5gbC8ypIR3YVGFfEpyFESummAta6sg/edit"", ""Sheet1!B:D""), 2, FALSE), ""Not Found"")"),"nəm")</f>
        <v>nəm</v>
      </c>
      <c r="E3061" s="2" t="str">
        <f>IFERROR(__xludf.DUMMYFUNCTION("IFERROR(VLOOKUP(A3061, IMPORTRANGE(""https://docs.google.com/spreadsheets/d/1-3Vjw2Cyy-mry5gbC8ypIR3YVGFfEpyFESummAta6sg/edit"", ""Sheet1!B:D""), 3, FALSE), ""Not Found"")"),"n ə m ")</f>
        <v>n ə m </v>
      </c>
    </row>
    <row r="3062">
      <c r="A3062" s="1" t="s">
        <v>3063</v>
      </c>
      <c r="B3062" s="1" t="s">
        <v>5</v>
      </c>
      <c r="C3062" s="2">
        <f>IFERROR(__xludf.DUMMYFUNCTION("IFERROR(VLOOKUP(A3062, IMPORTRANGE(""https://docs.google.com/spreadsheets/d/1AVX9GT0dgogEBStecCXMMQ29tWz3gBrtNB8yIromXbY/edit?gid=741673867"", ""out1g!A:B""), 2, FALSE), 0)"),1736.0)</f>
        <v>1736</v>
      </c>
      <c r="D3062" s="2" t="str">
        <f>IFERROR(__xludf.DUMMYFUNCTION("IFERROR(VLOOKUP(A3062, IMPORTRANGE(""https://docs.google.com/spreadsheets/d/1-3Vjw2Cyy-mry5gbC8ypIR3YVGFfEpyFESummAta6sg/edit"", ""Sheet1!B:D""), 2, FALSE), ""Not Found"")"),"mud")</f>
        <v>mud</v>
      </c>
      <c r="E3062" s="2" t="str">
        <f>IFERROR(__xludf.DUMMYFUNCTION("IFERROR(VLOOKUP(A3062, IMPORTRANGE(""https://docs.google.com/spreadsheets/d/1-3Vjw2Cyy-mry5gbC8ypIR3YVGFfEpyFESummAta6sg/edit"", ""Sheet1!B:D""), 3, FALSE), ""Not Found"")"),"m u d ")</f>
        <v>m u d </v>
      </c>
    </row>
    <row r="3063">
      <c r="A3063" s="1" t="s">
        <v>3064</v>
      </c>
      <c r="B3063" s="1" t="s">
        <v>5</v>
      </c>
      <c r="C3063" s="2">
        <f>IFERROR(__xludf.DUMMYFUNCTION("IFERROR(VLOOKUP(A3063, IMPORTRANGE(""https://docs.google.com/spreadsheets/d/1AVX9GT0dgogEBStecCXMMQ29tWz3gBrtNB8yIromXbY/edit?gid=741673867"", ""out1g!A:B""), 2, FALSE), 0)"),144627.0)</f>
        <v>144627</v>
      </c>
      <c r="D3063" s="2" t="str">
        <f>IFERROR(__xludf.DUMMYFUNCTION("IFERROR(VLOOKUP(A3063, IMPORTRANGE(""https://docs.google.com/spreadsheets/d/1-3Vjw2Cyy-mry5gbC8ypIR3YVGFfEpyFESummAta6sg/edit"", ""Sheet1!B:D""), 2, FALSE), ""Not Found"")"),"hər")</f>
        <v>hər</v>
      </c>
      <c r="E3063" s="2" t="str">
        <f>IFERROR(__xludf.DUMMYFUNCTION("IFERROR(VLOOKUP(A3063, IMPORTRANGE(""https://docs.google.com/spreadsheets/d/1-3Vjw2Cyy-mry5gbC8ypIR3YVGFfEpyFESummAta6sg/edit"", ""Sheet1!B:D""), 3, FALSE), ""Not Found"")"),"h ə r ")</f>
        <v>h ə r </v>
      </c>
    </row>
    <row r="3064">
      <c r="A3064" s="1" t="s">
        <v>3065</v>
      </c>
      <c r="B3064" s="1" t="s">
        <v>5</v>
      </c>
      <c r="C3064" s="2">
        <f>IFERROR(__xludf.DUMMYFUNCTION("IFERROR(VLOOKUP(A3064, IMPORTRANGE(""https://docs.google.com/spreadsheets/d/1AVX9GT0dgogEBStecCXMMQ29tWz3gBrtNB8yIromXbY/edit?gid=741673867"", ""out1g!A:B""), 2, FALSE), 0)"),380.0)</f>
        <v>380</v>
      </c>
      <c r="D3064" s="2" t="str">
        <f>IFERROR(__xludf.DUMMYFUNCTION("IFERROR(VLOOKUP(A3064, IMPORTRANGE(""https://docs.google.com/spreadsheets/d/1-3Vjw2Cyy-mry5gbC8ypIR3YVGFfEpyFESummAta6sg/edit"", ""Sheet1!B:D""), 2, FALSE), ""Not Found"")"),"fevərz")</f>
        <v>fevərz</v>
      </c>
      <c r="E3064" s="2" t="str">
        <f>IFERROR(__xludf.DUMMYFUNCTION("IFERROR(VLOOKUP(A3064, IMPORTRANGE(""https://docs.google.com/spreadsheets/d/1-3Vjw2Cyy-mry5gbC8ypIR3YVGFfEpyFESummAta6sg/edit"", ""Sheet1!B:D""), 3, FALSE), ""Not Found"")"),"f e v ə r z ")</f>
        <v>f e v ə r z </v>
      </c>
    </row>
    <row r="3065">
      <c r="A3065" s="1" t="s">
        <v>3066</v>
      </c>
      <c r="B3065" s="1" t="s">
        <v>5</v>
      </c>
      <c r="C3065" s="2">
        <f>IFERROR(__xludf.DUMMYFUNCTION("IFERROR(VLOOKUP(A3065, IMPORTRANGE(""https://docs.google.com/spreadsheets/d/1AVX9GT0dgogEBStecCXMMQ29tWz3gBrtNB8yIromXbY/edit?gid=741673867"", ""out1g!A:B""), 2, FALSE), 0)"),261.0)</f>
        <v>261</v>
      </c>
      <c r="D3065" s="2" t="str">
        <f>IFERROR(__xludf.DUMMYFUNCTION("IFERROR(VLOOKUP(A3065, IMPORTRANGE(""https://docs.google.com/spreadsheets/d/1-3Vjw2Cyy-mry5gbC8ypIR3YVGFfEpyFESummAta6sg/edit"", ""Sheet1!B:D""), 2, FALSE), ""Not Found"")"),"wɪslɪŋ")</f>
        <v>wɪslɪŋ</v>
      </c>
      <c r="E3065" s="2" t="str">
        <f>IFERROR(__xludf.DUMMYFUNCTION("IFERROR(VLOOKUP(A3065, IMPORTRANGE(""https://docs.google.com/spreadsheets/d/1-3Vjw2Cyy-mry5gbC8ypIR3YVGFfEpyFESummAta6sg/edit"", ""Sheet1!B:D""), 3, FALSE), ""Not Found"")"),"w ɪ s l ɪ ŋ ")</f>
        <v>w ɪ s l ɪ ŋ </v>
      </c>
    </row>
    <row r="3066">
      <c r="A3066" s="1" t="s">
        <v>3067</v>
      </c>
      <c r="B3066" s="1" t="s">
        <v>5</v>
      </c>
      <c r="C3066" s="2">
        <f>IFERROR(__xludf.DUMMYFUNCTION("IFERROR(VLOOKUP(A3066, IMPORTRANGE(""https://docs.google.com/spreadsheets/d/1AVX9GT0dgogEBStecCXMMQ29tWz3gBrtNB8yIromXbY/edit?gid=741673867"", ""out1g!A:B""), 2, FALSE), 0)"),54.0)</f>
        <v>54</v>
      </c>
      <c r="D3066" s="2" t="str">
        <f>IFERROR(__xludf.DUMMYFUNCTION("IFERROR(VLOOKUP(A3066, IMPORTRANGE(""https://docs.google.com/spreadsheets/d/1-3Vjw2Cyy-mry5gbC8ypIR3YVGFfEpyFESummAta6sg/edit"", ""Sheet1!B:D""), 2, FALSE), ""Not Found"")"),"pɛdəl")</f>
        <v>pɛdəl</v>
      </c>
      <c r="E3066" s="2" t="str">
        <f>IFERROR(__xludf.DUMMYFUNCTION("IFERROR(VLOOKUP(A3066, IMPORTRANGE(""https://docs.google.com/spreadsheets/d/1-3Vjw2Cyy-mry5gbC8ypIR3YVGFfEpyFESummAta6sg/edit"", ""Sheet1!B:D""), 3, FALSE), ""Not Found"")"),"p ɛ d ə l ")</f>
        <v>p ɛ d ə l </v>
      </c>
    </row>
    <row r="3067">
      <c r="A3067" s="1" t="s">
        <v>3068</v>
      </c>
      <c r="B3067" s="1" t="s">
        <v>5</v>
      </c>
      <c r="C3067" s="2">
        <f>IFERROR(__xludf.DUMMYFUNCTION("IFERROR(VLOOKUP(A3067, IMPORTRANGE(""https://docs.google.com/spreadsheets/d/1AVX9GT0dgogEBStecCXMMQ29tWz3gBrtNB8yIromXbY/edit?gid=741673867"", ""out1g!A:B""), 2, FALSE), 0)"),65.0)</f>
        <v>65</v>
      </c>
      <c r="D3067" s="2" t="str">
        <f>IFERROR(__xludf.DUMMYFUNCTION("IFERROR(VLOOKUP(A3067, IMPORTRANGE(""https://docs.google.com/spreadsheets/d/1-3Vjw2Cyy-mry5gbC8ypIR3YVGFfEpyFESummAta6sg/edit"", ""Sheet1!B:D""), 2, FALSE), ""Not Found"")"),"snoʊz")</f>
        <v>snoʊz</v>
      </c>
      <c r="E3067" s="2" t="str">
        <f>IFERROR(__xludf.DUMMYFUNCTION("IFERROR(VLOOKUP(A3067, IMPORTRANGE(""https://docs.google.com/spreadsheets/d/1-3Vjw2Cyy-mry5gbC8ypIR3YVGFfEpyFESummAta6sg/edit"", ""Sheet1!B:D""), 3, FALSE), ""Not Found"")"),"s n o ʊ z ")</f>
        <v>s n o ʊ z </v>
      </c>
    </row>
    <row r="3068">
      <c r="A3068" s="1" t="s">
        <v>3069</v>
      </c>
      <c r="B3068" s="1" t="s">
        <v>5</v>
      </c>
      <c r="C3068" s="2">
        <f>IFERROR(__xludf.DUMMYFUNCTION("IFERROR(VLOOKUP(A3068, IMPORTRANGE(""https://docs.google.com/spreadsheets/d/1AVX9GT0dgogEBStecCXMMQ29tWz3gBrtNB8yIromXbY/edit?gid=741673867"", ""out1g!A:B""), 2, FALSE), 0)"),559.0)</f>
        <v>559</v>
      </c>
      <c r="D3068" s="2" t="str">
        <f>IFERROR(__xludf.DUMMYFUNCTION("IFERROR(VLOOKUP(A3068, IMPORTRANGE(""https://docs.google.com/spreadsheets/d/1-3Vjw2Cyy-mry5gbC8ypIR3YVGFfEpyFESummAta6sg/edit"", ""Sheet1!B:D""), 2, FALSE), ""Not Found"")"),"nərvz")</f>
        <v>nərvz</v>
      </c>
      <c r="E3068" s="2" t="str">
        <f>IFERROR(__xludf.DUMMYFUNCTION("IFERROR(VLOOKUP(A3068, IMPORTRANGE(""https://docs.google.com/spreadsheets/d/1-3Vjw2Cyy-mry5gbC8ypIR3YVGFfEpyFESummAta6sg/edit"", ""Sheet1!B:D""), 3, FALSE), ""Not Found"")"),"n ə r v z ")</f>
        <v>n ə r v z </v>
      </c>
    </row>
    <row r="3069">
      <c r="A3069" s="1" t="s">
        <v>3070</v>
      </c>
      <c r="B3069" s="1" t="s">
        <v>5</v>
      </c>
      <c r="C3069" s="2">
        <f>IFERROR(__xludf.DUMMYFUNCTION("IFERROR(VLOOKUP(A3069, IMPORTRANGE(""https://docs.google.com/spreadsheets/d/1AVX9GT0dgogEBStecCXMMQ29tWz3gBrtNB8yIromXbY/edit?gid=741673867"", ""out1g!A:B""), 2, FALSE), 0)"),534.0)</f>
        <v>534</v>
      </c>
      <c r="D3069" s="2" t="str">
        <f>IFERROR(__xludf.DUMMYFUNCTION("IFERROR(VLOOKUP(A3069, IMPORTRANGE(""https://docs.google.com/spreadsheets/d/1-3Vjw2Cyy-mry5gbC8ypIR3YVGFfEpyFESummAta6sg/edit"", ""Sheet1!B:D""), 2, FALSE), ""Not Found"")"),"hɑns")</f>
        <v>hɑns</v>
      </c>
      <c r="E3069" s="2" t="str">
        <f>IFERROR(__xludf.DUMMYFUNCTION("IFERROR(VLOOKUP(A3069, IMPORTRANGE(""https://docs.google.com/spreadsheets/d/1-3Vjw2Cyy-mry5gbC8ypIR3YVGFfEpyFESummAta6sg/edit"", ""Sheet1!B:D""), 3, FALSE), ""Not Found"")"),"h ɑ n s ")</f>
        <v>h ɑ n s </v>
      </c>
    </row>
    <row r="3070">
      <c r="A3070" s="1" t="s">
        <v>3071</v>
      </c>
      <c r="B3070" s="1" t="s">
        <v>5</v>
      </c>
      <c r="C3070" s="2">
        <f>IFERROR(__xludf.DUMMYFUNCTION("IFERROR(VLOOKUP(A3070, IMPORTRANGE(""https://docs.google.com/spreadsheets/d/1AVX9GT0dgogEBStecCXMMQ29tWz3gBrtNB8yIromXbY/edit?gid=741673867"", ""out1g!A:B""), 2, FALSE), 0)"),2077.0)</f>
        <v>2077</v>
      </c>
      <c r="D3070" s="2" t="str">
        <f>IFERROR(__xludf.DUMMYFUNCTION("IFERROR(VLOOKUP(A3070, IMPORTRANGE(""https://docs.google.com/spreadsheets/d/1-3Vjw2Cyy-mry5gbC8ypIR3YVGFfEpyFESummAta6sg/edit"", ""Sheet1!B:D""), 2, FALSE), ""Not Found"")"),"wɑʃ")</f>
        <v>wɑʃ</v>
      </c>
      <c r="E3070" s="2" t="str">
        <f>IFERROR(__xludf.DUMMYFUNCTION("IFERROR(VLOOKUP(A3070, IMPORTRANGE(""https://docs.google.com/spreadsheets/d/1-3Vjw2Cyy-mry5gbC8ypIR3YVGFfEpyFESummAta6sg/edit"", ""Sheet1!B:D""), 3, FALSE), ""Not Found"")"),"w ɑ ʃ ")</f>
        <v>w ɑ ʃ </v>
      </c>
    </row>
    <row r="3071">
      <c r="A3071" s="1" t="s">
        <v>3072</v>
      </c>
      <c r="B3071" s="1" t="s">
        <v>5</v>
      </c>
      <c r="C3071" s="2">
        <f>IFERROR(__xludf.DUMMYFUNCTION("IFERROR(VLOOKUP(A3071, IMPORTRANGE(""https://docs.google.com/spreadsheets/d/1AVX9GT0dgogEBStecCXMMQ29tWz3gBrtNB8yIromXbY/edit?gid=741673867"", ""out1g!A:B""), 2, FALSE), 0)"),138.0)</f>
        <v>138</v>
      </c>
      <c r="D3071" s="2" t="str">
        <f>IFERROR(__xludf.DUMMYFUNCTION("IFERROR(VLOOKUP(A3071, IMPORTRANGE(""https://docs.google.com/spreadsheets/d/1-3Vjw2Cyy-mry5gbC8ypIR3YVGFfEpyFESummAta6sg/edit"", ""Sheet1!B:D""), 2, FALSE), ""Not Found"")"),"klæmz")</f>
        <v>klæmz</v>
      </c>
      <c r="E3071" s="2" t="str">
        <f>IFERROR(__xludf.DUMMYFUNCTION("IFERROR(VLOOKUP(A3071, IMPORTRANGE(""https://docs.google.com/spreadsheets/d/1-3Vjw2Cyy-mry5gbC8ypIR3YVGFfEpyFESummAta6sg/edit"", ""Sheet1!B:D""), 3, FALSE), ""Not Found"")"),"k l æ m z ")</f>
        <v>k l æ m z </v>
      </c>
    </row>
    <row r="3072">
      <c r="A3072" s="1" t="s">
        <v>3073</v>
      </c>
      <c r="B3072" s="1" t="s">
        <v>5</v>
      </c>
      <c r="C3072" s="2">
        <f>IFERROR(__xludf.DUMMYFUNCTION("IFERROR(VLOOKUP(A3072, IMPORTRANGE(""https://docs.google.com/spreadsheets/d/1AVX9GT0dgogEBStecCXMMQ29tWz3gBrtNB8yIromXbY/edit?gid=741673867"", ""out1g!A:B""), 2, FALSE), 0)"),2543.0)</f>
        <v>2543</v>
      </c>
      <c r="D3072" s="2" t="str">
        <f>IFERROR(__xludf.DUMMYFUNCTION("IFERROR(VLOOKUP(A3072, IMPORTRANGE(""https://docs.google.com/spreadsheets/d/1-3Vjw2Cyy-mry5gbC8ypIR3YVGFfEpyFESummAta6sg/edit"", ""Sheet1!B:D""), 2, FALSE), ""Not Found"")"),"sæn")</f>
        <v>sæn</v>
      </c>
      <c r="E3072" s="2" t="str">
        <f>IFERROR(__xludf.DUMMYFUNCTION("IFERROR(VLOOKUP(A3072, IMPORTRANGE(""https://docs.google.com/spreadsheets/d/1-3Vjw2Cyy-mry5gbC8ypIR3YVGFfEpyFESummAta6sg/edit"", ""Sheet1!B:D""), 3, FALSE), ""Not Found"")"),"s æ n ")</f>
        <v>s æ n </v>
      </c>
    </row>
    <row r="3073">
      <c r="A3073" s="1" t="s">
        <v>3074</v>
      </c>
      <c r="B3073" s="1" t="s">
        <v>5</v>
      </c>
      <c r="C3073" s="2">
        <f>IFERROR(__xludf.DUMMYFUNCTION("IFERROR(VLOOKUP(A3073, IMPORTRANGE(""https://docs.google.com/spreadsheets/d/1AVX9GT0dgogEBStecCXMMQ29tWz3gBrtNB8yIromXbY/edit?gid=741673867"", ""out1g!A:B""), 2, FALSE), 0)"),295.0)</f>
        <v>295</v>
      </c>
      <c r="D3073" s="2" t="str">
        <f>IFERROR(__xludf.DUMMYFUNCTION("IFERROR(VLOOKUP(A3073, IMPORTRANGE(""https://docs.google.com/spreadsheets/d/1-3Vjw2Cyy-mry5gbC8ypIR3YVGFfEpyFESummAta6sg/edit"", ""Sheet1!B:D""), 2, FALSE), ""Not Found"")"),"lɑv")</f>
        <v>lɑv</v>
      </c>
      <c r="E3073" s="2" t="str">
        <f>IFERROR(__xludf.DUMMYFUNCTION("IFERROR(VLOOKUP(A3073, IMPORTRANGE(""https://docs.google.com/spreadsheets/d/1-3Vjw2Cyy-mry5gbC8ypIR3YVGFfEpyFESummAta6sg/edit"", ""Sheet1!B:D""), 3, FALSE), ""Not Found"")"),"l ɑ v ")</f>
        <v>l ɑ v </v>
      </c>
    </row>
    <row r="3074">
      <c r="A3074" s="1" t="s">
        <v>3075</v>
      </c>
      <c r="B3074" s="1" t="s">
        <v>5</v>
      </c>
      <c r="C3074" s="2">
        <f>IFERROR(__xludf.DUMMYFUNCTION("IFERROR(VLOOKUP(A3074, IMPORTRANGE(""https://docs.google.com/spreadsheets/d/1AVX9GT0dgogEBStecCXMMQ29tWz3gBrtNB8yIromXbY/edit?gid=741673867"", ""out1g!A:B""), 2, FALSE), 0)"),245.0)</f>
        <v>245</v>
      </c>
      <c r="D3074" s="2" t="str">
        <f>IFERROR(__xludf.DUMMYFUNCTION("IFERROR(VLOOKUP(A3074, IMPORTRANGE(""https://docs.google.com/spreadsheets/d/1-3Vjw2Cyy-mry5gbC8ypIR3YVGFfEpyFESummAta6sg/edit"", ""Sheet1!B:D""), 2, FALSE), ""Not Found"")"),"grid")</f>
        <v>grid</v>
      </c>
      <c r="E3074" s="2" t="str">
        <f>IFERROR(__xludf.DUMMYFUNCTION("IFERROR(VLOOKUP(A3074, IMPORTRANGE(""https://docs.google.com/spreadsheets/d/1-3Vjw2Cyy-mry5gbC8ypIR3YVGFfEpyFESummAta6sg/edit"", ""Sheet1!B:D""), 3, FALSE), ""Not Found"")"),"g r i d ")</f>
        <v>g r i d </v>
      </c>
    </row>
    <row r="3075">
      <c r="A3075" s="1" t="s">
        <v>3076</v>
      </c>
      <c r="B3075" s="1" t="s">
        <v>5</v>
      </c>
      <c r="C3075" s="2">
        <f>IFERROR(__xludf.DUMMYFUNCTION("IFERROR(VLOOKUP(A3075, IMPORTRANGE(""https://docs.google.com/spreadsheets/d/1AVX9GT0dgogEBStecCXMMQ29tWz3gBrtNB8yIromXbY/edit?gid=741673867"", ""out1g!A:B""), 2, FALSE), 0)"),1040.0)</f>
        <v>1040</v>
      </c>
      <c r="D3075" s="2" t="str">
        <f>IFERROR(__xludf.DUMMYFUNCTION("IFERROR(VLOOKUP(A3075, IMPORTRANGE(""https://docs.google.com/spreadsheets/d/1-3Vjw2Cyy-mry5gbC8ypIR3YVGFfEpyFESummAta6sg/edit"", ""Sheet1!B:D""), 2, FALSE), ""Not Found"")"),"ʤoʊks")</f>
        <v>ʤoʊks</v>
      </c>
      <c r="E3075" s="2" t="str">
        <f>IFERROR(__xludf.DUMMYFUNCTION("IFERROR(VLOOKUP(A3075, IMPORTRANGE(""https://docs.google.com/spreadsheets/d/1-3Vjw2Cyy-mry5gbC8ypIR3YVGFfEpyFESummAta6sg/edit"", ""Sheet1!B:D""), 3, FALSE), ""Not Found"")"),"ʤ o ʊ k s ")</f>
        <v>ʤ o ʊ k s </v>
      </c>
    </row>
    <row r="3076">
      <c r="A3076" s="1" t="s">
        <v>3077</v>
      </c>
      <c r="B3076" s="1" t="s">
        <v>5</v>
      </c>
      <c r="C3076" s="2">
        <f>IFERROR(__xludf.DUMMYFUNCTION("IFERROR(VLOOKUP(A3076, IMPORTRANGE(""https://docs.google.com/spreadsheets/d/1AVX9GT0dgogEBStecCXMMQ29tWz3gBrtNB8yIromXbY/edit?gid=741673867"", ""out1g!A:B""), 2, FALSE), 0)"),112.0)</f>
        <v>112</v>
      </c>
      <c r="D3076" s="2" t="str">
        <f>IFERROR(__xludf.DUMMYFUNCTION("IFERROR(VLOOKUP(A3076, IMPORTRANGE(""https://docs.google.com/spreadsheets/d/1-3Vjw2Cyy-mry5gbC8ypIR3YVGFfEpyFESummAta6sg/edit"", ""Sheet1!B:D""), 2, FALSE), ""Not Found"")"),"sɛlər")</f>
        <v>sɛlər</v>
      </c>
      <c r="E3076" s="2" t="str">
        <f>IFERROR(__xludf.DUMMYFUNCTION("IFERROR(VLOOKUP(A3076, IMPORTRANGE(""https://docs.google.com/spreadsheets/d/1-3Vjw2Cyy-mry5gbC8ypIR3YVGFfEpyFESummAta6sg/edit"", ""Sheet1!B:D""), 3, FALSE), ""Not Found"")"),"s ɛ l ə r ")</f>
        <v>s ɛ l ə r </v>
      </c>
    </row>
    <row r="3077">
      <c r="A3077" s="1" t="s">
        <v>3078</v>
      </c>
      <c r="B3077" s="1" t="s">
        <v>5</v>
      </c>
      <c r="C3077" s="2">
        <f>IFERROR(__xludf.DUMMYFUNCTION("IFERROR(VLOOKUP(A3077, IMPORTRANGE(""https://docs.google.com/spreadsheets/d/1AVX9GT0dgogEBStecCXMMQ29tWz3gBrtNB8yIromXbY/edit?gid=741673867"", ""out1g!A:B""), 2, FALSE), 0)"),2649.0)</f>
        <v>2649</v>
      </c>
      <c r="D3077" s="2" t="str">
        <f>IFERROR(__xludf.DUMMYFUNCTION("IFERROR(VLOOKUP(A3077, IMPORTRANGE(""https://docs.google.com/spreadsheets/d/1-3Vjw2Cyy-mry5gbC8ypIR3YVGFfEpyFESummAta6sg/edit"", ""Sheet1!B:D""), 2, FALSE), ""Not Found"")"),"hɔl")</f>
        <v>hɔl</v>
      </c>
      <c r="E3077" s="2" t="str">
        <f>IFERROR(__xludf.DUMMYFUNCTION("IFERROR(VLOOKUP(A3077, IMPORTRANGE(""https://docs.google.com/spreadsheets/d/1-3Vjw2Cyy-mry5gbC8ypIR3YVGFfEpyFESummAta6sg/edit"", ""Sheet1!B:D""), 3, FALSE), ""Not Found"")"),"h ɔ l ")</f>
        <v>h ɔ l </v>
      </c>
    </row>
    <row r="3078">
      <c r="A3078" s="1" t="s">
        <v>3079</v>
      </c>
      <c r="B3078" s="1" t="s">
        <v>5</v>
      </c>
      <c r="C3078" s="2">
        <f>IFERROR(__xludf.DUMMYFUNCTION("IFERROR(VLOOKUP(A3078, IMPORTRANGE(""https://docs.google.com/spreadsheets/d/1AVX9GT0dgogEBStecCXMMQ29tWz3gBrtNB8yIromXbY/edit?gid=741673867"", ""out1g!A:B""), 2, FALSE), 0)"),14558.0)</f>
        <v>14558</v>
      </c>
      <c r="D3078" s="2" t="str">
        <f>IFERROR(__xludf.DUMMYFUNCTION("IFERROR(VLOOKUP(A3078, IMPORTRANGE(""https://docs.google.com/spreadsheets/d/1-3Vjw2Cyy-mry5gbC8ypIR3YVGFfEpyFESummAta6sg/edit"", ""Sheet1!B:D""), 2, FALSE), ""Not Found"")"),"faɪv")</f>
        <v>faɪv</v>
      </c>
      <c r="E3078" s="2" t="str">
        <f>IFERROR(__xludf.DUMMYFUNCTION("IFERROR(VLOOKUP(A3078, IMPORTRANGE(""https://docs.google.com/spreadsheets/d/1-3Vjw2Cyy-mry5gbC8ypIR3YVGFfEpyFESummAta6sg/edit"", ""Sheet1!B:D""), 3, FALSE), ""Not Found"")"),"f a ɪ v ")</f>
        <v>f a ɪ v </v>
      </c>
    </row>
    <row r="3079">
      <c r="A3079" s="1" t="s">
        <v>3080</v>
      </c>
      <c r="B3079" s="1" t="s">
        <v>5</v>
      </c>
      <c r="C3079" s="2">
        <f>IFERROR(__xludf.DUMMYFUNCTION("IFERROR(VLOOKUP(A3079, IMPORTRANGE(""https://docs.google.com/spreadsheets/d/1AVX9GT0dgogEBStecCXMMQ29tWz3gBrtNB8yIromXbY/edit?gid=741673867"", ""out1g!A:B""), 2, FALSE), 0)"),48.0)</f>
        <v>48</v>
      </c>
      <c r="D3079" s="2" t="str">
        <f>IFERROR(__xludf.DUMMYFUNCTION("IFERROR(VLOOKUP(A3079, IMPORTRANGE(""https://docs.google.com/spreadsheets/d/1-3Vjw2Cyy-mry5gbC8ypIR3YVGFfEpyFESummAta6sg/edit"", ""Sheet1!B:D""), 2, FALSE), ""Not Found"")"),"blɑk")</f>
        <v>blɑk</v>
      </c>
      <c r="E3079" s="2" t="str">
        <f>IFERROR(__xludf.DUMMYFUNCTION("IFERROR(VLOOKUP(A3079, IMPORTRANGE(""https://docs.google.com/spreadsheets/d/1-3Vjw2Cyy-mry5gbC8ypIR3YVGFfEpyFESummAta6sg/edit"", ""Sheet1!B:D""), 3, FALSE), ""Not Found"")"),"b l ɑ k ")</f>
        <v>b l ɑ k </v>
      </c>
    </row>
    <row r="3080">
      <c r="A3080" s="1" t="s">
        <v>3081</v>
      </c>
      <c r="B3080" s="1" t="s">
        <v>5</v>
      </c>
      <c r="C3080" s="2">
        <f>IFERROR(__xludf.DUMMYFUNCTION("IFERROR(VLOOKUP(A3080, IMPORTRANGE(""https://docs.google.com/spreadsheets/d/1AVX9GT0dgogEBStecCXMMQ29tWz3gBrtNB8yIromXbY/edit?gid=741673867"", ""out1g!A:B""), 2, FALSE), 0)"),49.0)</f>
        <v>49</v>
      </c>
      <c r="D3080" s="2" t="str">
        <f>IFERROR(__xludf.DUMMYFUNCTION("IFERROR(VLOOKUP(A3080, IMPORTRANGE(""https://docs.google.com/spreadsheets/d/1-3Vjw2Cyy-mry5gbC8ypIR3YVGFfEpyFESummAta6sg/edit"", ""Sheet1!B:D""), 2, FALSE), ""Not Found"")"),"ərnz")</f>
        <v>ərnz</v>
      </c>
      <c r="E3080" s="2" t="str">
        <f>IFERROR(__xludf.DUMMYFUNCTION("IFERROR(VLOOKUP(A3080, IMPORTRANGE(""https://docs.google.com/spreadsheets/d/1-3Vjw2Cyy-mry5gbC8ypIR3YVGFfEpyFESummAta6sg/edit"", ""Sheet1!B:D""), 3, FALSE), ""Not Found"")"),"ə r n z ")</f>
        <v>ə r n z </v>
      </c>
    </row>
    <row r="3081">
      <c r="A3081" s="1" t="s">
        <v>3082</v>
      </c>
      <c r="B3081" s="1" t="s">
        <v>5</v>
      </c>
      <c r="C3081" s="2">
        <f>IFERROR(__xludf.DUMMYFUNCTION("IFERROR(VLOOKUP(A3081, IMPORTRANGE(""https://docs.google.com/spreadsheets/d/1AVX9GT0dgogEBStecCXMMQ29tWz3gBrtNB8yIromXbY/edit?gid=741673867"", ""out1g!A:B""), 2, FALSE), 0)"),17.0)</f>
        <v>17</v>
      </c>
      <c r="D3081" s="2" t="str">
        <f>IFERROR(__xludf.DUMMYFUNCTION("IFERROR(VLOOKUP(A3081, IMPORTRANGE(""https://docs.google.com/spreadsheets/d/1-3Vjw2Cyy-mry5gbC8ypIR3YVGFfEpyFESummAta6sg/edit"", ""Sheet1!B:D""), 2, FALSE), ""Not Found"")"),"sərʧər")</f>
        <v>sərʧər</v>
      </c>
      <c r="E3081" s="2" t="str">
        <f>IFERROR(__xludf.DUMMYFUNCTION("IFERROR(VLOOKUP(A3081, IMPORTRANGE(""https://docs.google.com/spreadsheets/d/1-3Vjw2Cyy-mry5gbC8ypIR3YVGFfEpyFESummAta6sg/edit"", ""Sheet1!B:D""), 3, FALSE), ""Not Found"")"),"s ə r ʧ ə r ")</f>
        <v>s ə r ʧ ə r </v>
      </c>
    </row>
    <row r="3082">
      <c r="A3082" s="1" t="s">
        <v>3083</v>
      </c>
      <c r="B3082" s="1" t="s">
        <v>5</v>
      </c>
      <c r="C3082" s="2">
        <f>IFERROR(__xludf.DUMMYFUNCTION("IFERROR(VLOOKUP(A3082, IMPORTRANGE(""https://docs.google.com/spreadsheets/d/1AVX9GT0dgogEBStecCXMMQ29tWz3gBrtNB8yIromXbY/edit?gid=741673867"", ""out1g!A:B""), 2, FALSE), 0)"),410.0)</f>
        <v>410</v>
      </c>
      <c r="D3082" s="2" t="str">
        <f>IFERROR(__xludf.DUMMYFUNCTION("IFERROR(VLOOKUP(A3082, IMPORTRANGE(""https://docs.google.com/spreadsheets/d/1-3Vjw2Cyy-mry5gbC8ypIR3YVGFfEpyFESummAta6sg/edit"", ""Sheet1!B:D""), 2, FALSE), ""Not Found"")"),"ræʃ")</f>
        <v>ræʃ</v>
      </c>
      <c r="E3082" s="2" t="str">
        <f>IFERROR(__xludf.DUMMYFUNCTION("IFERROR(VLOOKUP(A3082, IMPORTRANGE(""https://docs.google.com/spreadsheets/d/1-3Vjw2Cyy-mry5gbC8ypIR3YVGFfEpyFESummAta6sg/edit"", ""Sheet1!B:D""), 3, FALSE), ""Not Found"")"),"r æ ʃ ")</f>
        <v>r æ ʃ </v>
      </c>
    </row>
    <row r="3083">
      <c r="A3083" s="1" t="s">
        <v>3084</v>
      </c>
      <c r="B3083" s="1" t="s">
        <v>5</v>
      </c>
      <c r="C3083" s="2">
        <f>IFERROR(__xludf.DUMMYFUNCTION("IFERROR(VLOOKUP(A3083, IMPORTRANGE(""https://docs.google.com/spreadsheets/d/1AVX9GT0dgogEBStecCXMMQ29tWz3gBrtNB8yIromXbY/edit?gid=741673867"", ""out1g!A:B""), 2, FALSE), 0)"),275.0)</f>
        <v>275</v>
      </c>
      <c r="D3083" s="2" t="str">
        <f>IFERROR(__xludf.DUMMYFUNCTION("IFERROR(VLOOKUP(A3083, IMPORTRANGE(""https://docs.google.com/spreadsheets/d/1-3Vjw2Cyy-mry5gbC8ypIR3YVGFfEpyFESummAta6sg/edit"", ""Sheet1!B:D""), 2, FALSE), ""Not Found"")"),"pɔz")</f>
        <v>pɔz</v>
      </c>
      <c r="E3083" s="2" t="str">
        <f>IFERROR(__xludf.DUMMYFUNCTION("IFERROR(VLOOKUP(A3083, IMPORTRANGE(""https://docs.google.com/spreadsheets/d/1-3Vjw2Cyy-mry5gbC8ypIR3YVGFfEpyFESummAta6sg/edit"", ""Sheet1!B:D""), 3, FALSE), ""Not Found"")"),"p ɔ z ")</f>
        <v>p ɔ z </v>
      </c>
    </row>
    <row r="3084">
      <c r="A3084" s="1" t="s">
        <v>3085</v>
      </c>
      <c r="B3084" s="1" t="s">
        <v>5</v>
      </c>
      <c r="C3084" s="2">
        <f>IFERROR(__xludf.DUMMYFUNCTION("IFERROR(VLOOKUP(A3084, IMPORTRANGE(""https://docs.google.com/spreadsheets/d/1AVX9GT0dgogEBStecCXMMQ29tWz3gBrtNB8yIromXbY/edit?gid=741673867"", ""out1g!A:B""), 2, FALSE), 0)"),59.0)</f>
        <v>59</v>
      </c>
      <c r="D3084" s="2" t="str">
        <f>IFERROR(__xludf.DUMMYFUNCTION("IFERROR(VLOOKUP(A3084, IMPORTRANGE(""https://docs.google.com/spreadsheets/d/1-3Vjw2Cyy-mry5gbC8ypIR3YVGFfEpyFESummAta6sg/edit"", ""Sheet1!B:D""), 2, FALSE), ""Not Found"")"),"həvər")</f>
        <v>həvər</v>
      </c>
      <c r="E3084" s="2" t="str">
        <f>IFERROR(__xludf.DUMMYFUNCTION("IFERROR(VLOOKUP(A3084, IMPORTRANGE(""https://docs.google.com/spreadsheets/d/1-3Vjw2Cyy-mry5gbC8ypIR3YVGFfEpyFESummAta6sg/edit"", ""Sheet1!B:D""), 3, FALSE), ""Not Found"")"),"h ə v ə r ")</f>
        <v>h ə v ə r </v>
      </c>
    </row>
    <row r="3085">
      <c r="A3085" s="1" t="s">
        <v>3086</v>
      </c>
      <c r="B3085" s="1" t="s">
        <v>5</v>
      </c>
      <c r="C3085" s="2">
        <f>IFERROR(__xludf.DUMMYFUNCTION("IFERROR(VLOOKUP(A3085, IMPORTRANGE(""https://docs.google.com/spreadsheets/d/1AVX9GT0dgogEBStecCXMMQ29tWz3gBrtNB8yIromXbY/edit?gid=741673867"", ""out1g!A:B""), 2, FALSE), 0)"),78.0)</f>
        <v>78</v>
      </c>
      <c r="D3085" s="2" t="str">
        <f>IFERROR(__xludf.DUMMYFUNCTION("IFERROR(VLOOKUP(A3085, IMPORTRANGE(""https://docs.google.com/spreadsheets/d/1-3Vjw2Cyy-mry5gbC8ypIR3YVGFfEpyFESummAta6sg/edit"", ""Sheet1!B:D""), 2, FALSE), ""Not Found"")"),"brevli")</f>
        <v>brevli</v>
      </c>
      <c r="E3085" s="2" t="str">
        <f>IFERROR(__xludf.DUMMYFUNCTION("IFERROR(VLOOKUP(A3085, IMPORTRANGE(""https://docs.google.com/spreadsheets/d/1-3Vjw2Cyy-mry5gbC8ypIR3YVGFfEpyFESummAta6sg/edit"", ""Sheet1!B:D""), 3, FALSE), ""Not Found"")"),"b r e v l i ")</f>
        <v>b r e v l i </v>
      </c>
    </row>
    <row r="3086">
      <c r="A3086" s="1" t="s">
        <v>3087</v>
      </c>
      <c r="B3086" s="1" t="s">
        <v>5</v>
      </c>
      <c r="C3086" s="2">
        <f>IFERROR(__xludf.DUMMYFUNCTION("IFERROR(VLOOKUP(A3086, IMPORTRANGE(""https://docs.google.com/spreadsheets/d/1AVX9GT0dgogEBStecCXMMQ29tWz3gBrtNB8yIromXbY/edit?gid=741673867"", ""out1g!A:B""), 2, FALSE), 0)"),48.0)</f>
        <v>48</v>
      </c>
      <c r="D3086" s="2" t="str">
        <f>IFERROR(__xludf.DUMMYFUNCTION("IFERROR(VLOOKUP(A3086, IMPORTRANGE(""https://docs.google.com/spreadsheets/d/1-3Vjw2Cyy-mry5gbC8ypIR3YVGFfEpyFESummAta6sg/edit"", ""Sheet1!B:D""), 2, FALSE), ""Not Found"")"),"kəmɪθ")</f>
        <v>kəmɪθ</v>
      </c>
      <c r="E3086" s="2" t="str">
        <f>IFERROR(__xludf.DUMMYFUNCTION("IFERROR(VLOOKUP(A3086, IMPORTRANGE(""https://docs.google.com/spreadsheets/d/1-3Vjw2Cyy-mry5gbC8ypIR3YVGFfEpyFESummAta6sg/edit"", ""Sheet1!B:D""), 3, FALSE), ""Not Found"")"),"k ə m ɪ θ ")</f>
        <v>k ə m ɪ θ </v>
      </c>
    </row>
    <row r="3087">
      <c r="A3087" s="1" t="s">
        <v>3088</v>
      </c>
      <c r="B3087" s="1" t="s">
        <v>5</v>
      </c>
      <c r="C3087" s="2">
        <f>IFERROR(__xludf.DUMMYFUNCTION("IFERROR(VLOOKUP(A3087, IMPORTRANGE(""https://docs.google.com/spreadsheets/d/1AVX9GT0dgogEBStecCXMMQ29tWz3gBrtNB8yIromXbY/edit?gid=741673867"", ""out1g!A:B""), 2, FALSE), 0)"),54.0)</f>
        <v>54</v>
      </c>
      <c r="D3087" s="2" t="str">
        <f>IFERROR(__xludf.DUMMYFUNCTION("IFERROR(VLOOKUP(A3087, IMPORTRANGE(""https://docs.google.com/spreadsheets/d/1-3Vjw2Cyy-mry5gbC8ypIR3YVGFfEpyFESummAta6sg/edit"", ""Sheet1!B:D""), 2, FALSE), ""Not Found"")"),"paʊnd")</f>
        <v>paʊnd</v>
      </c>
      <c r="E3087" s="2" t="str">
        <f>IFERROR(__xludf.DUMMYFUNCTION("IFERROR(VLOOKUP(A3087, IMPORTRANGE(""https://docs.google.com/spreadsheets/d/1-3Vjw2Cyy-mry5gbC8ypIR3YVGFfEpyFESummAta6sg/edit"", ""Sheet1!B:D""), 3, FALSE), ""Not Found"")"),"p a ʊ n d ")</f>
        <v>p a ʊ n d </v>
      </c>
    </row>
    <row r="3088">
      <c r="A3088" s="1" t="s">
        <v>3089</v>
      </c>
      <c r="B3088" s="1" t="s">
        <v>5</v>
      </c>
      <c r="C3088" s="2">
        <f>IFERROR(__xludf.DUMMYFUNCTION("IFERROR(VLOOKUP(A3088, IMPORTRANGE(""https://docs.google.com/spreadsheets/d/1AVX9GT0dgogEBStecCXMMQ29tWz3gBrtNB8yIromXbY/edit?gid=741673867"", ""out1g!A:B""), 2, FALSE), 0)"),82.0)</f>
        <v>82</v>
      </c>
      <c r="D3088" s="2" t="str">
        <f>IFERROR(__xludf.DUMMYFUNCTION("IFERROR(VLOOKUP(A3088, IMPORTRANGE(""https://docs.google.com/spreadsheets/d/1-3Vjw2Cyy-mry5gbC8ypIR3YVGFfEpyFESummAta6sg/edit"", ""Sheet1!B:D""), 2, FALSE), ""Not Found"")"),"pərʤ")</f>
        <v>pərʤ</v>
      </c>
      <c r="E3088" s="2" t="str">
        <f>IFERROR(__xludf.DUMMYFUNCTION("IFERROR(VLOOKUP(A3088, IMPORTRANGE(""https://docs.google.com/spreadsheets/d/1-3Vjw2Cyy-mry5gbC8ypIR3YVGFfEpyFESummAta6sg/edit"", ""Sheet1!B:D""), 3, FALSE), ""Not Found"")"),"p ə r ʤ ")</f>
        <v>p ə r ʤ </v>
      </c>
    </row>
    <row r="3089">
      <c r="A3089" s="1" t="s">
        <v>3090</v>
      </c>
      <c r="B3089" s="1" t="s">
        <v>5</v>
      </c>
      <c r="C3089" s="2">
        <f>IFERROR(__xludf.DUMMYFUNCTION("IFERROR(VLOOKUP(A3089, IMPORTRANGE(""https://docs.google.com/spreadsheets/d/1AVX9GT0dgogEBStecCXMMQ29tWz3gBrtNB8yIromXbY/edit?gid=741673867"", ""out1g!A:B""), 2, FALSE), 0)"),78.0)</f>
        <v>78</v>
      </c>
      <c r="D3089" s="2" t="str">
        <f>IFERROR(__xludf.DUMMYFUNCTION("IFERROR(VLOOKUP(A3089, IMPORTRANGE(""https://docs.google.com/spreadsheets/d/1-3Vjw2Cyy-mry5gbC8ypIR3YVGFfEpyFESummAta6sg/edit"", ""Sheet1!B:D""), 2, FALSE), ""Not Found"")"),"hʊdz")</f>
        <v>hʊdz</v>
      </c>
      <c r="E3089" s="2" t="str">
        <f>IFERROR(__xludf.DUMMYFUNCTION("IFERROR(VLOOKUP(A3089, IMPORTRANGE(""https://docs.google.com/spreadsheets/d/1-3Vjw2Cyy-mry5gbC8ypIR3YVGFfEpyFESummAta6sg/edit"", ""Sheet1!B:D""), 3, FALSE), ""Not Found"")"),"h ʊ d z ")</f>
        <v>h ʊ d z </v>
      </c>
    </row>
    <row r="3090">
      <c r="A3090" s="1" t="s">
        <v>3091</v>
      </c>
      <c r="B3090" s="1" t="s">
        <v>5</v>
      </c>
      <c r="C3090" s="2">
        <f>IFERROR(__xludf.DUMMYFUNCTION("IFERROR(VLOOKUP(A3090, IMPORTRANGE(""https://docs.google.com/spreadsheets/d/1AVX9GT0dgogEBStecCXMMQ29tWz3gBrtNB8yIromXbY/edit?gid=741673867"", ""out1g!A:B""), 2, FALSE), 0)"),46.0)</f>
        <v>46</v>
      </c>
      <c r="D3090" s="2" t="str">
        <f>IFERROR(__xludf.DUMMYFUNCTION("IFERROR(VLOOKUP(A3090, IMPORTRANGE(""https://docs.google.com/spreadsheets/d/1-3Vjw2Cyy-mry5gbC8ypIR3YVGFfEpyFESummAta6sg/edit"", ""Sheet1!B:D""), 2, FALSE), ""Not Found"")"),"snɔrz")</f>
        <v>snɔrz</v>
      </c>
      <c r="E3090" s="2" t="str">
        <f>IFERROR(__xludf.DUMMYFUNCTION("IFERROR(VLOOKUP(A3090, IMPORTRANGE(""https://docs.google.com/spreadsheets/d/1-3Vjw2Cyy-mry5gbC8ypIR3YVGFfEpyFESummAta6sg/edit"", ""Sheet1!B:D""), 3, FALSE), ""Not Found"")"),"s n ɔ r z ")</f>
        <v>s n ɔ r z </v>
      </c>
    </row>
    <row r="3091">
      <c r="A3091" s="1" t="s">
        <v>3092</v>
      </c>
      <c r="B3091" s="1" t="s">
        <v>5</v>
      </c>
      <c r="C3091" s="2">
        <f>IFERROR(__xludf.DUMMYFUNCTION("IFERROR(VLOOKUP(A3091, IMPORTRANGE(""https://docs.google.com/spreadsheets/d/1AVX9GT0dgogEBStecCXMMQ29tWz3gBrtNB8yIromXbY/edit?gid=741673867"", ""out1g!A:B""), 2, FALSE), 0)"),512.0)</f>
        <v>512</v>
      </c>
      <c r="D3091" s="2" t="str">
        <f>IFERROR(__xludf.DUMMYFUNCTION("IFERROR(VLOOKUP(A3091, IMPORTRANGE(""https://docs.google.com/spreadsheets/d/1-3Vjw2Cyy-mry5gbC8ypIR3YVGFfEpyFESummAta6sg/edit"", ""Sheet1!B:D""), 2, FALSE), ""Not Found"")"),"frɔd")</f>
        <v>frɔd</v>
      </c>
      <c r="E3091" s="2" t="str">
        <f>IFERROR(__xludf.DUMMYFUNCTION("IFERROR(VLOOKUP(A3091, IMPORTRANGE(""https://docs.google.com/spreadsheets/d/1-3Vjw2Cyy-mry5gbC8ypIR3YVGFfEpyFESummAta6sg/edit"", ""Sheet1!B:D""), 3, FALSE), ""Not Found"")"),"f r ɔ d ")</f>
        <v>f r ɔ d </v>
      </c>
    </row>
    <row r="3092">
      <c r="A3092" s="1" t="s">
        <v>3093</v>
      </c>
      <c r="B3092" s="1" t="s">
        <v>5</v>
      </c>
      <c r="C3092" s="2">
        <f>IFERROR(__xludf.DUMMYFUNCTION("IFERROR(VLOOKUP(A3092, IMPORTRANGE(""https://docs.google.com/spreadsheets/d/1AVX9GT0dgogEBStecCXMMQ29tWz3gBrtNB8yIromXbY/edit?gid=741673867"", ""out1g!A:B""), 2, FALSE), 0)"),1559.0)</f>
        <v>1559</v>
      </c>
      <c r="D3092" s="2" t="str">
        <f>IFERROR(__xludf.DUMMYFUNCTION("IFERROR(VLOOKUP(A3092, IMPORTRANGE(""https://docs.google.com/spreadsheets/d/1-3Vjw2Cyy-mry5gbC8ypIR3YVGFfEpyFESummAta6sg/edit"", ""Sheet1!B:D""), 2, FALSE), ""Not Found"")"),"kɪkt")</f>
        <v>kɪkt</v>
      </c>
      <c r="E3092" s="2" t="str">
        <f>IFERROR(__xludf.DUMMYFUNCTION("IFERROR(VLOOKUP(A3092, IMPORTRANGE(""https://docs.google.com/spreadsheets/d/1-3Vjw2Cyy-mry5gbC8ypIR3YVGFfEpyFESummAta6sg/edit"", ""Sheet1!B:D""), 3, FALSE), ""Not Found"")"),"k ɪ k t ")</f>
        <v>k ɪ k t </v>
      </c>
    </row>
    <row r="3093">
      <c r="A3093" s="1" t="s">
        <v>3094</v>
      </c>
      <c r="B3093" s="1" t="s">
        <v>5</v>
      </c>
      <c r="C3093" s="2">
        <f>IFERROR(__xludf.DUMMYFUNCTION("IFERROR(VLOOKUP(A3093, IMPORTRANGE(""https://docs.google.com/spreadsheets/d/1AVX9GT0dgogEBStecCXMMQ29tWz3gBrtNB8yIromXbY/edit?gid=741673867"", ""out1g!A:B""), 2, FALSE), 0)"),6271.0)</f>
        <v>6271</v>
      </c>
      <c r="D3093" s="2" t="str">
        <f>IFERROR(__xludf.DUMMYFUNCTION("IFERROR(VLOOKUP(A3093, IMPORTRANGE(""https://docs.google.com/spreadsheets/d/1-3Vjw2Cyy-mry5gbC8ypIR3YVGFfEpyFESummAta6sg/edit"", ""Sheet1!B:D""), 2, FALSE), ""Not Found"")"),"muvi")</f>
        <v>muvi</v>
      </c>
      <c r="E3093" s="2" t="str">
        <f>IFERROR(__xludf.DUMMYFUNCTION("IFERROR(VLOOKUP(A3093, IMPORTRANGE(""https://docs.google.com/spreadsheets/d/1-3Vjw2Cyy-mry5gbC8ypIR3YVGFfEpyFESummAta6sg/edit"", ""Sheet1!B:D""), 3, FALSE), ""Not Found"")"),"m u v i ")</f>
        <v>m u v i </v>
      </c>
    </row>
    <row r="3094">
      <c r="A3094" s="1" t="s">
        <v>3095</v>
      </c>
      <c r="B3094" s="1" t="s">
        <v>5</v>
      </c>
      <c r="C3094" s="2">
        <f>IFERROR(__xludf.DUMMYFUNCTION("IFERROR(VLOOKUP(A3094, IMPORTRANGE(""https://docs.google.com/spreadsheets/d/1AVX9GT0dgogEBStecCXMMQ29tWz3gBrtNB8yIromXbY/edit?gid=741673867"", ""out1g!A:B""), 2, FALSE), 0)"),253.0)</f>
        <v>253</v>
      </c>
      <c r="D3094" s="2" t="str">
        <f>IFERROR(__xludf.DUMMYFUNCTION("IFERROR(VLOOKUP(A3094, IMPORTRANGE(""https://docs.google.com/spreadsheets/d/1-3Vjw2Cyy-mry5gbC8ypIR3YVGFfEpyFESummAta6sg/edit"", ""Sheet1!B:D""), 2, FALSE), ""Not Found"")"),"st")</f>
        <v>st</v>
      </c>
      <c r="E3094" s="2" t="str">
        <f>IFERROR(__xludf.DUMMYFUNCTION("IFERROR(VLOOKUP(A3094, IMPORTRANGE(""https://docs.google.com/spreadsheets/d/1-3Vjw2Cyy-mry5gbC8ypIR3YVGFfEpyFESummAta6sg/edit"", ""Sheet1!B:D""), 3, FALSE), ""Not Found"")"),"s t ")</f>
        <v>s t </v>
      </c>
    </row>
    <row r="3095">
      <c r="A3095" s="1" t="s">
        <v>3096</v>
      </c>
      <c r="B3095" s="1" t="s">
        <v>5</v>
      </c>
      <c r="C3095" s="2">
        <f>IFERROR(__xludf.DUMMYFUNCTION("IFERROR(VLOOKUP(A3095, IMPORTRANGE(""https://docs.google.com/spreadsheets/d/1AVX9GT0dgogEBStecCXMMQ29tWz3gBrtNB8yIromXbY/edit?gid=741673867"", ""out1g!A:B""), 2, FALSE), 0)"),381.0)</f>
        <v>381</v>
      </c>
      <c r="D3095" s="2" t="str">
        <f>IFERROR(__xludf.DUMMYFUNCTION("IFERROR(VLOOKUP(A3095, IMPORTRANGE(""https://docs.google.com/spreadsheets/d/1-3Vjw2Cyy-mry5gbC8ypIR3YVGFfEpyFESummAta6sg/edit"", ""Sheet1!B:D""), 2, FALSE), ""Not Found"")"),"moʊbəl")</f>
        <v>moʊbəl</v>
      </c>
      <c r="E3095" s="2" t="str">
        <f>IFERROR(__xludf.DUMMYFUNCTION("IFERROR(VLOOKUP(A3095, IMPORTRANGE(""https://docs.google.com/spreadsheets/d/1-3Vjw2Cyy-mry5gbC8ypIR3YVGFfEpyFESummAta6sg/edit"", ""Sheet1!B:D""), 3, FALSE), ""Not Found"")"),"m o ʊ b ə l ")</f>
        <v>m o ʊ b ə l </v>
      </c>
    </row>
    <row r="3096">
      <c r="A3096" s="1" t="s">
        <v>3097</v>
      </c>
      <c r="B3096" s="1" t="s">
        <v>5</v>
      </c>
      <c r="C3096" s="2">
        <f>IFERROR(__xludf.DUMMYFUNCTION("IFERROR(VLOOKUP(A3096, IMPORTRANGE(""https://docs.google.com/spreadsheets/d/1AVX9GT0dgogEBStecCXMMQ29tWz3gBrtNB8yIromXbY/edit?gid=741673867"", ""out1g!A:B""), 2, FALSE), 0)"),541.0)</f>
        <v>541</v>
      </c>
      <c r="D3096" s="2" t="str">
        <f>IFERROR(__xludf.DUMMYFUNCTION("IFERROR(VLOOKUP(A3096, IMPORTRANGE(""https://docs.google.com/spreadsheets/d/1-3Vjw2Cyy-mry5gbC8ypIR3YVGFfEpyFESummAta6sg/edit"", ""Sheet1!B:D""), 2, FALSE), ""Not Found"")"),"fənd")</f>
        <v>fənd</v>
      </c>
      <c r="E3096" s="2" t="str">
        <f>IFERROR(__xludf.DUMMYFUNCTION("IFERROR(VLOOKUP(A3096, IMPORTRANGE(""https://docs.google.com/spreadsheets/d/1-3Vjw2Cyy-mry5gbC8ypIR3YVGFfEpyFESummAta6sg/edit"", ""Sheet1!B:D""), 3, FALSE), ""Not Found"")"),"f ə n d ")</f>
        <v>f ə n d </v>
      </c>
    </row>
    <row r="3097">
      <c r="A3097" s="1" t="s">
        <v>3098</v>
      </c>
      <c r="B3097" s="1" t="s">
        <v>5</v>
      </c>
      <c r="C3097" s="2">
        <f>IFERROR(__xludf.DUMMYFUNCTION("IFERROR(VLOOKUP(A3097, IMPORTRANGE(""https://docs.google.com/spreadsheets/d/1AVX9GT0dgogEBStecCXMMQ29tWz3gBrtNB8yIromXbY/edit?gid=741673867"", ""out1g!A:B""), 2, FALSE), 0)"),1707.0)</f>
        <v>1707</v>
      </c>
      <c r="D3097" s="2" t="str">
        <f>IFERROR(__xludf.DUMMYFUNCTION("IFERROR(VLOOKUP(A3097, IMPORTRANGE(""https://docs.google.com/spreadsheets/d/1-3Vjw2Cyy-mry5gbC8ypIR3YVGFfEpyFESummAta6sg/edit"", ""Sheet1!B:D""), 2, FALSE), ""Not Found"")"),"toʊst")</f>
        <v>toʊst</v>
      </c>
      <c r="E3097" s="2" t="str">
        <f>IFERROR(__xludf.DUMMYFUNCTION("IFERROR(VLOOKUP(A3097, IMPORTRANGE(""https://docs.google.com/spreadsheets/d/1-3Vjw2Cyy-mry5gbC8ypIR3YVGFfEpyFESummAta6sg/edit"", ""Sheet1!B:D""), 3, FALSE), ""Not Found"")"),"t o ʊ s t ")</f>
        <v>t o ʊ s t </v>
      </c>
    </row>
    <row r="3098">
      <c r="A3098" s="1" t="s">
        <v>3099</v>
      </c>
      <c r="B3098" s="1" t="s">
        <v>5</v>
      </c>
      <c r="C3098" s="2">
        <f>IFERROR(__xludf.DUMMYFUNCTION("IFERROR(VLOOKUP(A3098, IMPORTRANGE(""https://docs.google.com/spreadsheets/d/1AVX9GT0dgogEBStecCXMMQ29tWz3gBrtNB8yIromXbY/edit?gid=741673867"", ""out1g!A:B""), 2, FALSE), 0)"),470.0)</f>
        <v>470</v>
      </c>
      <c r="D3098" s="2" t="str">
        <f>IFERROR(__xludf.DUMMYFUNCTION("IFERROR(VLOOKUP(A3098, IMPORTRANGE(""https://docs.google.com/spreadsheets/d/1-3Vjw2Cyy-mry5gbC8ypIR3YVGFfEpyFESummAta6sg/edit"", ""Sheet1!B:D""), 2, FALSE), ""Not Found"")"),"hirz")</f>
        <v>hirz</v>
      </c>
      <c r="E3098" s="2" t="str">
        <f>IFERROR(__xludf.DUMMYFUNCTION("IFERROR(VLOOKUP(A3098, IMPORTRANGE(""https://docs.google.com/spreadsheets/d/1-3Vjw2Cyy-mry5gbC8ypIR3YVGFfEpyFESummAta6sg/edit"", ""Sheet1!B:D""), 3, FALSE), ""Not Found"")"),"h i r z ")</f>
        <v>h i r z </v>
      </c>
    </row>
    <row r="3099">
      <c r="A3099" s="1" t="s">
        <v>3100</v>
      </c>
      <c r="B3099" s="1" t="s">
        <v>5</v>
      </c>
      <c r="C3099" s="2">
        <f>IFERROR(__xludf.DUMMYFUNCTION("IFERROR(VLOOKUP(A3099, IMPORTRANGE(""https://docs.google.com/spreadsheets/d/1AVX9GT0dgogEBStecCXMMQ29tWz3gBrtNB8yIromXbY/edit?gid=741673867"", ""out1g!A:B""), 2, FALSE), 0)"),81.0)</f>
        <v>81</v>
      </c>
      <c r="D3099" s="2" t="str">
        <f>IFERROR(__xludf.DUMMYFUNCTION("IFERROR(VLOOKUP(A3099, IMPORTRANGE(""https://docs.google.com/spreadsheets/d/1-3Vjw2Cyy-mry5gbC8ypIR3YVGFfEpyFESummAta6sg/edit"", ""Sheet1!B:D""), 2, FALSE), ""Not Found"")"),"jɑrn")</f>
        <v>jɑrn</v>
      </c>
      <c r="E3099" s="2" t="str">
        <f>IFERROR(__xludf.DUMMYFUNCTION("IFERROR(VLOOKUP(A3099, IMPORTRANGE(""https://docs.google.com/spreadsheets/d/1-3Vjw2Cyy-mry5gbC8ypIR3YVGFfEpyFESummAta6sg/edit"", ""Sheet1!B:D""), 3, FALSE), ""Not Found"")"),"j ɑ r n ")</f>
        <v>j ɑ r n </v>
      </c>
    </row>
    <row r="3100">
      <c r="A3100" s="1" t="s">
        <v>3101</v>
      </c>
      <c r="B3100" s="1" t="s">
        <v>5</v>
      </c>
      <c r="C3100" s="2">
        <f>IFERROR(__xludf.DUMMYFUNCTION("IFERROR(VLOOKUP(A3100, IMPORTRANGE(""https://docs.google.com/spreadsheets/d/1AVX9GT0dgogEBStecCXMMQ29tWz3gBrtNB8yIromXbY/edit?gid=741673867"", ""out1g!A:B""), 2, FALSE), 0)"),707.0)</f>
        <v>707</v>
      </c>
      <c r="D3100" s="2" t="str">
        <f>IFERROR(__xludf.DUMMYFUNCTION("IFERROR(VLOOKUP(A3100, IMPORTRANGE(""https://docs.google.com/spreadsheets/d/1-3Vjw2Cyy-mry5gbC8ypIR3YVGFfEpyFESummAta6sg/edit"", ""Sheet1!B:D""), 2, FALSE), ""Not Found"")"),"ʤoʊ")</f>
        <v>ʤoʊ</v>
      </c>
      <c r="E3100" s="2" t="str">
        <f>IFERROR(__xludf.DUMMYFUNCTION("IFERROR(VLOOKUP(A3100, IMPORTRANGE(""https://docs.google.com/spreadsheets/d/1-3Vjw2Cyy-mry5gbC8ypIR3YVGFfEpyFESummAta6sg/edit"", ""Sheet1!B:D""), 3, FALSE), ""Not Found"")"),"ʤ o ʊ ")</f>
        <v>ʤ o ʊ </v>
      </c>
    </row>
    <row r="3101">
      <c r="A3101" s="1" t="s">
        <v>3102</v>
      </c>
      <c r="B3101" s="1" t="s">
        <v>5</v>
      </c>
      <c r="C3101" s="2">
        <f>IFERROR(__xludf.DUMMYFUNCTION("IFERROR(VLOOKUP(A3101, IMPORTRANGE(""https://docs.google.com/spreadsheets/d/1AVX9GT0dgogEBStecCXMMQ29tWz3gBrtNB8yIromXbY/edit?gid=741673867"", ""out1g!A:B""), 2, FALSE), 0)"),1505.0)</f>
        <v>1505</v>
      </c>
      <c r="D3101" s="2" t="str">
        <f>IFERROR(__xludf.DUMMYFUNCTION("IFERROR(VLOOKUP(A3101, IMPORTRANGE(""https://docs.google.com/spreadsheets/d/1-3Vjw2Cyy-mry5gbC8ypIR3YVGFfEpyFESummAta6sg/edit"", ""Sheet1!B:D""), 2, FALSE), ""Not Found"")"),"təʧt")</f>
        <v>təʧt</v>
      </c>
      <c r="E3101" s="2" t="str">
        <f>IFERROR(__xludf.DUMMYFUNCTION("IFERROR(VLOOKUP(A3101, IMPORTRANGE(""https://docs.google.com/spreadsheets/d/1-3Vjw2Cyy-mry5gbC8ypIR3YVGFfEpyFESummAta6sg/edit"", ""Sheet1!B:D""), 3, FALSE), ""Not Found"")"),"t ə ʧ t ")</f>
        <v>t ə ʧ t </v>
      </c>
    </row>
    <row r="3102">
      <c r="A3102" s="1" t="s">
        <v>3103</v>
      </c>
      <c r="B3102" s="1" t="s">
        <v>5</v>
      </c>
      <c r="C3102" s="2">
        <f>IFERROR(__xludf.DUMMYFUNCTION("IFERROR(VLOOKUP(A3102, IMPORTRANGE(""https://docs.google.com/spreadsheets/d/1AVX9GT0dgogEBStecCXMMQ29tWz3gBrtNB8yIromXbY/edit?gid=741673867"", ""out1g!A:B""), 2, FALSE), 0)"),19.0)</f>
        <v>19</v>
      </c>
      <c r="D3102" s="2" t="str">
        <f>IFERROR(__xludf.DUMMYFUNCTION("IFERROR(VLOOKUP(A3102, IMPORTRANGE(""https://docs.google.com/spreadsheets/d/1-3Vjw2Cyy-mry5gbC8ypIR3YVGFfEpyFESummAta6sg/edit"", ""Sheet1!B:D""), 2, FALSE), ""Not Found"")"),"ʧæpt")</f>
        <v>ʧæpt</v>
      </c>
      <c r="E3102" s="2" t="str">
        <f>IFERROR(__xludf.DUMMYFUNCTION("IFERROR(VLOOKUP(A3102, IMPORTRANGE(""https://docs.google.com/spreadsheets/d/1-3Vjw2Cyy-mry5gbC8ypIR3YVGFfEpyFESummAta6sg/edit"", ""Sheet1!B:D""), 3, FALSE), ""Not Found"")"),"ʧ æ p t ")</f>
        <v>ʧ æ p t </v>
      </c>
    </row>
    <row r="3103">
      <c r="A3103" s="1" t="s">
        <v>3104</v>
      </c>
      <c r="B3103" s="1" t="s">
        <v>5</v>
      </c>
      <c r="C3103" s="2">
        <f>IFERROR(__xludf.DUMMYFUNCTION("IFERROR(VLOOKUP(A3103, IMPORTRANGE(""https://docs.google.com/spreadsheets/d/1AVX9GT0dgogEBStecCXMMQ29tWz3gBrtNB8yIromXbY/edit?gid=741673867"", ""out1g!A:B""), 2, FALSE), 0)"),72.0)</f>
        <v>72</v>
      </c>
      <c r="D3103" s="2" t="str">
        <f>IFERROR(__xludf.DUMMYFUNCTION("IFERROR(VLOOKUP(A3103, IMPORTRANGE(""https://docs.google.com/spreadsheets/d/1-3Vjw2Cyy-mry5gbC8ypIR3YVGFfEpyFESummAta6sg/edit"", ""Sheet1!B:D""), 2, FALSE), ""Not Found"")"),"ʃætər")</f>
        <v>ʃætər</v>
      </c>
      <c r="E3103" s="2" t="str">
        <f>IFERROR(__xludf.DUMMYFUNCTION("IFERROR(VLOOKUP(A3103, IMPORTRANGE(""https://docs.google.com/spreadsheets/d/1-3Vjw2Cyy-mry5gbC8ypIR3YVGFfEpyFESummAta6sg/edit"", ""Sheet1!B:D""), 3, FALSE), ""Not Found"")"),"ʃ æ t ə r ")</f>
        <v>ʃ æ t ə r </v>
      </c>
    </row>
    <row r="3104">
      <c r="A3104" s="1" t="s">
        <v>3105</v>
      </c>
      <c r="B3104" s="1" t="s">
        <v>5</v>
      </c>
      <c r="C3104" s="2">
        <f>IFERROR(__xludf.DUMMYFUNCTION("IFERROR(VLOOKUP(A3104, IMPORTRANGE(""https://docs.google.com/spreadsheets/d/1AVX9GT0dgogEBStecCXMMQ29tWz3gBrtNB8yIromXbY/edit?gid=741673867"", ""out1g!A:B""), 2, FALSE), 0)"),55.0)</f>
        <v>55</v>
      </c>
      <c r="D3104" s="2" t="str">
        <f>IFERROR(__xludf.DUMMYFUNCTION("IFERROR(VLOOKUP(A3104, IMPORTRANGE(""https://docs.google.com/spreadsheets/d/1-3Vjw2Cyy-mry5gbC8ypIR3YVGFfEpyFESummAta6sg/edit"", ""Sheet1!B:D""), 2, FALSE), ""Not Found"")"),"də")</f>
        <v>də</v>
      </c>
      <c r="E3104" s="2" t="str">
        <f>IFERROR(__xludf.DUMMYFUNCTION("IFERROR(VLOOKUP(A3104, IMPORTRANGE(""https://docs.google.com/spreadsheets/d/1-3Vjw2Cyy-mry5gbC8ypIR3YVGFfEpyFESummAta6sg/edit"", ""Sheet1!B:D""), 3, FALSE), ""Not Found"")"),"d ə ")</f>
        <v>d ə </v>
      </c>
    </row>
    <row r="3105">
      <c r="A3105" s="1" t="s">
        <v>3106</v>
      </c>
      <c r="B3105" s="1" t="s">
        <v>5</v>
      </c>
      <c r="C3105" s="2">
        <f>IFERROR(__xludf.DUMMYFUNCTION("IFERROR(VLOOKUP(A3105, IMPORTRANGE(""https://docs.google.com/spreadsheets/d/1AVX9GT0dgogEBStecCXMMQ29tWz3gBrtNB8yIromXbY/edit?gid=741673867"", ""out1g!A:B""), 2, FALSE), 0)"),113.0)</f>
        <v>113</v>
      </c>
      <c r="D3105" s="2" t="str">
        <f>IFERROR(__xludf.DUMMYFUNCTION("IFERROR(VLOOKUP(A3105, IMPORTRANGE(""https://docs.google.com/spreadsheets/d/1-3Vjw2Cyy-mry5gbC8ypIR3YVGFfEpyFESummAta6sg/edit"", ""Sheet1!B:D""), 2, FALSE), ""Not Found"")"),"winər")</f>
        <v>winər</v>
      </c>
      <c r="E3105" s="2" t="str">
        <f>IFERROR(__xludf.DUMMYFUNCTION("IFERROR(VLOOKUP(A3105, IMPORTRANGE(""https://docs.google.com/spreadsheets/d/1-3Vjw2Cyy-mry5gbC8ypIR3YVGFfEpyFESummAta6sg/edit"", ""Sheet1!B:D""), 3, FALSE), ""Not Found"")"),"w i n ə r ")</f>
        <v>w i n ə r </v>
      </c>
    </row>
    <row r="3106">
      <c r="A3106" s="1" t="s">
        <v>3107</v>
      </c>
      <c r="B3106" s="1" t="s">
        <v>5</v>
      </c>
      <c r="C3106" s="2">
        <f>IFERROR(__xludf.DUMMYFUNCTION("IFERROR(VLOOKUP(A3106, IMPORTRANGE(""https://docs.google.com/spreadsheets/d/1AVX9GT0dgogEBStecCXMMQ29tWz3gBrtNB8yIromXbY/edit?gid=741673867"", ""out1g!A:B""), 2, FALSE), 0)"),48.0)</f>
        <v>48</v>
      </c>
      <c r="D3106" s="2" t="str">
        <f>IFERROR(__xludf.DUMMYFUNCTION("IFERROR(VLOOKUP(A3106, IMPORTRANGE(""https://docs.google.com/spreadsheets/d/1-3Vjw2Cyy-mry5gbC8ypIR3YVGFfEpyFESummAta6sg/edit"", ""Sheet1!B:D""), 2, FALSE), ""Not Found"")"),"gɑr")</f>
        <v>gɑr</v>
      </c>
      <c r="E3106" s="2" t="str">
        <f>IFERROR(__xludf.DUMMYFUNCTION("IFERROR(VLOOKUP(A3106, IMPORTRANGE(""https://docs.google.com/spreadsheets/d/1-3Vjw2Cyy-mry5gbC8ypIR3YVGFfEpyFESummAta6sg/edit"", ""Sheet1!B:D""), 3, FALSE), ""Not Found"")"),"g ɑ r ")</f>
        <v>g ɑ r </v>
      </c>
    </row>
    <row r="3107">
      <c r="A3107" s="1" t="s">
        <v>3108</v>
      </c>
      <c r="B3107" s="1" t="s">
        <v>5</v>
      </c>
      <c r="C3107" s="2">
        <f>IFERROR(__xludf.DUMMYFUNCTION("IFERROR(VLOOKUP(A3107, IMPORTRANGE(""https://docs.google.com/spreadsheets/d/1AVX9GT0dgogEBStecCXMMQ29tWz3gBrtNB8yIromXbY/edit?gid=741673867"", ""out1g!A:B""), 2, FALSE), 0)"),2601.0)</f>
        <v>2601</v>
      </c>
      <c r="D3107" s="2" t="str">
        <f>IFERROR(__xludf.DUMMYFUNCTION("IFERROR(VLOOKUP(A3107, IMPORTRANGE(""https://docs.google.com/spreadsheets/d/1-3Vjw2Cyy-mry5gbC8ypIR3YVGFfEpyFESummAta6sg/edit"", ""Sheet1!B:D""), 2, FALSE), ""Not Found"")"),"kiz")</f>
        <v>kiz</v>
      </c>
      <c r="E3107" s="2" t="str">
        <f>IFERROR(__xludf.DUMMYFUNCTION("IFERROR(VLOOKUP(A3107, IMPORTRANGE(""https://docs.google.com/spreadsheets/d/1-3Vjw2Cyy-mry5gbC8ypIR3YVGFfEpyFESummAta6sg/edit"", ""Sheet1!B:D""), 3, FALSE), ""Not Found"")"),"k i z ")</f>
        <v>k i z </v>
      </c>
    </row>
    <row r="3108">
      <c r="A3108" s="1" t="s">
        <v>3109</v>
      </c>
      <c r="B3108" s="1" t="s">
        <v>5</v>
      </c>
      <c r="C3108" s="2">
        <f>IFERROR(__xludf.DUMMYFUNCTION("IFERROR(VLOOKUP(A3108, IMPORTRANGE(""https://docs.google.com/spreadsheets/d/1AVX9GT0dgogEBStecCXMMQ29tWz3gBrtNB8yIromXbY/edit?gid=741673867"", ""out1g!A:B""), 2, FALSE), 0)"),1017.0)</f>
        <v>1017</v>
      </c>
      <c r="D3108" s="2" t="str">
        <f>IFERROR(__xludf.DUMMYFUNCTION("IFERROR(VLOOKUP(A3108, IMPORTRANGE(""https://docs.google.com/spreadsheets/d/1-3Vjw2Cyy-mry5gbC8ypIR3YVGFfEpyFESummAta6sg/edit"", ""Sheet1!B:D""), 2, FALSE), ""Not Found"")"),"ʤərni")</f>
        <v>ʤərni</v>
      </c>
      <c r="E3108" s="2" t="str">
        <f>IFERROR(__xludf.DUMMYFUNCTION("IFERROR(VLOOKUP(A3108, IMPORTRANGE(""https://docs.google.com/spreadsheets/d/1-3Vjw2Cyy-mry5gbC8ypIR3YVGFfEpyFESummAta6sg/edit"", ""Sheet1!B:D""), 3, FALSE), ""Not Found"")"),"ʤ ə r n i ")</f>
        <v>ʤ ə r n i </v>
      </c>
    </row>
    <row r="3109">
      <c r="A3109" s="1" t="s">
        <v>3110</v>
      </c>
      <c r="B3109" s="1" t="s">
        <v>5</v>
      </c>
      <c r="C3109" s="2">
        <f>IFERROR(__xludf.DUMMYFUNCTION("IFERROR(VLOOKUP(A3109, IMPORTRANGE(""https://docs.google.com/spreadsheets/d/1AVX9GT0dgogEBStecCXMMQ29tWz3gBrtNB8yIromXbY/edit?gid=741673867"", ""out1g!A:B""), 2, FALSE), 0)"),124.0)</f>
        <v>124</v>
      </c>
      <c r="D3109" s="2" t="str">
        <f>IFERROR(__xludf.DUMMYFUNCTION("IFERROR(VLOOKUP(A3109, IMPORTRANGE(""https://docs.google.com/spreadsheets/d/1-3Vjw2Cyy-mry5gbC8ypIR3YVGFfEpyFESummAta6sg/edit"", ""Sheet1!B:D""), 2, FALSE), ""Not Found"")"),"dɛl")</f>
        <v>dɛl</v>
      </c>
      <c r="E3109" s="2" t="str">
        <f>IFERROR(__xludf.DUMMYFUNCTION("IFERROR(VLOOKUP(A3109, IMPORTRANGE(""https://docs.google.com/spreadsheets/d/1-3Vjw2Cyy-mry5gbC8ypIR3YVGFfEpyFESummAta6sg/edit"", ""Sheet1!B:D""), 3, FALSE), ""Not Found"")"),"d ɛ l ")</f>
        <v>d ɛ l </v>
      </c>
    </row>
    <row r="3110">
      <c r="A3110" s="1" t="s">
        <v>3111</v>
      </c>
      <c r="B3110" s="1" t="s">
        <v>5</v>
      </c>
      <c r="C3110" s="2">
        <f>IFERROR(__xludf.DUMMYFUNCTION("IFERROR(VLOOKUP(A3110, IMPORTRANGE(""https://docs.google.com/spreadsheets/d/1AVX9GT0dgogEBStecCXMMQ29tWz3gBrtNB8yIromXbY/edit?gid=741673867"", ""out1g!A:B""), 2, FALSE), 0)"),211.0)</f>
        <v>211</v>
      </c>
      <c r="D3110" s="2" t="str">
        <f>IFERROR(__xludf.DUMMYFUNCTION("IFERROR(VLOOKUP(A3110, IMPORTRANGE(""https://docs.google.com/spreadsheets/d/1-3Vjw2Cyy-mry5gbC8ypIR3YVGFfEpyFESummAta6sg/edit"", ""Sheet1!B:D""), 2, FALSE), ""Not Found"")"),"stroʊl")</f>
        <v>stroʊl</v>
      </c>
      <c r="E3110" s="2" t="str">
        <f>IFERROR(__xludf.DUMMYFUNCTION("IFERROR(VLOOKUP(A3110, IMPORTRANGE(""https://docs.google.com/spreadsheets/d/1-3Vjw2Cyy-mry5gbC8ypIR3YVGFfEpyFESummAta6sg/edit"", ""Sheet1!B:D""), 3, FALSE), ""Not Found"")"),"s t r o ʊ l ")</f>
        <v>s t r o ʊ l </v>
      </c>
    </row>
    <row r="3111">
      <c r="A3111" s="1" t="s">
        <v>3112</v>
      </c>
      <c r="B3111" s="1" t="s">
        <v>5</v>
      </c>
      <c r="C3111" s="2">
        <f>IFERROR(__xludf.DUMMYFUNCTION("IFERROR(VLOOKUP(A3111, IMPORTRANGE(""https://docs.google.com/spreadsheets/d/1AVX9GT0dgogEBStecCXMMQ29tWz3gBrtNB8yIromXbY/edit?gid=741673867"", ""out1g!A:B""), 2, FALSE), 0)"),52.0)</f>
        <v>52</v>
      </c>
      <c r="D3111" s="2" t="str">
        <f>IFERROR(__xludf.DUMMYFUNCTION("IFERROR(VLOOKUP(A3111, IMPORTRANGE(""https://docs.google.com/spreadsheets/d/1-3Vjw2Cyy-mry5gbC8ypIR3YVGFfEpyFESummAta6sg/edit"", ""Sheet1!B:D""), 2, FALSE), ""Not Found"")"),"gləm")</f>
        <v>gləm</v>
      </c>
      <c r="E3111" s="2" t="str">
        <f>IFERROR(__xludf.DUMMYFUNCTION("IFERROR(VLOOKUP(A3111, IMPORTRANGE(""https://docs.google.com/spreadsheets/d/1-3Vjw2Cyy-mry5gbC8ypIR3YVGFfEpyFESummAta6sg/edit"", ""Sheet1!B:D""), 3, FALSE), ""Not Found"")"),"g l ə m ")</f>
        <v>g l ə m </v>
      </c>
    </row>
    <row r="3112">
      <c r="A3112" s="1" t="s">
        <v>3113</v>
      </c>
      <c r="B3112" s="1" t="s">
        <v>5</v>
      </c>
      <c r="C3112" s="2">
        <f>IFERROR(__xludf.DUMMYFUNCTION("IFERROR(VLOOKUP(A3112, IMPORTRANGE(""https://docs.google.com/spreadsheets/d/1AVX9GT0dgogEBStecCXMMQ29tWz3gBrtNB8yIromXbY/edit?gid=741673867"", ""out1g!A:B""), 2, FALSE), 0)"),125.0)</f>
        <v>125</v>
      </c>
      <c r="D3112" s="2" t="str">
        <f>IFERROR(__xludf.DUMMYFUNCTION("IFERROR(VLOOKUP(A3112, IMPORTRANGE(""https://docs.google.com/spreadsheets/d/1-3Vjw2Cyy-mry5gbC8ypIR3YVGFfEpyFESummAta6sg/edit"", ""Sheet1!B:D""), 2, FALSE), ""Not Found"")"),"fedɪŋ")</f>
        <v>fedɪŋ</v>
      </c>
      <c r="E3112" s="2" t="str">
        <f>IFERROR(__xludf.DUMMYFUNCTION("IFERROR(VLOOKUP(A3112, IMPORTRANGE(""https://docs.google.com/spreadsheets/d/1-3Vjw2Cyy-mry5gbC8ypIR3YVGFfEpyFESummAta6sg/edit"", ""Sheet1!B:D""), 3, FALSE), ""Not Found"")"),"f e d ɪ ŋ ")</f>
        <v>f e d ɪ ŋ </v>
      </c>
    </row>
    <row r="3113">
      <c r="A3113" s="1" t="s">
        <v>3114</v>
      </c>
      <c r="B3113" s="1" t="s">
        <v>5</v>
      </c>
      <c r="C3113" s="2">
        <f>IFERROR(__xludf.DUMMYFUNCTION("IFERROR(VLOOKUP(A3113, IMPORTRANGE(""https://docs.google.com/spreadsheets/d/1AVX9GT0dgogEBStecCXMMQ29tWz3gBrtNB8yIromXbY/edit?gid=741673867"", ""out1g!A:B""), 2, FALSE), 0)"),111.0)</f>
        <v>111</v>
      </c>
      <c r="D3113" s="2" t="str">
        <f>IFERROR(__xludf.DUMMYFUNCTION("IFERROR(VLOOKUP(A3113, IMPORTRANGE(""https://docs.google.com/spreadsheets/d/1-3Vjw2Cyy-mry5gbC8ypIR3YVGFfEpyFESummAta6sg/edit"", ""Sheet1!B:D""), 2, FALSE), ""Not Found"")"),"boʊlz")</f>
        <v>boʊlz</v>
      </c>
      <c r="E3113" s="2" t="str">
        <f>IFERROR(__xludf.DUMMYFUNCTION("IFERROR(VLOOKUP(A3113, IMPORTRANGE(""https://docs.google.com/spreadsheets/d/1-3Vjw2Cyy-mry5gbC8ypIR3YVGFfEpyFESummAta6sg/edit"", ""Sheet1!B:D""), 3, FALSE), ""Not Found"")"),"b o ʊ l z ")</f>
        <v>b o ʊ l z </v>
      </c>
    </row>
    <row r="3114">
      <c r="A3114" s="1" t="s">
        <v>3115</v>
      </c>
      <c r="B3114" s="1" t="s">
        <v>5</v>
      </c>
      <c r="C3114" s="2">
        <f>IFERROR(__xludf.DUMMYFUNCTION("IFERROR(VLOOKUP(A3114, IMPORTRANGE(""https://docs.google.com/spreadsheets/d/1AVX9GT0dgogEBStecCXMMQ29tWz3gBrtNB8yIromXbY/edit?gid=741673867"", ""out1g!A:B""), 2, FALSE), 0)"),53.0)</f>
        <v>53</v>
      </c>
      <c r="D3114" s="2" t="str">
        <f>IFERROR(__xludf.DUMMYFUNCTION("IFERROR(VLOOKUP(A3114, IMPORTRANGE(""https://docs.google.com/spreadsheets/d/1-3Vjw2Cyy-mry5gbC8ypIR3YVGFfEpyFESummAta6sg/edit"", ""Sheet1!B:D""), 2, FALSE), ""Not Found"")"),"nɑni")</f>
        <v>nɑni</v>
      </c>
      <c r="E3114" s="2" t="str">
        <f>IFERROR(__xludf.DUMMYFUNCTION("IFERROR(VLOOKUP(A3114, IMPORTRANGE(""https://docs.google.com/spreadsheets/d/1-3Vjw2Cyy-mry5gbC8ypIR3YVGFfEpyFESummAta6sg/edit"", ""Sheet1!B:D""), 3, FALSE), ""Not Found"")"),"n ɑ n i ")</f>
        <v>n ɑ n i </v>
      </c>
    </row>
    <row r="3115">
      <c r="A3115" s="1" t="s">
        <v>3116</v>
      </c>
      <c r="B3115" s="1" t="s">
        <v>5</v>
      </c>
      <c r="C3115" s="2">
        <f>IFERROR(__xludf.DUMMYFUNCTION("IFERROR(VLOOKUP(A3115, IMPORTRANGE(""https://docs.google.com/spreadsheets/d/1AVX9GT0dgogEBStecCXMMQ29tWz3gBrtNB8yIromXbY/edit?gid=741673867"", ""out1g!A:B""), 2, FALSE), 0)"),6716.0)</f>
        <v>6716</v>
      </c>
      <c r="D3115" s="2" t="str">
        <f>IFERROR(__xludf.DUMMYFUNCTION("IFERROR(VLOOKUP(A3115, IMPORTRANGE(""https://docs.google.com/spreadsheets/d/1-3Vjw2Cyy-mry5gbC8ypIR3YVGFfEpyFESummAta6sg/edit"", ""Sheet1!B:D""), 2, FALSE), ""Not Found"")"),"bit")</f>
        <v>bit</v>
      </c>
      <c r="E3115" s="2" t="str">
        <f>IFERROR(__xludf.DUMMYFUNCTION("IFERROR(VLOOKUP(A3115, IMPORTRANGE(""https://docs.google.com/spreadsheets/d/1-3Vjw2Cyy-mry5gbC8ypIR3YVGFfEpyFESummAta6sg/edit"", ""Sheet1!B:D""), 3, FALSE), ""Not Found"")"),"b i t ")</f>
        <v>b i t </v>
      </c>
    </row>
    <row r="3116">
      <c r="A3116" s="1" t="s">
        <v>3117</v>
      </c>
      <c r="B3116" s="1" t="s">
        <v>5</v>
      </c>
      <c r="C3116" s="2">
        <f>IFERROR(__xludf.DUMMYFUNCTION("IFERROR(VLOOKUP(A3116, IMPORTRANGE(""https://docs.google.com/spreadsheets/d/1AVX9GT0dgogEBStecCXMMQ29tWz3gBrtNB8yIromXbY/edit?gid=741673867"", ""out1g!A:B""), 2, FALSE), 0)"),101.0)</f>
        <v>101</v>
      </c>
      <c r="D3116" s="2" t="str">
        <f>IFERROR(__xludf.DUMMYFUNCTION("IFERROR(VLOOKUP(A3116, IMPORTRANGE(""https://docs.google.com/spreadsheets/d/1-3Vjw2Cyy-mry5gbC8ypIR3YVGFfEpyFESummAta6sg/edit"", ""Sheet1!B:D""), 2, FALSE), ""Not Found"")"),"hɑgz")</f>
        <v>hɑgz</v>
      </c>
      <c r="E3116" s="2" t="str">
        <f>IFERROR(__xludf.DUMMYFUNCTION("IFERROR(VLOOKUP(A3116, IMPORTRANGE(""https://docs.google.com/spreadsheets/d/1-3Vjw2Cyy-mry5gbC8ypIR3YVGFfEpyFESummAta6sg/edit"", ""Sheet1!B:D""), 3, FALSE), ""Not Found"")"),"h ɑ g z ")</f>
        <v>h ɑ g z </v>
      </c>
    </row>
    <row r="3117">
      <c r="A3117" s="1" t="s">
        <v>3118</v>
      </c>
      <c r="B3117" s="1" t="s">
        <v>5</v>
      </c>
      <c r="C3117" s="2">
        <f>IFERROR(__xludf.DUMMYFUNCTION("IFERROR(VLOOKUP(A3117, IMPORTRANGE(""https://docs.google.com/spreadsheets/d/1AVX9GT0dgogEBStecCXMMQ29tWz3gBrtNB8yIromXbY/edit?gid=741673867"", ""out1g!A:B""), 2, FALSE), 0)"),53.0)</f>
        <v>53</v>
      </c>
      <c r="D3117" s="2" t="str">
        <f>IFERROR(__xludf.DUMMYFUNCTION("IFERROR(VLOOKUP(A3117, IMPORTRANGE(""https://docs.google.com/spreadsheets/d/1-3Vjw2Cyy-mry5gbC8ypIR3YVGFfEpyFESummAta6sg/edit"", ""Sheet1!B:D""), 2, FALSE), ""Not Found"")"),"staʊt")</f>
        <v>staʊt</v>
      </c>
      <c r="E3117" s="2" t="str">
        <f>IFERROR(__xludf.DUMMYFUNCTION("IFERROR(VLOOKUP(A3117, IMPORTRANGE(""https://docs.google.com/spreadsheets/d/1-3Vjw2Cyy-mry5gbC8ypIR3YVGFfEpyFESummAta6sg/edit"", ""Sheet1!B:D""), 3, FALSE), ""Not Found"")"),"s t a ʊ t ")</f>
        <v>s t a ʊ t </v>
      </c>
    </row>
    <row r="3118">
      <c r="A3118" s="1" t="s">
        <v>3119</v>
      </c>
      <c r="B3118" s="1" t="s">
        <v>5</v>
      </c>
      <c r="C3118" s="2">
        <f>IFERROR(__xludf.DUMMYFUNCTION("IFERROR(VLOOKUP(A3118, IMPORTRANGE(""https://docs.google.com/spreadsheets/d/1AVX9GT0dgogEBStecCXMMQ29tWz3gBrtNB8yIromXbY/edit?gid=741673867"", ""out1g!A:B""), 2, FALSE), 0)"),45.0)</f>
        <v>45</v>
      </c>
      <c r="D3118" s="2" t="str">
        <f>IFERROR(__xludf.DUMMYFUNCTION("IFERROR(VLOOKUP(A3118, IMPORTRANGE(""https://docs.google.com/spreadsheets/d/1-3Vjw2Cyy-mry5gbC8ypIR3YVGFfEpyFESummAta6sg/edit"", ""Sheet1!B:D""), 2, FALSE), ""Not Found"")"),"ɛrd")</f>
        <v>ɛrd</v>
      </c>
      <c r="E3118" s="2" t="str">
        <f>IFERROR(__xludf.DUMMYFUNCTION("IFERROR(VLOOKUP(A3118, IMPORTRANGE(""https://docs.google.com/spreadsheets/d/1-3Vjw2Cyy-mry5gbC8ypIR3YVGFfEpyFESummAta6sg/edit"", ""Sheet1!B:D""), 3, FALSE), ""Not Found"")"),"ɛ r d ")</f>
        <v>ɛ r d </v>
      </c>
    </row>
    <row r="3119">
      <c r="A3119" s="1" t="s">
        <v>3120</v>
      </c>
      <c r="B3119" s="1" t="s">
        <v>5</v>
      </c>
      <c r="C3119" s="2">
        <f>IFERROR(__xludf.DUMMYFUNCTION("IFERROR(VLOOKUP(A3119, IMPORTRANGE(""https://docs.google.com/spreadsheets/d/1AVX9GT0dgogEBStecCXMMQ29tWz3gBrtNB8yIromXbY/edit?gid=741673867"", ""out1g!A:B""), 2, FALSE), 0)"),7303.0)</f>
        <v>7303</v>
      </c>
      <c r="D3119" s="2" t="str">
        <f>IFERROR(__xludf.DUMMYFUNCTION("IFERROR(VLOOKUP(A3119, IMPORTRANGE(""https://docs.google.com/spreadsheets/d/1-3Vjw2Cyy-mry5gbC8ypIR3YVGFfEpyFESummAta6sg/edit"", ""Sheet1!B:D""), 2, FALSE), ""Not Found"")"),"sef")</f>
        <v>sef</v>
      </c>
      <c r="E3119" s="2" t="str">
        <f>IFERROR(__xludf.DUMMYFUNCTION("IFERROR(VLOOKUP(A3119, IMPORTRANGE(""https://docs.google.com/spreadsheets/d/1-3Vjw2Cyy-mry5gbC8ypIR3YVGFfEpyFESummAta6sg/edit"", ""Sheet1!B:D""), 3, FALSE), ""Not Found"")"),"s e f ")</f>
        <v>s e f </v>
      </c>
    </row>
    <row r="3120">
      <c r="A3120" s="1" t="s">
        <v>3121</v>
      </c>
      <c r="B3120" s="1" t="s">
        <v>5</v>
      </c>
      <c r="C3120" s="2">
        <f>IFERROR(__xludf.DUMMYFUNCTION("IFERROR(VLOOKUP(A3120, IMPORTRANGE(""https://docs.google.com/spreadsheets/d/1AVX9GT0dgogEBStecCXMMQ29tWz3gBrtNB8yIromXbY/edit?gid=741673867"", ""out1g!A:B""), 2, FALSE), 0)"),4369.0)</f>
        <v>4369</v>
      </c>
      <c r="D3120" s="2" t="str">
        <f>IFERROR(__xludf.DUMMYFUNCTION("IFERROR(VLOOKUP(A3120, IMPORTRANGE(""https://docs.google.com/spreadsheets/d/1-3Vjw2Cyy-mry5gbC8ypIR3YVGFfEpyFESummAta6sg/edit"", ""Sheet1!B:D""), 2, FALSE), ""Not Found"")"),"ped")</f>
        <v>ped</v>
      </c>
      <c r="E3120" s="2" t="str">
        <f>IFERROR(__xludf.DUMMYFUNCTION("IFERROR(VLOOKUP(A3120, IMPORTRANGE(""https://docs.google.com/spreadsheets/d/1-3Vjw2Cyy-mry5gbC8ypIR3YVGFfEpyFESummAta6sg/edit"", ""Sheet1!B:D""), 3, FALSE), ""Not Found"")"),"p e d ")</f>
        <v>p e d </v>
      </c>
    </row>
    <row r="3121">
      <c r="A3121" s="1" t="s">
        <v>3122</v>
      </c>
      <c r="B3121" s="1" t="s">
        <v>5</v>
      </c>
      <c r="C3121" s="2">
        <f>IFERROR(__xludf.DUMMYFUNCTION("IFERROR(VLOOKUP(A3121, IMPORTRANGE(""https://docs.google.com/spreadsheets/d/1AVX9GT0dgogEBStecCXMMQ29tWz3gBrtNB8yIromXbY/edit?gid=741673867"", ""out1g!A:B""), 2, FALSE), 0)"),116.0)</f>
        <v>116</v>
      </c>
      <c r="D3121" s="2" t="str">
        <f>IFERROR(__xludf.DUMMYFUNCTION("IFERROR(VLOOKUP(A3121, IMPORTRANGE(""https://docs.google.com/spreadsheets/d/1-3Vjw2Cyy-mry5gbC8ypIR3YVGFfEpyFESummAta6sg/edit"", ""Sheet1!B:D""), 2, FALSE), ""Not Found"")"),"ɛʤi")</f>
        <v>ɛʤi</v>
      </c>
      <c r="E3121" s="2" t="str">
        <f>IFERROR(__xludf.DUMMYFUNCTION("IFERROR(VLOOKUP(A3121, IMPORTRANGE(""https://docs.google.com/spreadsheets/d/1-3Vjw2Cyy-mry5gbC8ypIR3YVGFfEpyFESummAta6sg/edit"", ""Sheet1!B:D""), 3, FALSE), ""Not Found"")"),"ɛ ʤ i ")</f>
        <v>ɛ ʤ i </v>
      </c>
    </row>
    <row r="3122">
      <c r="A3122" s="1" t="s">
        <v>3123</v>
      </c>
      <c r="B3122" s="1" t="s">
        <v>5</v>
      </c>
      <c r="C3122" s="2">
        <f>IFERROR(__xludf.DUMMYFUNCTION("IFERROR(VLOOKUP(A3122, IMPORTRANGE(""https://docs.google.com/spreadsheets/d/1AVX9GT0dgogEBStecCXMMQ29tWz3gBrtNB8yIromXbY/edit?gid=741673867"", ""out1g!A:B""), 2, FALSE), 0)"),151.0)</f>
        <v>151</v>
      </c>
      <c r="D3122" s="2" t="str">
        <f>IFERROR(__xludf.DUMMYFUNCTION("IFERROR(VLOOKUP(A3122, IMPORTRANGE(""https://docs.google.com/spreadsheets/d/1-3Vjw2Cyy-mry5gbC8ypIR3YVGFfEpyFESummAta6sg/edit"", ""Sheet1!B:D""), 2, FALSE), ""Not Found"")"),"taɪ")</f>
        <v>taɪ</v>
      </c>
      <c r="E3122" s="2" t="str">
        <f>IFERROR(__xludf.DUMMYFUNCTION("IFERROR(VLOOKUP(A3122, IMPORTRANGE(""https://docs.google.com/spreadsheets/d/1-3Vjw2Cyy-mry5gbC8ypIR3YVGFfEpyFESummAta6sg/edit"", ""Sheet1!B:D""), 3, FALSE), ""Not Found"")"),"t a ɪ ")</f>
        <v>t a ɪ </v>
      </c>
    </row>
    <row r="3123">
      <c r="A3123" s="1" t="s">
        <v>3124</v>
      </c>
      <c r="B3123" s="1" t="s">
        <v>5</v>
      </c>
      <c r="C3123" s="2">
        <f>IFERROR(__xludf.DUMMYFUNCTION("IFERROR(VLOOKUP(A3123, IMPORTRANGE(""https://docs.google.com/spreadsheets/d/1AVX9GT0dgogEBStecCXMMQ29tWz3gBrtNB8yIromXbY/edit?gid=741673867"", ""out1g!A:B""), 2, FALSE), 0)"),169.0)</f>
        <v>169</v>
      </c>
      <c r="D3123" s="2" t="str">
        <f>IFERROR(__xludf.DUMMYFUNCTION("IFERROR(VLOOKUP(A3123, IMPORTRANGE(""https://docs.google.com/spreadsheets/d/1-3Vjw2Cyy-mry5gbC8ypIR3YVGFfEpyFESummAta6sg/edit"", ""Sheet1!B:D""), 2, FALSE), ""Not Found"")"),"aɪdi")</f>
        <v>aɪdi</v>
      </c>
      <c r="E3123" s="2" t="str">
        <f>IFERROR(__xludf.DUMMYFUNCTION("IFERROR(VLOOKUP(A3123, IMPORTRANGE(""https://docs.google.com/spreadsheets/d/1-3Vjw2Cyy-mry5gbC8ypIR3YVGFfEpyFESummAta6sg/edit"", ""Sheet1!B:D""), 3, FALSE), ""Not Found"")"),"a ɪ d i ")</f>
        <v>a ɪ d i </v>
      </c>
    </row>
    <row r="3124">
      <c r="A3124" s="1" t="s">
        <v>3125</v>
      </c>
      <c r="B3124" s="1" t="s">
        <v>5</v>
      </c>
      <c r="C3124" s="2">
        <f>IFERROR(__xludf.DUMMYFUNCTION("IFERROR(VLOOKUP(A3124, IMPORTRANGE(""https://docs.google.com/spreadsheets/d/1AVX9GT0dgogEBStecCXMMQ29tWz3gBrtNB8yIromXbY/edit?gid=741673867"", ""out1g!A:B""), 2, FALSE), 0)"),125.0)</f>
        <v>125</v>
      </c>
      <c r="D3124" s="2" t="str">
        <f>IFERROR(__xludf.DUMMYFUNCTION("IFERROR(VLOOKUP(A3124, IMPORTRANGE(""https://docs.google.com/spreadsheets/d/1-3Vjw2Cyy-mry5gbC8ypIR3YVGFfEpyFESummAta6sg/edit"", ""Sheet1!B:D""), 2, FALSE), ""Not Found"")"),"haɪnd")</f>
        <v>haɪnd</v>
      </c>
      <c r="E3124" s="2" t="str">
        <f>IFERROR(__xludf.DUMMYFUNCTION("IFERROR(VLOOKUP(A3124, IMPORTRANGE(""https://docs.google.com/spreadsheets/d/1-3Vjw2Cyy-mry5gbC8ypIR3YVGFfEpyFESummAta6sg/edit"", ""Sheet1!B:D""), 3, FALSE), ""Not Found"")"),"h a ɪ n d ")</f>
        <v>h a ɪ n d </v>
      </c>
    </row>
    <row r="3125">
      <c r="A3125" s="1" t="s">
        <v>3126</v>
      </c>
      <c r="B3125" s="1" t="s">
        <v>5</v>
      </c>
      <c r="C3125" s="2">
        <f>IFERROR(__xludf.DUMMYFUNCTION("IFERROR(VLOOKUP(A3125, IMPORTRANGE(""https://docs.google.com/spreadsheets/d/1AVX9GT0dgogEBStecCXMMQ29tWz3gBrtNB8yIromXbY/edit?gid=741673867"", ""out1g!A:B""), 2, FALSE), 0)"),92.0)</f>
        <v>92</v>
      </c>
      <c r="D3125" s="2" t="str">
        <f>IFERROR(__xludf.DUMMYFUNCTION("IFERROR(VLOOKUP(A3125, IMPORTRANGE(""https://docs.google.com/spreadsheets/d/1-3Vjw2Cyy-mry5gbC8ypIR3YVGFfEpyFESummAta6sg/edit"", ""Sheet1!B:D""), 2, FALSE), ""Not Found"")"),"saɪnaɪd")</f>
        <v>saɪnaɪd</v>
      </c>
      <c r="E3125" s="2" t="str">
        <f>IFERROR(__xludf.DUMMYFUNCTION("IFERROR(VLOOKUP(A3125, IMPORTRANGE(""https://docs.google.com/spreadsheets/d/1-3Vjw2Cyy-mry5gbC8ypIR3YVGFfEpyFESummAta6sg/edit"", ""Sheet1!B:D""), 3, FALSE), ""Not Found"")"),"s a ɪ n a ɪ d ")</f>
        <v>s a ɪ n a ɪ d </v>
      </c>
    </row>
    <row r="3126">
      <c r="A3126" s="1" t="s">
        <v>3127</v>
      </c>
      <c r="B3126" s="1" t="s">
        <v>5</v>
      </c>
      <c r="C3126" s="2">
        <f>IFERROR(__xludf.DUMMYFUNCTION("IFERROR(VLOOKUP(A3126, IMPORTRANGE(""https://docs.google.com/spreadsheets/d/1AVX9GT0dgogEBStecCXMMQ29tWz3gBrtNB8yIromXbY/edit?gid=741673867"", ""out1g!A:B""), 2, FALSE), 0)"),825.0)</f>
        <v>825</v>
      </c>
      <c r="D3126" s="2" t="str">
        <f>IFERROR(__xludf.DUMMYFUNCTION("IFERROR(VLOOKUP(A3126, IMPORTRANGE(""https://docs.google.com/spreadsheets/d/1-3Vjw2Cyy-mry5gbC8ypIR3YVGFfEpyFESummAta6sg/edit"", ""Sheet1!B:D""), 2, FALSE), ""Not Found"")"),"blæst")</f>
        <v>blæst</v>
      </c>
      <c r="E3126" s="2" t="str">
        <f>IFERROR(__xludf.DUMMYFUNCTION("IFERROR(VLOOKUP(A3126, IMPORTRANGE(""https://docs.google.com/spreadsheets/d/1-3Vjw2Cyy-mry5gbC8ypIR3YVGFfEpyFESummAta6sg/edit"", ""Sheet1!B:D""), 3, FALSE), ""Not Found"")"),"b l æ s t ")</f>
        <v>b l æ s t </v>
      </c>
    </row>
    <row r="3127">
      <c r="A3127" s="1" t="s">
        <v>3128</v>
      </c>
      <c r="B3127" s="1" t="s">
        <v>5</v>
      </c>
      <c r="C3127" s="2">
        <f>IFERROR(__xludf.DUMMYFUNCTION("IFERROR(VLOOKUP(A3127, IMPORTRANGE(""https://docs.google.com/spreadsheets/d/1AVX9GT0dgogEBStecCXMMQ29tWz3gBrtNB8yIromXbY/edit?gid=741673867"", ""out1g!A:B""), 2, FALSE), 0)"),133.0)</f>
        <v>133</v>
      </c>
      <c r="D3127" s="2" t="str">
        <f>IFERROR(__xludf.DUMMYFUNCTION("IFERROR(VLOOKUP(A3127, IMPORTRANGE(""https://docs.google.com/spreadsheets/d/1-3Vjw2Cyy-mry5gbC8ypIR3YVGFfEpyFESummAta6sg/edit"", ""Sheet1!B:D""), 2, FALSE), ""Not Found"")"),"hut")</f>
        <v>hut</v>
      </c>
      <c r="E3127" s="2" t="str">
        <f>IFERROR(__xludf.DUMMYFUNCTION("IFERROR(VLOOKUP(A3127, IMPORTRANGE(""https://docs.google.com/spreadsheets/d/1-3Vjw2Cyy-mry5gbC8ypIR3YVGFfEpyFESummAta6sg/edit"", ""Sheet1!B:D""), 3, FALSE), ""Not Found"")"),"h u t ")</f>
        <v>h u t </v>
      </c>
    </row>
    <row r="3128">
      <c r="A3128" s="1" t="s">
        <v>3129</v>
      </c>
      <c r="B3128" s="1" t="s">
        <v>5</v>
      </c>
      <c r="C3128" s="2">
        <f>IFERROR(__xludf.DUMMYFUNCTION("IFERROR(VLOOKUP(A3128, IMPORTRANGE(""https://docs.google.com/spreadsheets/d/1AVX9GT0dgogEBStecCXMMQ29tWz3gBrtNB8yIromXbY/edit?gid=741673867"", ""out1g!A:B""), 2, FALSE), 0)"),2599.0)</f>
        <v>2599</v>
      </c>
      <c r="D3128" s="2" t="str">
        <f>IFERROR(__xludf.DUMMYFUNCTION("IFERROR(VLOOKUP(A3128, IMPORTRANGE(""https://docs.google.com/spreadsheets/d/1-3Vjw2Cyy-mry5gbC8ypIR3YVGFfEpyFESummAta6sg/edit"", ""Sheet1!B:D""), 2, FALSE), ""Not Found"")"),"duti")</f>
        <v>duti</v>
      </c>
      <c r="E3128" s="2" t="str">
        <f>IFERROR(__xludf.DUMMYFUNCTION("IFERROR(VLOOKUP(A3128, IMPORTRANGE(""https://docs.google.com/spreadsheets/d/1-3Vjw2Cyy-mry5gbC8ypIR3YVGFfEpyFESummAta6sg/edit"", ""Sheet1!B:D""), 3, FALSE), ""Not Found"")"),"d u t i ")</f>
        <v>d u t i </v>
      </c>
    </row>
    <row r="3129">
      <c r="A3129" s="1" t="s">
        <v>3130</v>
      </c>
      <c r="B3129" s="1" t="s">
        <v>5</v>
      </c>
      <c r="C3129" s="2">
        <f>IFERROR(__xludf.DUMMYFUNCTION("IFERROR(VLOOKUP(A3129, IMPORTRANGE(""https://docs.google.com/spreadsheets/d/1AVX9GT0dgogEBStecCXMMQ29tWz3gBrtNB8yIromXbY/edit?gid=741673867"", ""out1g!A:B""), 2, FALSE), 0)"),198.0)</f>
        <v>198</v>
      </c>
      <c r="D3129" s="2" t="str">
        <f>IFERROR(__xludf.DUMMYFUNCTION("IFERROR(VLOOKUP(A3129, IMPORTRANGE(""https://docs.google.com/spreadsheets/d/1-3Vjw2Cyy-mry5gbC8ypIR3YVGFfEpyFESummAta6sg/edit"", ""Sheet1!B:D""), 2, FALSE), ""Not Found"")"),"læŋ")</f>
        <v>læŋ</v>
      </c>
      <c r="E3129" s="2" t="str">
        <f>IFERROR(__xludf.DUMMYFUNCTION("IFERROR(VLOOKUP(A3129, IMPORTRANGE(""https://docs.google.com/spreadsheets/d/1-3Vjw2Cyy-mry5gbC8ypIR3YVGFfEpyFESummAta6sg/edit"", ""Sheet1!B:D""), 3, FALSE), ""Not Found"")"),"l æ ŋ ")</f>
        <v>l æ ŋ </v>
      </c>
    </row>
    <row r="3130">
      <c r="A3130" s="1" t="s">
        <v>3131</v>
      </c>
      <c r="B3130" s="1" t="s">
        <v>5</v>
      </c>
      <c r="C3130" s="2">
        <f>IFERROR(__xludf.DUMMYFUNCTION("IFERROR(VLOOKUP(A3130, IMPORTRANGE(""https://docs.google.com/spreadsheets/d/1AVX9GT0dgogEBStecCXMMQ29tWz3gBrtNB8yIromXbY/edit?gid=741673867"", ""out1g!A:B""), 2, FALSE), 0)"),230.0)</f>
        <v>230</v>
      </c>
      <c r="D3130" s="2" t="str">
        <f>IFERROR(__xludf.DUMMYFUNCTION("IFERROR(VLOOKUP(A3130, IMPORTRANGE(""https://docs.google.com/spreadsheets/d/1-3Vjw2Cyy-mry5gbC8ypIR3YVGFfEpyFESummAta6sg/edit"", ""Sheet1!B:D""), 2, FALSE), ""Not Found"")"),"bust")</f>
        <v>bust</v>
      </c>
      <c r="E3130" s="2" t="str">
        <f>IFERROR(__xludf.DUMMYFUNCTION("IFERROR(VLOOKUP(A3130, IMPORTRANGE(""https://docs.google.com/spreadsheets/d/1-3Vjw2Cyy-mry5gbC8ypIR3YVGFfEpyFESummAta6sg/edit"", ""Sheet1!B:D""), 3, FALSE), ""Not Found"")"),"b u s t ")</f>
        <v>b u s t </v>
      </c>
    </row>
    <row r="3131">
      <c r="A3131" s="1" t="s">
        <v>3132</v>
      </c>
      <c r="B3131" s="1" t="s">
        <v>5</v>
      </c>
      <c r="C3131" s="2">
        <f>IFERROR(__xludf.DUMMYFUNCTION("IFERROR(VLOOKUP(A3131, IMPORTRANGE(""https://docs.google.com/spreadsheets/d/1AVX9GT0dgogEBStecCXMMQ29tWz3gBrtNB8yIromXbY/edit?gid=741673867"", ""out1g!A:B""), 2, FALSE), 0)"),52.0)</f>
        <v>52</v>
      </c>
      <c r="D3131" s="2" t="str">
        <f>IFERROR(__xludf.DUMMYFUNCTION("IFERROR(VLOOKUP(A3131, IMPORTRANGE(""https://docs.google.com/spreadsheets/d/1-3Vjw2Cyy-mry5gbC8ypIR3YVGFfEpyFESummAta6sg/edit"", ""Sheet1!B:D""), 2, FALSE), ""Not Found"")"),"flɛʧ")</f>
        <v>flɛʧ</v>
      </c>
      <c r="E3131" s="2" t="str">
        <f>IFERROR(__xludf.DUMMYFUNCTION("IFERROR(VLOOKUP(A3131, IMPORTRANGE(""https://docs.google.com/spreadsheets/d/1-3Vjw2Cyy-mry5gbC8ypIR3YVGFfEpyFESummAta6sg/edit"", ""Sheet1!B:D""), 3, FALSE), ""Not Found"")"),"f l ɛ ʧ ")</f>
        <v>f l ɛ ʧ </v>
      </c>
    </row>
    <row r="3132">
      <c r="A3132" s="1" t="s">
        <v>3133</v>
      </c>
      <c r="B3132" s="1" t="s">
        <v>5</v>
      </c>
      <c r="C3132" s="2">
        <f>IFERROR(__xludf.DUMMYFUNCTION("IFERROR(VLOOKUP(A3132, IMPORTRANGE(""https://docs.google.com/spreadsheets/d/1AVX9GT0dgogEBStecCXMMQ29tWz3gBrtNB8yIromXbY/edit?gid=741673867"", ""out1g!A:B""), 2, FALSE), 0)"),115.0)</f>
        <v>115</v>
      </c>
      <c r="D3132" s="2" t="str">
        <f>IFERROR(__xludf.DUMMYFUNCTION("IFERROR(VLOOKUP(A3132, IMPORTRANGE(""https://docs.google.com/spreadsheets/d/1-3Vjw2Cyy-mry5gbC8ypIR3YVGFfEpyFESummAta6sg/edit"", ""Sheet1!B:D""), 2, FALSE), ""Not Found"")"),"təren")</f>
        <v>təren</v>
      </c>
      <c r="E3132" s="2" t="str">
        <f>IFERROR(__xludf.DUMMYFUNCTION("IFERROR(VLOOKUP(A3132, IMPORTRANGE(""https://docs.google.com/spreadsheets/d/1-3Vjw2Cyy-mry5gbC8ypIR3YVGFfEpyFESummAta6sg/edit"", ""Sheet1!B:D""), 3, FALSE), ""Not Found"")"),"t ə r e n ")</f>
        <v>t ə r e n </v>
      </c>
    </row>
    <row r="3133">
      <c r="A3133" s="1" t="s">
        <v>3134</v>
      </c>
      <c r="B3133" s="1" t="s">
        <v>5</v>
      </c>
      <c r="C3133" s="2">
        <f>IFERROR(__xludf.DUMMYFUNCTION("IFERROR(VLOOKUP(A3133, IMPORTRANGE(""https://docs.google.com/spreadsheets/d/1AVX9GT0dgogEBStecCXMMQ29tWz3gBrtNB8yIromXbY/edit?gid=741673867"", ""out1g!A:B""), 2, FALSE), 0)"),135.0)</f>
        <v>135</v>
      </c>
      <c r="D3133" s="2" t="str">
        <f>IFERROR(__xludf.DUMMYFUNCTION("IFERROR(VLOOKUP(A3133, IMPORTRANGE(""https://docs.google.com/spreadsheets/d/1-3Vjw2Cyy-mry5gbC8ypIR3YVGFfEpyFESummAta6sg/edit"", ""Sheet1!B:D""), 2, FALSE), ""Not Found"")"),"poʊlər")</f>
        <v>poʊlər</v>
      </c>
      <c r="E3133" s="2" t="str">
        <f>IFERROR(__xludf.DUMMYFUNCTION("IFERROR(VLOOKUP(A3133, IMPORTRANGE(""https://docs.google.com/spreadsheets/d/1-3Vjw2Cyy-mry5gbC8ypIR3YVGFfEpyFESummAta6sg/edit"", ""Sheet1!B:D""), 3, FALSE), ""Not Found"")"),"p o ʊ l ə r ")</f>
        <v>p o ʊ l ə r </v>
      </c>
    </row>
    <row r="3134">
      <c r="A3134" s="1" t="s">
        <v>3135</v>
      </c>
      <c r="B3134" s="1" t="s">
        <v>5</v>
      </c>
      <c r="C3134" s="2">
        <f>IFERROR(__xludf.DUMMYFUNCTION("IFERROR(VLOOKUP(A3134, IMPORTRANGE(""https://docs.google.com/spreadsheets/d/1AVX9GT0dgogEBStecCXMMQ29tWz3gBrtNB8yIromXbY/edit?gid=741673867"", ""out1g!A:B""), 2, FALSE), 0)"),24.0)</f>
        <v>24</v>
      </c>
      <c r="D3134" s="2" t="str">
        <f>IFERROR(__xludf.DUMMYFUNCTION("IFERROR(VLOOKUP(A3134, IMPORTRANGE(""https://docs.google.com/spreadsheets/d/1-3Vjw2Cyy-mry5gbC8ypIR3YVGFfEpyFESummAta6sg/edit"", ""Sheet1!B:D""), 2, FALSE), ""Not Found"")"),"loʊfɪŋ")</f>
        <v>loʊfɪŋ</v>
      </c>
      <c r="E3134" s="2" t="str">
        <f>IFERROR(__xludf.DUMMYFUNCTION("IFERROR(VLOOKUP(A3134, IMPORTRANGE(""https://docs.google.com/spreadsheets/d/1-3Vjw2Cyy-mry5gbC8ypIR3YVGFfEpyFESummAta6sg/edit"", ""Sheet1!B:D""), 3, FALSE), ""Not Found"")"),"l o ʊ f ɪ ŋ ")</f>
        <v>l o ʊ f ɪ ŋ </v>
      </c>
    </row>
    <row r="3135">
      <c r="A3135" s="1" t="s">
        <v>3136</v>
      </c>
      <c r="B3135" s="1" t="s">
        <v>5</v>
      </c>
      <c r="C3135" s="2">
        <f>IFERROR(__xludf.DUMMYFUNCTION("IFERROR(VLOOKUP(A3135, IMPORTRANGE(""https://docs.google.com/spreadsheets/d/1AVX9GT0dgogEBStecCXMMQ29tWz3gBrtNB8yIromXbY/edit?gid=741673867"", ""out1g!A:B""), 2, FALSE), 0)"),81.0)</f>
        <v>81</v>
      </c>
      <c r="D3135" s="2" t="str">
        <f>IFERROR(__xludf.DUMMYFUNCTION("IFERROR(VLOOKUP(A3135, IMPORTRANGE(""https://docs.google.com/spreadsheets/d/1-3Vjw2Cyy-mry5gbC8ypIR3YVGFfEpyFESummAta6sg/edit"", ""Sheet1!B:D""), 2, FALSE), ""Not Found"")"),"blumɪŋ")</f>
        <v>blumɪŋ</v>
      </c>
      <c r="E3135" s="2" t="str">
        <f>IFERROR(__xludf.DUMMYFUNCTION("IFERROR(VLOOKUP(A3135, IMPORTRANGE(""https://docs.google.com/spreadsheets/d/1-3Vjw2Cyy-mry5gbC8ypIR3YVGFfEpyFESummAta6sg/edit"", ""Sheet1!B:D""), 3, FALSE), ""Not Found"")"),"b l u m ɪ ŋ ")</f>
        <v>b l u m ɪ ŋ </v>
      </c>
    </row>
    <row r="3136">
      <c r="A3136" s="1" t="s">
        <v>3137</v>
      </c>
      <c r="B3136" s="1" t="s">
        <v>5</v>
      </c>
      <c r="C3136" s="2">
        <f>IFERROR(__xludf.DUMMYFUNCTION("IFERROR(VLOOKUP(A3136, IMPORTRANGE(""https://docs.google.com/spreadsheets/d/1AVX9GT0dgogEBStecCXMMQ29tWz3gBrtNB8yIromXbY/edit?gid=741673867"", ""out1g!A:B""), 2, FALSE), 0)"),52.0)</f>
        <v>52</v>
      </c>
      <c r="D3136" s="2" t="str">
        <f>IFERROR(__xludf.DUMMYFUNCTION("IFERROR(VLOOKUP(A3136, IMPORTRANGE(""https://docs.google.com/spreadsheets/d/1-3Vjw2Cyy-mry5gbC8ypIR3YVGFfEpyFESummAta6sg/edit"", ""Sheet1!B:D""), 2, FALSE), ""Not Found"")"),"krəd")</f>
        <v>krəd</v>
      </c>
      <c r="E3136" s="2" t="str">
        <f>IFERROR(__xludf.DUMMYFUNCTION("IFERROR(VLOOKUP(A3136, IMPORTRANGE(""https://docs.google.com/spreadsheets/d/1-3Vjw2Cyy-mry5gbC8ypIR3YVGFfEpyFESummAta6sg/edit"", ""Sheet1!B:D""), 3, FALSE), ""Not Found"")"),"k r ə d ")</f>
        <v>k r ə d </v>
      </c>
    </row>
    <row r="3137">
      <c r="A3137" s="1" t="s">
        <v>3138</v>
      </c>
      <c r="B3137" s="1" t="s">
        <v>5</v>
      </c>
      <c r="C3137" s="2">
        <f>IFERROR(__xludf.DUMMYFUNCTION("IFERROR(VLOOKUP(A3137, IMPORTRANGE(""https://docs.google.com/spreadsheets/d/1AVX9GT0dgogEBStecCXMMQ29tWz3gBrtNB8yIromXbY/edit?gid=741673867"", ""out1g!A:B""), 2, FALSE), 0)"),325.0)</f>
        <v>325</v>
      </c>
      <c r="D3137" s="2" t="str">
        <f>IFERROR(__xludf.DUMMYFUNCTION("IFERROR(VLOOKUP(A3137, IMPORTRANGE(""https://docs.google.com/spreadsheets/d/1-3Vjw2Cyy-mry5gbC8ypIR3YVGFfEpyFESummAta6sg/edit"", ""Sheet1!B:D""), 2, FALSE), ""Not Found"")"),"ruts")</f>
        <v>ruts</v>
      </c>
      <c r="E3137" s="2" t="str">
        <f>IFERROR(__xludf.DUMMYFUNCTION("IFERROR(VLOOKUP(A3137, IMPORTRANGE(""https://docs.google.com/spreadsheets/d/1-3Vjw2Cyy-mry5gbC8ypIR3YVGFfEpyFESummAta6sg/edit"", ""Sheet1!B:D""), 3, FALSE), ""Not Found"")"),"r u t s ")</f>
        <v>r u t s </v>
      </c>
    </row>
    <row r="3138">
      <c r="A3138" s="1" t="s">
        <v>3139</v>
      </c>
      <c r="B3138" s="1" t="s">
        <v>5</v>
      </c>
      <c r="C3138" s="2">
        <f>IFERROR(__xludf.DUMMYFUNCTION("IFERROR(VLOOKUP(A3138, IMPORTRANGE(""https://docs.google.com/spreadsheets/d/1AVX9GT0dgogEBStecCXMMQ29tWz3gBrtNB8yIromXbY/edit?gid=741673867"", ""out1g!A:B""), 2, FALSE), 0)"),253.0)</f>
        <v>253</v>
      </c>
      <c r="D3138" s="2" t="str">
        <f>IFERROR(__xludf.DUMMYFUNCTION("IFERROR(VLOOKUP(A3138, IMPORTRANGE(""https://docs.google.com/spreadsheets/d/1-3Vjw2Cyy-mry5gbC8ypIR3YVGFfEpyFESummAta6sg/edit"", ""Sheet1!B:D""), 2, FALSE), ""Not Found"")"),"rənər")</f>
        <v>rənər</v>
      </c>
      <c r="E3138" s="2" t="str">
        <f>IFERROR(__xludf.DUMMYFUNCTION("IFERROR(VLOOKUP(A3138, IMPORTRANGE(""https://docs.google.com/spreadsheets/d/1-3Vjw2Cyy-mry5gbC8ypIR3YVGFfEpyFESummAta6sg/edit"", ""Sheet1!B:D""), 3, FALSE), ""Not Found"")"),"r ə n ə r ")</f>
        <v>r ə n ə r </v>
      </c>
    </row>
    <row r="3139">
      <c r="A3139" s="1" t="s">
        <v>3140</v>
      </c>
      <c r="B3139" s="1" t="s">
        <v>5</v>
      </c>
      <c r="C3139" s="2">
        <f>IFERROR(__xludf.DUMMYFUNCTION("IFERROR(VLOOKUP(A3139, IMPORTRANGE(""https://docs.google.com/spreadsheets/d/1AVX9GT0dgogEBStecCXMMQ29tWz3gBrtNB8yIromXbY/edit?gid=741673867"", ""out1g!A:B""), 2, FALSE), 0)"),137.0)</f>
        <v>137</v>
      </c>
      <c r="D3139" s="2" t="str">
        <f>IFERROR(__xludf.DUMMYFUNCTION("IFERROR(VLOOKUP(A3139, IMPORTRANGE(""https://docs.google.com/spreadsheets/d/1-3Vjw2Cyy-mry5gbC8ypIR3YVGFfEpyFESummAta6sg/edit"", ""Sheet1!B:D""), 2, FALSE), ""Not Found"")"),"lɛsər")</f>
        <v>lɛsər</v>
      </c>
      <c r="E3139" s="2" t="str">
        <f>IFERROR(__xludf.DUMMYFUNCTION("IFERROR(VLOOKUP(A3139, IMPORTRANGE(""https://docs.google.com/spreadsheets/d/1-3Vjw2Cyy-mry5gbC8ypIR3YVGFfEpyFESummAta6sg/edit"", ""Sheet1!B:D""), 3, FALSE), ""Not Found"")"),"l ɛ s ə r ")</f>
        <v>l ɛ s ə r </v>
      </c>
    </row>
    <row r="3140">
      <c r="A3140" s="1" t="s">
        <v>3141</v>
      </c>
      <c r="B3140" s="1" t="s">
        <v>5</v>
      </c>
      <c r="C3140" s="2">
        <f>IFERROR(__xludf.DUMMYFUNCTION("IFERROR(VLOOKUP(A3140, IMPORTRANGE(""https://docs.google.com/spreadsheets/d/1AVX9GT0dgogEBStecCXMMQ29tWz3gBrtNB8yIromXbY/edit?gid=741673867"", ""out1g!A:B""), 2, FALSE), 0)"),162.0)</f>
        <v>162</v>
      </c>
      <c r="D3140" s="2" t="str">
        <f>IFERROR(__xludf.DUMMYFUNCTION("IFERROR(VLOOKUP(A3140, IMPORTRANGE(""https://docs.google.com/spreadsheets/d/1-3Vjw2Cyy-mry5gbC8ypIR3YVGFfEpyFESummAta6sg/edit"", ""Sheet1!B:D""), 2, FALSE), ""Not Found"")"),"huvər")</f>
        <v>huvər</v>
      </c>
      <c r="E3140" s="2" t="str">
        <f>IFERROR(__xludf.DUMMYFUNCTION("IFERROR(VLOOKUP(A3140, IMPORTRANGE(""https://docs.google.com/spreadsheets/d/1-3Vjw2Cyy-mry5gbC8ypIR3YVGFfEpyFESummAta6sg/edit"", ""Sheet1!B:D""), 3, FALSE), ""Not Found"")"),"h u v ə r ")</f>
        <v>h u v ə r </v>
      </c>
    </row>
    <row r="3141">
      <c r="A3141" s="1" t="s">
        <v>3142</v>
      </c>
      <c r="B3141" s="1" t="s">
        <v>5</v>
      </c>
      <c r="C3141" s="2">
        <f>IFERROR(__xludf.DUMMYFUNCTION("IFERROR(VLOOKUP(A3141, IMPORTRANGE(""https://docs.google.com/spreadsheets/d/1AVX9GT0dgogEBStecCXMMQ29tWz3gBrtNB8yIromXbY/edit?gid=741673867"", ""out1g!A:B""), 2, FALSE), 0)"),362.0)</f>
        <v>362</v>
      </c>
      <c r="D3141" s="2" t="str">
        <f>IFERROR(__xludf.DUMMYFUNCTION("IFERROR(VLOOKUP(A3141, IMPORTRANGE(""https://docs.google.com/spreadsheets/d/1-3Vjw2Cyy-mry5gbC8ypIR3YVGFfEpyFESummAta6sg/edit"", ""Sheet1!B:D""), 2, FALSE), ""Not Found"")"),"kaɪ")</f>
        <v>kaɪ</v>
      </c>
      <c r="E3141" s="2" t="str">
        <f>IFERROR(__xludf.DUMMYFUNCTION("IFERROR(VLOOKUP(A3141, IMPORTRANGE(""https://docs.google.com/spreadsheets/d/1-3Vjw2Cyy-mry5gbC8ypIR3YVGFfEpyFESummAta6sg/edit"", ""Sheet1!B:D""), 3, FALSE), ""Not Found"")"),"k a ɪ ")</f>
        <v>k a ɪ </v>
      </c>
    </row>
    <row r="3142">
      <c r="A3142" s="1" t="s">
        <v>3143</v>
      </c>
      <c r="B3142" s="1" t="s">
        <v>5</v>
      </c>
      <c r="C3142" s="2">
        <f>IFERROR(__xludf.DUMMYFUNCTION("IFERROR(VLOOKUP(A3142, IMPORTRANGE(""https://docs.google.com/spreadsheets/d/1AVX9GT0dgogEBStecCXMMQ29tWz3gBrtNB8yIromXbY/edit?gid=741673867"", ""out1g!A:B""), 2, FALSE), 0)"),32.0)</f>
        <v>32</v>
      </c>
      <c r="D3142" s="2" t="str">
        <f>IFERROR(__xludf.DUMMYFUNCTION("IFERROR(VLOOKUP(A3142, IMPORTRANGE(""https://docs.google.com/spreadsheets/d/1-3Vjw2Cyy-mry5gbC8ypIR3YVGFfEpyFESummAta6sg/edit"", ""Sheet1!B:D""), 2, FALSE), ""Not Found"")"),"dəfər")</f>
        <v>dəfər</v>
      </c>
      <c r="E3142" s="2" t="str">
        <f>IFERROR(__xludf.DUMMYFUNCTION("IFERROR(VLOOKUP(A3142, IMPORTRANGE(""https://docs.google.com/spreadsheets/d/1-3Vjw2Cyy-mry5gbC8ypIR3YVGFfEpyFESummAta6sg/edit"", ""Sheet1!B:D""), 3, FALSE), ""Not Found"")"),"d ə f ə r ")</f>
        <v>d ə f ə r </v>
      </c>
    </row>
    <row r="3143">
      <c r="A3143" s="1" t="s">
        <v>3144</v>
      </c>
      <c r="B3143" s="1" t="s">
        <v>5</v>
      </c>
      <c r="C3143" s="2">
        <f>IFERROR(__xludf.DUMMYFUNCTION("IFERROR(VLOOKUP(A3143, IMPORTRANGE(""https://docs.google.com/spreadsheets/d/1AVX9GT0dgogEBStecCXMMQ29tWz3gBrtNB8yIromXbY/edit?gid=741673867"", ""out1g!A:B""), 2, FALSE), 0)"),333.0)</f>
        <v>333</v>
      </c>
      <c r="D3143" s="2" t="str">
        <f>IFERROR(__xludf.DUMMYFUNCTION("IFERROR(VLOOKUP(A3143, IMPORTRANGE(""https://docs.google.com/spreadsheets/d/1-3Vjw2Cyy-mry5gbC8ypIR3YVGFfEpyFESummAta6sg/edit"", ""Sheet1!B:D""), 2, FALSE), ""Not Found"")"),"kɛriz")</f>
        <v>kɛriz</v>
      </c>
      <c r="E3143" s="2" t="str">
        <f>IFERROR(__xludf.DUMMYFUNCTION("IFERROR(VLOOKUP(A3143, IMPORTRANGE(""https://docs.google.com/spreadsheets/d/1-3Vjw2Cyy-mry5gbC8ypIR3YVGFfEpyFESummAta6sg/edit"", ""Sheet1!B:D""), 3, FALSE), ""Not Found"")"),"k ɛ r i z ")</f>
        <v>k ɛ r i z </v>
      </c>
    </row>
    <row r="3144">
      <c r="A3144" s="1" t="s">
        <v>3145</v>
      </c>
      <c r="B3144" s="1" t="s">
        <v>5</v>
      </c>
      <c r="C3144" s="2">
        <f>IFERROR(__xludf.DUMMYFUNCTION("IFERROR(VLOOKUP(A3144, IMPORTRANGE(""https://docs.google.com/spreadsheets/d/1AVX9GT0dgogEBStecCXMMQ29tWz3gBrtNB8yIromXbY/edit?gid=741673867"", ""out1g!A:B""), 2, FALSE), 0)"),801.0)</f>
        <v>801</v>
      </c>
      <c r="D3144" s="2" t="str">
        <f>IFERROR(__xludf.DUMMYFUNCTION("IFERROR(VLOOKUP(A3144, IMPORTRANGE(""https://docs.google.com/spreadsheets/d/1-3Vjw2Cyy-mry5gbC8ypIR3YVGFfEpyFESummAta6sg/edit"", ""Sheet1!B:D""), 2, FALSE), ""Not Found"")"),"ɛmə")</f>
        <v>ɛmə</v>
      </c>
      <c r="E3144" s="2" t="str">
        <f>IFERROR(__xludf.DUMMYFUNCTION("IFERROR(VLOOKUP(A3144, IMPORTRANGE(""https://docs.google.com/spreadsheets/d/1-3Vjw2Cyy-mry5gbC8ypIR3YVGFfEpyFESummAta6sg/edit"", ""Sheet1!B:D""), 3, FALSE), ""Not Found"")"),"ɛ m ə ")</f>
        <v>ɛ m ə </v>
      </c>
    </row>
    <row r="3145">
      <c r="A3145" s="1" t="s">
        <v>3146</v>
      </c>
      <c r="B3145" s="1" t="s">
        <v>5</v>
      </c>
      <c r="C3145" s="2">
        <f>IFERROR(__xludf.DUMMYFUNCTION("IFERROR(VLOOKUP(A3145, IMPORTRANGE(""https://docs.google.com/spreadsheets/d/1AVX9GT0dgogEBStecCXMMQ29tWz3gBrtNB8yIromXbY/edit?gid=741673867"", ""out1g!A:B""), 2, FALSE), 0)"),79.0)</f>
        <v>79</v>
      </c>
      <c r="D3145" s="2" t="str">
        <f>IFERROR(__xludf.DUMMYFUNCTION("IFERROR(VLOOKUP(A3145, IMPORTRANGE(""https://docs.google.com/spreadsheets/d/1-3Vjw2Cyy-mry5gbC8ypIR3YVGFfEpyFESummAta6sg/edit"", ""Sheet1!B:D""), 2, FALSE), ""Not Found"")"),"spæt")</f>
        <v>spæt</v>
      </c>
      <c r="E3145" s="2" t="str">
        <f>IFERROR(__xludf.DUMMYFUNCTION("IFERROR(VLOOKUP(A3145, IMPORTRANGE(""https://docs.google.com/spreadsheets/d/1-3Vjw2Cyy-mry5gbC8ypIR3YVGFfEpyFESummAta6sg/edit"", ""Sheet1!B:D""), 3, FALSE), ""Not Found"")"),"s p æ t ")</f>
        <v>s p æ t </v>
      </c>
    </row>
    <row r="3146">
      <c r="A3146" s="1" t="s">
        <v>3147</v>
      </c>
      <c r="B3146" s="1" t="s">
        <v>5</v>
      </c>
      <c r="C3146" s="2">
        <f>IFERROR(__xludf.DUMMYFUNCTION("IFERROR(VLOOKUP(A3146, IMPORTRANGE(""https://docs.google.com/spreadsheets/d/1AVX9GT0dgogEBStecCXMMQ29tWz3gBrtNB8yIromXbY/edit?gid=741673867"", ""out1g!A:B""), 2, FALSE), 0)"),834.0)</f>
        <v>834</v>
      </c>
      <c r="D3146" s="2" t="str">
        <f>IFERROR(__xludf.DUMMYFUNCTION("IFERROR(VLOOKUP(A3146, IMPORTRANGE(""https://docs.google.com/spreadsheets/d/1-3Vjw2Cyy-mry5gbC8ypIR3YVGFfEpyFESummAta6sg/edit"", ""Sheet1!B:D""), 2, FALSE), ""Not Found"")"),"mɪks")</f>
        <v>mɪks</v>
      </c>
      <c r="E3146" s="2" t="str">
        <f>IFERROR(__xludf.DUMMYFUNCTION("IFERROR(VLOOKUP(A3146, IMPORTRANGE(""https://docs.google.com/spreadsheets/d/1-3Vjw2Cyy-mry5gbC8ypIR3YVGFfEpyFESummAta6sg/edit"", ""Sheet1!B:D""), 3, FALSE), ""Not Found"")"),"m ɪ k s ")</f>
        <v>m ɪ k s </v>
      </c>
    </row>
    <row r="3147">
      <c r="A3147" s="1" t="s">
        <v>3148</v>
      </c>
      <c r="B3147" s="1" t="s">
        <v>5</v>
      </c>
      <c r="C3147" s="2">
        <f>IFERROR(__xludf.DUMMYFUNCTION("IFERROR(VLOOKUP(A3147, IMPORTRANGE(""https://docs.google.com/spreadsheets/d/1AVX9GT0dgogEBStecCXMMQ29tWz3gBrtNB8yIromXbY/edit?gid=741673867"", ""out1g!A:B""), 2, FALSE), 0)"),758.0)</f>
        <v>758</v>
      </c>
      <c r="D3147" s="2" t="str">
        <f>IFERROR(__xludf.DUMMYFUNCTION("IFERROR(VLOOKUP(A3147, IMPORTRANGE(""https://docs.google.com/spreadsheets/d/1-3Vjw2Cyy-mry5gbC8ypIR3YVGFfEpyFESummAta6sg/edit"", ""Sheet1!B:D""), 2, FALSE), ""Not Found"")"),"em")</f>
        <v>em</v>
      </c>
      <c r="E3147" s="2" t="str">
        <f>IFERROR(__xludf.DUMMYFUNCTION("IFERROR(VLOOKUP(A3147, IMPORTRANGE(""https://docs.google.com/spreadsheets/d/1-3Vjw2Cyy-mry5gbC8ypIR3YVGFfEpyFESummAta6sg/edit"", ""Sheet1!B:D""), 3, FALSE), ""Not Found"")"),"e m ")</f>
        <v>e m </v>
      </c>
    </row>
    <row r="3148">
      <c r="A3148" s="1" t="s">
        <v>3149</v>
      </c>
      <c r="B3148" s="1" t="s">
        <v>5</v>
      </c>
      <c r="C3148" s="2">
        <f>IFERROR(__xludf.DUMMYFUNCTION("IFERROR(VLOOKUP(A3148, IMPORTRANGE(""https://docs.google.com/spreadsheets/d/1AVX9GT0dgogEBStecCXMMQ29tWz3gBrtNB8yIromXbY/edit?gid=741673867"", ""out1g!A:B""), 2, FALSE), 0)"),712.0)</f>
        <v>712</v>
      </c>
      <c r="D3148" s="2" t="str">
        <f>IFERROR(__xludf.DUMMYFUNCTION("IFERROR(VLOOKUP(A3148, IMPORTRANGE(""https://docs.google.com/spreadsheets/d/1-3Vjw2Cyy-mry5gbC8ypIR3YVGFfEpyFESummAta6sg/edit"", ""Sheet1!B:D""), 2, FALSE), ""Not Found"")"),"brænd")</f>
        <v>brænd</v>
      </c>
      <c r="E3148" s="2" t="str">
        <f>IFERROR(__xludf.DUMMYFUNCTION("IFERROR(VLOOKUP(A3148, IMPORTRANGE(""https://docs.google.com/spreadsheets/d/1-3Vjw2Cyy-mry5gbC8ypIR3YVGFfEpyFESummAta6sg/edit"", ""Sheet1!B:D""), 3, FALSE), ""Not Found"")"),"b r æ n d ")</f>
        <v>b r æ n d </v>
      </c>
    </row>
    <row r="3149">
      <c r="A3149" s="1" t="s">
        <v>3150</v>
      </c>
      <c r="B3149" s="1" t="s">
        <v>5</v>
      </c>
      <c r="C3149" s="2">
        <f>IFERROR(__xludf.DUMMYFUNCTION("IFERROR(VLOOKUP(A3149, IMPORTRANGE(""https://docs.google.com/spreadsheets/d/1AVX9GT0dgogEBStecCXMMQ29tWz3gBrtNB8yIromXbY/edit?gid=741673867"", ""out1g!A:B""), 2, FALSE), 0)"),5132.0)</f>
        <v>5132</v>
      </c>
      <c r="D3149" s="2" t="str">
        <f>IFERROR(__xludf.DUMMYFUNCTION("IFERROR(VLOOKUP(A3149, IMPORTRANGE(""https://docs.google.com/spreadsheets/d/1-3Vjw2Cyy-mry5gbC8ypIR3YVGFfEpyFESummAta6sg/edit"", ""Sheet1!B:D""), 2, FALSE), ""Not Found"")"),"flɔr")</f>
        <v>flɔr</v>
      </c>
      <c r="E3149" s="2" t="str">
        <f>IFERROR(__xludf.DUMMYFUNCTION("IFERROR(VLOOKUP(A3149, IMPORTRANGE(""https://docs.google.com/spreadsheets/d/1-3Vjw2Cyy-mry5gbC8ypIR3YVGFfEpyFESummAta6sg/edit"", ""Sheet1!B:D""), 3, FALSE), ""Not Found"")"),"f l ɔ r ")</f>
        <v>f l ɔ r </v>
      </c>
    </row>
    <row r="3150">
      <c r="A3150" s="1" t="s">
        <v>3151</v>
      </c>
      <c r="B3150" s="1" t="s">
        <v>5</v>
      </c>
      <c r="C3150" s="2">
        <f>IFERROR(__xludf.DUMMYFUNCTION("IFERROR(VLOOKUP(A3150, IMPORTRANGE(""https://docs.google.com/spreadsheets/d/1AVX9GT0dgogEBStecCXMMQ29tWz3gBrtNB8yIromXbY/edit?gid=741673867"", ""out1g!A:B""), 2, FALSE), 0)"),2246.0)</f>
        <v>2246</v>
      </c>
      <c r="D3150" s="2" t="str">
        <f>IFERROR(__xludf.DUMMYFUNCTION("IFERROR(VLOOKUP(A3150, IMPORTRANGE(""https://docs.google.com/spreadsheets/d/1-3Vjw2Cyy-mry5gbC8ypIR3YVGFfEpyFESummAta6sg/edit"", ""Sheet1!B:D""), 2, FALSE), ""Not Found"")"),"skɪn")</f>
        <v>skɪn</v>
      </c>
      <c r="E3150" s="2" t="str">
        <f>IFERROR(__xludf.DUMMYFUNCTION("IFERROR(VLOOKUP(A3150, IMPORTRANGE(""https://docs.google.com/spreadsheets/d/1-3Vjw2Cyy-mry5gbC8ypIR3YVGFfEpyFESummAta6sg/edit"", ""Sheet1!B:D""), 3, FALSE), ""Not Found"")"),"s k ɪ n ")</f>
        <v>s k ɪ n </v>
      </c>
    </row>
    <row r="3151">
      <c r="A3151" s="1" t="s">
        <v>3152</v>
      </c>
      <c r="B3151" s="1" t="s">
        <v>5</v>
      </c>
      <c r="C3151" s="2">
        <f>IFERROR(__xludf.DUMMYFUNCTION("IFERROR(VLOOKUP(A3151, IMPORTRANGE(""https://docs.google.com/spreadsheets/d/1AVX9GT0dgogEBStecCXMMQ29tWz3gBrtNB8yIromXbY/edit?gid=741673867"", ""out1g!A:B""), 2, FALSE), 0)"),151.0)</f>
        <v>151</v>
      </c>
      <c r="D3151" s="2" t="str">
        <f>IFERROR(__xludf.DUMMYFUNCTION("IFERROR(VLOOKUP(A3151, IMPORTRANGE(""https://docs.google.com/spreadsheets/d/1-3Vjw2Cyy-mry5gbC8ypIR3YVGFfEpyFESummAta6sg/edit"", ""Sheet1!B:D""), 2, FALSE), ""Not Found"")"),"mɛroʊ")</f>
        <v>mɛroʊ</v>
      </c>
      <c r="E3151" s="2" t="str">
        <f>IFERROR(__xludf.DUMMYFUNCTION("IFERROR(VLOOKUP(A3151, IMPORTRANGE(""https://docs.google.com/spreadsheets/d/1-3Vjw2Cyy-mry5gbC8ypIR3YVGFfEpyFESummAta6sg/edit"", ""Sheet1!B:D""), 3, FALSE), ""Not Found"")"),"m ɛ r o ʊ ")</f>
        <v>m ɛ r o ʊ </v>
      </c>
    </row>
    <row r="3152">
      <c r="A3152" s="1" t="s">
        <v>3153</v>
      </c>
      <c r="B3152" s="1" t="s">
        <v>5</v>
      </c>
      <c r="C3152" s="2">
        <f>IFERROR(__xludf.DUMMYFUNCTION("IFERROR(VLOOKUP(A3152, IMPORTRANGE(""https://docs.google.com/spreadsheets/d/1AVX9GT0dgogEBStecCXMMQ29tWz3gBrtNB8yIromXbY/edit?gid=741673867"", ""out1g!A:B""), 2, FALSE), 0)"),207.0)</f>
        <v>207</v>
      </c>
      <c r="D3152" s="2" t="str">
        <f>IFERROR(__xludf.DUMMYFUNCTION("IFERROR(VLOOKUP(A3152, IMPORTRANGE(""https://docs.google.com/spreadsheets/d/1-3Vjw2Cyy-mry5gbC8ypIR3YVGFfEpyFESummAta6sg/edit"", ""Sheet1!B:D""), 2, FALSE), ""Not Found"")"),"pənʧɪŋ")</f>
        <v>pənʧɪŋ</v>
      </c>
      <c r="E3152" s="2" t="str">
        <f>IFERROR(__xludf.DUMMYFUNCTION("IFERROR(VLOOKUP(A3152, IMPORTRANGE(""https://docs.google.com/spreadsheets/d/1-3Vjw2Cyy-mry5gbC8ypIR3YVGFfEpyFESummAta6sg/edit"", ""Sheet1!B:D""), 3, FALSE), ""Not Found"")"),"p ə n ʧ ɪ ŋ ")</f>
        <v>p ə n ʧ ɪ ŋ </v>
      </c>
    </row>
    <row r="3153">
      <c r="A3153" s="1" t="s">
        <v>3154</v>
      </c>
      <c r="B3153" s="1" t="s">
        <v>5</v>
      </c>
      <c r="C3153" s="2">
        <f>IFERROR(__xludf.DUMMYFUNCTION("IFERROR(VLOOKUP(A3153, IMPORTRANGE(""https://docs.google.com/spreadsheets/d/1AVX9GT0dgogEBStecCXMMQ29tWz3gBrtNB8yIromXbY/edit?gid=741673867"", ""out1g!A:B""), 2, FALSE), 0)"),4362.0)</f>
        <v>4362</v>
      </c>
      <c r="D3153" s="2" t="str">
        <f>IFERROR(__xludf.DUMMYFUNCTION("IFERROR(VLOOKUP(A3153, IMPORTRANGE(""https://docs.google.com/spreadsheets/d/1-3Vjw2Cyy-mry5gbC8ypIR3YVGFfEpyFESummAta6sg/edit"", ""Sheet1!B:D""), 2, FALSE), ""Not Found"")"),"bɔt")</f>
        <v>bɔt</v>
      </c>
      <c r="E3153" s="2" t="str">
        <f>IFERROR(__xludf.DUMMYFUNCTION("IFERROR(VLOOKUP(A3153, IMPORTRANGE(""https://docs.google.com/spreadsheets/d/1-3Vjw2Cyy-mry5gbC8ypIR3YVGFfEpyFESummAta6sg/edit"", ""Sheet1!B:D""), 3, FALSE), ""Not Found"")"),"b ɔ t ")</f>
        <v>b ɔ t </v>
      </c>
    </row>
    <row r="3154">
      <c r="A3154" s="1" t="s">
        <v>3155</v>
      </c>
      <c r="B3154" s="1" t="s">
        <v>5</v>
      </c>
      <c r="C3154" s="2">
        <f>IFERROR(__xludf.DUMMYFUNCTION("IFERROR(VLOOKUP(A3154, IMPORTRANGE(""https://docs.google.com/spreadsheets/d/1AVX9GT0dgogEBStecCXMMQ29tWz3gBrtNB8yIromXbY/edit?gid=741673867"", ""out1g!A:B""), 2, FALSE), 0)"),35846.0)</f>
        <v>35846</v>
      </c>
      <c r="D3154" s="2" t="str">
        <f>IFERROR(__xludf.DUMMYFUNCTION("IFERROR(VLOOKUP(A3154, IMPORTRANGE(""https://docs.google.com/spreadsheets/d/1-3Vjw2Cyy-mry5gbC8ypIR3YVGFfEpyFESummAta6sg/edit"", ""Sheet1!B:D""), 2, FALSE), ""Not Found"")"),"kip")</f>
        <v>kip</v>
      </c>
      <c r="E3154" s="2" t="str">
        <f>IFERROR(__xludf.DUMMYFUNCTION("IFERROR(VLOOKUP(A3154, IMPORTRANGE(""https://docs.google.com/spreadsheets/d/1-3Vjw2Cyy-mry5gbC8ypIR3YVGFfEpyFESummAta6sg/edit"", ""Sheet1!B:D""), 3, FALSE), ""Not Found"")"),"k i p ")</f>
        <v>k i p </v>
      </c>
    </row>
    <row r="3155">
      <c r="A3155" s="1" t="s">
        <v>3156</v>
      </c>
      <c r="B3155" s="1" t="s">
        <v>5</v>
      </c>
      <c r="C3155" s="2">
        <f>IFERROR(__xludf.DUMMYFUNCTION("IFERROR(VLOOKUP(A3155, IMPORTRANGE(""https://docs.google.com/spreadsheets/d/1AVX9GT0dgogEBStecCXMMQ29tWz3gBrtNB8yIromXbY/edit?gid=741673867"", ""out1g!A:B""), 2, FALSE), 0)"),925.0)</f>
        <v>925</v>
      </c>
      <c r="D3155" s="2" t="str">
        <f>IFERROR(__xludf.DUMMYFUNCTION("IFERROR(VLOOKUP(A3155, IMPORTRANGE(""https://docs.google.com/spreadsheets/d/1-3Vjw2Cyy-mry5gbC8ypIR3YVGFfEpyFESummAta6sg/edit"", ""Sheet1!B:D""), 2, FALSE), ""Not Found"")"),"pi")</f>
        <v>pi</v>
      </c>
      <c r="E3155" s="2" t="str">
        <f>IFERROR(__xludf.DUMMYFUNCTION("IFERROR(VLOOKUP(A3155, IMPORTRANGE(""https://docs.google.com/spreadsheets/d/1-3Vjw2Cyy-mry5gbC8ypIR3YVGFfEpyFESummAta6sg/edit"", ""Sheet1!B:D""), 3, FALSE), ""Not Found"")"),"p i ")</f>
        <v>p i </v>
      </c>
    </row>
    <row r="3156">
      <c r="A3156" s="1" t="s">
        <v>3157</v>
      </c>
      <c r="B3156" s="1" t="s">
        <v>5</v>
      </c>
      <c r="C3156" s="2">
        <f>IFERROR(__xludf.DUMMYFUNCTION("IFERROR(VLOOKUP(A3156, IMPORTRANGE(""https://docs.google.com/spreadsheets/d/1AVX9GT0dgogEBStecCXMMQ29tWz3gBrtNB8yIromXbY/edit?gid=741673867"", ""out1g!A:B""), 2, FALSE), 0)"),97.0)</f>
        <v>97</v>
      </c>
      <c r="D3156" s="2" t="str">
        <f>IFERROR(__xludf.DUMMYFUNCTION("IFERROR(VLOOKUP(A3156, IMPORTRANGE(""https://docs.google.com/spreadsheets/d/1-3Vjw2Cyy-mry5gbC8ypIR3YVGFfEpyFESummAta6sg/edit"", ""Sheet1!B:D""), 2, FALSE), ""Not Found"")"),"wɪloʊz")</f>
        <v>wɪloʊz</v>
      </c>
      <c r="E3156" s="2" t="str">
        <f>IFERROR(__xludf.DUMMYFUNCTION("IFERROR(VLOOKUP(A3156, IMPORTRANGE(""https://docs.google.com/spreadsheets/d/1-3Vjw2Cyy-mry5gbC8ypIR3YVGFfEpyFESummAta6sg/edit"", ""Sheet1!B:D""), 3, FALSE), ""Not Found"")"),"w ɪ l o ʊ z ")</f>
        <v>w ɪ l o ʊ z </v>
      </c>
    </row>
    <row r="3157">
      <c r="A3157" s="1" t="s">
        <v>3158</v>
      </c>
      <c r="B3157" s="1" t="s">
        <v>5</v>
      </c>
      <c r="C3157" s="2">
        <f>IFERROR(__xludf.DUMMYFUNCTION("IFERROR(VLOOKUP(A3157, IMPORTRANGE(""https://docs.google.com/spreadsheets/d/1AVX9GT0dgogEBStecCXMMQ29tWz3gBrtNB8yIromXbY/edit?gid=741673867"", ""out1g!A:B""), 2, FALSE), 0)"),162.0)</f>
        <v>162</v>
      </c>
      <c r="D3157" s="2" t="str">
        <f>IFERROR(__xludf.DUMMYFUNCTION("IFERROR(VLOOKUP(A3157, IMPORTRANGE(""https://docs.google.com/spreadsheets/d/1-3Vjw2Cyy-mry5gbC8ypIR3YVGFfEpyFESummAta6sg/edit"", ""Sheet1!B:D""), 2, FALSE), ""Not Found"")"),"æbi")</f>
        <v>æbi</v>
      </c>
      <c r="E3157" s="2" t="str">
        <f>IFERROR(__xludf.DUMMYFUNCTION("IFERROR(VLOOKUP(A3157, IMPORTRANGE(""https://docs.google.com/spreadsheets/d/1-3Vjw2Cyy-mry5gbC8ypIR3YVGFfEpyFESummAta6sg/edit"", ""Sheet1!B:D""), 3, FALSE), ""Not Found"")"),"æ b i ")</f>
        <v>æ b i </v>
      </c>
    </row>
    <row r="3158">
      <c r="A3158" s="1" t="s">
        <v>3159</v>
      </c>
      <c r="B3158" s="1" t="s">
        <v>5</v>
      </c>
      <c r="C3158" s="2">
        <f>IFERROR(__xludf.DUMMYFUNCTION("IFERROR(VLOOKUP(A3158, IMPORTRANGE(""https://docs.google.com/spreadsheets/d/1AVX9GT0dgogEBStecCXMMQ29tWz3gBrtNB8yIromXbY/edit?gid=741673867"", ""out1g!A:B""), 2, FALSE), 0)"),50.0)</f>
        <v>50</v>
      </c>
      <c r="D3158" s="2" t="str">
        <f>IFERROR(__xludf.DUMMYFUNCTION("IFERROR(VLOOKUP(A3158, IMPORTRANGE(""https://docs.google.com/spreadsheets/d/1-3Vjw2Cyy-mry5gbC8ypIR3YVGFfEpyFESummAta6sg/edit"", ""Sheet1!B:D""), 2, FALSE), ""Not Found"")"),"lɔŋz")</f>
        <v>lɔŋz</v>
      </c>
      <c r="E3158" s="2" t="str">
        <f>IFERROR(__xludf.DUMMYFUNCTION("IFERROR(VLOOKUP(A3158, IMPORTRANGE(""https://docs.google.com/spreadsheets/d/1-3Vjw2Cyy-mry5gbC8ypIR3YVGFfEpyFESummAta6sg/edit"", ""Sheet1!B:D""), 3, FALSE), ""Not Found"")"),"l ɔ ŋ z ")</f>
        <v>l ɔ ŋ z </v>
      </c>
    </row>
    <row r="3159">
      <c r="A3159" s="1" t="s">
        <v>3160</v>
      </c>
      <c r="B3159" s="1" t="s">
        <v>5</v>
      </c>
      <c r="C3159" s="2">
        <f>IFERROR(__xludf.DUMMYFUNCTION("IFERROR(VLOOKUP(A3159, IMPORTRANGE(""https://docs.google.com/spreadsheets/d/1AVX9GT0dgogEBStecCXMMQ29tWz3gBrtNB8yIromXbY/edit?gid=741673867"", ""out1g!A:B""), 2, FALSE), 0)"),29.0)</f>
        <v>29</v>
      </c>
      <c r="D3159" s="2" t="str">
        <f>IFERROR(__xludf.DUMMYFUNCTION("IFERROR(VLOOKUP(A3159, IMPORTRANGE(""https://docs.google.com/spreadsheets/d/1-3Vjw2Cyy-mry5gbC8ypIR3YVGFfEpyFESummAta6sg/edit"", ""Sheet1!B:D""), 2, FALSE), ""Not Found"")"),"hutɪŋ")</f>
        <v>hutɪŋ</v>
      </c>
      <c r="E3159" s="2" t="str">
        <f>IFERROR(__xludf.DUMMYFUNCTION("IFERROR(VLOOKUP(A3159, IMPORTRANGE(""https://docs.google.com/spreadsheets/d/1-3Vjw2Cyy-mry5gbC8ypIR3YVGFfEpyFESummAta6sg/edit"", ""Sheet1!B:D""), 3, FALSE), ""Not Found"")"),"h u t ɪ ŋ ")</f>
        <v>h u t ɪ ŋ </v>
      </c>
    </row>
    <row r="3160">
      <c r="A3160" s="1" t="s">
        <v>3161</v>
      </c>
      <c r="B3160" s="1" t="s">
        <v>5</v>
      </c>
      <c r="C3160" s="2">
        <f>IFERROR(__xludf.DUMMYFUNCTION("IFERROR(VLOOKUP(A3160, IMPORTRANGE(""https://docs.google.com/spreadsheets/d/1AVX9GT0dgogEBStecCXMMQ29tWz3gBrtNB8yIromXbY/edit?gid=741673867"", ""out1g!A:B""), 2, FALSE), 0)"),61.0)</f>
        <v>61</v>
      </c>
      <c r="D3160" s="2" t="str">
        <f>IFERROR(__xludf.DUMMYFUNCTION("IFERROR(VLOOKUP(A3160, IMPORTRANGE(""https://docs.google.com/spreadsheets/d/1-3Vjw2Cyy-mry5gbC8ypIR3YVGFfEpyFESummAta6sg/edit"", ""Sheet1!B:D""), 2, FALSE), ""Not Found"")"),"bɛroʊ")</f>
        <v>bɛroʊ</v>
      </c>
      <c r="E3160" s="2" t="str">
        <f>IFERROR(__xludf.DUMMYFUNCTION("IFERROR(VLOOKUP(A3160, IMPORTRANGE(""https://docs.google.com/spreadsheets/d/1-3Vjw2Cyy-mry5gbC8ypIR3YVGFfEpyFESummAta6sg/edit"", ""Sheet1!B:D""), 3, FALSE), ""Not Found"")"),"b ɛ r o ʊ ")</f>
        <v>b ɛ r o ʊ </v>
      </c>
    </row>
    <row r="3161">
      <c r="A3161" s="1" t="s">
        <v>3162</v>
      </c>
      <c r="B3161" s="1" t="s">
        <v>5</v>
      </c>
      <c r="C3161" s="2">
        <f>IFERROR(__xludf.DUMMYFUNCTION("IFERROR(VLOOKUP(A3161, IMPORTRANGE(""https://docs.google.com/spreadsheets/d/1AVX9GT0dgogEBStecCXMMQ29tWz3gBrtNB8yIromXbY/edit?gid=741673867"", ""out1g!A:B""), 2, FALSE), 0)"),386.0)</f>
        <v>386</v>
      </c>
      <c r="D3161" s="2" t="str">
        <f>IFERROR(__xludf.DUMMYFUNCTION("IFERROR(VLOOKUP(A3161, IMPORTRANGE(""https://docs.google.com/spreadsheets/d/1-3Vjw2Cyy-mry5gbC8ypIR3YVGFfEpyFESummAta6sg/edit"", ""Sheet1!B:D""), 2, FALSE), ""Not Found"")"),"sid")</f>
        <v>sid</v>
      </c>
      <c r="E3161" s="2" t="str">
        <f>IFERROR(__xludf.DUMMYFUNCTION("IFERROR(VLOOKUP(A3161, IMPORTRANGE(""https://docs.google.com/spreadsheets/d/1-3Vjw2Cyy-mry5gbC8ypIR3YVGFfEpyFESummAta6sg/edit"", ""Sheet1!B:D""), 3, FALSE), ""Not Found"")"),"s i d ")</f>
        <v>s i d </v>
      </c>
    </row>
    <row r="3162">
      <c r="A3162" s="1" t="s">
        <v>3163</v>
      </c>
      <c r="B3162" s="1" t="s">
        <v>5</v>
      </c>
      <c r="C3162" s="2">
        <f>IFERROR(__xludf.DUMMYFUNCTION("IFERROR(VLOOKUP(A3162, IMPORTRANGE(""https://docs.google.com/spreadsheets/d/1AVX9GT0dgogEBStecCXMMQ29tWz3gBrtNB8yIromXbY/edit?gid=741673867"", ""out1g!A:B""), 2, FALSE), 0)"),348.0)</f>
        <v>348</v>
      </c>
      <c r="D3162" s="2" t="str">
        <f>IFERROR(__xludf.DUMMYFUNCTION("IFERROR(VLOOKUP(A3162, IMPORTRANGE(""https://docs.google.com/spreadsheets/d/1-3Vjw2Cyy-mry5gbC8ypIR3YVGFfEpyFESummAta6sg/edit"", ""Sheet1!B:D""), 2, FALSE), ""Not Found"")"),"swɔn")</f>
        <v>swɔn</v>
      </c>
      <c r="E3162" s="2" t="str">
        <f>IFERROR(__xludf.DUMMYFUNCTION("IFERROR(VLOOKUP(A3162, IMPORTRANGE(""https://docs.google.com/spreadsheets/d/1-3Vjw2Cyy-mry5gbC8ypIR3YVGFfEpyFESummAta6sg/edit"", ""Sheet1!B:D""), 3, FALSE), ""Not Found"")"),"s w ɔ n ")</f>
        <v>s w ɔ n </v>
      </c>
    </row>
    <row r="3163">
      <c r="A3163" s="1" t="s">
        <v>3164</v>
      </c>
      <c r="B3163" s="1" t="s">
        <v>5</v>
      </c>
      <c r="C3163" s="2">
        <f>IFERROR(__xludf.DUMMYFUNCTION("IFERROR(VLOOKUP(A3163, IMPORTRANGE(""https://docs.google.com/spreadsheets/d/1AVX9GT0dgogEBStecCXMMQ29tWz3gBrtNB8yIromXbY/edit?gid=741673867"", ""out1g!A:B""), 2, FALSE), 0)"),2200.0)</f>
        <v>2200</v>
      </c>
      <c r="D3163" s="2" t="str">
        <f>IFERROR(__xludf.DUMMYFUNCTION("IFERROR(VLOOKUP(A3163, IMPORTRANGE(""https://docs.google.com/spreadsheets/d/1-3Vjw2Cyy-mry5gbC8ypIR3YVGFfEpyFESummAta6sg/edit"", ""Sheet1!B:D""), 2, FALSE), ""Not Found"")"),"sɛrə")</f>
        <v>sɛrə</v>
      </c>
      <c r="E3163" s="2" t="str">
        <f>IFERROR(__xludf.DUMMYFUNCTION("IFERROR(VLOOKUP(A3163, IMPORTRANGE(""https://docs.google.com/spreadsheets/d/1-3Vjw2Cyy-mry5gbC8ypIR3YVGFfEpyFESummAta6sg/edit"", ""Sheet1!B:D""), 3, FALSE), ""Not Found"")"),"s ɛ r ə ")</f>
        <v>s ɛ r ə </v>
      </c>
    </row>
    <row r="3164">
      <c r="A3164" s="1" t="s">
        <v>3165</v>
      </c>
      <c r="B3164" s="1" t="s">
        <v>5</v>
      </c>
      <c r="C3164" s="2">
        <f>IFERROR(__xludf.DUMMYFUNCTION("IFERROR(VLOOKUP(A3164, IMPORTRANGE(""https://docs.google.com/spreadsheets/d/1AVX9GT0dgogEBStecCXMMQ29tWz3gBrtNB8yIromXbY/edit?gid=741673867"", ""out1g!A:B""), 2, FALSE), 0)"),1318.0)</f>
        <v>1318</v>
      </c>
      <c r="D3164" s="2" t="str">
        <f>IFERROR(__xludf.DUMMYFUNCTION("IFERROR(VLOOKUP(A3164, IMPORTRANGE(""https://docs.google.com/spreadsheets/d/1-3Vjw2Cyy-mry5gbC8ypIR3YVGFfEpyFESummAta6sg/edit"", ""Sheet1!B:D""), 2, FALSE), ""Not Found"")"),"kɔzd")</f>
        <v>kɔzd</v>
      </c>
      <c r="E3164" s="2" t="str">
        <f>IFERROR(__xludf.DUMMYFUNCTION("IFERROR(VLOOKUP(A3164, IMPORTRANGE(""https://docs.google.com/spreadsheets/d/1-3Vjw2Cyy-mry5gbC8ypIR3YVGFfEpyFESummAta6sg/edit"", ""Sheet1!B:D""), 3, FALSE), ""Not Found"")"),"k ɔ z d ")</f>
        <v>k ɔ z d </v>
      </c>
    </row>
    <row r="3165">
      <c r="A3165" s="1" t="s">
        <v>3166</v>
      </c>
      <c r="B3165" s="1" t="s">
        <v>5</v>
      </c>
      <c r="C3165" s="2">
        <f>IFERROR(__xludf.DUMMYFUNCTION("IFERROR(VLOOKUP(A3165, IMPORTRANGE(""https://docs.google.com/spreadsheets/d/1AVX9GT0dgogEBStecCXMMQ29tWz3gBrtNB8yIromXbY/edit?gid=741673867"", ""out1g!A:B""), 2, FALSE), 0)"),225291.0)</f>
        <v>225291</v>
      </c>
      <c r="D3165" s="2" t="str">
        <f>IFERROR(__xludf.DUMMYFUNCTION("IFERROR(VLOOKUP(A3165, IMPORTRANGE(""https://docs.google.com/spreadsheets/d/1-3Vjw2Cyy-mry5gbC8ypIR3YVGFfEpyFESummAta6sg/edit"", ""Sheet1!B:D""), 2, FALSE), ""Not Found"")"),"bət")</f>
        <v>bət</v>
      </c>
      <c r="E3165" s="2" t="str">
        <f>IFERROR(__xludf.DUMMYFUNCTION("IFERROR(VLOOKUP(A3165, IMPORTRANGE(""https://docs.google.com/spreadsheets/d/1-3Vjw2Cyy-mry5gbC8ypIR3YVGFfEpyFESummAta6sg/edit"", ""Sheet1!B:D""), 3, FALSE), ""Not Found"")"),"b ə t ")</f>
        <v>b ə t </v>
      </c>
    </row>
    <row r="3166">
      <c r="A3166" s="1" t="s">
        <v>3167</v>
      </c>
      <c r="B3166" s="1" t="s">
        <v>5</v>
      </c>
      <c r="C3166" s="2">
        <f>IFERROR(__xludf.DUMMYFUNCTION("IFERROR(VLOOKUP(A3166, IMPORTRANGE(""https://docs.google.com/spreadsheets/d/1AVX9GT0dgogEBStecCXMMQ29tWz3gBrtNB8yIromXbY/edit?gid=741673867"", ""out1g!A:B""), 2, FALSE), 0)"),113.0)</f>
        <v>113</v>
      </c>
      <c r="D3166" s="2" t="str">
        <f>IFERROR(__xludf.DUMMYFUNCTION("IFERROR(VLOOKUP(A3166, IMPORTRANGE(""https://docs.google.com/spreadsheets/d/1-3Vjw2Cyy-mry5gbC8ypIR3YVGFfEpyFESummAta6sg/edit"", ""Sheet1!B:D""), 2, FALSE), ""Not Found"")"),"hɑʤ")</f>
        <v>hɑʤ</v>
      </c>
      <c r="E3166" s="2" t="str">
        <f>IFERROR(__xludf.DUMMYFUNCTION("IFERROR(VLOOKUP(A3166, IMPORTRANGE(""https://docs.google.com/spreadsheets/d/1-3Vjw2Cyy-mry5gbC8ypIR3YVGFfEpyFESummAta6sg/edit"", ""Sheet1!B:D""), 3, FALSE), ""Not Found"")"),"h ɑ ʤ ")</f>
        <v>h ɑ ʤ </v>
      </c>
    </row>
    <row r="3167">
      <c r="A3167" s="1" t="s">
        <v>3168</v>
      </c>
      <c r="B3167" s="1" t="s">
        <v>5</v>
      </c>
      <c r="C3167" s="2">
        <f>IFERROR(__xludf.DUMMYFUNCTION("IFERROR(VLOOKUP(A3167, IMPORTRANGE(""https://docs.google.com/spreadsheets/d/1AVX9GT0dgogEBStecCXMMQ29tWz3gBrtNB8yIromXbY/edit?gid=741673867"", ""out1g!A:B""), 2, FALSE), 0)"),82.0)</f>
        <v>82</v>
      </c>
      <c r="D3167" s="2" t="str">
        <f>IFERROR(__xludf.DUMMYFUNCTION("IFERROR(VLOOKUP(A3167, IMPORTRANGE(""https://docs.google.com/spreadsheets/d/1-3Vjw2Cyy-mry5gbC8ypIR3YVGFfEpyFESummAta6sg/edit"", ""Sheet1!B:D""), 2, FALSE), ""Not Found"")"),"sedər")</f>
        <v>sedər</v>
      </c>
      <c r="E3167" s="2" t="str">
        <f>IFERROR(__xludf.DUMMYFUNCTION("IFERROR(VLOOKUP(A3167, IMPORTRANGE(""https://docs.google.com/spreadsheets/d/1-3Vjw2Cyy-mry5gbC8ypIR3YVGFfEpyFESummAta6sg/edit"", ""Sheet1!B:D""), 3, FALSE), ""Not Found"")"),"s e d ə r ")</f>
        <v>s e d ə r </v>
      </c>
    </row>
    <row r="3168">
      <c r="A3168" s="1" t="s">
        <v>3169</v>
      </c>
      <c r="B3168" s="1" t="s">
        <v>5</v>
      </c>
      <c r="C3168" s="2">
        <f>IFERROR(__xludf.DUMMYFUNCTION("IFERROR(VLOOKUP(A3168, IMPORTRANGE(""https://docs.google.com/spreadsheets/d/1AVX9GT0dgogEBStecCXMMQ29tWz3gBrtNB8yIromXbY/edit?gid=741673867"", ""out1g!A:B""), 2, FALSE), 0)"),112.0)</f>
        <v>112</v>
      </c>
      <c r="D3168" s="2" t="str">
        <f>IFERROR(__xludf.DUMMYFUNCTION("IFERROR(VLOOKUP(A3168, IMPORTRANGE(""https://docs.google.com/spreadsheets/d/1-3Vjw2Cyy-mry5gbC8ypIR3YVGFfEpyFESummAta6sg/edit"", ""Sheet1!B:D""), 2, FALSE), ""Not Found"")"),"ʃi")</f>
        <v>ʃi</v>
      </c>
      <c r="E3168" s="2" t="str">
        <f>IFERROR(__xludf.DUMMYFUNCTION("IFERROR(VLOOKUP(A3168, IMPORTRANGE(""https://docs.google.com/spreadsheets/d/1-3Vjw2Cyy-mry5gbC8ypIR3YVGFfEpyFESummAta6sg/edit"", ""Sheet1!B:D""), 3, FALSE), ""Not Found"")"),"ʃ i ")</f>
        <v>ʃ i </v>
      </c>
    </row>
    <row r="3169">
      <c r="A3169" s="1" t="s">
        <v>3170</v>
      </c>
      <c r="B3169" s="1" t="s">
        <v>5</v>
      </c>
      <c r="C3169" s="2">
        <f>IFERROR(__xludf.DUMMYFUNCTION("IFERROR(VLOOKUP(A3169, IMPORTRANGE(""https://docs.google.com/spreadsheets/d/1AVX9GT0dgogEBStecCXMMQ29tWz3gBrtNB8yIromXbY/edit?gid=741673867"", ""out1g!A:B""), 2, FALSE), 0)"),645.0)</f>
        <v>645</v>
      </c>
      <c r="D3169" s="2" t="str">
        <f>IFERROR(__xludf.DUMMYFUNCTION("IFERROR(VLOOKUP(A3169, IMPORTRANGE(""https://docs.google.com/spreadsheets/d/1-3Vjw2Cyy-mry5gbC8ypIR3YVGFfEpyFESummAta6sg/edit"", ""Sheet1!B:D""), 2, FALSE), ""Not Found"")"),"its")</f>
        <v>its</v>
      </c>
      <c r="E3169" s="2" t="str">
        <f>IFERROR(__xludf.DUMMYFUNCTION("IFERROR(VLOOKUP(A3169, IMPORTRANGE(""https://docs.google.com/spreadsheets/d/1-3Vjw2Cyy-mry5gbC8ypIR3YVGFfEpyFESummAta6sg/edit"", ""Sheet1!B:D""), 3, FALSE), ""Not Found"")"),"i t s ")</f>
        <v>i t s </v>
      </c>
    </row>
    <row r="3170">
      <c r="A3170" s="1" t="s">
        <v>3171</v>
      </c>
      <c r="B3170" s="1" t="s">
        <v>5</v>
      </c>
      <c r="C3170" s="2">
        <f>IFERROR(__xludf.DUMMYFUNCTION("IFERROR(VLOOKUP(A3170, IMPORTRANGE(""https://docs.google.com/spreadsheets/d/1AVX9GT0dgogEBStecCXMMQ29tWz3gBrtNB8yIromXbY/edit?gid=741673867"", ""out1g!A:B""), 2, FALSE), 0)"),284.0)</f>
        <v>284</v>
      </c>
      <c r="D3170" s="2" t="str">
        <f>IFERROR(__xludf.DUMMYFUNCTION("IFERROR(VLOOKUP(A3170, IMPORTRANGE(""https://docs.google.com/spreadsheets/d/1-3Vjw2Cyy-mry5gbC8ypIR3YVGFfEpyFESummAta6sg/edit"", ""Sheet1!B:D""), 2, FALSE), ""Not Found"")"),"fremd")</f>
        <v>fremd</v>
      </c>
      <c r="E3170" s="2" t="str">
        <f>IFERROR(__xludf.DUMMYFUNCTION("IFERROR(VLOOKUP(A3170, IMPORTRANGE(""https://docs.google.com/spreadsheets/d/1-3Vjw2Cyy-mry5gbC8ypIR3YVGFfEpyFESummAta6sg/edit"", ""Sheet1!B:D""), 3, FALSE), ""Not Found"")"),"f r e m d ")</f>
        <v>f r e m d </v>
      </c>
    </row>
    <row r="3171">
      <c r="A3171" s="1" t="s">
        <v>3172</v>
      </c>
      <c r="B3171" s="1" t="s">
        <v>5</v>
      </c>
      <c r="C3171" s="2">
        <f>IFERROR(__xludf.DUMMYFUNCTION("IFERROR(VLOOKUP(A3171, IMPORTRANGE(""https://docs.google.com/spreadsheets/d/1AVX9GT0dgogEBStecCXMMQ29tWz3gBrtNB8yIromXbY/edit?gid=741673867"", ""out1g!A:B""), 2, FALSE), 0)"),133117.0)</f>
        <v>133117</v>
      </c>
      <c r="D3171" s="2" t="str">
        <f>IFERROR(__xludf.DUMMYFUNCTION("IFERROR(VLOOKUP(A3171, IMPORTRANGE(""https://docs.google.com/spreadsheets/d/1-3Vjw2Cyy-mry5gbC8ypIR3YVGFfEpyFESummAta6sg/edit"", ""Sheet1!B:D""), 2, FALSE), ""Not Found"")"),"gʊd")</f>
        <v>gʊd</v>
      </c>
      <c r="E3171" s="2" t="str">
        <f>IFERROR(__xludf.DUMMYFUNCTION("IFERROR(VLOOKUP(A3171, IMPORTRANGE(""https://docs.google.com/spreadsheets/d/1-3Vjw2Cyy-mry5gbC8ypIR3YVGFfEpyFESummAta6sg/edit"", ""Sheet1!B:D""), 3, FALSE), ""Not Found"")"),"g ʊ d ")</f>
        <v>g ʊ d </v>
      </c>
    </row>
    <row r="3172">
      <c r="A3172" s="1" t="s">
        <v>3173</v>
      </c>
      <c r="B3172" s="1" t="s">
        <v>5</v>
      </c>
      <c r="C3172" s="2">
        <f>IFERROR(__xludf.DUMMYFUNCTION("IFERROR(VLOOKUP(A3172, IMPORTRANGE(""https://docs.google.com/spreadsheets/d/1AVX9GT0dgogEBStecCXMMQ29tWz3gBrtNB8yIromXbY/edit?gid=741673867"", ""out1g!A:B""), 2, FALSE), 0)"),73.0)</f>
        <v>73</v>
      </c>
      <c r="D3172" s="2" t="str">
        <f>IFERROR(__xludf.DUMMYFUNCTION("IFERROR(VLOOKUP(A3172, IMPORTRANGE(""https://docs.google.com/spreadsheets/d/1-3Vjw2Cyy-mry5gbC8ypIR3YVGFfEpyFESummAta6sg/edit"", ""Sheet1!B:D""), 2, FALSE), ""Not Found"")"),"ɑm")</f>
        <v>ɑm</v>
      </c>
      <c r="E3172" s="2" t="str">
        <f>IFERROR(__xludf.DUMMYFUNCTION("IFERROR(VLOOKUP(A3172, IMPORTRANGE(""https://docs.google.com/spreadsheets/d/1-3Vjw2Cyy-mry5gbC8ypIR3YVGFfEpyFESummAta6sg/edit"", ""Sheet1!B:D""), 3, FALSE), ""Not Found"")"),"ɑ m ")</f>
        <v>ɑ m </v>
      </c>
    </row>
    <row r="3173">
      <c r="A3173" s="1" t="s">
        <v>3174</v>
      </c>
      <c r="B3173" s="1" t="s">
        <v>5</v>
      </c>
      <c r="C3173" s="2">
        <f>IFERROR(__xludf.DUMMYFUNCTION("IFERROR(VLOOKUP(A3173, IMPORTRANGE(""https://docs.google.com/spreadsheets/d/1AVX9GT0dgogEBStecCXMMQ29tWz3gBrtNB8yIromXbY/edit?gid=741673867"", ""out1g!A:B""), 2, FALSE), 0)"),90.0)</f>
        <v>90</v>
      </c>
      <c r="D3173" s="2" t="str">
        <f>IFERROR(__xludf.DUMMYFUNCTION("IFERROR(VLOOKUP(A3173, IMPORTRANGE(""https://docs.google.com/spreadsheets/d/1-3Vjw2Cyy-mry5gbC8ypIR3YVGFfEpyFESummAta6sg/edit"", ""Sheet1!B:D""), 2, FALSE), ""Not Found"")"),"sətər")</f>
        <v>sətər</v>
      </c>
      <c r="E3173" s="2" t="str">
        <f>IFERROR(__xludf.DUMMYFUNCTION("IFERROR(VLOOKUP(A3173, IMPORTRANGE(""https://docs.google.com/spreadsheets/d/1-3Vjw2Cyy-mry5gbC8ypIR3YVGFfEpyFESummAta6sg/edit"", ""Sheet1!B:D""), 3, FALSE), ""Not Found"")"),"s ə t ə r ")</f>
        <v>s ə t ə r </v>
      </c>
    </row>
    <row r="3174">
      <c r="A3174" s="1" t="s">
        <v>3175</v>
      </c>
      <c r="B3174" s="1" t="s">
        <v>5</v>
      </c>
      <c r="C3174" s="2">
        <f>IFERROR(__xludf.DUMMYFUNCTION("IFERROR(VLOOKUP(A3174, IMPORTRANGE(""https://docs.google.com/spreadsheets/d/1AVX9GT0dgogEBStecCXMMQ29tWz3gBrtNB8yIromXbY/edit?gid=741673867"", ""out1g!A:B""), 2, FALSE), 0)"),82.0)</f>
        <v>82</v>
      </c>
      <c r="D3174" s="2" t="str">
        <f>IFERROR(__xludf.DUMMYFUNCTION("IFERROR(VLOOKUP(A3174, IMPORTRANGE(""https://docs.google.com/spreadsheets/d/1-3Vjw2Cyy-mry5gbC8ypIR3YVGFfEpyFESummAta6sg/edit"", ""Sheet1!B:D""), 2, FALSE), ""Not Found"")"),"əmez")</f>
        <v>əmez</v>
      </c>
      <c r="E3174" s="2" t="str">
        <f>IFERROR(__xludf.DUMMYFUNCTION("IFERROR(VLOOKUP(A3174, IMPORTRANGE(""https://docs.google.com/spreadsheets/d/1-3Vjw2Cyy-mry5gbC8ypIR3YVGFfEpyFESummAta6sg/edit"", ""Sheet1!B:D""), 3, FALSE), ""Not Found"")"),"ə m e z ")</f>
        <v>ə m e z </v>
      </c>
    </row>
    <row r="3175">
      <c r="A3175" s="1" t="s">
        <v>3176</v>
      </c>
      <c r="B3175" s="1" t="s">
        <v>5</v>
      </c>
      <c r="C3175" s="2">
        <f>IFERROR(__xludf.DUMMYFUNCTION("IFERROR(VLOOKUP(A3175, IMPORTRANGE(""https://docs.google.com/spreadsheets/d/1AVX9GT0dgogEBStecCXMMQ29tWz3gBrtNB8yIromXbY/edit?gid=741673867"", ""out1g!A:B""), 2, FALSE), 0)"),851.0)</f>
        <v>851</v>
      </c>
      <c r="D3175" s="2" t="str">
        <f>IFERROR(__xludf.DUMMYFUNCTION("IFERROR(VLOOKUP(A3175, IMPORTRANGE(""https://docs.google.com/spreadsheets/d/1-3Vjw2Cyy-mry5gbC8ypIR3YVGFfEpyFESummAta6sg/edit"", ""Sheet1!B:D""), 2, FALSE), ""Not Found"")"),"fɛri")</f>
        <v>fɛri</v>
      </c>
      <c r="E3175" s="2" t="str">
        <f>IFERROR(__xludf.DUMMYFUNCTION("IFERROR(VLOOKUP(A3175, IMPORTRANGE(""https://docs.google.com/spreadsheets/d/1-3Vjw2Cyy-mry5gbC8ypIR3YVGFfEpyFESummAta6sg/edit"", ""Sheet1!B:D""), 3, FALSE), ""Not Found"")"),"f ɛ r i ")</f>
        <v>f ɛ r i </v>
      </c>
    </row>
    <row r="3176">
      <c r="A3176" s="1" t="s">
        <v>3177</v>
      </c>
      <c r="B3176" s="1" t="s">
        <v>5</v>
      </c>
      <c r="C3176" s="2">
        <f>IFERROR(__xludf.DUMMYFUNCTION("IFERROR(VLOOKUP(A3176, IMPORTRANGE(""https://docs.google.com/spreadsheets/d/1AVX9GT0dgogEBStecCXMMQ29tWz3gBrtNB8yIromXbY/edit?gid=741673867"", ""out1g!A:B""), 2, FALSE), 0)"),1445.0)</f>
        <v>1445</v>
      </c>
      <c r="D3176" s="2" t="str">
        <f>IFERROR(__xludf.DUMMYFUNCTION("IFERROR(VLOOKUP(A3176, IMPORTRANGE(""https://docs.google.com/spreadsheets/d/1-3Vjw2Cyy-mry5gbC8ypIR3YVGFfEpyFESummAta6sg/edit"", ""Sheet1!B:D""), 2, FALSE), ""Not Found"")"),"brɛd")</f>
        <v>brɛd</v>
      </c>
      <c r="E3176" s="2" t="str">
        <f>IFERROR(__xludf.DUMMYFUNCTION("IFERROR(VLOOKUP(A3176, IMPORTRANGE(""https://docs.google.com/spreadsheets/d/1-3Vjw2Cyy-mry5gbC8ypIR3YVGFfEpyFESummAta6sg/edit"", ""Sheet1!B:D""), 3, FALSE), ""Not Found"")"),"b r ɛ d ")</f>
        <v>b r ɛ d </v>
      </c>
    </row>
    <row r="3177">
      <c r="A3177" s="1" t="s">
        <v>3178</v>
      </c>
      <c r="B3177" s="1" t="s">
        <v>5</v>
      </c>
      <c r="C3177" s="2">
        <f>IFERROR(__xludf.DUMMYFUNCTION("IFERROR(VLOOKUP(A3177, IMPORTRANGE(""https://docs.google.com/spreadsheets/d/1AVX9GT0dgogEBStecCXMMQ29tWz3gBrtNB8yIromXbY/edit?gid=741673867"", ""out1g!A:B""), 2, FALSE), 0)"),743.0)</f>
        <v>743</v>
      </c>
      <c r="D3177" s="2" t="str">
        <f>IFERROR(__xludf.DUMMYFUNCTION("IFERROR(VLOOKUP(A3177, IMPORTRANGE(""https://docs.google.com/spreadsheets/d/1-3Vjw2Cyy-mry5gbC8ypIR3YVGFfEpyFESummAta6sg/edit"", ""Sheet1!B:D""), 2, FALSE), ""Not Found"")"),"ʤin")</f>
        <v>ʤin</v>
      </c>
      <c r="E3177" s="2" t="str">
        <f>IFERROR(__xludf.DUMMYFUNCTION("IFERROR(VLOOKUP(A3177, IMPORTRANGE(""https://docs.google.com/spreadsheets/d/1-3Vjw2Cyy-mry5gbC8ypIR3YVGFfEpyFESummAta6sg/edit"", ""Sheet1!B:D""), 3, FALSE), ""Not Found"")"),"ʤ i n ")</f>
        <v>ʤ i n </v>
      </c>
    </row>
    <row r="3178">
      <c r="A3178" s="1" t="s">
        <v>3179</v>
      </c>
      <c r="B3178" s="1" t="s">
        <v>5</v>
      </c>
      <c r="C3178" s="2">
        <f>IFERROR(__xludf.DUMMYFUNCTION("IFERROR(VLOOKUP(A3178, IMPORTRANGE(""https://docs.google.com/spreadsheets/d/1AVX9GT0dgogEBStecCXMMQ29tWz3gBrtNB8yIromXbY/edit?gid=741673867"", ""out1g!A:B""), 2, FALSE), 0)"),741.0)</f>
        <v>741</v>
      </c>
      <c r="D3178" s="2" t="str">
        <f>IFERROR(__xludf.DUMMYFUNCTION("IFERROR(VLOOKUP(A3178, IMPORTRANGE(""https://docs.google.com/spreadsheets/d/1-3Vjw2Cyy-mry5gbC8ypIR3YVGFfEpyFESummAta6sg/edit"", ""Sheet1!B:D""), 2, FALSE), ""Not Found"")"),"stɪkɪŋ")</f>
        <v>stɪkɪŋ</v>
      </c>
      <c r="E3178" s="2" t="str">
        <f>IFERROR(__xludf.DUMMYFUNCTION("IFERROR(VLOOKUP(A3178, IMPORTRANGE(""https://docs.google.com/spreadsheets/d/1-3Vjw2Cyy-mry5gbC8ypIR3YVGFfEpyFESummAta6sg/edit"", ""Sheet1!B:D""), 3, FALSE), ""Not Found"")"),"s t ɪ k ɪ ŋ ")</f>
        <v>s t ɪ k ɪ ŋ </v>
      </c>
    </row>
    <row r="3179">
      <c r="A3179" s="1" t="s">
        <v>3180</v>
      </c>
      <c r="B3179" s="1" t="s">
        <v>5</v>
      </c>
      <c r="C3179" s="2">
        <f>IFERROR(__xludf.DUMMYFUNCTION("IFERROR(VLOOKUP(A3179, IMPORTRANGE(""https://docs.google.com/spreadsheets/d/1AVX9GT0dgogEBStecCXMMQ29tWz3gBrtNB8yIromXbY/edit?gid=741673867"", ""out1g!A:B""), 2, FALSE), 0)"),425.0)</f>
        <v>425</v>
      </c>
      <c r="D3179" s="2" t="str">
        <f>IFERROR(__xludf.DUMMYFUNCTION("IFERROR(VLOOKUP(A3179, IMPORTRANGE(""https://docs.google.com/spreadsheets/d/1-3Vjw2Cyy-mry5gbC8ypIR3YVGFfEpyFESummAta6sg/edit"", ""Sheet1!B:D""), 2, FALSE), ""Not Found"")"),"bɛr")</f>
        <v>bɛr</v>
      </c>
      <c r="E3179" s="2" t="str">
        <f>IFERROR(__xludf.DUMMYFUNCTION("IFERROR(VLOOKUP(A3179, IMPORTRANGE(""https://docs.google.com/spreadsheets/d/1-3Vjw2Cyy-mry5gbC8ypIR3YVGFfEpyFESummAta6sg/edit"", ""Sheet1!B:D""), 3, FALSE), ""Not Found"")"),"b ɛ r ")</f>
        <v>b ɛ r </v>
      </c>
    </row>
    <row r="3180">
      <c r="A3180" s="1" t="s">
        <v>3181</v>
      </c>
      <c r="B3180" s="1" t="s">
        <v>5</v>
      </c>
      <c r="C3180" s="2">
        <f>IFERROR(__xludf.DUMMYFUNCTION("IFERROR(VLOOKUP(A3180, IMPORTRANGE(""https://docs.google.com/spreadsheets/d/1AVX9GT0dgogEBStecCXMMQ29tWz3gBrtNB8yIromXbY/edit?gid=741673867"", ""out1g!A:B""), 2, FALSE), 0)"),24748.0)</f>
        <v>24748</v>
      </c>
      <c r="D3180" s="2" t="str">
        <f>IFERROR(__xludf.DUMMYFUNCTION("IFERROR(VLOOKUP(A3180, IMPORTRANGE(""https://docs.google.com/spreadsheets/d/1-3Vjw2Cyy-mry5gbC8ypIR3YVGFfEpyFESummAta6sg/edit"", ""Sheet1!B:D""), 2, FALSE), ""Not Found"")"),"kɛr")</f>
        <v>kɛr</v>
      </c>
      <c r="E3180" s="2" t="str">
        <f>IFERROR(__xludf.DUMMYFUNCTION("IFERROR(VLOOKUP(A3180, IMPORTRANGE(""https://docs.google.com/spreadsheets/d/1-3Vjw2Cyy-mry5gbC8ypIR3YVGFfEpyFESummAta6sg/edit"", ""Sheet1!B:D""), 3, FALSE), ""Not Found"")"),"k ɛ r ")</f>
        <v>k ɛ r </v>
      </c>
    </row>
    <row r="3181">
      <c r="A3181" s="1" t="s">
        <v>3182</v>
      </c>
      <c r="B3181" s="1" t="s">
        <v>5</v>
      </c>
      <c r="C3181" s="2">
        <f>IFERROR(__xludf.DUMMYFUNCTION("IFERROR(VLOOKUP(A3181, IMPORTRANGE(""https://docs.google.com/spreadsheets/d/1AVX9GT0dgogEBStecCXMMQ29tWz3gBrtNB8yIromXbY/edit?gid=741673867"", ""out1g!A:B""), 2, FALSE), 0)"),56.0)</f>
        <v>56</v>
      </c>
      <c r="D3181" s="2" t="str">
        <f>IFERROR(__xludf.DUMMYFUNCTION("IFERROR(VLOOKUP(A3181, IMPORTRANGE(""https://docs.google.com/spreadsheets/d/1-3Vjw2Cyy-mry5gbC8ypIR3YVGFfEpyFESummAta6sg/edit"", ""Sheet1!B:D""), 2, FALSE), ""Not Found"")"),"ərʤɪŋ")</f>
        <v>ərʤɪŋ</v>
      </c>
      <c r="E3181" s="2" t="str">
        <f>IFERROR(__xludf.DUMMYFUNCTION("IFERROR(VLOOKUP(A3181, IMPORTRANGE(""https://docs.google.com/spreadsheets/d/1-3Vjw2Cyy-mry5gbC8ypIR3YVGFfEpyFESummAta6sg/edit"", ""Sheet1!B:D""), 3, FALSE), ""Not Found"")"),"ə r ʤ ɪ ŋ ")</f>
        <v>ə r ʤ ɪ ŋ </v>
      </c>
    </row>
    <row r="3182">
      <c r="A3182" s="1" t="s">
        <v>3183</v>
      </c>
      <c r="B3182" s="1" t="s">
        <v>5</v>
      </c>
      <c r="C3182" s="2">
        <f>IFERROR(__xludf.DUMMYFUNCTION("IFERROR(VLOOKUP(A3182, IMPORTRANGE(""https://docs.google.com/spreadsheets/d/1AVX9GT0dgogEBStecCXMMQ29tWz3gBrtNB8yIromXbY/edit?gid=741673867"", ""out1g!A:B""), 2, FALSE), 0)"),3044.0)</f>
        <v>3044</v>
      </c>
      <c r="D3182" s="2" t="str">
        <f>IFERROR(__xludf.DUMMYFUNCTION("IFERROR(VLOOKUP(A3182, IMPORTRANGE(""https://docs.google.com/spreadsheets/d/1-3Vjw2Cyy-mry5gbC8ypIR3YVGFfEpyFESummAta6sg/edit"", ""Sheet1!B:D""), 2, FALSE), ""Not Found"")"),"flaɪt")</f>
        <v>flaɪt</v>
      </c>
      <c r="E3182" s="2" t="str">
        <f>IFERROR(__xludf.DUMMYFUNCTION("IFERROR(VLOOKUP(A3182, IMPORTRANGE(""https://docs.google.com/spreadsheets/d/1-3Vjw2Cyy-mry5gbC8ypIR3YVGFfEpyFESummAta6sg/edit"", ""Sheet1!B:D""), 3, FALSE), ""Not Found"")"),"f l a ɪ t ")</f>
        <v>f l a ɪ t </v>
      </c>
    </row>
    <row r="3183">
      <c r="A3183" s="1" t="s">
        <v>3184</v>
      </c>
      <c r="B3183" s="1" t="s">
        <v>5</v>
      </c>
      <c r="C3183" s="2">
        <f>IFERROR(__xludf.DUMMYFUNCTION("IFERROR(VLOOKUP(A3183, IMPORTRANGE(""https://docs.google.com/spreadsheets/d/1AVX9GT0dgogEBStecCXMMQ29tWz3gBrtNB8yIromXbY/edit?gid=741673867"", ""out1g!A:B""), 2, FALSE), 0)"),568.0)</f>
        <v>568</v>
      </c>
      <c r="D3183" s="2" t="str">
        <f>IFERROR(__xludf.DUMMYFUNCTION("IFERROR(VLOOKUP(A3183, IMPORTRANGE(""https://docs.google.com/spreadsheets/d/1-3Vjw2Cyy-mry5gbC8ypIR3YVGFfEpyFESummAta6sg/edit"", ""Sheet1!B:D""), 2, FALSE), ""Not Found"")"),"rɪd")</f>
        <v>rɪd</v>
      </c>
      <c r="E3183" s="2" t="str">
        <f>IFERROR(__xludf.DUMMYFUNCTION("IFERROR(VLOOKUP(A3183, IMPORTRANGE(""https://docs.google.com/spreadsheets/d/1-3Vjw2Cyy-mry5gbC8ypIR3YVGFfEpyFESummAta6sg/edit"", ""Sheet1!B:D""), 3, FALSE), ""Not Found"")"),"r ɪ d ")</f>
        <v>r ɪ d </v>
      </c>
    </row>
    <row r="3184">
      <c r="A3184" s="1" t="s">
        <v>3185</v>
      </c>
      <c r="B3184" s="1" t="s">
        <v>5</v>
      </c>
      <c r="C3184" s="2">
        <f>IFERROR(__xludf.DUMMYFUNCTION("IFERROR(VLOOKUP(A3184, IMPORTRANGE(""https://docs.google.com/spreadsheets/d/1AVX9GT0dgogEBStecCXMMQ29tWz3gBrtNB8yIromXbY/edit?gid=741673867"", ""out1g!A:B""), 2, FALSE), 0)"),46.0)</f>
        <v>46</v>
      </c>
      <c r="D3184" s="2" t="str">
        <f>IFERROR(__xludf.DUMMYFUNCTION("IFERROR(VLOOKUP(A3184, IMPORTRANGE(""https://docs.google.com/spreadsheets/d/1-3Vjw2Cyy-mry5gbC8ypIR3YVGFfEpyFESummAta6sg/edit"", ""Sheet1!B:D""), 2, FALSE), ""Not Found"")"),"prɑdoʊ")</f>
        <v>prɑdoʊ</v>
      </c>
      <c r="E3184" s="2" t="str">
        <f>IFERROR(__xludf.DUMMYFUNCTION("IFERROR(VLOOKUP(A3184, IMPORTRANGE(""https://docs.google.com/spreadsheets/d/1-3Vjw2Cyy-mry5gbC8ypIR3YVGFfEpyFESummAta6sg/edit"", ""Sheet1!B:D""), 3, FALSE), ""Not Found"")"),"p r ɑ d o ʊ ")</f>
        <v>p r ɑ d o ʊ </v>
      </c>
    </row>
    <row r="3185">
      <c r="A3185" s="1" t="s">
        <v>3186</v>
      </c>
      <c r="B3185" s="1" t="s">
        <v>5</v>
      </c>
      <c r="C3185" s="2">
        <f>IFERROR(__xludf.DUMMYFUNCTION("IFERROR(VLOOKUP(A3185, IMPORTRANGE(""https://docs.google.com/spreadsheets/d/1AVX9GT0dgogEBStecCXMMQ29tWz3gBrtNB8yIromXbY/edit?gid=741673867"", ""out1g!A:B""), 2, FALSE), 0)"),1587.0)</f>
        <v>1587</v>
      </c>
      <c r="D3185" s="2" t="str">
        <f>IFERROR(__xludf.DUMMYFUNCTION("IFERROR(VLOOKUP(A3185, IMPORTRANGE(""https://docs.google.com/spreadsheets/d/1-3Vjw2Cyy-mry5gbC8ypIR3YVGFfEpyFESummAta6sg/edit"", ""Sheet1!B:D""), 2, FALSE), ""Not Found"")"),"ʃoʊɪŋ")</f>
        <v>ʃoʊɪŋ</v>
      </c>
      <c r="E3185" s="2" t="str">
        <f>IFERROR(__xludf.DUMMYFUNCTION("IFERROR(VLOOKUP(A3185, IMPORTRANGE(""https://docs.google.com/spreadsheets/d/1-3Vjw2Cyy-mry5gbC8ypIR3YVGFfEpyFESummAta6sg/edit"", ""Sheet1!B:D""), 3, FALSE), ""Not Found"")"),"ʃ o ʊ ɪ ŋ ")</f>
        <v>ʃ o ʊ ɪ ŋ </v>
      </c>
    </row>
    <row r="3186">
      <c r="A3186" s="1" t="s">
        <v>3187</v>
      </c>
      <c r="B3186" s="1" t="s">
        <v>5</v>
      </c>
      <c r="C3186" s="2">
        <f>IFERROR(__xludf.DUMMYFUNCTION("IFERROR(VLOOKUP(A3186, IMPORTRANGE(""https://docs.google.com/spreadsheets/d/1AVX9GT0dgogEBStecCXMMQ29tWz3gBrtNB8yIromXbY/edit?gid=741673867"", ""out1g!A:B""), 2, FALSE), 0)"),1375.0)</f>
        <v>1375</v>
      </c>
      <c r="D3186" s="2" t="str">
        <f>IFERROR(__xludf.DUMMYFUNCTION("IFERROR(VLOOKUP(A3186, IMPORTRANGE(""https://docs.google.com/spreadsheets/d/1-3Vjw2Cyy-mry5gbC8ypIR3YVGFfEpyFESummAta6sg/edit"", ""Sheet1!B:D""), 2, FALSE), ""Not Found"")"),"fet")</f>
        <v>fet</v>
      </c>
      <c r="E3186" s="2" t="str">
        <f>IFERROR(__xludf.DUMMYFUNCTION("IFERROR(VLOOKUP(A3186, IMPORTRANGE(""https://docs.google.com/spreadsheets/d/1-3Vjw2Cyy-mry5gbC8ypIR3YVGFfEpyFESummAta6sg/edit"", ""Sheet1!B:D""), 3, FALSE), ""Not Found"")"),"f e t ")</f>
        <v>f e t </v>
      </c>
    </row>
    <row r="3187">
      <c r="A3187" s="1" t="s">
        <v>3188</v>
      </c>
      <c r="B3187" s="1" t="s">
        <v>5</v>
      </c>
      <c r="C3187" s="2">
        <f>IFERROR(__xludf.DUMMYFUNCTION("IFERROR(VLOOKUP(A3187, IMPORTRANGE(""https://docs.google.com/spreadsheets/d/1AVX9GT0dgogEBStecCXMMQ29tWz3gBrtNB8yIromXbY/edit?gid=741673867"", ""out1g!A:B""), 2, FALSE), 0)"),333.0)</f>
        <v>333</v>
      </c>
      <c r="D3187" s="2" t="str">
        <f>IFERROR(__xludf.DUMMYFUNCTION("IFERROR(VLOOKUP(A3187, IMPORTRANGE(""https://docs.google.com/spreadsheets/d/1-3Vjw2Cyy-mry5gbC8ypIR3YVGFfEpyFESummAta6sg/edit"", ""Sheet1!B:D""), 2, FALSE), ""Not Found"")"),"fɔrtin")</f>
        <v>fɔrtin</v>
      </c>
      <c r="E3187" s="2" t="str">
        <f>IFERROR(__xludf.DUMMYFUNCTION("IFERROR(VLOOKUP(A3187, IMPORTRANGE(""https://docs.google.com/spreadsheets/d/1-3Vjw2Cyy-mry5gbC8ypIR3YVGFfEpyFESummAta6sg/edit"", ""Sheet1!B:D""), 3, FALSE), ""Not Found"")"),"f ɔ r t i n ")</f>
        <v>f ɔ r t i n </v>
      </c>
    </row>
    <row r="3188">
      <c r="A3188" s="1" t="s">
        <v>3189</v>
      </c>
      <c r="B3188" s="1" t="s">
        <v>5</v>
      </c>
      <c r="C3188" s="2">
        <f>IFERROR(__xludf.DUMMYFUNCTION("IFERROR(VLOOKUP(A3188, IMPORTRANGE(""https://docs.google.com/spreadsheets/d/1AVX9GT0dgogEBStecCXMMQ29tWz3gBrtNB8yIromXbY/edit?gid=741673867"", ""out1g!A:B""), 2, FALSE), 0)"),800.0)</f>
        <v>800</v>
      </c>
      <c r="D3188" s="2" t="str">
        <f>IFERROR(__xludf.DUMMYFUNCTION("IFERROR(VLOOKUP(A3188, IMPORTRANGE(""https://docs.google.com/spreadsheets/d/1-3Vjw2Cyy-mry5gbC8ypIR3YVGFfEpyFESummAta6sg/edit"", ""Sheet1!B:D""), 2, FALSE), ""Not Found"")"),"sɪŋər")</f>
        <v>sɪŋər</v>
      </c>
      <c r="E3188" s="2" t="str">
        <f>IFERROR(__xludf.DUMMYFUNCTION("IFERROR(VLOOKUP(A3188, IMPORTRANGE(""https://docs.google.com/spreadsheets/d/1-3Vjw2Cyy-mry5gbC8ypIR3YVGFfEpyFESummAta6sg/edit"", ""Sheet1!B:D""), 3, FALSE), ""Not Found"")"),"s ɪ ŋ ə r ")</f>
        <v>s ɪ ŋ ə r </v>
      </c>
    </row>
    <row r="3189">
      <c r="A3189" s="1" t="s">
        <v>3190</v>
      </c>
      <c r="B3189" s="1" t="s">
        <v>5</v>
      </c>
      <c r="C3189" s="2">
        <f>IFERROR(__xludf.DUMMYFUNCTION("IFERROR(VLOOKUP(A3189, IMPORTRANGE(""https://docs.google.com/spreadsheets/d/1AVX9GT0dgogEBStecCXMMQ29tWz3gBrtNB8yIromXbY/edit?gid=741673867"", ""out1g!A:B""), 2, FALSE), 0)"),1839.0)</f>
        <v>1839</v>
      </c>
      <c r="D3189" s="2" t="str">
        <f>IFERROR(__xludf.DUMMYFUNCTION("IFERROR(VLOOKUP(A3189, IMPORTRANGE(""https://docs.google.com/spreadsheets/d/1-3Vjw2Cyy-mry5gbC8ypIR3YVGFfEpyFESummAta6sg/edit"", ""Sheet1!B:D""), 2, FALSE), ""Not Found"")"),"saɪnd")</f>
        <v>saɪnd</v>
      </c>
      <c r="E3189" s="2" t="str">
        <f>IFERROR(__xludf.DUMMYFUNCTION("IFERROR(VLOOKUP(A3189, IMPORTRANGE(""https://docs.google.com/spreadsheets/d/1-3Vjw2Cyy-mry5gbC8ypIR3YVGFfEpyFESummAta6sg/edit"", ""Sheet1!B:D""), 3, FALSE), ""Not Found"")"),"s a ɪ n d ")</f>
        <v>s a ɪ n d </v>
      </c>
    </row>
    <row r="3190">
      <c r="A3190" s="1" t="s">
        <v>3191</v>
      </c>
      <c r="B3190" s="1" t="s">
        <v>5</v>
      </c>
      <c r="C3190" s="2">
        <f>IFERROR(__xludf.DUMMYFUNCTION("IFERROR(VLOOKUP(A3190, IMPORTRANGE(""https://docs.google.com/spreadsheets/d/1AVX9GT0dgogEBStecCXMMQ29tWz3gBrtNB8yIromXbY/edit?gid=741673867"", ""out1g!A:B""), 2, FALSE), 0)"),68.0)</f>
        <v>68</v>
      </c>
      <c r="D3190" s="2" t="str">
        <f>IFERROR(__xludf.DUMMYFUNCTION("IFERROR(VLOOKUP(A3190, IMPORTRANGE(""https://docs.google.com/spreadsheets/d/1-3Vjw2Cyy-mry5gbC8ypIR3YVGFfEpyFESummAta6sg/edit"", ""Sheet1!B:D""), 2, FALSE), ""Not Found"")"),"nut")</f>
        <v>nut</v>
      </c>
      <c r="E3190" s="2" t="str">
        <f>IFERROR(__xludf.DUMMYFUNCTION("IFERROR(VLOOKUP(A3190, IMPORTRANGE(""https://docs.google.com/spreadsheets/d/1-3Vjw2Cyy-mry5gbC8ypIR3YVGFfEpyFESummAta6sg/edit"", ""Sheet1!B:D""), 3, FALSE), ""Not Found"")"),"n u t ")</f>
        <v>n u t </v>
      </c>
    </row>
    <row r="3191">
      <c r="A3191" s="1" t="s">
        <v>3192</v>
      </c>
      <c r="B3191" s="1" t="s">
        <v>5</v>
      </c>
      <c r="C3191" s="2">
        <f>IFERROR(__xludf.DUMMYFUNCTION("IFERROR(VLOOKUP(A3191, IMPORTRANGE(""https://docs.google.com/spreadsheets/d/1AVX9GT0dgogEBStecCXMMQ29tWz3gBrtNB8yIromXbY/edit?gid=741673867"", ""out1g!A:B""), 2, FALSE), 0)"),62.0)</f>
        <v>62</v>
      </c>
      <c r="D3191" s="2" t="str">
        <f>IFERROR(__xludf.DUMMYFUNCTION("IFERROR(VLOOKUP(A3191, IMPORTRANGE(""https://docs.google.com/spreadsheets/d/1-3Vjw2Cyy-mry5gbC8ypIR3YVGFfEpyFESummAta6sg/edit"", ""Sheet1!B:D""), 2, FALSE), ""Not Found"")"),"ʃaɪt")</f>
        <v>ʃaɪt</v>
      </c>
      <c r="E3191" s="2" t="str">
        <f>IFERROR(__xludf.DUMMYFUNCTION("IFERROR(VLOOKUP(A3191, IMPORTRANGE(""https://docs.google.com/spreadsheets/d/1-3Vjw2Cyy-mry5gbC8ypIR3YVGFfEpyFESummAta6sg/edit"", ""Sheet1!B:D""), 3, FALSE), ""Not Found"")"),"ʃ a ɪ t ")</f>
        <v>ʃ a ɪ t </v>
      </c>
    </row>
    <row r="3192">
      <c r="A3192" s="1" t="s">
        <v>3193</v>
      </c>
      <c r="B3192" s="1" t="s">
        <v>5</v>
      </c>
      <c r="C3192" s="2">
        <f>IFERROR(__xludf.DUMMYFUNCTION("IFERROR(VLOOKUP(A3192, IMPORTRANGE(""https://docs.google.com/spreadsheets/d/1AVX9GT0dgogEBStecCXMMQ29tWz3gBrtNB8yIromXbY/edit?gid=741673867"", ""out1g!A:B""), 2, FALSE), 0)"),68364.0)</f>
        <v>68364</v>
      </c>
      <c r="D3192" s="2" t="str">
        <f>IFERROR(__xludf.DUMMYFUNCTION("IFERROR(VLOOKUP(A3192, IMPORTRANGE(""https://docs.google.com/spreadsheets/d/1-3Vjw2Cyy-mry5gbC8ypIR3YVGFfEpyFESummAta6sg/edit"", ""Sheet1!B:D""), 2, FALSE), ""Not Found"")"),"baɪ")</f>
        <v>baɪ</v>
      </c>
      <c r="E3192" s="2" t="str">
        <f>IFERROR(__xludf.DUMMYFUNCTION("IFERROR(VLOOKUP(A3192, IMPORTRANGE(""https://docs.google.com/spreadsheets/d/1-3Vjw2Cyy-mry5gbC8ypIR3YVGFfEpyFESummAta6sg/edit"", ""Sheet1!B:D""), 3, FALSE), ""Not Found"")"),"b a ɪ ")</f>
        <v>b a ɪ </v>
      </c>
    </row>
    <row r="3193">
      <c r="A3193" s="1" t="s">
        <v>3194</v>
      </c>
      <c r="B3193" s="1" t="s">
        <v>5</v>
      </c>
      <c r="C3193" s="2">
        <f>IFERROR(__xludf.DUMMYFUNCTION("IFERROR(VLOOKUP(A3193, IMPORTRANGE(""https://docs.google.com/spreadsheets/d/1AVX9GT0dgogEBStecCXMMQ29tWz3gBrtNB8yIromXbY/edit?gid=741673867"", ""out1g!A:B""), 2, FALSE), 0)"),93.0)</f>
        <v>93</v>
      </c>
      <c r="D3193" s="2" t="str">
        <f>IFERROR(__xludf.DUMMYFUNCTION("IFERROR(VLOOKUP(A3193, IMPORTRANGE(""https://docs.google.com/spreadsheets/d/1-3Vjw2Cyy-mry5gbC8ypIR3YVGFfEpyFESummAta6sg/edit"", ""Sheet1!B:D""), 2, FALSE), ""Not Found"")"),"roʊpər")</f>
        <v>roʊpər</v>
      </c>
      <c r="E3193" s="2" t="str">
        <f>IFERROR(__xludf.DUMMYFUNCTION("IFERROR(VLOOKUP(A3193, IMPORTRANGE(""https://docs.google.com/spreadsheets/d/1-3Vjw2Cyy-mry5gbC8ypIR3YVGFfEpyFESummAta6sg/edit"", ""Sheet1!B:D""), 3, FALSE), ""Not Found"")"),"r o ʊ p ə r ")</f>
        <v>r o ʊ p ə r </v>
      </c>
    </row>
    <row r="3194">
      <c r="A3194" s="1" t="s">
        <v>3195</v>
      </c>
      <c r="B3194" s="1" t="s">
        <v>5</v>
      </c>
      <c r="C3194" s="2">
        <f>IFERROR(__xludf.DUMMYFUNCTION("IFERROR(VLOOKUP(A3194, IMPORTRANGE(""https://docs.google.com/spreadsheets/d/1AVX9GT0dgogEBStecCXMMQ29tWz3gBrtNB8yIromXbY/edit?gid=741673867"", ""out1g!A:B""), 2, FALSE), 0)"),155.0)</f>
        <v>155</v>
      </c>
      <c r="D3194" s="2" t="str">
        <f>IFERROR(__xludf.DUMMYFUNCTION("IFERROR(VLOOKUP(A3194, IMPORTRANGE(""https://docs.google.com/spreadsheets/d/1-3Vjw2Cyy-mry5gbC8ypIR3YVGFfEpyFESummAta6sg/edit"", ""Sheet1!B:D""), 2, FALSE), ""Not Found"")"),"kræps")</f>
        <v>kræps</v>
      </c>
      <c r="E3194" s="2" t="str">
        <f>IFERROR(__xludf.DUMMYFUNCTION("IFERROR(VLOOKUP(A3194, IMPORTRANGE(""https://docs.google.com/spreadsheets/d/1-3Vjw2Cyy-mry5gbC8ypIR3YVGFfEpyFESummAta6sg/edit"", ""Sheet1!B:D""), 3, FALSE), ""Not Found"")"),"k r æ p s ")</f>
        <v>k r æ p s </v>
      </c>
    </row>
    <row r="3195">
      <c r="A3195" s="1" t="s">
        <v>3196</v>
      </c>
      <c r="B3195" s="1" t="s">
        <v>5</v>
      </c>
      <c r="C3195" s="2">
        <f>IFERROR(__xludf.DUMMYFUNCTION("IFERROR(VLOOKUP(A3195, IMPORTRANGE(""https://docs.google.com/spreadsheets/d/1AVX9GT0dgogEBStecCXMMQ29tWz3gBrtNB8yIromXbY/edit?gid=741673867"", ""out1g!A:B""), 2, FALSE), 0)"),125.0)</f>
        <v>125</v>
      </c>
      <c r="D3195" s="2" t="str">
        <f>IFERROR(__xludf.DUMMYFUNCTION("IFERROR(VLOOKUP(A3195, IMPORTRANGE(""https://docs.google.com/spreadsheets/d/1-3Vjw2Cyy-mry5gbC8ypIR3YVGFfEpyFESummAta6sg/edit"", ""Sheet1!B:D""), 2, FALSE), ""Not Found"")"),"nɑb")</f>
        <v>nɑb</v>
      </c>
      <c r="E3195" s="2" t="str">
        <f>IFERROR(__xludf.DUMMYFUNCTION("IFERROR(VLOOKUP(A3195, IMPORTRANGE(""https://docs.google.com/spreadsheets/d/1-3Vjw2Cyy-mry5gbC8ypIR3YVGFfEpyFESummAta6sg/edit"", ""Sheet1!B:D""), 3, FALSE), ""Not Found"")"),"n ɑ b ")</f>
        <v>n ɑ b </v>
      </c>
    </row>
    <row r="3196">
      <c r="A3196" s="1" t="s">
        <v>3197</v>
      </c>
      <c r="B3196" s="1" t="s">
        <v>5</v>
      </c>
      <c r="C3196" s="2">
        <f>IFERROR(__xludf.DUMMYFUNCTION("IFERROR(VLOOKUP(A3196, IMPORTRANGE(""https://docs.google.com/spreadsheets/d/1AVX9GT0dgogEBStecCXMMQ29tWz3gBrtNB8yIromXbY/edit?gid=741673867"", ""out1g!A:B""), 2, FALSE), 0)"),190.0)</f>
        <v>190</v>
      </c>
      <c r="D3196" s="2" t="str">
        <f>IFERROR(__xludf.DUMMYFUNCTION("IFERROR(VLOOKUP(A3196, IMPORTRANGE(""https://docs.google.com/spreadsheets/d/1-3Vjw2Cyy-mry5gbC8ypIR3YVGFfEpyFESummAta6sg/edit"", ""Sheet1!B:D""), 2, FALSE), ""Not Found"")"),"igəlz")</f>
        <v>igəlz</v>
      </c>
      <c r="E3196" s="2" t="str">
        <f>IFERROR(__xludf.DUMMYFUNCTION("IFERROR(VLOOKUP(A3196, IMPORTRANGE(""https://docs.google.com/spreadsheets/d/1-3Vjw2Cyy-mry5gbC8ypIR3YVGFfEpyFESummAta6sg/edit"", ""Sheet1!B:D""), 3, FALSE), ""Not Found"")"),"i g ə l z ")</f>
        <v>i g ə l z </v>
      </c>
    </row>
    <row r="3197">
      <c r="A3197" s="1" t="s">
        <v>3198</v>
      </c>
      <c r="B3197" s="1" t="s">
        <v>5</v>
      </c>
      <c r="C3197" s="2">
        <f>IFERROR(__xludf.DUMMYFUNCTION("IFERROR(VLOOKUP(A3197, IMPORTRANGE(""https://docs.google.com/spreadsheets/d/1AVX9GT0dgogEBStecCXMMQ29tWz3gBrtNB8yIromXbY/edit?gid=741673867"", ""out1g!A:B""), 2, FALSE), 0)"),994.0)</f>
        <v>994</v>
      </c>
      <c r="D3197" s="2" t="str">
        <f>IFERROR(__xludf.DUMMYFUNCTION("IFERROR(VLOOKUP(A3197, IMPORTRANGE(""https://docs.google.com/spreadsheets/d/1-3Vjw2Cyy-mry5gbC8ypIR3YVGFfEpyFESummAta6sg/edit"", ""Sheet1!B:D""), 2, FALSE), ""Not Found"")"),"sɑlv")</f>
        <v>sɑlv</v>
      </c>
      <c r="E3197" s="2" t="str">
        <f>IFERROR(__xludf.DUMMYFUNCTION("IFERROR(VLOOKUP(A3197, IMPORTRANGE(""https://docs.google.com/spreadsheets/d/1-3Vjw2Cyy-mry5gbC8ypIR3YVGFfEpyFESummAta6sg/edit"", ""Sheet1!B:D""), 3, FALSE), ""Not Found"")"),"s ɑ l v ")</f>
        <v>s ɑ l v </v>
      </c>
    </row>
    <row r="3198">
      <c r="A3198" s="1" t="s">
        <v>3199</v>
      </c>
      <c r="B3198" s="1" t="s">
        <v>5</v>
      </c>
      <c r="C3198" s="2">
        <f>IFERROR(__xludf.DUMMYFUNCTION("IFERROR(VLOOKUP(A3198, IMPORTRANGE(""https://docs.google.com/spreadsheets/d/1AVX9GT0dgogEBStecCXMMQ29tWz3gBrtNB8yIromXbY/edit?gid=741673867"", ""out1g!A:B""), 2, FALSE), 0)"),923.0)</f>
        <v>923</v>
      </c>
      <c r="D3198" s="2" t="str">
        <f>IFERROR(__xludf.DUMMYFUNCTION("IFERROR(VLOOKUP(A3198, IMPORTRANGE(""https://docs.google.com/spreadsheets/d/1-3Vjw2Cyy-mry5gbC8ypIR3YVGFfEpyFESummAta6sg/edit"", ""Sheet1!B:D""), 2, FALSE), ""Not Found"")"),"ʤərzi")</f>
        <v>ʤərzi</v>
      </c>
      <c r="E3198" s="2" t="str">
        <f>IFERROR(__xludf.DUMMYFUNCTION("IFERROR(VLOOKUP(A3198, IMPORTRANGE(""https://docs.google.com/spreadsheets/d/1-3Vjw2Cyy-mry5gbC8ypIR3YVGFfEpyFESummAta6sg/edit"", ""Sheet1!B:D""), 3, FALSE), ""Not Found"")"),"ʤ ə r z i ")</f>
        <v>ʤ ə r z i </v>
      </c>
    </row>
    <row r="3199">
      <c r="A3199" s="1" t="s">
        <v>3200</v>
      </c>
      <c r="B3199" s="1" t="s">
        <v>5</v>
      </c>
      <c r="C3199" s="2">
        <f>IFERROR(__xludf.DUMMYFUNCTION("IFERROR(VLOOKUP(A3199, IMPORTRANGE(""https://docs.google.com/spreadsheets/d/1AVX9GT0dgogEBStecCXMMQ29tWz3gBrtNB8yIromXbY/edit?gid=741673867"", ""out1g!A:B""), 2, FALSE), 0)"),62.0)</f>
        <v>62</v>
      </c>
      <c r="D3199" s="2" t="str">
        <f>IFERROR(__xludf.DUMMYFUNCTION("IFERROR(VLOOKUP(A3199, IMPORTRANGE(""https://docs.google.com/spreadsheets/d/1-3Vjw2Cyy-mry5gbC8ypIR3YVGFfEpyFESummAta6sg/edit"", ""Sheet1!B:D""), 2, FALSE), ""Not Found"")"),"kɑli")</f>
        <v>kɑli</v>
      </c>
      <c r="E3199" s="2" t="str">
        <f>IFERROR(__xludf.DUMMYFUNCTION("IFERROR(VLOOKUP(A3199, IMPORTRANGE(""https://docs.google.com/spreadsheets/d/1-3Vjw2Cyy-mry5gbC8ypIR3YVGFfEpyFESummAta6sg/edit"", ""Sheet1!B:D""), 3, FALSE), ""Not Found"")"),"k ɑ l i ")</f>
        <v>k ɑ l i </v>
      </c>
    </row>
    <row r="3200">
      <c r="A3200" s="1" t="s">
        <v>3201</v>
      </c>
      <c r="B3200" s="1" t="s">
        <v>5</v>
      </c>
      <c r="C3200" s="2">
        <f>IFERROR(__xludf.DUMMYFUNCTION("IFERROR(VLOOKUP(A3200, IMPORTRANGE(""https://docs.google.com/spreadsheets/d/1AVX9GT0dgogEBStecCXMMQ29tWz3gBrtNB8yIromXbY/edit?gid=741673867"", ""out1g!A:B""), 2, FALSE), 0)"),52.0)</f>
        <v>52</v>
      </c>
      <c r="D3200" s="2" t="str">
        <f>IFERROR(__xludf.DUMMYFUNCTION("IFERROR(VLOOKUP(A3200, IMPORTRANGE(""https://docs.google.com/spreadsheets/d/1-3Vjw2Cyy-mry5gbC8ypIR3YVGFfEpyFESummAta6sg/edit"", ""Sheet1!B:D""), 2, FALSE), ""Not Found"")"),"sfɪŋks")</f>
        <v>sfɪŋks</v>
      </c>
      <c r="E3200" s="2" t="str">
        <f>IFERROR(__xludf.DUMMYFUNCTION("IFERROR(VLOOKUP(A3200, IMPORTRANGE(""https://docs.google.com/spreadsheets/d/1-3Vjw2Cyy-mry5gbC8ypIR3YVGFfEpyFESummAta6sg/edit"", ""Sheet1!B:D""), 3, FALSE), ""Not Found"")"),"s f ɪ ŋ k s ")</f>
        <v>s f ɪ ŋ k s </v>
      </c>
    </row>
    <row r="3201">
      <c r="A3201" s="1" t="s">
        <v>3202</v>
      </c>
      <c r="B3201" s="1" t="s">
        <v>5</v>
      </c>
      <c r="C3201" s="2">
        <f>IFERROR(__xludf.DUMMYFUNCTION("IFERROR(VLOOKUP(A3201, IMPORTRANGE(""https://docs.google.com/spreadsheets/d/1AVX9GT0dgogEBStecCXMMQ29tWz3gBrtNB8yIromXbY/edit?gid=741673867"", ""out1g!A:B""), 2, FALSE), 0)"),2521.0)</f>
        <v>2521</v>
      </c>
      <c r="D3201" s="2" t="str">
        <f>IFERROR(__xludf.DUMMYFUNCTION("IFERROR(VLOOKUP(A3201, IMPORTRANGE(""https://docs.google.com/spreadsheets/d/1-3Vjw2Cyy-mry5gbC8ypIR3YVGFfEpyFESummAta6sg/edit"", ""Sheet1!B:D""), 2, FALSE), ""Not Found"")"),"mæʧ")</f>
        <v>mæʧ</v>
      </c>
      <c r="E3201" s="2" t="str">
        <f>IFERROR(__xludf.DUMMYFUNCTION("IFERROR(VLOOKUP(A3201, IMPORTRANGE(""https://docs.google.com/spreadsheets/d/1-3Vjw2Cyy-mry5gbC8ypIR3YVGFfEpyFESummAta6sg/edit"", ""Sheet1!B:D""), 3, FALSE), ""Not Found"")"),"m æ ʧ ")</f>
        <v>m æ ʧ </v>
      </c>
    </row>
    <row r="3202">
      <c r="A3202" s="1" t="s">
        <v>3203</v>
      </c>
      <c r="B3202" s="1" t="s">
        <v>5</v>
      </c>
      <c r="C3202" s="2">
        <f>IFERROR(__xludf.DUMMYFUNCTION("IFERROR(VLOOKUP(A3202, IMPORTRANGE(""https://docs.google.com/spreadsheets/d/1AVX9GT0dgogEBStecCXMMQ29tWz3gBrtNB8yIromXbY/edit?gid=741673867"", ""out1g!A:B""), 2, FALSE), 0)"),336.0)</f>
        <v>336</v>
      </c>
      <c r="D3202" s="2" t="str">
        <f>IFERROR(__xludf.DUMMYFUNCTION("IFERROR(VLOOKUP(A3202, IMPORTRANGE(""https://docs.google.com/spreadsheets/d/1-3Vjw2Cyy-mry5gbC8ypIR3YVGFfEpyFESummAta6sg/edit"", ""Sheet1!B:D""), 2, FALSE), ""Not Found"")"),"noʊʃən")</f>
        <v>noʊʃən</v>
      </c>
      <c r="E3202" s="2" t="str">
        <f>IFERROR(__xludf.DUMMYFUNCTION("IFERROR(VLOOKUP(A3202, IMPORTRANGE(""https://docs.google.com/spreadsheets/d/1-3Vjw2Cyy-mry5gbC8ypIR3YVGFfEpyFESummAta6sg/edit"", ""Sheet1!B:D""), 3, FALSE), ""Not Found"")"),"n o ʊ ʃ ə n ")</f>
        <v>n o ʊ ʃ ə n </v>
      </c>
    </row>
    <row r="3203">
      <c r="A3203" s="1" t="s">
        <v>3204</v>
      </c>
      <c r="B3203" s="1" t="s">
        <v>5</v>
      </c>
      <c r="C3203" s="2">
        <f>IFERROR(__xludf.DUMMYFUNCTION("IFERROR(VLOOKUP(A3203, IMPORTRANGE(""https://docs.google.com/spreadsheets/d/1AVX9GT0dgogEBStecCXMMQ29tWz3gBrtNB8yIromXbY/edit?gid=741673867"", ""out1g!A:B""), 2, FALSE), 0)"),249.0)</f>
        <v>249</v>
      </c>
      <c r="D3203" s="2" t="str">
        <f>IFERROR(__xludf.DUMMYFUNCTION("IFERROR(VLOOKUP(A3203, IMPORTRANGE(""https://docs.google.com/spreadsheets/d/1-3Vjw2Cyy-mry5gbC8ypIR3YVGFfEpyFESummAta6sg/edit"", ""Sheet1!B:D""), 2, FALSE), ""Not Found"")"),"ʧaʊ")</f>
        <v>ʧaʊ</v>
      </c>
      <c r="E3203" s="2" t="str">
        <f>IFERROR(__xludf.DUMMYFUNCTION("IFERROR(VLOOKUP(A3203, IMPORTRANGE(""https://docs.google.com/spreadsheets/d/1-3Vjw2Cyy-mry5gbC8ypIR3YVGFfEpyFESummAta6sg/edit"", ""Sheet1!B:D""), 3, FALSE), ""Not Found"")"),"ʧ a ʊ ")</f>
        <v>ʧ a ʊ </v>
      </c>
    </row>
    <row r="3204">
      <c r="A3204" s="1" t="s">
        <v>3205</v>
      </c>
      <c r="B3204" s="1" t="s">
        <v>5</v>
      </c>
      <c r="C3204" s="2">
        <f>IFERROR(__xludf.DUMMYFUNCTION("IFERROR(VLOOKUP(A3204, IMPORTRANGE(""https://docs.google.com/spreadsheets/d/1AVX9GT0dgogEBStecCXMMQ29tWz3gBrtNB8yIromXbY/edit?gid=741673867"", ""out1g!A:B""), 2, FALSE), 0)"),63.0)</f>
        <v>63</v>
      </c>
      <c r="D3204" s="2" t="str">
        <f>IFERROR(__xludf.DUMMYFUNCTION("IFERROR(VLOOKUP(A3204, IMPORTRANGE(""https://docs.google.com/spreadsheets/d/1-3Vjw2Cyy-mry5gbC8ypIR3YVGFfEpyFESummAta6sg/edit"", ""Sheet1!B:D""), 2, FALSE), ""Not Found"")"),"mɪθs")</f>
        <v>mɪθs</v>
      </c>
      <c r="E3204" s="2" t="str">
        <f>IFERROR(__xludf.DUMMYFUNCTION("IFERROR(VLOOKUP(A3204, IMPORTRANGE(""https://docs.google.com/spreadsheets/d/1-3Vjw2Cyy-mry5gbC8ypIR3YVGFfEpyFESummAta6sg/edit"", ""Sheet1!B:D""), 3, FALSE), ""Not Found"")"),"m ɪ θ s ")</f>
        <v>m ɪ θ s </v>
      </c>
    </row>
    <row r="3205">
      <c r="A3205" s="1" t="s">
        <v>3206</v>
      </c>
      <c r="B3205" s="1" t="s">
        <v>5</v>
      </c>
      <c r="C3205" s="2">
        <f>IFERROR(__xludf.DUMMYFUNCTION("IFERROR(VLOOKUP(A3205, IMPORTRANGE(""https://docs.google.com/spreadsheets/d/1AVX9GT0dgogEBStecCXMMQ29tWz3gBrtNB8yIromXbY/edit?gid=741673867"", ""out1g!A:B""), 2, FALSE), 0)"),101.0)</f>
        <v>101</v>
      </c>
      <c r="D3205" s="2" t="str">
        <f>IFERROR(__xludf.DUMMYFUNCTION("IFERROR(VLOOKUP(A3205, IMPORTRANGE(""https://docs.google.com/spreadsheets/d/1-3Vjw2Cyy-mry5gbC8ypIR3YVGFfEpyFESummAta6sg/edit"", ""Sheet1!B:D""), 2, FALSE), ""Not Found"")"),"loʊkoʊ")</f>
        <v>loʊkoʊ</v>
      </c>
      <c r="E3205" s="2" t="str">
        <f>IFERROR(__xludf.DUMMYFUNCTION("IFERROR(VLOOKUP(A3205, IMPORTRANGE(""https://docs.google.com/spreadsheets/d/1-3Vjw2Cyy-mry5gbC8ypIR3YVGFfEpyFESummAta6sg/edit"", ""Sheet1!B:D""), 3, FALSE), ""Not Found"")"),"l o ʊ k o ʊ ")</f>
        <v>l o ʊ k o ʊ </v>
      </c>
    </row>
    <row r="3206">
      <c r="A3206" s="1" t="s">
        <v>3207</v>
      </c>
      <c r="B3206" s="1" t="s">
        <v>5</v>
      </c>
      <c r="C3206" s="2">
        <f>IFERROR(__xludf.DUMMYFUNCTION("IFERROR(VLOOKUP(A3206, IMPORTRANGE(""https://docs.google.com/spreadsheets/d/1AVX9GT0dgogEBStecCXMMQ29tWz3gBrtNB8yIromXbY/edit?gid=741673867"", ""out1g!A:B""), 2, FALSE), 0)"),294.0)</f>
        <v>294</v>
      </c>
      <c r="D3206" s="2" t="str">
        <f>IFERROR(__xludf.DUMMYFUNCTION("IFERROR(VLOOKUP(A3206, IMPORTRANGE(""https://docs.google.com/spreadsheets/d/1-3Vjw2Cyy-mry5gbC8ypIR3YVGFfEpyFESummAta6sg/edit"", ""Sheet1!B:D""), 2, FALSE), ""Not Found"")"),"disi")</f>
        <v>disi</v>
      </c>
      <c r="E3206" s="2" t="str">
        <f>IFERROR(__xludf.DUMMYFUNCTION("IFERROR(VLOOKUP(A3206, IMPORTRANGE(""https://docs.google.com/spreadsheets/d/1-3Vjw2Cyy-mry5gbC8ypIR3YVGFfEpyFESummAta6sg/edit"", ""Sheet1!B:D""), 3, FALSE), ""Not Found"")"),"d i s i ")</f>
        <v>d i s i </v>
      </c>
    </row>
    <row r="3207">
      <c r="A3207" s="1" t="s">
        <v>3208</v>
      </c>
      <c r="B3207" s="1" t="s">
        <v>5</v>
      </c>
      <c r="C3207" s="2">
        <f>IFERROR(__xludf.DUMMYFUNCTION("IFERROR(VLOOKUP(A3207, IMPORTRANGE(""https://docs.google.com/spreadsheets/d/1AVX9GT0dgogEBStecCXMMQ29tWz3gBrtNB8yIromXbY/edit?gid=741673867"", ""out1g!A:B""), 2, FALSE), 0)"),107.0)</f>
        <v>107</v>
      </c>
      <c r="D3207" s="2" t="str">
        <f>IFERROR(__xludf.DUMMYFUNCTION("IFERROR(VLOOKUP(A3207, IMPORTRANGE(""https://docs.google.com/spreadsheets/d/1-3Vjw2Cyy-mry5gbC8ypIR3YVGFfEpyFESummAta6sg/edit"", ""Sheet1!B:D""), 2, FALSE), ""Not Found"")"),"traɪfəl")</f>
        <v>traɪfəl</v>
      </c>
      <c r="E3207" s="2" t="str">
        <f>IFERROR(__xludf.DUMMYFUNCTION("IFERROR(VLOOKUP(A3207, IMPORTRANGE(""https://docs.google.com/spreadsheets/d/1-3Vjw2Cyy-mry5gbC8ypIR3YVGFfEpyFESummAta6sg/edit"", ""Sheet1!B:D""), 3, FALSE), ""Not Found"")"),"t r a ɪ f ə l ")</f>
        <v>t r a ɪ f ə l </v>
      </c>
    </row>
    <row r="3208">
      <c r="A3208" s="1" t="s">
        <v>3209</v>
      </c>
      <c r="B3208" s="1" t="s">
        <v>5</v>
      </c>
      <c r="C3208" s="2">
        <f>IFERROR(__xludf.DUMMYFUNCTION("IFERROR(VLOOKUP(A3208, IMPORTRANGE(""https://docs.google.com/spreadsheets/d/1AVX9GT0dgogEBStecCXMMQ29tWz3gBrtNB8yIromXbY/edit?gid=741673867"", ""out1g!A:B""), 2, FALSE), 0)"),361.0)</f>
        <v>361</v>
      </c>
      <c r="D3208" s="2" t="str">
        <f>IFERROR(__xludf.DUMMYFUNCTION("IFERROR(VLOOKUP(A3208, IMPORTRANGE(""https://docs.google.com/spreadsheets/d/1-3Vjw2Cyy-mry5gbC8ypIR3YVGFfEpyFESummAta6sg/edit"", ""Sheet1!B:D""), 2, FALSE), ""Not Found"")"),"ʤɪn")</f>
        <v>ʤɪn</v>
      </c>
      <c r="E3208" s="2" t="str">
        <f>IFERROR(__xludf.DUMMYFUNCTION("IFERROR(VLOOKUP(A3208, IMPORTRANGE(""https://docs.google.com/spreadsheets/d/1-3Vjw2Cyy-mry5gbC8ypIR3YVGFfEpyFESummAta6sg/edit"", ""Sheet1!B:D""), 3, FALSE), ""Not Found"")"),"ʤ ɪ n ")</f>
        <v>ʤ ɪ n </v>
      </c>
    </row>
    <row r="3209">
      <c r="A3209" s="1" t="s">
        <v>3210</v>
      </c>
      <c r="B3209" s="1" t="s">
        <v>5</v>
      </c>
      <c r="C3209" s="2">
        <f>IFERROR(__xludf.DUMMYFUNCTION("IFERROR(VLOOKUP(A3209, IMPORTRANGE(""https://docs.google.com/spreadsheets/d/1AVX9GT0dgogEBStecCXMMQ29tWz3gBrtNB8yIromXbY/edit?gid=741673867"", ""out1g!A:B""), 2, FALSE), 0)"),191.0)</f>
        <v>191</v>
      </c>
      <c r="D3209" s="2" t="str">
        <f>IFERROR(__xludf.DUMMYFUNCTION("IFERROR(VLOOKUP(A3209, IMPORTRANGE(""https://docs.google.com/spreadsheets/d/1-3Vjw2Cyy-mry5gbC8ypIR3YVGFfEpyFESummAta6sg/edit"", ""Sheet1!B:D""), 2, FALSE), ""Not Found"")"),"θaɪ")</f>
        <v>θaɪ</v>
      </c>
      <c r="E3209" s="2" t="str">
        <f>IFERROR(__xludf.DUMMYFUNCTION("IFERROR(VLOOKUP(A3209, IMPORTRANGE(""https://docs.google.com/spreadsheets/d/1-3Vjw2Cyy-mry5gbC8ypIR3YVGFfEpyFESummAta6sg/edit"", ""Sheet1!B:D""), 3, FALSE), ""Not Found"")"),"θ a ɪ ")</f>
        <v>θ a ɪ </v>
      </c>
    </row>
    <row r="3210">
      <c r="A3210" s="1" t="s">
        <v>3211</v>
      </c>
      <c r="B3210" s="1" t="s">
        <v>5</v>
      </c>
      <c r="C3210" s="2">
        <f>IFERROR(__xludf.DUMMYFUNCTION("IFERROR(VLOOKUP(A3210, IMPORTRANGE(""https://docs.google.com/spreadsheets/d/1AVX9GT0dgogEBStecCXMMQ29tWz3gBrtNB8yIromXbY/edit?gid=741673867"", ""out1g!A:B""), 2, FALSE), 0)"),977.0)</f>
        <v>977</v>
      </c>
      <c r="D3210" s="2" t="str">
        <f>IFERROR(__xludf.DUMMYFUNCTION("IFERROR(VLOOKUP(A3210, IMPORTRANGE(""https://docs.google.com/spreadsheets/d/1-3Vjw2Cyy-mry5gbC8ypIR3YVGFfEpyFESummAta6sg/edit"", ""Sheet1!B:D""), 2, FALSE), ""Not Found"")"),"buts")</f>
        <v>buts</v>
      </c>
      <c r="E3210" s="2" t="str">
        <f>IFERROR(__xludf.DUMMYFUNCTION("IFERROR(VLOOKUP(A3210, IMPORTRANGE(""https://docs.google.com/spreadsheets/d/1-3Vjw2Cyy-mry5gbC8ypIR3YVGFfEpyFESummAta6sg/edit"", ""Sheet1!B:D""), 3, FALSE), ""Not Found"")"),"b u t s ")</f>
        <v>b u t s </v>
      </c>
    </row>
    <row r="3211">
      <c r="A3211" s="1" t="s">
        <v>3212</v>
      </c>
      <c r="B3211" s="1" t="s">
        <v>5</v>
      </c>
      <c r="C3211" s="2">
        <f>IFERROR(__xludf.DUMMYFUNCTION("IFERROR(VLOOKUP(A3211, IMPORTRANGE(""https://docs.google.com/spreadsheets/d/1AVX9GT0dgogEBStecCXMMQ29tWz3gBrtNB8yIromXbY/edit?gid=741673867"", ""out1g!A:B""), 2, FALSE), 0)"),9.0)</f>
        <v>9</v>
      </c>
      <c r="D3211" s="2" t="str">
        <f>IFERROR(__xludf.DUMMYFUNCTION("IFERROR(VLOOKUP(A3211, IMPORTRANGE(""https://docs.google.com/spreadsheets/d/1-3Vjw2Cyy-mry5gbC8ypIR3YVGFfEpyFESummAta6sg/edit"", ""Sheet1!B:D""), 2, FALSE), ""Not Found"")"),"brɔni")</f>
        <v>brɔni</v>
      </c>
      <c r="E3211" s="2" t="str">
        <f>IFERROR(__xludf.DUMMYFUNCTION("IFERROR(VLOOKUP(A3211, IMPORTRANGE(""https://docs.google.com/spreadsheets/d/1-3Vjw2Cyy-mry5gbC8ypIR3YVGFfEpyFESummAta6sg/edit"", ""Sheet1!B:D""), 3, FALSE), ""Not Found"")"),"b r ɔ n i ")</f>
        <v>b r ɔ n i </v>
      </c>
    </row>
    <row r="3212">
      <c r="A3212" s="1" t="s">
        <v>3213</v>
      </c>
      <c r="B3212" s="1" t="s">
        <v>5</v>
      </c>
      <c r="C3212" s="2">
        <f>IFERROR(__xludf.DUMMYFUNCTION("IFERROR(VLOOKUP(A3212, IMPORTRANGE(""https://docs.google.com/spreadsheets/d/1AVX9GT0dgogEBStecCXMMQ29tWz3gBrtNB8yIromXbY/edit?gid=741673867"", ""out1g!A:B""), 2, FALSE), 0)"),66.0)</f>
        <v>66</v>
      </c>
      <c r="D3212" s="2" t="str">
        <f>IFERROR(__xludf.DUMMYFUNCTION("IFERROR(VLOOKUP(A3212, IMPORTRANGE(""https://docs.google.com/spreadsheets/d/1-3Vjw2Cyy-mry5gbC8ypIR3YVGFfEpyFESummAta6sg/edit"", ""Sheet1!B:D""), 2, FALSE), ""Not Found"")"),"hərʃi")</f>
        <v>hərʃi</v>
      </c>
      <c r="E3212" s="2" t="str">
        <f>IFERROR(__xludf.DUMMYFUNCTION("IFERROR(VLOOKUP(A3212, IMPORTRANGE(""https://docs.google.com/spreadsheets/d/1-3Vjw2Cyy-mry5gbC8ypIR3YVGFfEpyFESummAta6sg/edit"", ""Sheet1!B:D""), 3, FALSE), ""Not Found"")"),"h ə r ʃ i ")</f>
        <v>h ə r ʃ i </v>
      </c>
    </row>
    <row r="3213">
      <c r="A3213" s="1" t="s">
        <v>3214</v>
      </c>
      <c r="B3213" s="1" t="s">
        <v>5</v>
      </c>
      <c r="C3213" s="2">
        <f>IFERROR(__xludf.DUMMYFUNCTION("IFERROR(VLOOKUP(A3213, IMPORTRANGE(""https://docs.google.com/spreadsheets/d/1AVX9GT0dgogEBStecCXMMQ29tWz3gBrtNB8yIromXbY/edit?gid=741673867"", ""out1g!A:B""), 2, FALSE), 0)"),254.0)</f>
        <v>254</v>
      </c>
      <c r="D3213" s="2" t="str">
        <f>IFERROR(__xludf.DUMMYFUNCTION("IFERROR(VLOOKUP(A3213, IMPORTRANGE(""https://docs.google.com/spreadsheets/d/1-3Vjw2Cyy-mry5gbC8ypIR3YVGFfEpyFESummAta6sg/edit"", ""Sheet1!B:D""), 2, FALSE), ""Not Found"")"),"tɔrʧ")</f>
        <v>tɔrʧ</v>
      </c>
      <c r="E3213" s="2" t="str">
        <f>IFERROR(__xludf.DUMMYFUNCTION("IFERROR(VLOOKUP(A3213, IMPORTRANGE(""https://docs.google.com/spreadsheets/d/1-3Vjw2Cyy-mry5gbC8ypIR3YVGFfEpyFESummAta6sg/edit"", ""Sheet1!B:D""), 3, FALSE), ""Not Found"")"),"t ɔ r ʧ ")</f>
        <v>t ɔ r ʧ </v>
      </c>
    </row>
    <row r="3214">
      <c r="A3214" s="1" t="s">
        <v>3215</v>
      </c>
      <c r="B3214" s="1" t="s">
        <v>5</v>
      </c>
      <c r="C3214" s="2">
        <f>IFERROR(__xludf.DUMMYFUNCTION("IFERROR(VLOOKUP(A3214, IMPORTRANGE(""https://docs.google.com/spreadsheets/d/1AVX9GT0dgogEBStecCXMMQ29tWz3gBrtNB8yIromXbY/edit?gid=741673867"", ""out1g!A:B""), 2, FALSE), 0)"),145.0)</f>
        <v>145</v>
      </c>
      <c r="D3214" s="2" t="str">
        <f>IFERROR(__xludf.DUMMYFUNCTION("IFERROR(VLOOKUP(A3214, IMPORTRANGE(""https://docs.google.com/spreadsheets/d/1-3Vjw2Cyy-mry5gbC8ypIR3YVGFfEpyFESummAta6sg/edit"", ""Sheet1!B:D""), 2, FALSE), ""Not Found"")"),"mɔs")</f>
        <v>mɔs</v>
      </c>
      <c r="E3214" s="2" t="str">
        <f>IFERROR(__xludf.DUMMYFUNCTION("IFERROR(VLOOKUP(A3214, IMPORTRANGE(""https://docs.google.com/spreadsheets/d/1-3Vjw2Cyy-mry5gbC8ypIR3YVGFfEpyFESummAta6sg/edit"", ""Sheet1!B:D""), 3, FALSE), ""Not Found"")"),"m ɔ s ")</f>
        <v>m ɔ s </v>
      </c>
    </row>
    <row r="3215">
      <c r="A3215" s="1" t="s">
        <v>3216</v>
      </c>
      <c r="B3215" s="1" t="s">
        <v>5</v>
      </c>
      <c r="C3215" s="2">
        <f>IFERROR(__xludf.DUMMYFUNCTION("IFERROR(VLOOKUP(A3215, IMPORTRANGE(""https://docs.google.com/spreadsheets/d/1AVX9GT0dgogEBStecCXMMQ29tWz3gBrtNB8yIromXbY/edit?gid=741673867"", ""out1g!A:B""), 2, FALSE), 0)"),83.0)</f>
        <v>83</v>
      </c>
      <c r="D3215" s="2" t="str">
        <f>IFERROR(__xludf.DUMMYFUNCTION("IFERROR(VLOOKUP(A3215, IMPORTRANGE(""https://docs.google.com/spreadsheets/d/1-3Vjw2Cyy-mry5gbC8ypIR3YVGFfEpyFESummAta6sg/edit"", ""Sheet1!B:D""), 2, FALSE), ""Not Found"")"),"plænər")</f>
        <v>plænər</v>
      </c>
      <c r="E3215" s="2" t="str">
        <f>IFERROR(__xludf.DUMMYFUNCTION("IFERROR(VLOOKUP(A3215, IMPORTRANGE(""https://docs.google.com/spreadsheets/d/1-3Vjw2Cyy-mry5gbC8ypIR3YVGFfEpyFESummAta6sg/edit"", ""Sheet1!B:D""), 3, FALSE), ""Not Found"")"),"p l æ n ə r ")</f>
        <v>p l æ n ə r </v>
      </c>
    </row>
    <row r="3216">
      <c r="A3216" s="1" t="s">
        <v>3217</v>
      </c>
      <c r="B3216" s="1" t="s">
        <v>5</v>
      </c>
      <c r="C3216" s="2">
        <f>IFERROR(__xludf.DUMMYFUNCTION("IFERROR(VLOOKUP(A3216, IMPORTRANGE(""https://docs.google.com/spreadsheets/d/1AVX9GT0dgogEBStecCXMMQ29tWz3gBrtNB8yIromXbY/edit?gid=741673867"", ""out1g!A:B""), 2, FALSE), 0)"),658.0)</f>
        <v>658</v>
      </c>
      <c r="D3216" s="2" t="str">
        <f>IFERROR(__xludf.DUMMYFUNCTION("IFERROR(VLOOKUP(A3216, IMPORTRANGE(""https://docs.google.com/spreadsheets/d/1-3Vjw2Cyy-mry5gbC8ypIR3YVGFfEpyFESummAta6sg/edit"", ""Sheet1!B:D""), 2, FALSE), ""Not Found"")"),"klərk")</f>
        <v>klərk</v>
      </c>
      <c r="E3216" s="2" t="str">
        <f>IFERROR(__xludf.DUMMYFUNCTION("IFERROR(VLOOKUP(A3216, IMPORTRANGE(""https://docs.google.com/spreadsheets/d/1-3Vjw2Cyy-mry5gbC8ypIR3YVGFfEpyFESummAta6sg/edit"", ""Sheet1!B:D""), 3, FALSE), ""Not Found"")"),"k l ə r k ")</f>
        <v>k l ə r k </v>
      </c>
    </row>
    <row r="3217">
      <c r="A3217" s="1" t="s">
        <v>3218</v>
      </c>
      <c r="B3217" s="1" t="s">
        <v>5</v>
      </c>
      <c r="C3217" s="2">
        <f>IFERROR(__xludf.DUMMYFUNCTION("IFERROR(VLOOKUP(A3217, IMPORTRANGE(""https://docs.google.com/spreadsheets/d/1AVX9GT0dgogEBStecCXMMQ29tWz3gBrtNB8yIromXbY/edit?gid=741673867"", ""out1g!A:B""), 2, FALSE), 0)"),479.0)</f>
        <v>479</v>
      </c>
      <c r="D3217" s="2" t="str">
        <f>IFERROR(__xludf.DUMMYFUNCTION("IFERROR(VLOOKUP(A3217, IMPORTRANGE(""https://docs.google.com/spreadsheets/d/1-3Vjw2Cyy-mry5gbC8ypIR3YVGFfEpyFESummAta6sg/edit"", ""Sheet1!B:D""), 2, FALSE), ""Not Found"")"),"bərk")</f>
        <v>bərk</v>
      </c>
      <c r="E3217" s="2" t="str">
        <f>IFERROR(__xludf.DUMMYFUNCTION("IFERROR(VLOOKUP(A3217, IMPORTRANGE(""https://docs.google.com/spreadsheets/d/1-3Vjw2Cyy-mry5gbC8ypIR3YVGFfEpyFESummAta6sg/edit"", ""Sheet1!B:D""), 3, FALSE), ""Not Found"")"),"b ə r k ")</f>
        <v>b ə r k </v>
      </c>
    </row>
    <row r="3218">
      <c r="A3218" s="1" t="s">
        <v>3219</v>
      </c>
      <c r="B3218" s="1" t="s">
        <v>5</v>
      </c>
      <c r="C3218" s="2">
        <f>IFERROR(__xludf.DUMMYFUNCTION("IFERROR(VLOOKUP(A3218, IMPORTRANGE(""https://docs.google.com/spreadsheets/d/1AVX9GT0dgogEBStecCXMMQ29tWz3gBrtNB8yIromXbY/edit?gid=741673867"", ""out1g!A:B""), 2, FALSE), 0)"),1414.0)</f>
        <v>1414</v>
      </c>
      <c r="D3218" s="2" t="str">
        <f>IFERROR(__xludf.DUMMYFUNCTION("IFERROR(VLOOKUP(A3218, IMPORTRANGE(""https://docs.google.com/spreadsheets/d/1-3Vjw2Cyy-mry5gbC8ypIR3YVGFfEpyFESummAta6sg/edit"", ""Sheet1!B:D""), 2, FALSE), ""Not Found"")"),"eʧ")</f>
        <v>eʧ</v>
      </c>
      <c r="E3218" s="2" t="str">
        <f>IFERROR(__xludf.DUMMYFUNCTION("IFERROR(VLOOKUP(A3218, IMPORTRANGE(""https://docs.google.com/spreadsheets/d/1-3Vjw2Cyy-mry5gbC8ypIR3YVGFfEpyFESummAta6sg/edit"", ""Sheet1!B:D""), 3, FALSE), ""Not Found"")"),"e ʧ ")</f>
        <v>e ʧ </v>
      </c>
    </row>
    <row r="3219">
      <c r="A3219" s="1" t="s">
        <v>3220</v>
      </c>
      <c r="B3219" s="1" t="s">
        <v>5</v>
      </c>
      <c r="C3219" s="2">
        <f>IFERROR(__xludf.DUMMYFUNCTION("IFERROR(VLOOKUP(A3219, IMPORTRANGE(""https://docs.google.com/spreadsheets/d/1AVX9GT0dgogEBStecCXMMQ29tWz3gBrtNB8yIromXbY/edit?gid=741673867"", ""out1g!A:B""), 2, FALSE), 0)"),146.0)</f>
        <v>146</v>
      </c>
      <c r="D3219" s="2" t="str">
        <f>IFERROR(__xludf.DUMMYFUNCTION("IFERROR(VLOOKUP(A3219, IMPORTRANGE(""https://docs.google.com/spreadsheets/d/1-3Vjw2Cyy-mry5gbC8ypIR3YVGFfEpyFESummAta6sg/edit"", ""Sheet1!B:D""), 2, FALSE), ""Not Found"")"),"dus")</f>
        <v>dus</v>
      </c>
      <c r="E3219" s="2" t="str">
        <f>IFERROR(__xludf.DUMMYFUNCTION("IFERROR(VLOOKUP(A3219, IMPORTRANGE(""https://docs.google.com/spreadsheets/d/1-3Vjw2Cyy-mry5gbC8ypIR3YVGFfEpyFESummAta6sg/edit"", ""Sheet1!B:D""), 3, FALSE), ""Not Found"")"),"d u s ")</f>
        <v>d u s </v>
      </c>
    </row>
    <row r="3220">
      <c r="A3220" s="1" t="s">
        <v>3221</v>
      </c>
      <c r="B3220" s="1" t="s">
        <v>5</v>
      </c>
      <c r="C3220" s="2">
        <f>IFERROR(__xludf.DUMMYFUNCTION("IFERROR(VLOOKUP(A3220, IMPORTRANGE(""https://docs.google.com/spreadsheets/d/1AVX9GT0dgogEBStecCXMMQ29tWz3gBrtNB8yIromXbY/edit?gid=741673867"", ""out1g!A:B""), 2, FALSE), 0)"),987.0)</f>
        <v>987</v>
      </c>
      <c r="D3220" s="2" t="str">
        <f>IFERROR(__xludf.DUMMYFUNCTION("IFERROR(VLOOKUP(A3220, IMPORTRANGE(""https://docs.google.com/spreadsheets/d/1-3Vjw2Cyy-mry5gbC8ypIR3YVGFfEpyFESummAta6sg/edit"", ""Sheet1!B:D""), 2, FALSE), ""Not Found"")"),"spɪt")</f>
        <v>spɪt</v>
      </c>
      <c r="E3220" s="2" t="str">
        <f>IFERROR(__xludf.DUMMYFUNCTION("IFERROR(VLOOKUP(A3220, IMPORTRANGE(""https://docs.google.com/spreadsheets/d/1-3Vjw2Cyy-mry5gbC8ypIR3YVGFfEpyFESummAta6sg/edit"", ""Sheet1!B:D""), 3, FALSE), ""Not Found"")"),"s p ɪ t ")</f>
        <v>s p ɪ t </v>
      </c>
    </row>
    <row r="3221">
      <c r="A3221" s="1" t="s">
        <v>3222</v>
      </c>
      <c r="B3221" s="1" t="s">
        <v>5</v>
      </c>
      <c r="C3221" s="2">
        <f>IFERROR(__xludf.DUMMYFUNCTION("IFERROR(VLOOKUP(A3221, IMPORTRANGE(""https://docs.google.com/spreadsheets/d/1AVX9GT0dgogEBStecCXMMQ29tWz3gBrtNB8yIromXbY/edit?gid=741673867"", ""out1g!A:B""), 2, FALSE), 0)"),26.0)</f>
        <v>26</v>
      </c>
      <c r="D3221" s="2" t="str">
        <f>IFERROR(__xludf.DUMMYFUNCTION("IFERROR(VLOOKUP(A3221, IMPORTRANGE(""https://docs.google.com/spreadsheets/d/1-3Vjw2Cyy-mry5gbC8ypIR3YVGFfEpyFESummAta6sg/edit"", ""Sheet1!B:D""), 2, FALSE), ""Not Found"")"),"ʤɪf")</f>
        <v>ʤɪf</v>
      </c>
      <c r="E3221" s="2" t="str">
        <f>IFERROR(__xludf.DUMMYFUNCTION("IFERROR(VLOOKUP(A3221, IMPORTRANGE(""https://docs.google.com/spreadsheets/d/1-3Vjw2Cyy-mry5gbC8ypIR3YVGFfEpyFESummAta6sg/edit"", ""Sheet1!B:D""), 3, FALSE), ""Not Found"")"),"ʤ ɪ f ")</f>
        <v>ʤ ɪ f </v>
      </c>
    </row>
    <row r="3222">
      <c r="A3222" s="1" t="s">
        <v>3223</v>
      </c>
      <c r="B3222" s="1" t="s">
        <v>5</v>
      </c>
      <c r="C3222" s="2">
        <f>IFERROR(__xludf.DUMMYFUNCTION("IFERROR(VLOOKUP(A3222, IMPORTRANGE(""https://docs.google.com/spreadsheets/d/1AVX9GT0dgogEBStecCXMMQ29tWz3gBrtNB8yIromXbY/edit?gid=741673867"", ""out1g!A:B""), 2, FALSE), 0)"),344.0)</f>
        <v>344</v>
      </c>
      <c r="D3222" s="2" t="str">
        <f>IFERROR(__xludf.DUMMYFUNCTION("IFERROR(VLOOKUP(A3222, IMPORTRANGE(""https://docs.google.com/spreadsheets/d/1-3Vjw2Cyy-mry5gbC8ypIR3YVGFfEpyFESummAta6sg/edit"", ""Sheet1!B:D""), 2, FALSE), ""Not Found"")"),"tre")</f>
        <v>tre</v>
      </c>
      <c r="E3222" s="2" t="str">
        <f>IFERROR(__xludf.DUMMYFUNCTION("IFERROR(VLOOKUP(A3222, IMPORTRANGE(""https://docs.google.com/spreadsheets/d/1-3Vjw2Cyy-mry5gbC8ypIR3YVGFfEpyFESummAta6sg/edit"", ""Sheet1!B:D""), 3, FALSE), ""Not Found"")"),"t r e ")</f>
        <v>t r e </v>
      </c>
    </row>
    <row r="3223">
      <c r="A3223" s="1" t="s">
        <v>3224</v>
      </c>
      <c r="B3223" s="1" t="s">
        <v>5</v>
      </c>
      <c r="C3223" s="2">
        <f>IFERROR(__xludf.DUMMYFUNCTION("IFERROR(VLOOKUP(A3223, IMPORTRANGE(""https://docs.google.com/spreadsheets/d/1AVX9GT0dgogEBStecCXMMQ29tWz3gBrtNB8yIromXbY/edit?gid=741673867"", ""out1g!A:B""), 2, FALSE), 0)"),50.0)</f>
        <v>50</v>
      </c>
      <c r="D3223" s="2" t="str">
        <f>IFERROR(__xludf.DUMMYFUNCTION("IFERROR(VLOOKUP(A3223, IMPORTRANGE(""https://docs.google.com/spreadsheets/d/1-3Vjw2Cyy-mry5gbC8ypIR3YVGFfEpyFESummAta6sg/edit"", ""Sheet1!B:D""), 2, FALSE), ""Not Found"")"),"bɛrənz")</f>
        <v>bɛrənz</v>
      </c>
      <c r="E3223" s="2" t="str">
        <f>IFERROR(__xludf.DUMMYFUNCTION("IFERROR(VLOOKUP(A3223, IMPORTRANGE(""https://docs.google.com/spreadsheets/d/1-3Vjw2Cyy-mry5gbC8ypIR3YVGFfEpyFESummAta6sg/edit"", ""Sheet1!B:D""), 3, FALSE), ""Not Found"")"),"b ɛ r ə n z ")</f>
        <v>b ɛ r ə n z </v>
      </c>
    </row>
    <row r="3224">
      <c r="A3224" s="1" t="s">
        <v>3225</v>
      </c>
      <c r="B3224" s="1" t="s">
        <v>5</v>
      </c>
      <c r="C3224" s="2">
        <f>IFERROR(__xludf.DUMMYFUNCTION("IFERROR(VLOOKUP(A3224, IMPORTRANGE(""https://docs.google.com/spreadsheets/d/1AVX9GT0dgogEBStecCXMMQ29tWz3gBrtNB8yIromXbY/edit?gid=741673867"", ""out1g!A:B""), 2, FALSE), 0)"),3393.0)</f>
        <v>3393</v>
      </c>
      <c r="D3224" s="2" t="str">
        <f>IFERROR(__xludf.DUMMYFUNCTION("IFERROR(VLOOKUP(A3224, IMPORTRANGE(""https://docs.google.com/spreadsheets/d/1-3Vjw2Cyy-mry5gbC8ypIR3YVGFfEpyFESummAta6sg/edit"", ""Sheet1!B:D""), 2, FALSE), ""Not Found"")"),"raʊnd")</f>
        <v>raʊnd</v>
      </c>
      <c r="E3224" s="2" t="str">
        <f>IFERROR(__xludf.DUMMYFUNCTION("IFERROR(VLOOKUP(A3224, IMPORTRANGE(""https://docs.google.com/spreadsheets/d/1-3Vjw2Cyy-mry5gbC8ypIR3YVGFfEpyFESummAta6sg/edit"", ""Sheet1!B:D""), 3, FALSE), ""Not Found"")"),"r a ʊ n d ")</f>
        <v>r a ʊ n d </v>
      </c>
    </row>
    <row r="3225">
      <c r="A3225" s="1" t="s">
        <v>3226</v>
      </c>
      <c r="B3225" s="1" t="s">
        <v>5</v>
      </c>
      <c r="C3225" s="2">
        <f>IFERROR(__xludf.DUMMYFUNCTION("IFERROR(VLOOKUP(A3225, IMPORTRANGE(""https://docs.google.com/spreadsheets/d/1AVX9GT0dgogEBStecCXMMQ29tWz3gBrtNB8yIromXbY/edit?gid=741673867"", ""out1g!A:B""), 2, FALSE), 0)"),53.0)</f>
        <v>53</v>
      </c>
      <c r="D3225" s="2" t="str">
        <f>IFERROR(__xludf.DUMMYFUNCTION("IFERROR(VLOOKUP(A3225, IMPORTRANGE(""https://docs.google.com/spreadsheets/d/1-3Vjw2Cyy-mry5gbC8ypIR3YVGFfEpyFESummAta6sg/edit"", ""Sheet1!B:D""), 2, FALSE), ""Not Found"")"),"maʊðɪŋ")</f>
        <v>maʊðɪŋ</v>
      </c>
      <c r="E3225" s="2" t="str">
        <f>IFERROR(__xludf.DUMMYFUNCTION("IFERROR(VLOOKUP(A3225, IMPORTRANGE(""https://docs.google.com/spreadsheets/d/1-3Vjw2Cyy-mry5gbC8ypIR3YVGFfEpyFESummAta6sg/edit"", ""Sheet1!B:D""), 3, FALSE), ""Not Found"")"),"m a ʊ ð ɪ ŋ ")</f>
        <v>m a ʊ ð ɪ ŋ </v>
      </c>
    </row>
    <row r="3226">
      <c r="A3226" s="1" t="s">
        <v>3227</v>
      </c>
      <c r="B3226" s="1" t="s">
        <v>5</v>
      </c>
      <c r="C3226" s="2">
        <f>IFERROR(__xludf.DUMMYFUNCTION("IFERROR(VLOOKUP(A3226, IMPORTRANGE(""https://docs.google.com/spreadsheets/d/1AVX9GT0dgogEBStecCXMMQ29tWz3gBrtNB8yIromXbY/edit?gid=741673867"", ""out1g!A:B""), 2, FALSE), 0)"),48.0)</f>
        <v>48</v>
      </c>
      <c r="D3226" s="2" t="str">
        <f>IFERROR(__xludf.DUMMYFUNCTION("IFERROR(VLOOKUP(A3226, IMPORTRANGE(""https://docs.google.com/spreadsheets/d/1-3Vjw2Cyy-mry5gbC8ypIR3YVGFfEpyFESummAta6sg/edit"", ""Sheet1!B:D""), 2, FALSE), ""Not Found"")"),"bred")</f>
        <v>bred</v>
      </c>
      <c r="E3226" s="2" t="str">
        <f>IFERROR(__xludf.DUMMYFUNCTION("IFERROR(VLOOKUP(A3226, IMPORTRANGE(""https://docs.google.com/spreadsheets/d/1-3Vjw2Cyy-mry5gbC8ypIR3YVGFfEpyFESummAta6sg/edit"", ""Sheet1!B:D""), 3, FALSE), ""Not Found"")"),"b r e d ")</f>
        <v>b r e d </v>
      </c>
    </row>
    <row r="3227">
      <c r="A3227" s="1" t="s">
        <v>3228</v>
      </c>
      <c r="B3227" s="1" t="s">
        <v>5</v>
      </c>
      <c r="C3227" s="2">
        <f>IFERROR(__xludf.DUMMYFUNCTION("IFERROR(VLOOKUP(A3227, IMPORTRANGE(""https://docs.google.com/spreadsheets/d/1AVX9GT0dgogEBStecCXMMQ29tWz3gBrtNB8yIromXbY/edit?gid=741673867"", ""out1g!A:B""), 2, FALSE), 0)"),99.0)</f>
        <v>99</v>
      </c>
      <c r="D3227" s="2" t="str">
        <f>IFERROR(__xludf.DUMMYFUNCTION("IFERROR(VLOOKUP(A3227, IMPORTRANGE(""https://docs.google.com/spreadsheets/d/1-3Vjw2Cyy-mry5gbC8ypIR3YVGFfEpyFESummAta6sg/edit"", ""Sheet1!B:D""), 2, FALSE), ""Not Found"")"),"θəd")</f>
        <v>θəd</v>
      </c>
      <c r="E3227" s="2" t="str">
        <f>IFERROR(__xludf.DUMMYFUNCTION("IFERROR(VLOOKUP(A3227, IMPORTRANGE(""https://docs.google.com/spreadsheets/d/1-3Vjw2Cyy-mry5gbC8ypIR3YVGFfEpyFESummAta6sg/edit"", ""Sheet1!B:D""), 3, FALSE), ""Not Found"")"),"θ ə d ")</f>
        <v>θ ə d </v>
      </c>
    </row>
    <row r="3228">
      <c r="A3228" s="1" t="s">
        <v>3229</v>
      </c>
      <c r="B3228" s="1" t="s">
        <v>5</v>
      </c>
      <c r="C3228" s="2">
        <f>IFERROR(__xludf.DUMMYFUNCTION("IFERROR(VLOOKUP(A3228, IMPORTRANGE(""https://docs.google.com/spreadsheets/d/1AVX9GT0dgogEBStecCXMMQ29tWz3gBrtNB8yIromXbY/edit?gid=741673867"", ""out1g!A:B""), 2, FALSE), 0)"),2829.0)</f>
        <v>2829</v>
      </c>
      <c r="D3228" s="2" t="str">
        <f>IFERROR(__xludf.DUMMYFUNCTION("IFERROR(VLOOKUP(A3228, IMPORTRANGE(""https://docs.google.com/spreadsheets/d/1-3Vjw2Cyy-mry5gbC8ypIR3YVGFfEpyFESummAta6sg/edit"", ""Sheet1!B:D""), 2, FALSE), ""Not Found"")"),"rɪvər")</f>
        <v>rɪvər</v>
      </c>
      <c r="E3228" s="2" t="str">
        <f>IFERROR(__xludf.DUMMYFUNCTION("IFERROR(VLOOKUP(A3228, IMPORTRANGE(""https://docs.google.com/spreadsheets/d/1-3Vjw2Cyy-mry5gbC8ypIR3YVGFfEpyFESummAta6sg/edit"", ""Sheet1!B:D""), 3, FALSE), ""Not Found"")"),"r ɪ v ə r ")</f>
        <v>r ɪ v ə r </v>
      </c>
    </row>
    <row r="3229">
      <c r="A3229" s="1" t="s">
        <v>3230</v>
      </c>
      <c r="B3229" s="1" t="s">
        <v>5</v>
      </c>
      <c r="C3229" s="2">
        <f>IFERROR(__xludf.DUMMYFUNCTION("IFERROR(VLOOKUP(A3229, IMPORTRANGE(""https://docs.google.com/spreadsheets/d/1AVX9GT0dgogEBStecCXMMQ29tWz3gBrtNB8yIromXbY/edit?gid=741673867"", ""out1g!A:B""), 2, FALSE), 0)"),116.0)</f>
        <v>116</v>
      </c>
      <c r="D3229" s="2" t="str">
        <f>IFERROR(__xludf.DUMMYFUNCTION("IFERROR(VLOOKUP(A3229, IMPORTRANGE(""https://docs.google.com/spreadsheets/d/1-3Vjw2Cyy-mry5gbC8ypIR3YVGFfEpyFESummAta6sg/edit"", ""Sheet1!B:D""), 2, FALSE), ""Not Found"")"),"ʤərkɪŋ")</f>
        <v>ʤərkɪŋ</v>
      </c>
      <c r="E3229" s="2" t="str">
        <f>IFERROR(__xludf.DUMMYFUNCTION("IFERROR(VLOOKUP(A3229, IMPORTRANGE(""https://docs.google.com/spreadsheets/d/1-3Vjw2Cyy-mry5gbC8ypIR3YVGFfEpyFESummAta6sg/edit"", ""Sheet1!B:D""), 3, FALSE), ""Not Found"")"),"ʤ ə r k ɪ ŋ ")</f>
        <v>ʤ ə r k ɪ ŋ </v>
      </c>
    </row>
    <row r="3230">
      <c r="A3230" s="1" t="s">
        <v>3231</v>
      </c>
      <c r="B3230" s="1" t="s">
        <v>5</v>
      </c>
      <c r="C3230" s="2">
        <f>IFERROR(__xludf.DUMMYFUNCTION("IFERROR(VLOOKUP(A3230, IMPORTRANGE(""https://docs.google.com/spreadsheets/d/1AVX9GT0dgogEBStecCXMMQ29tWz3gBrtNB8yIromXbY/edit?gid=741673867"", ""out1g!A:B""), 2, FALSE), 0)"),105.0)</f>
        <v>105</v>
      </c>
      <c r="D3230" s="2" t="str">
        <f>IFERROR(__xludf.DUMMYFUNCTION("IFERROR(VLOOKUP(A3230, IMPORTRANGE(""https://docs.google.com/spreadsheets/d/1-3Vjw2Cyy-mry5gbC8ypIR3YVGFfEpyFESummAta6sg/edit"", ""Sheet1!B:D""), 2, FALSE), ""Not Found"")"),"leks")</f>
        <v>leks</v>
      </c>
      <c r="E3230" s="2" t="str">
        <f>IFERROR(__xludf.DUMMYFUNCTION("IFERROR(VLOOKUP(A3230, IMPORTRANGE(""https://docs.google.com/spreadsheets/d/1-3Vjw2Cyy-mry5gbC8ypIR3YVGFfEpyFESummAta6sg/edit"", ""Sheet1!B:D""), 3, FALSE), ""Not Found"")"),"l e k s ")</f>
        <v>l e k s </v>
      </c>
    </row>
    <row r="3231">
      <c r="A3231" s="1" t="s">
        <v>3232</v>
      </c>
      <c r="B3231" s="1" t="s">
        <v>5</v>
      </c>
      <c r="C3231" s="2">
        <f>IFERROR(__xludf.DUMMYFUNCTION("IFERROR(VLOOKUP(A3231, IMPORTRANGE(""https://docs.google.com/spreadsheets/d/1AVX9GT0dgogEBStecCXMMQ29tWz3gBrtNB8yIromXbY/edit?gid=741673867"", ""out1g!A:B""), 2, FALSE), 0)"),46.0)</f>
        <v>46</v>
      </c>
      <c r="D3231" s="2" t="str">
        <f>IFERROR(__xludf.DUMMYFUNCTION("IFERROR(VLOOKUP(A3231, IMPORTRANGE(""https://docs.google.com/spreadsheets/d/1-3Vjw2Cyy-mry5gbC8ypIR3YVGFfEpyFESummAta6sg/edit"", ""Sheet1!B:D""), 2, FALSE), ""Not Found"")"),"swərl")</f>
        <v>swərl</v>
      </c>
      <c r="E3231" s="2" t="str">
        <f>IFERROR(__xludf.DUMMYFUNCTION("IFERROR(VLOOKUP(A3231, IMPORTRANGE(""https://docs.google.com/spreadsheets/d/1-3Vjw2Cyy-mry5gbC8ypIR3YVGFfEpyFESummAta6sg/edit"", ""Sheet1!B:D""), 3, FALSE), ""Not Found"")"),"s w ə r l ")</f>
        <v>s w ə r l </v>
      </c>
    </row>
    <row r="3232">
      <c r="A3232" s="1" t="s">
        <v>3233</v>
      </c>
      <c r="B3232" s="1" t="s">
        <v>5</v>
      </c>
      <c r="C3232" s="2">
        <f>IFERROR(__xludf.DUMMYFUNCTION("IFERROR(VLOOKUP(A3232, IMPORTRANGE(""https://docs.google.com/spreadsheets/d/1AVX9GT0dgogEBStecCXMMQ29tWz3gBrtNB8yIromXbY/edit?gid=741673867"", ""out1g!A:B""), 2, FALSE), 0)"),182.0)</f>
        <v>182</v>
      </c>
      <c r="D3232" s="2" t="str">
        <f>IFERROR(__xludf.DUMMYFUNCTION("IFERROR(VLOOKUP(A3232, IMPORTRANGE(""https://docs.google.com/spreadsheets/d/1-3Vjw2Cyy-mry5gbC8ypIR3YVGFfEpyFESummAta6sg/edit"", ""Sheet1!B:D""), 2, FALSE), ""Not Found"")"),"slɑb")</f>
        <v>slɑb</v>
      </c>
      <c r="E3232" s="2" t="str">
        <f>IFERROR(__xludf.DUMMYFUNCTION("IFERROR(VLOOKUP(A3232, IMPORTRANGE(""https://docs.google.com/spreadsheets/d/1-3Vjw2Cyy-mry5gbC8ypIR3YVGFfEpyFESummAta6sg/edit"", ""Sheet1!B:D""), 3, FALSE), ""Not Found"")"),"s l ɑ b ")</f>
        <v>s l ɑ b </v>
      </c>
    </row>
    <row r="3233">
      <c r="A3233" s="1" t="s">
        <v>3234</v>
      </c>
      <c r="B3233" s="1" t="s">
        <v>5</v>
      </c>
      <c r="C3233" s="2">
        <f>IFERROR(__xludf.DUMMYFUNCTION("IFERROR(VLOOKUP(A3233, IMPORTRANGE(""https://docs.google.com/spreadsheets/d/1AVX9GT0dgogEBStecCXMMQ29tWz3gBrtNB8yIromXbY/edit?gid=741673867"", ""out1g!A:B""), 2, FALSE), 0)"),7313.0)</f>
        <v>7313</v>
      </c>
      <c r="D3233" s="2" t="str">
        <f>IFERROR(__xludf.DUMMYFUNCTION("IFERROR(VLOOKUP(A3233, IMPORTRANGE(""https://docs.google.com/spreadsheets/d/1-3Vjw2Cyy-mry5gbC8ypIR3YVGFfEpyFESummAta6sg/edit"", ""Sheet1!B:D""), 2, FALSE), ""Not Found"")"),"saʊnd")</f>
        <v>saʊnd</v>
      </c>
      <c r="E3233" s="2" t="str">
        <f>IFERROR(__xludf.DUMMYFUNCTION("IFERROR(VLOOKUP(A3233, IMPORTRANGE(""https://docs.google.com/spreadsheets/d/1-3Vjw2Cyy-mry5gbC8ypIR3YVGFfEpyFESummAta6sg/edit"", ""Sheet1!B:D""), 3, FALSE), ""Not Found"")"),"s a ʊ n d ")</f>
        <v>s a ʊ n d </v>
      </c>
    </row>
    <row r="3234">
      <c r="A3234" s="1" t="s">
        <v>3235</v>
      </c>
      <c r="B3234" s="1" t="s">
        <v>5</v>
      </c>
      <c r="C3234" s="2">
        <f>IFERROR(__xludf.DUMMYFUNCTION("IFERROR(VLOOKUP(A3234, IMPORTRANGE(""https://docs.google.com/spreadsheets/d/1AVX9GT0dgogEBStecCXMMQ29tWz3gBrtNB8yIromXbY/edit?gid=741673867"", ""out1g!A:B""), 2, FALSE), 0)"),257.0)</f>
        <v>257</v>
      </c>
      <c r="D3234" s="2" t="str">
        <f>IFERROR(__xludf.DUMMYFUNCTION("IFERROR(VLOOKUP(A3234, IMPORTRANGE(""https://docs.google.com/spreadsheets/d/1-3Vjw2Cyy-mry5gbC8ypIR3YVGFfEpyFESummAta6sg/edit"", ""Sheet1!B:D""), 2, FALSE), ""Not Found"")"),"lɪnʧ")</f>
        <v>lɪnʧ</v>
      </c>
      <c r="E3234" s="2" t="str">
        <f>IFERROR(__xludf.DUMMYFUNCTION("IFERROR(VLOOKUP(A3234, IMPORTRANGE(""https://docs.google.com/spreadsheets/d/1-3Vjw2Cyy-mry5gbC8ypIR3YVGFfEpyFESummAta6sg/edit"", ""Sheet1!B:D""), 3, FALSE), ""Not Found"")"),"l ɪ n ʧ ")</f>
        <v>l ɪ n ʧ </v>
      </c>
    </row>
    <row r="3235">
      <c r="A3235" s="1" t="s">
        <v>3236</v>
      </c>
      <c r="B3235" s="1" t="s">
        <v>5</v>
      </c>
      <c r="C3235" s="2">
        <f>IFERROR(__xludf.DUMMYFUNCTION("IFERROR(VLOOKUP(A3235, IMPORTRANGE(""https://docs.google.com/spreadsheets/d/1AVX9GT0dgogEBStecCXMMQ29tWz3gBrtNB8yIromXbY/edit?gid=741673867"", ""out1g!A:B""), 2, FALSE), 0)"),162.0)</f>
        <v>162</v>
      </c>
      <c r="D3235" s="2" t="str">
        <f>IFERROR(__xludf.DUMMYFUNCTION("IFERROR(VLOOKUP(A3235, IMPORTRANGE(""https://docs.google.com/spreadsheets/d/1-3Vjw2Cyy-mry5gbC8ypIR3YVGFfEpyFESummAta6sg/edit"", ""Sheet1!B:D""), 2, FALSE), ""Not Found"")"),"lɪri")</f>
        <v>lɪri</v>
      </c>
      <c r="E3235" s="2" t="str">
        <f>IFERROR(__xludf.DUMMYFUNCTION("IFERROR(VLOOKUP(A3235, IMPORTRANGE(""https://docs.google.com/spreadsheets/d/1-3Vjw2Cyy-mry5gbC8ypIR3YVGFfEpyFESummAta6sg/edit"", ""Sheet1!B:D""), 3, FALSE), ""Not Found"")"),"l ɪ r i ")</f>
        <v>l ɪ r i </v>
      </c>
    </row>
    <row r="3236">
      <c r="A3236" s="1" t="s">
        <v>3237</v>
      </c>
      <c r="B3236" s="1" t="s">
        <v>5</v>
      </c>
      <c r="C3236" s="2">
        <f>IFERROR(__xludf.DUMMYFUNCTION("IFERROR(VLOOKUP(A3236, IMPORTRANGE(""https://docs.google.com/spreadsheets/d/1AVX9GT0dgogEBStecCXMMQ29tWz3gBrtNB8yIromXbY/edit?gid=741673867"", ""out1g!A:B""), 2, FALSE), 0)"),970.0)</f>
        <v>970</v>
      </c>
      <c r="D3236" s="2" t="str">
        <f>IFERROR(__xludf.DUMMYFUNCTION("IFERROR(VLOOKUP(A3236, IMPORTRANGE(""https://docs.google.com/spreadsheets/d/1-3Vjw2Cyy-mry5gbC8ypIR3YVGFfEpyFESummAta6sg/edit"", ""Sheet1!B:D""), 2, FALSE), ""Not Found"")"),"ɑdz")</f>
        <v>ɑdz</v>
      </c>
      <c r="E3236" s="2" t="str">
        <f>IFERROR(__xludf.DUMMYFUNCTION("IFERROR(VLOOKUP(A3236, IMPORTRANGE(""https://docs.google.com/spreadsheets/d/1-3Vjw2Cyy-mry5gbC8ypIR3YVGFfEpyFESummAta6sg/edit"", ""Sheet1!B:D""), 3, FALSE), ""Not Found"")"),"ɑ d z ")</f>
        <v>ɑ d z </v>
      </c>
    </row>
    <row r="3237">
      <c r="A3237" s="1" t="s">
        <v>3238</v>
      </c>
      <c r="B3237" s="1" t="s">
        <v>5</v>
      </c>
      <c r="C3237" s="2">
        <f>IFERROR(__xludf.DUMMYFUNCTION("IFERROR(VLOOKUP(A3237, IMPORTRANGE(""https://docs.google.com/spreadsheets/d/1AVX9GT0dgogEBStecCXMMQ29tWz3gBrtNB8yIromXbY/edit?gid=741673867"", ""out1g!A:B""), 2, FALSE), 0)"),474.0)</f>
        <v>474</v>
      </c>
      <c r="D3237" s="2" t="str">
        <f>IFERROR(__xludf.DUMMYFUNCTION("IFERROR(VLOOKUP(A3237, IMPORTRANGE(""https://docs.google.com/spreadsheets/d/1-3Vjw2Cyy-mry5gbC8ypIR3YVGFfEpyFESummAta6sg/edit"", ""Sheet1!B:D""), 2, FALSE), ""Not Found"")"),"glɔriəs")</f>
        <v>glɔriəs</v>
      </c>
      <c r="E3237" s="2" t="str">
        <f>IFERROR(__xludf.DUMMYFUNCTION("IFERROR(VLOOKUP(A3237, IMPORTRANGE(""https://docs.google.com/spreadsheets/d/1-3Vjw2Cyy-mry5gbC8ypIR3YVGFfEpyFESummAta6sg/edit"", ""Sheet1!B:D""), 3, FALSE), ""Not Found"")"),"g l ɔ r i ə s ")</f>
        <v>g l ɔ r i ə s </v>
      </c>
    </row>
    <row r="3238">
      <c r="A3238" s="1" t="s">
        <v>3239</v>
      </c>
      <c r="B3238" s="1" t="s">
        <v>5</v>
      </c>
      <c r="C3238" s="2">
        <f>IFERROR(__xludf.DUMMYFUNCTION("IFERROR(VLOOKUP(A3238, IMPORTRANGE(""https://docs.google.com/spreadsheets/d/1AVX9GT0dgogEBStecCXMMQ29tWz3gBrtNB8yIromXbY/edit?gid=741673867"", ""out1g!A:B""), 2, FALSE), 0)"),564.0)</f>
        <v>564</v>
      </c>
      <c r="D3238" s="2" t="str">
        <f>IFERROR(__xludf.DUMMYFUNCTION("IFERROR(VLOOKUP(A3238, IMPORTRANGE(""https://docs.google.com/spreadsheets/d/1-3Vjw2Cyy-mry5gbC8ypIR3YVGFfEpyFESummAta6sg/edit"", ""Sheet1!B:D""), 2, FALSE), ""Not Found"")"),"ʧɑrli")</f>
        <v>ʧɑrli</v>
      </c>
      <c r="E3238" s="2" t="str">
        <f>IFERROR(__xludf.DUMMYFUNCTION("IFERROR(VLOOKUP(A3238, IMPORTRANGE(""https://docs.google.com/spreadsheets/d/1-3Vjw2Cyy-mry5gbC8ypIR3YVGFfEpyFESummAta6sg/edit"", ""Sheet1!B:D""), 3, FALSE), ""Not Found"")"),"ʧ ɑ r l i ")</f>
        <v>ʧ ɑ r l i </v>
      </c>
    </row>
    <row r="3239">
      <c r="A3239" s="1" t="s">
        <v>3240</v>
      </c>
      <c r="B3239" s="1" t="s">
        <v>5</v>
      </c>
      <c r="C3239" s="2">
        <f>IFERROR(__xludf.DUMMYFUNCTION("IFERROR(VLOOKUP(A3239, IMPORTRANGE(""https://docs.google.com/spreadsheets/d/1AVX9GT0dgogEBStecCXMMQ29tWz3gBrtNB8yIromXbY/edit?gid=741673867"", ""out1g!A:B""), 2, FALSE), 0)"),106.0)</f>
        <v>106</v>
      </c>
      <c r="D3239" s="2" t="str">
        <f>IFERROR(__xludf.DUMMYFUNCTION("IFERROR(VLOOKUP(A3239, IMPORTRANGE(""https://docs.google.com/spreadsheets/d/1-3Vjw2Cyy-mry5gbC8ypIR3YVGFfEpyFESummAta6sg/edit"", ""Sheet1!B:D""), 2, FALSE), ""Not Found"")"),"plæk")</f>
        <v>plæk</v>
      </c>
      <c r="E3239" s="2" t="str">
        <f>IFERROR(__xludf.DUMMYFUNCTION("IFERROR(VLOOKUP(A3239, IMPORTRANGE(""https://docs.google.com/spreadsheets/d/1-3Vjw2Cyy-mry5gbC8ypIR3YVGFfEpyFESummAta6sg/edit"", ""Sheet1!B:D""), 3, FALSE), ""Not Found"")"),"p l æ k ")</f>
        <v>p l æ k </v>
      </c>
    </row>
    <row r="3240">
      <c r="A3240" s="1" t="s">
        <v>3241</v>
      </c>
      <c r="B3240" s="1" t="s">
        <v>5</v>
      </c>
      <c r="C3240" s="2">
        <f>IFERROR(__xludf.DUMMYFUNCTION("IFERROR(VLOOKUP(A3240, IMPORTRANGE(""https://docs.google.com/spreadsheets/d/1AVX9GT0dgogEBStecCXMMQ29tWz3gBrtNB8yIromXbY/edit?gid=741673867"", ""out1g!A:B""), 2, FALSE), 0)"),9441.0)</f>
        <v>9441</v>
      </c>
      <c r="D3240" s="2" t="str">
        <f>IFERROR(__xludf.DUMMYFUNCTION("IFERROR(VLOOKUP(A3240, IMPORTRANGE(""https://docs.google.com/spreadsheets/d/1-3Vjw2Cyy-mry5gbC8ypIR3YVGFfEpyFESummAta6sg/edit"", ""Sheet1!B:D""), 2, FALSE), ""Not Found"")"),"ʃæl")</f>
        <v>ʃæl</v>
      </c>
      <c r="E3240" s="2" t="str">
        <f>IFERROR(__xludf.DUMMYFUNCTION("IFERROR(VLOOKUP(A3240, IMPORTRANGE(""https://docs.google.com/spreadsheets/d/1-3Vjw2Cyy-mry5gbC8ypIR3YVGFfEpyFESummAta6sg/edit"", ""Sheet1!B:D""), 3, FALSE), ""Not Found"")"),"ʃ æ l ")</f>
        <v>ʃ æ l </v>
      </c>
    </row>
    <row r="3241">
      <c r="A3241" s="1" t="s">
        <v>3242</v>
      </c>
      <c r="B3241" s="1" t="s">
        <v>5</v>
      </c>
      <c r="C3241" s="2">
        <f>IFERROR(__xludf.DUMMYFUNCTION("IFERROR(VLOOKUP(A3241, IMPORTRANGE(""https://docs.google.com/spreadsheets/d/1AVX9GT0dgogEBStecCXMMQ29tWz3gBrtNB8yIromXbY/edit?gid=741673867"", ""out1g!A:B""), 2, FALSE), 0)"),55.0)</f>
        <v>55</v>
      </c>
      <c r="D3241" s="2" t="str">
        <f>IFERROR(__xludf.DUMMYFUNCTION("IFERROR(VLOOKUP(A3241, IMPORTRANGE(""https://docs.google.com/spreadsheets/d/1-3Vjw2Cyy-mry5gbC8ypIR3YVGFfEpyFESummAta6sg/edit"", ""Sheet1!B:D""), 2, FALSE), ""Not Found"")"),"butik")</f>
        <v>butik</v>
      </c>
      <c r="E3241" s="2" t="str">
        <f>IFERROR(__xludf.DUMMYFUNCTION("IFERROR(VLOOKUP(A3241, IMPORTRANGE(""https://docs.google.com/spreadsheets/d/1-3Vjw2Cyy-mry5gbC8ypIR3YVGFfEpyFESummAta6sg/edit"", ""Sheet1!B:D""), 3, FALSE), ""Not Found"")"),"b u t i k ")</f>
        <v>b u t i k </v>
      </c>
    </row>
    <row r="3242">
      <c r="A3242" s="1" t="s">
        <v>3243</v>
      </c>
      <c r="B3242" s="1" t="s">
        <v>5</v>
      </c>
      <c r="C3242" s="2">
        <f>IFERROR(__xludf.DUMMYFUNCTION("IFERROR(VLOOKUP(A3242, IMPORTRANGE(""https://docs.google.com/spreadsheets/d/1AVX9GT0dgogEBStecCXMMQ29tWz3gBrtNB8yIromXbY/edit?gid=741673867"", ""out1g!A:B""), 2, FALSE), 0)"),191.0)</f>
        <v>191</v>
      </c>
      <c r="D3242" s="2" t="str">
        <f>IFERROR(__xludf.DUMMYFUNCTION("IFERROR(VLOOKUP(A3242, IMPORTRANGE(""https://docs.google.com/spreadsheets/d/1-3Vjw2Cyy-mry5gbC8ypIR3YVGFfEpyFESummAta6sg/edit"", ""Sheet1!B:D""), 2, FALSE), ""Not Found"")"),"pædəl")</f>
        <v>pædəl</v>
      </c>
      <c r="E3242" s="2" t="str">
        <f>IFERROR(__xludf.DUMMYFUNCTION("IFERROR(VLOOKUP(A3242, IMPORTRANGE(""https://docs.google.com/spreadsheets/d/1-3Vjw2Cyy-mry5gbC8ypIR3YVGFfEpyFESummAta6sg/edit"", ""Sheet1!B:D""), 3, FALSE), ""Not Found"")"),"p æ d ə l ")</f>
        <v>p æ d ə l </v>
      </c>
    </row>
    <row r="3243">
      <c r="A3243" s="1" t="s">
        <v>3244</v>
      </c>
      <c r="B3243" s="1" t="s">
        <v>5</v>
      </c>
      <c r="C3243" s="2">
        <f>IFERROR(__xludf.DUMMYFUNCTION("IFERROR(VLOOKUP(A3243, IMPORTRANGE(""https://docs.google.com/spreadsheets/d/1AVX9GT0dgogEBStecCXMMQ29tWz3gBrtNB8yIromXbY/edit?gid=741673867"", ""out1g!A:B""), 2, FALSE), 0)"),238.0)</f>
        <v>238</v>
      </c>
      <c r="D3243" s="2" t="str">
        <f>IFERROR(__xludf.DUMMYFUNCTION("IFERROR(VLOOKUP(A3243, IMPORTRANGE(""https://docs.google.com/spreadsheets/d/1-3Vjw2Cyy-mry5gbC8ypIR3YVGFfEpyFESummAta6sg/edit"", ""Sheet1!B:D""), 2, FALSE), ""Not Found"")"),"lɪm")</f>
        <v>lɪm</v>
      </c>
      <c r="E3243" s="2" t="str">
        <f>IFERROR(__xludf.DUMMYFUNCTION("IFERROR(VLOOKUP(A3243, IMPORTRANGE(""https://docs.google.com/spreadsheets/d/1-3Vjw2Cyy-mry5gbC8ypIR3YVGFfEpyFESummAta6sg/edit"", ""Sheet1!B:D""), 3, FALSE), ""Not Found"")"),"l ɪ m ")</f>
        <v>l ɪ m </v>
      </c>
    </row>
    <row r="3244">
      <c r="A3244" s="1" t="s">
        <v>3245</v>
      </c>
      <c r="B3244" s="1" t="s">
        <v>5</v>
      </c>
      <c r="C3244" s="2">
        <f>IFERROR(__xludf.DUMMYFUNCTION("IFERROR(VLOOKUP(A3244, IMPORTRANGE(""https://docs.google.com/spreadsheets/d/1AVX9GT0dgogEBStecCXMMQ29tWz3gBrtNB8yIromXbY/edit?gid=741673867"", ""out1g!A:B""), 2, FALSE), 0)"),243.0)</f>
        <v>243</v>
      </c>
      <c r="D3244" s="2" t="str">
        <f>IFERROR(__xludf.DUMMYFUNCTION("IFERROR(VLOOKUP(A3244, IMPORTRANGE(""https://docs.google.com/spreadsheets/d/1-3Vjw2Cyy-mry5gbC8ypIR3YVGFfEpyFESummAta6sg/edit"", ""Sheet1!B:D""), 2, FALSE), ""Not Found"")"),"gren")</f>
        <v>gren</v>
      </c>
      <c r="E3244" s="2" t="str">
        <f>IFERROR(__xludf.DUMMYFUNCTION("IFERROR(VLOOKUP(A3244, IMPORTRANGE(""https://docs.google.com/spreadsheets/d/1-3Vjw2Cyy-mry5gbC8ypIR3YVGFfEpyFESummAta6sg/edit"", ""Sheet1!B:D""), 3, FALSE), ""Not Found"")"),"g r e n ")</f>
        <v>g r e n </v>
      </c>
    </row>
    <row r="3245">
      <c r="A3245" s="1" t="s">
        <v>3246</v>
      </c>
      <c r="B3245" s="1" t="s">
        <v>5</v>
      </c>
      <c r="C3245" s="2">
        <f>IFERROR(__xludf.DUMMYFUNCTION("IFERROR(VLOOKUP(A3245, IMPORTRANGE(""https://docs.google.com/spreadsheets/d/1AVX9GT0dgogEBStecCXMMQ29tWz3gBrtNB8yIromXbY/edit?gid=741673867"", ""out1g!A:B""), 2, FALSE), 0)"),270.0)</f>
        <v>270</v>
      </c>
      <c r="D3245" s="2" t="str">
        <f>IFERROR(__xludf.DUMMYFUNCTION("IFERROR(VLOOKUP(A3245, IMPORTRANGE(""https://docs.google.com/spreadsheets/d/1-3Vjw2Cyy-mry5gbC8ypIR3YVGFfEpyFESummAta6sg/edit"", ""Sheet1!B:D""), 2, FALSE), ""Not Found"")"),"dilərz")</f>
        <v>dilərz</v>
      </c>
      <c r="E3245" s="2" t="str">
        <f>IFERROR(__xludf.DUMMYFUNCTION("IFERROR(VLOOKUP(A3245, IMPORTRANGE(""https://docs.google.com/spreadsheets/d/1-3Vjw2Cyy-mry5gbC8ypIR3YVGFfEpyFESummAta6sg/edit"", ""Sheet1!B:D""), 3, FALSE), ""Not Found"")"),"d i l ə r z ")</f>
        <v>d i l ə r z </v>
      </c>
    </row>
    <row r="3246">
      <c r="A3246" s="1" t="s">
        <v>3247</v>
      </c>
      <c r="B3246" s="1" t="s">
        <v>5</v>
      </c>
      <c r="C3246" s="2">
        <f>IFERROR(__xludf.DUMMYFUNCTION("IFERROR(VLOOKUP(A3246, IMPORTRANGE(""https://docs.google.com/spreadsheets/d/1AVX9GT0dgogEBStecCXMMQ29tWz3gBrtNB8yIromXbY/edit?gid=741673867"", ""out1g!A:B""), 2, FALSE), 0)"),637.0)</f>
        <v>637</v>
      </c>
      <c r="D3246" s="2" t="str">
        <f>IFERROR(__xludf.DUMMYFUNCTION("IFERROR(VLOOKUP(A3246, IMPORTRANGE(""https://docs.google.com/spreadsheets/d/1-3Vjw2Cyy-mry5gbC8ypIR3YVGFfEpyFESummAta6sg/edit"", ""Sheet1!B:D""), 2, FALSE), ""Not Found"")"),"kɔriə")</f>
        <v>kɔriə</v>
      </c>
      <c r="E3246" s="2" t="str">
        <f>IFERROR(__xludf.DUMMYFUNCTION("IFERROR(VLOOKUP(A3246, IMPORTRANGE(""https://docs.google.com/spreadsheets/d/1-3Vjw2Cyy-mry5gbC8ypIR3YVGFfEpyFESummAta6sg/edit"", ""Sheet1!B:D""), 3, FALSE), ""Not Found"")"),"k ɔ r i ə ")</f>
        <v>k ɔ r i ə </v>
      </c>
    </row>
    <row r="3247">
      <c r="A3247" s="1" t="s">
        <v>3248</v>
      </c>
      <c r="B3247" s="1" t="s">
        <v>5</v>
      </c>
      <c r="C3247" s="2">
        <f>IFERROR(__xludf.DUMMYFUNCTION("IFERROR(VLOOKUP(A3247, IMPORTRANGE(""https://docs.google.com/spreadsheets/d/1AVX9GT0dgogEBStecCXMMQ29tWz3gBrtNB8yIromXbY/edit?gid=741673867"", ""out1g!A:B""), 2, FALSE), 0)"),346.0)</f>
        <v>346</v>
      </c>
      <c r="D3247" s="2" t="str">
        <f>IFERROR(__xludf.DUMMYFUNCTION("IFERROR(VLOOKUP(A3247, IMPORTRANGE(""https://docs.google.com/spreadsheets/d/1-3Vjw2Cyy-mry5gbC8ypIR3YVGFfEpyFESummAta6sg/edit"", ""Sheet1!B:D""), 2, FALSE), ""Not Found"")"),"kɑlig")</f>
        <v>kɑlig</v>
      </c>
      <c r="E3247" s="2" t="str">
        <f>IFERROR(__xludf.DUMMYFUNCTION("IFERROR(VLOOKUP(A3247, IMPORTRANGE(""https://docs.google.com/spreadsheets/d/1-3Vjw2Cyy-mry5gbC8ypIR3YVGFfEpyFESummAta6sg/edit"", ""Sheet1!B:D""), 3, FALSE), ""Not Found"")"),"k ɑ l i g ")</f>
        <v>k ɑ l i g </v>
      </c>
    </row>
    <row r="3248">
      <c r="A3248" s="1" t="s">
        <v>3249</v>
      </c>
      <c r="B3248" s="1" t="s">
        <v>5</v>
      </c>
      <c r="C3248" s="2">
        <f>IFERROR(__xludf.DUMMYFUNCTION("IFERROR(VLOOKUP(A3248, IMPORTRANGE(""https://docs.google.com/spreadsheets/d/1AVX9GT0dgogEBStecCXMMQ29tWz3gBrtNB8yIromXbY/edit?gid=741673867"", ""out1g!A:B""), 2, FALSE), 0)"),230788.0)</f>
        <v>230788</v>
      </c>
      <c r="D3248" s="2" t="str">
        <f>IFERROR(__xludf.DUMMYFUNCTION("IFERROR(VLOOKUP(A3248, IMPORTRANGE(""https://docs.google.com/spreadsheets/d/1-3Vjw2Cyy-mry5gbC8ypIR3YVGFfEpyFESummAta6sg/edit"", ""Sheet1!B:D""), 2, FALSE), ""Not Found"")"),"hir")</f>
        <v>hir</v>
      </c>
      <c r="E3248" s="2" t="str">
        <f>IFERROR(__xludf.DUMMYFUNCTION("IFERROR(VLOOKUP(A3248, IMPORTRANGE(""https://docs.google.com/spreadsheets/d/1-3Vjw2Cyy-mry5gbC8ypIR3YVGFfEpyFESummAta6sg/edit"", ""Sheet1!B:D""), 3, FALSE), ""Not Found"")"),"h i r ")</f>
        <v>h i r </v>
      </c>
    </row>
    <row r="3249">
      <c r="A3249" s="1" t="s">
        <v>3250</v>
      </c>
      <c r="B3249" s="1" t="s">
        <v>5</v>
      </c>
      <c r="C3249" s="2">
        <f>IFERROR(__xludf.DUMMYFUNCTION("IFERROR(VLOOKUP(A3249, IMPORTRANGE(""https://docs.google.com/spreadsheets/d/1AVX9GT0dgogEBStecCXMMQ29tWz3gBrtNB8yIromXbY/edit?gid=741673867"", ""out1g!A:B""), 2, FALSE), 0)"),341.0)</f>
        <v>341</v>
      </c>
      <c r="D3249" s="2" t="str">
        <f>IFERROR(__xludf.DUMMYFUNCTION("IFERROR(VLOOKUP(A3249, IMPORTRANGE(""https://docs.google.com/spreadsheets/d/1-3Vjw2Cyy-mry5gbC8ypIR3YVGFfEpyFESummAta6sg/edit"", ""Sheet1!B:D""), 2, FALSE), ""Not Found"")"),"sɪzərz")</f>
        <v>sɪzərz</v>
      </c>
      <c r="E3249" s="2" t="str">
        <f>IFERROR(__xludf.DUMMYFUNCTION("IFERROR(VLOOKUP(A3249, IMPORTRANGE(""https://docs.google.com/spreadsheets/d/1-3Vjw2Cyy-mry5gbC8ypIR3YVGFfEpyFESummAta6sg/edit"", ""Sheet1!B:D""), 3, FALSE), ""Not Found"")"),"s ɪ z ə r z ")</f>
        <v>s ɪ z ə r z </v>
      </c>
    </row>
    <row r="3250">
      <c r="A3250" s="1" t="s">
        <v>3251</v>
      </c>
      <c r="B3250" s="1" t="s">
        <v>5</v>
      </c>
      <c r="C3250" s="2">
        <f>IFERROR(__xludf.DUMMYFUNCTION("IFERROR(VLOOKUP(A3250, IMPORTRANGE(""https://docs.google.com/spreadsheets/d/1AVX9GT0dgogEBStecCXMMQ29tWz3gBrtNB8yIromXbY/edit?gid=741673867"", ""out1g!A:B""), 2, FALSE), 0)"),60.0)</f>
        <v>60</v>
      </c>
      <c r="D3250" s="2" t="str">
        <f>IFERROR(__xludf.DUMMYFUNCTION("IFERROR(VLOOKUP(A3250, IMPORTRANGE(""https://docs.google.com/spreadsheets/d/1-3Vjw2Cyy-mry5gbC8ypIR3YVGFfEpyFESummAta6sg/edit"", ""Sheet1!B:D""), 2, FALSE), ""Not Found"")"),"sləgd")</f>
        <v>sləgd</v>
      </c>
      <c r="E3250" s="2" t="str">
        <f>IFERROR(__xludf.DUMMYFUNCTION("IFERROR(VLOOKUP(A3250, IMPORTRANGE(""https://docs.google.com/spreadsheets/d/1-3Vjw2Cyy-mry5gbC8ypIR3YVGFfEpyFESummAta6sg/edit"", ""Sheet1!B:D""), 3, FALSE), ""Not Found"")"),"s l ə g d ")</f>
        <v>s l ə g d </v>
      </c>
    </row>
    <row r="3251">
      <c r="A3251" s="1" t="s">
        <v>3252</v>
      </c>
      <c r="B3251" s="1" t="s">
        <v>5</v>
      </c>
      <c r="C3251" s="2">
        <f>IFERROR(__xludf.DUMMYFUNCTION("IFERROR(VLOOKUP(A3251, IMPORTRANGE(""https://docs.google.com/spreadsheets/d/1AVX9GT0dgogEBStecCXMMQ29tWz3gBrtNB8yIromXbY/edit?gid=741673867"", ""out1g!A:B""), 2, FALSE), 0)"),1340.0)</f>
        <v>1340</v>
      </c>
      <c r="D3251" s="2" t="str">
        <f>IFERROR(__xludf.DUMMYFUNCTION("IFERROR(VLOOKUP(A3251, IMPORTRANGE(""https://docs.google.com/spreadsheets/d/1-3Vjw2Cyy-mry5gbC8ypIR3YVGFfEpyFESummAta6sg/edit"", ""Sheet1!B:D""), 2, FALSE), ""Not Found"")"),"grev")</f>
        <v>grev</v>
      </c>
      <c r="E3251" s="2" t="str">
        <f>IFERROR(__xludf.DUMMYFUNCTION("IFERROR(VLOOKUP(A3251, IMPORTRANGE(""https://docs.google.com/spreadsheets/d/1-3Vjw2Cyy-mry5gbC8ypIR3YVGFfEpyFESummAta6sg/edit"", ""Sheet1!B:D""), 3, FALSE), ""Not Found"")"),"g r e v ")</f>
        <v>g r e v </v>
      </c>
    </row>
    <row r="3252">
      <c r="A3252" s="1" t="s">
        <v>3253</v>
      </c>
      <c r="B3252" s="1" t="s">
        <v>5</v>
      </c>
      <c r="C3252" s="2">
        <f>IFERROR(__xludf.DUMMYFUNCTION("IFERROR(VLOOKUP(A3252, IMPORTRANGE(""https://docs.google.com/spreadsheets/d/1AVX9GT0dgogEBStecCXMMQ29tWz3gBrtNB8yIromXbY/edit?gid=741673867"", ""out1g!A:B""), 2, FALSE), 0)"),2296.0)</f>
        <v>2296</v>
      </c>
      <c r="D3252" s="2" t="str">
        <f>IFERROR(__xludf.DUMMYFUNCTION("IFERROR(VLOOKUP(A3252, IMPORTRANGE(""https://docs.google.com/spreadsheets/d/1-3Vjw2Cyy-mry5gbC8ypIR3YVGFfEpyFESummAta6sg/edit"", ""Sheet1!B:D""), 2, FALSE), ""Not Found"")"),"feməs")</f>
        <v>feməs</v>
      </c>
      <c r="E3252" s="2" t="str">
        <f>IFERROR(__xludf.DUMMYFUNCTION("IFERROR(VLOOKUP(A3252, IMPORTRANGE(""https://docs.google.com/spreadsheets/d/1-3Vjw2Cyy-mry5gbC8ypIR3YVGFfEpyFESummAta6sg/edit"", ""Sheet1!B:D""), 3, FALSE), ""Not Found"")"),"f e m ə s ")</f>
        <v>f e m ə s </v>
      </c>
    </row>
    <row r="3253">
      <c r="A3253" s="1" t="s">
        <v>3254</v>
      </c>
      <c r="B3253" s="1" t="s">
        <v>5</v>
      </c>
      <c r="C3253" s="2">
        <f>IFERROR(__xludf.DUMMYFUNCTION("IFERROR(VLOOKUP(A3253, IMPORTRANGE(""https://docs.google.com/spreadsheets/d/1AVX9GT0dgogEBStecCXMMQ29tWz3gBrtNB8yIromXbY/edit?gid=741673867"", ""out1g!A:B""), 2, FALSE), 0)"),375.0)</f>
        <v>375</v>
      </c>
      <c r="D3253" s="2" t="str">
        <f>IFERROR(__xludf.DUMMYFUNCTION("IFERROR(VLOOKUP(A3253, IMPORTRANGE(""https://docs.google.com/spreadsheets/d/1-3Vjw2Cyy-mry5gbC8ypIR3YVGFfEpyFESummAta6sg/edit"", ""Sheet1!B:D""), 2, FALSE), ""Not Found"")"),"tɑps")</f>
        <v>tɑps</v>
      </c>
      <c r="E3253" s="2" t="str">
        <f>IFERROR(__xludf.DUMMYFUNCTION("IFERROR(VLOOKUP(A3253, IMPORTRANGE(""https://docs.google.com/spreadsheets/d/1-3Vjw2Cyy-mry5gbC8ypIR3YVGFfEpyFESummAta6sg/edit"", ""Sheet1!B:D""), 3, FALSE), ""Not Found"")"),"t ɑ p s ")</f>
        <v>t ɑ p s </v>
      </c>
    </row>
    <row r="3254">
      <c r="A3254" s="1" t="s">
        <v>3255</v>
      </c>
      <c r="B3254" s="1" t="s">
        <v>5</v>
      </c>
      <c r="C3254" s="2">
        <f>IFERROR(__xludf.DUMMYFUNCTION("IFERROR(VLOOKUP(A3254, IMPORTRANGE(""https://docs.google.com/spreadsheets/d/1AVX9GT0dgogEBStecCXMMQ29tWz3gBrtNB8yIromXbY/edit?gid=741673867"", ""out1g!A:B""), 2, FALSE), 0)"),25385.0)</f>
        <v>25385</v>
      </c>
      <c r="D3254" s="2" t="str">
        <f>IFERROR(__xludf.DUMMYFUNCTION("IFERROR(VLOOKUP(A3254, IMPORTRANGE(""https://docs.google.com/spreadsheets/d/1-3Vjw2Cyy-mry5gbC8ypIR3YVGFfEpyFESummAta6sg/edit"", ""Sheet1!B:D""), 2, FALSE), ""Not Found"")"),"tɔkɪŋ")</f>
        <v>tɔkɪŋ</v>
      </c>
      <c r="E3254" s="2" t="str">
        <f>IFERROR(__xludf.DUMMYFUNCTION("IFERROR(VLOOKUP(A3254, IMPORTRANGE(""https://docs.google.com/spreadsheets/d/1-3Vjw2Cyy-mry5gbC8ypIR3YVGFfEpyFESummAta6sg/edit"", ""Sheet1!B:D""), 3, FALSE), ""Not Found"")"),"t ɔ k ɪ ŋ ")</f>
        <v>t ɔ k ɪ ŋ </v>
      </c>
    </row>
    <row r="3255">
      <c r="A3255" s="1" t="s">
        <v>3256</v>
      </c>
      <c r="B3255" s="1" t="s">
        <v>5</v>
      </c>
      <c r="C3255" s="2">
        <f>IFERROR(__xludf.DUMMYFUNCTION("IFERROR(VLOOKUP(A3255, IMPORTRANGE(""https://docs.google.com/spreadsheets/d/1AVX9GT0dgogEBStecCXMMQ29tWz3gBrtNB8yIromXbY/edit?gid=741673867"", ""out1g!A:B""), 2, FALSE), 0)"),99.0)</f>
        <v>99</v>
      </c>
      <c r="D3255" s="2" t="str">
        <f>IFERROR(__xludf.DUMMYFUNCTION("IFERROR(VLOOKUP(A3255, IMPORTRANGE(""https://docs.google.com/spreadsheets/d/1-3Vjw2Cyy-mry5gbC8ypIR3YVGFfEpyFESummAta6sg/edit"", ""Sheet1!B:D""), 2, FALSE), ""Not Found"")"),"traɪbz")</f>
        <v>traɪbz</v>
      </c>
      <c r="E3255" s="2" t="str">
        <f>IFERROR(__xludf.DUMMYFUNCTION("IFERROR(VLOOKUP(A3255, IMPORTRANGE(""https://docs.google.com/spreadsheets/d/1-3Vjw2Cyy-mry5gbC8ypIR3YVGFfEpyFESummAta6sg/edit"", ""Sheet1!B:D""), 3, FALSE), ""Not Found"")"),"t r a ɪ b z ")</f>
        <v>t r a ɪ b z </v>
      </c>
    </row>
    <row r="3256">
      <c r="A3256" s="1" t="s">
        <v>3257</v>
      </c>
      <c r="B3256" s="1" t="s">
        <v>5</v>
      </c>
      <c r="C3256" s="2">
        <f>IFERROR(__xludf.DUMMYFUNCTION("IFERROR(VLOOKUP(A3256, IMPORTRANGE(""https://docs.google.com/spreadsheets/d/1AVX9GT0dgogEBStecCXMMQ29tWz3gBrtNB8yIromXbY/edit?gid=741673867"", ""out1g!A:B""), 2, FALSE), 0)"),492.0)</f>
        <v>492</v>
      </c>
      <c r="D3256" s="2" t="str">
        <f>IFERROR(__xludf.DUMMYFUNCTION("IFERROR(VLOOKUP(A3256, IMPORTRANGE(""https://docs.google.com/spreadsheets/d/1-3Vjw2Cyy-mry5gbC8ypIR3YVGFfEpyFESummAta6sg/edit"", ""Sheet1!B:D""), 2, FALSE), ""Not Found"")"),"spre")</f>
        <v>spre</v>
      </c>
      <c r="E3256" s="2" t="str">
        <f>IFERROR(__xludf.DUMMYFUNCTION("IFERROR(VLOOKUP(A3256, IMPORTRANGE(""https://docs.google.com/spreadsheets/d/1-3Vjw2Cyy-mry5gbC8ypIR3YVGFfEpyFESummAta6sg/edit"", ""Sheet1!B:D""), 3, FALSE), ""Not Found"")"),"s p r e ")</f>
        <v>s p r e </v>
      </c>
    </row>
    <row r="3257">
      <c r="A3257" s="1" t="s">
        <v>3258</v>
      </c>
      <c r="B3257" s="1" t="s">
        <v>5</v>
      </c>
      <c r="C3257" s="2">
        <f>IFERROR(__xludf.DUMMYFUNCTION("IFERROR(VLOOKUP(A3257, IMPORTRANGE(""https://docs.google.com/spreadsheets/d/1AVX9GT0dgogEBStecCXMMQ29tWz3gBrtNB8yIromXbY/edit?gid=741673867"", ""out1g!A:B""), 2, FALSE), 0)"),76.0)</f>
        <v>76</v>
      </c>
      <c r="D3257" s="2" t="str">
        <f>IFERROR(__xludf.DUMMYFUNCTION("IFERROR(VLOOKUP(A3257, IMPORTRANGE(""https://docs.google.com/spreadsheets/d/1-3Vjw2Cyy-mry5gbC8ypIR3YVGFfEpyFESummAta6sg/edit"", ""Sheet1!B:D""), 2, FALSE), ""Not Found"")"),"blezɪz")</f>
        <v>blezɪz</v>
      </c>
      <c r="E3257" s="2" t="str">
        <f>IFERROR(__xludf.DUMMYFUNCTION("IFERROR(VLOOKUP(A3257, IMPORTRANGE(""https://docs.google.com/spreadsheets/d/1-3Vjw2Cyy-mry5gbC8ypIR3YVGFfEpyFESummAta6sg/edit"", ""Sheet1!B:D""), 3, FALSE), ""Not Found"")"),"b l e z ɪ z ")</f>
        <v>b l e z ɪ z </v>
      </c>
    </row>
    <row r="3258">
      <c r="A3258" s="1" t="s">
        <v>3259</v>
      </c>
      <c r="B3258" s="1" t="s">
        <v>5</v>
      </c>
      <c r="C3258" s="2">
        <f>IFERROR(__xludf.DUMMYFUNCTION("IFERROR(VLOOKUP(A3258, IMPORTRANGE(""https://docs.google.com/spreadsheets/d/1AVX9GT0dgogEBStecCXMMQ29tWz3gBrtNB8yIromXbY/edit?gid=741673867"", ""out1g!A:B""), 2, FALSE), 0)"),163333.0)</f>
        <v>163333</v>
      </c>
      <c r="D3258" s="2" t="str">
        <f>IFERROR(__xludf.DUMMYFUNCTION("IFERROR(VLOOKUP(A3258, IMPORTRANGE(""https://docs.google.com/spreadsheets/d/1-3Vjw2Cyy-mry5gbC8ypIR3YVGFfEpyFESummAta6sg/edit"", ""Sheet1!B:D""), 2, FALSE), ""Not Found"")"),"naʊ")</f>
        <v>naʊ</v>
      </c>
      <c r="E3258" s="2" t="str">
        <f>IFERROR(__xludf.DUMMYFUNCTION("IFERROR(VLOOKUP(A3258, IMPORTRANGE(""https://docs.google.com/spreadsheets/d/1-3Vjw2Cyy-mry5gbC8ypIR3YVGFfEpyFESummAta6sg/edit"", ""Sheet1!B:D""), 3, FALSE), ""Not Found"")"),"n a ʊ ")</f>
        <v>n a ʊ </v>
      </c>
    </row>
    <row r="3259">
      <c r="A3259" s="1" t="s">
        <v>3260</v>
      </c>
      <c r="B3259" s="1" t="s">
        <v>5</v>
      </c>
      <c r="C3259" s="2">
        <f>IFERROR(__xludf.DUMMYFUNCTION("IFERROR(VLOOKUP(A3259, IMPORTRANGE(""https://docs.google.com/spreadsheets/d/1AVX9GT0dgogEBStecCXMMQ29tWz3gBrtNB8yIromXbY/edit?gid=741673867"", ""out1g!A:B""), 2, FALSE), 0)"),518.0)</f>
        <v>518</v>
      </c>
      <c r="D3259" s="2" t="str">
        <f>IFERROR(__xludf.DUMMYFUNCTION("IFERROR(VLOOKUP(A3259, IMPORTRANGE(""https://docs.google.com/spreadsheets/d/1-3Vjw2Cyy-mry5gbC8ypIR3YVGFfEpyFESummAta6sg/edit"", ""Sheet1!B:D""), 2, FALSE), ""Not Found"")"),"sneks")</f>
        <v>sneks</v>
      </c>
      <c r="E3259" s="2" t="str">
        <f>IFERROR(__xludf.DUMMYFUNCTION("IFERROR(VLOOKUP(A3259, IMPORTRANGE(""https://docs.google.com/spreadsheets/d/1-3Vjw2Cyy-mry5gbC8ypIR3YVGFfEpyFESummAta6sg/edit"", ""Sheet1!B:D""), 3, FALSE), ""Not Found"")"),"s n e k s ")</f>
        <v>s n e k s </v>
      </c>
    </row>
    <row r="3260">
      <c r="A3260" s="1" t="s">
        <v>3261</v>
      </c>
      <c r="B3260" s="1" t="s">
        <v>5</v>
      </c>
      <c r="C3260" s="2">
        <f>IFERROR(__xludf.DUMMYFUNCTION("IFERROR(VLOOKUP(A3260, IMPORTRANGE(""https://docs.google.com/spreadsheets/d/1AVX9GT0dgogEBStecCXMMQ29tWz3gBrtNB8yIromXbY/edit?gid=741673867"", ""out1g!A:B""), 2, FALSE), 0)"),1018.0)</f>
        <v>1018</v>
      </c>
      <c r="D3260" s="2" t="str">
        <f>IFERROR(__xludf.DUMMYFUNCTION("IFERROR(VLOOKUP(A3260, IMPORTRANGE(""https://docs.google.com/spreadsheets/d/1-3Vjw2Cyy-mry5gbC8ypIR3YVGFfEpyFESummAta6sg/edit"", ""Sheet1!B:D""), 2, FALSE), ""Not Found"")"),"prɪnt")</f>
        <v>prɪnt</v>
      </c>
      <c r="E3260" s="2" t="str">
        <f>IFERROR(__xludf.DUMMYFUNCTION("IFERROR(VLOOKUP(A3260, IMPORTRANGE(""https://docs.google.com/spreadsheets/d/1-3Vjw2Cyy-mry5gbC8ypIR3YVGFfEpyFESummAta6sg/edit"", ""Sheet1!B:D""), 3, FALSE), ""Not Found"")"),"p r ɪ n t ")</f>
        <v>p r ɪ n t </v>
      </c>
    </row>
    <row r="3261">
      <c r="A3261" s="1" t="s">
        <v>3262</v>
      </c>
      <c r="B3261" s="1" t="s">
        <v>5</v>
      </c>
      <c r="C3261" s="2">
        <f>IFERROR(__xludf.DUMMYFUNCTION("IFERROR(VLOOKUP(A3261, IMPORTRANGE(""https://docs.google.com/spreadsheets/d/1AVX9GT0dgogEBStecCXMMQ29tWz3gBrtNB8yIromXbY/edit?gid=741673867"", ""out1g!A:B""), 2, FALSE), 0)"),64.0)</f>
        <v>64</v>
      </c>
      <c r="D3261" s="2" t="str">
        <f>IFERROR(__xludf.DUMMYFUNCTION("IFERROR(VLOOKUP(A3261, IMPORTRANGE(""https://docs.google.com/spreadsheets/d/1-3Vjw2Cyy-mry5gbC8ypIR3YVGFfEpyFESummAta6sg/edit"", ""Sheet1!B:D""), 2, FALSE), ""Not Found"")"),"ketər")</f>
        <v>ketər</v>
      </c>
      <c r="E3261" s="2" t="str">
        <f>IFERROR(__xludf.DUMMYFUNCTION("IFERROR(VLOOKUP(A3261, IMPORTRANGE(""https://docs.google.com/spreadsheets/d/1-3Vjw2Cyy-mry5gbC8ypIR3YVGFfEpyFESummAta6sg/edit"", ""Sheet1!B:D""), 3, FALSE), ""Not Found"")"),"k e t ə r ")</f>
        <v>k e t ə r </v>
      </c>
    </row>
    <row r="3262">
      <c r="A3262" s="1" t="s">
        <v>3263</v>
      </c>
      <c r="B3262" s="1" t="s">
        <v>5</v>
      </c>
      <c r="C3262" s="2">
        <f>IFERROR(__xludf.DUMMYFUNCTION("IFERROR(VLOOKUP(A3262, IMPORTRANGE(""https://docs.google.com/spreadsheets/d/1AVX9GT0dgogEBStecCXMMQ29tWz3gBrtNB8yIromXbY/edit?gid=741673867"", ""out1g!A:B""), 2, FALSE), 0)"),738.0)</f>
        <v>738</v>
      </c>
      <c r="D3262" s="2" t="str">
        <f>IFERROR(__xludf.DUMMYFUNCTION("IFERROR(VLOOKUP(A3262, IMPORTRANGE(""https://docs.google.com/spreadsheets/d/1-3Vjw2Cyy-mry5gbC8ypIR3YVGFfEpyFESummAta6sg/edit"", ""Sheet1!B:D""), 2, FALSE), ""Not Found"")"),"əg")</f>
        <v>əg</v>
      </c>
      <c r="E3262" s="2" t="str">
        <f>IFERROR(__xludf.DUMMYFUNCTION("IFERROR(VLOOKUP(A3262, IMPORTRANGE(""https://docs.google.com/spreadsheets/d/1-3Vjw2Cyy-mry5gbC8ypIR3YVGFfEpyFESummAta6sg/edit"", ""Sheet1!B:D""), 3, FALSE), ""Not Found"")"),"ə g ")</f>
        <v>ə g </v>
      </c>
    </row>
    <row r="3263">
      <c r="A3263" s="1" t="s">
        <v>3264</v>
      </c>
      <c r="B3263" s="1" t="s">
        <v>5</v>
      </c>
      <c r="C3263" s="2">
        <f>IFERROR(__xludf.DUMMYFUNCTION("IFERROR(VLOOKUP(A3263, IMPORTRANGE(""https://docs.google.com/spreadsheets/d/1AVX9GT0dgogEBStecCXMMQ29tWz3gBrtNB8yIromXbY/edit?gid=741673867"", ""out1g!A:B""), 2, FALSE), 0)"),636.0)</f>
        <v>636</v>
      </c>
      <c r="D3263" s="2" t="str">
        <f>IFERROR(__xludf.DUMMYFUNCTION("IFERROR(VLOOKUP(A3263, IMPORTRANGE(""https://docs.google.com/spreadsheets/d/1-3Vjw2Cyy-mry5gbC8ypIR3YVGFfEpyFESummAta6sg/edit"", ""Sheet1!B:D""), 2, FALSE), ""Not Found"")"),"ækts")</f>
        <v>ækts</v>
      </c>
      <c r="E3263" s="2" t="str">
        <f>IFERROR(__xludf.DUMMYFUNCTION("IFERROR(VLOOKUP(A3263, IMPORTRANGE(""https://docs.google.com/spreadsheets/d/1-3Vjw2Cyy-mry5gbC8ypIR3YVGFfEpyFESummAta6sg/edit"", ""Sheet1!B:D""), 3, FALSE), ""Not Found"")"),"æ k t s ")</f>
        <v>æ k t s </v>
      </c>
    </row>
    <row r="3264">
      <c r="A3264" s="1" t="s">
        <v>3265</v>
      </c>
      <c r="B3264" s="1" t="s">
        <v>5</v>
      </c>
      <c r="C3264" s="2">
        <f>IFERROR(__xludf.DUMMYFUNCTION("IFERROR(VLOOKUP(A3264, IMPORTRANGE(""https://docs.google.com/spreadsheets/d/1AVX9GT0dgogEBStecCXMMQ29tWz3gBrtNB8yIromXbY/edit?gid=741673867"", ""out1g!A:B""), 2, FALSE), 0)"),402.0)</f>
        <v>402</v>
      </c>
      <c r="D3264" s="2" t="str">
        <f>IFERROR(__xludf.DUMMYFUNCTION("IFERROR(VLOOKUP(A3264, IMPORTRANGE(""https://docs.google.com/spreadsheets/d/1-3Vjw2Cyy-mry5gbC8ypIR3YVGFfEpyFESummAta6sg/edit"", ""Sheet1!B:D""), 2, FALSE), ""Not Found"")"),"dutiz")</f>
        <v>dutiz</v>
      </c>
      <c r="E3264" s="2" t="str">
        <f>IFERROR(__xludf.DUMMYFUNCTION("IFERROR(VLOOKUP(A3264, IMPORTRANGE(""https://docs.google.com/spreadsheets/d/1-3Vjw2Cyy-mry5gbC8ypIR3YVGFfEpyFESummAta6sg/edit"", ""Sheet1!B:D""), 3, FALSE), ""Not Found"")"),"d u t i z ")</f>
        <v>d u t i z </v>
      </c>
    </row>
    <row r="3265">
      <c r="A3265" s="1" t="s">
        <v>3266</v>
      </c>
      <c r="B3265" s="1" t="s">
        <v>5</v>
      </c>
      <c r="C3265" s="2">
        <f>IFERROR(__xludf.DUMMYFUNCTION("IFERROR(VLOOKUP(A3265, IMPORTRANGE(""https://docs.google.com/spreadsheets/d/1AVX9GT0dgogEBStecCXMMQ29tWz3gBrtNB8yIromXbY/edit?gid=741673867"", ""out1g!A:B""), 2, FALSE), 0)"),282.0)</f>
        <v>282</v>
      </c>
      <c r="D3265" s="2" t="str">
        <f>IFERROR(__xludf.DUMMYFUNCTION("IFERROR(VLOOKUP(A3265, IMPORTRANGE(""https://docs.google.com/spreadsheets/d/1-3Vjw2Cyy-mry5gbC8ypIR3YVGFfEpyFESummAta6sg/edit"", ""Sheet1!B:D""), 2, FALSE), ""Not Found"")"),"koʊlə")</f>
        <v>koʊlə</v>
      </c>
      <c r="E3265" s="2" t="str">
        <f>IFERROR(__xludf.DUMMYFUNCTION("IFERROR(VLOOKUP(A3265, IMPORTRANGE(""https://docs.google.com/spreadsheets/d/1-3Vjw2Cyy-mry5gbC8ypIR3YVGFfEpyFESummAta6sg/edit"", ""Sheet1!B:D""), 3, FALSE), ""Not Found"")"),"k o ʊ l ə ")</f>
        <v>k o ʊ l ə </v>
      </c>
    </row>
    <row r="3266">
      <c r="A3266" s="1" t="s">
        <v>3267</v>
      </c>
      <c r="B3266" s="1" t="s">
        <v>5</v>
      </c>
      <c r="C3266" s="2">
        <f>IFERROR(__xludf.DUMMYFUNCTION("IFERROR(VLOOKUP(A3266, IMPORTRANGE(""https://docs.google.com/spreadsheets/d/1AVX9GT0dgogEBStecCXMMQ29tWz3gBrtNB8yIromXbY/edit?gid=741673867"", ""out1g!A:B""), 2, FALSE), 0)"),15653.0)</f>
        <v>15653</v>
      </c>
      <c r="D3266" s="2" t="str">
        <f>IFERROR(__xludf.DUMMYFUNCTION("IFERROR(VLOOKUP(A3266, IMPORTRANGE(""https://docs.google.com/spreadsheets/d/1-3Vjw2Cyy-mry5gbC8ypIR3YVGFfEpyFESummAta6sg/edit"", ""Sheet1!B:D""), 2, FALSE), ""Not Found"")"),"stəf")</f>
        <v>stəf</v>
      </c>
      <c r="E3266" s="2" t="str">
        <f>IFERROR(__xludf.DUMMYFUNCTION("IFERROR(VLOOKUP(A3266, IMPORTRANGE(""https://docs.google.com/spreadsheets/d/1-3Vjw2Cyy-mry5gbC8ypIR3YVGFfEpyFESummAta6sg/edit"", ""Sheet1!B:D""), 3, FALSE), ""Not Found"")"),"s t ə f ")</f>
        <v>s t ə f </v>
      </c>
    </row>
    <row r="3267">
      <c r="A3267" s="1" t="s">
        <v>3268</v>
      </c>
      <c r="B3267" s="1" t="s">
        <v>5</v>
      </c>
      <c r="C3267" s="2">
        <f>IFERROR(__xludf.DUMMYFUNCTION("IFERROR(VLOOKUP(A3267, IMPORTRANGE(""https://docs.google.com/spreadsheets/d/1AVX9GT0dgogEBStecCXMMQ29tWz3gBrtNB8yIromXbY/edit?gid=741673867"", ""out1g!A:B""), 2, FALSE), 0)"),948.0)</f>
        <v>948</v>
      </c>
      <c r="D3267" s="2" t="str">
        <f>IFERROR(__xludf.DUMMYFUNCTION("IFERROR(VLOOKUP(A3267, IMPORTRANGE(""https://docs.google.com/spreadsheets/d/1-3Vjw2Cyy-mry5gbC8ypIR3YVGFfEpyFESummAta6sg/edit"", ""Sheet1!B:D""), 2, FALSE), ""Not Found"")"),"fevər")</f>
        <v>fevər</v>
      </c>
      <c r="E3267" s="2" t="str">
        <f>IFERROR(__xludf.DUMMYFUNCTION("IFERROR(VLOOKUP(A3267, IMPORTRANGE(""https://docs.google.com/spreadsheets/d/1-3Vjw2Cyy-mry5gbC8ypIR3YVGFfEpyFESummAta6sg/edit"", ""Sheet1!B:D""), 3, FALSE), ""Not Found"")"),"f e v ə r ")</f>
        <v>f e v ə r </v>
      </c>
    </row>
    <row r="3268">
      <c r="A3268" s="1" t="s">
        <v>3269</v>
      </c>
      <c r="B3268" s="1" t="s">
        <v>5</v>
      </c>
      <c r="C3268" s="2">
        <f>IFERROR(__xludf.DUMMYFUNCTION("IFERROR(VLOOKUP(A3268, IMPORTRANGE(""https://docs.google.com/spreadsheets/d/1AVX9GT0dgogEBStecCXMMQ29tWz3gBrtNB8yIromXbY/edit?gid=741673867"", ""out1g!A:B""), 2, FALSE), 0)"),314.0)</f>
        <v>314</v>
      </c>
      <c r="D3268" s="2" t="str">
        <f>IFERROR(__xludf.DUMMYFUNCTION("IFERROR(VLOOKUP(A3268, IMPORTRANGE(""https://docs.google.com/spreadsheets/d/1-3Vjw2Cyy-mry5gbC8ypIR3YVGFfEpyFESummAta6sg/edit"", ""Sheet1!B:D""), 2, FALSE), ""Not Found"")"),"fɛr")</f>
        <v>fɛr</v>
      </c>
      <c r="E3268" s="2" t="str">
        <f>IFERROR(__xludf.DUMMYFUNCTION("IFERROR(VLOOKUP(A3268, IMPORTRANGE(""https://docs.google.com/spreadsheets/d/1-3Vjw2Cyy-mry5gbC8ypIR3YVGFfEpyFESummAta6sg/edit"", ""Sheet1!B:D""), 3, FALSE), ""Not Found"")"),"f ɛ r ")</f>
        <v>f ɛ r </v>
      </c>
    </row>
    <row r="3269">
      <c r="A3269" s="1" t="s">
        <v>3270</v>
      </c>
      <c r="B3269" s="1" t="s">
        <v>5</v>
      </c>
      <c r="C3269" s="2">
        <f>IFERROR(__xludf.DUMMYFUNCTION("IFERROR(VLOOKUP(A3269, IMPORTRANGE(""https://docs.google.com/spreadsheets/d/1AVX9GT0dgogEBStecCXMMQ29tWz3gBrtNB8yIromXbY/edit?gid=741673867"", ""out1g!A:B""), 2, FALSE), 0)"),594.0)</f>
        <v>594</v>
      </c>
      <c r="D3269" s="2" t="str">
        <f>IFERROR(__xludf.DUMMYFUNCTION("IFERROR(VLOOKUP(A3269, IMPORTRANGE(""https://docs.google.com/spreadsheets/d/1-3Vjw2Cyy-mry5gbC8ypIR3YVGFfEpyFESummAta6sg/edit"", ""Sheet1!B:D""), 2, FALSE), ""Not Found"")"),"jəp")</f>
        <v>jəp</v>
      </c>
      <c r="E3269" s="2" t="str">
        <f>IFERROR(__xludf.DUMMYFUNCTION("IFERROR(VLOOKUP(A3269, IMPORTRANGE(""https://docs.google.com/spreadsheets/d/1-3Vjw2Cyy-mry5gbC8ypIR3YVGFfEpyFESummAta6sg/edit"", ""Sheet1!B:D""), 3, FALSE), ""Not Found"")"),"j ə p ")</f>
        <v>j ə p </v>
      </c>
    </row>
    <row r="3270">
      <c r="A3270" s="1" t="s">
        <v>3271</v>
      </c>
      <c r="B3270" s="1" t="s">
        <v>5</v>
      </c>
      <c r="C3270" s="2">
        <f>IFERROR(__xludf.DUMMYFUNCTION("IFERROR(VLOOKUP(A3270, IMPORTRANGE(""https://docs.google.com/spreadsheets/d/1AVX9GT0dgogEBStecCXMMQ29tWz3gBrtNB8yIromXbY/edit?gid=741673867"", ""out1g!A:B""), 2, FALSE), 0)"),381.0)</f>
        <v>381</v>
      </c>
      <c r="D3270" s="2" t="str">
        <f>IFERROR(__xludf.DUMMYFUNCTION("IFERROR(VLOOKUP(A3270, IMPORTRANGE(""https://docs.google.com/spreadsheets/d/1-3Vjw2Cyy-mry5gbC8ypIR3YVGFfEpyFESummAta6sg/edit"", ""Sheet1!B:D""), 2, FALSE), ""Not Found"")"),"kɛrəʤ")</f>
        <v>kɛrəʤ</v>
      </c>
      <c r="E3270" s="2" t="str">
        <f>IFERROR(__xludf.DUMMYFUNCTION("IFERROR(VLOOKUP(A3270, IMPORTRANGE(""https://docs.google.com/spreadsheets/d/1-3Vjw2Cyy-mry5gbC8ypIR3YVGFfEpyFESummAta6sg/edit"", ""Sheet1!B:D""), 3, FALSE), ""Not Found"")"),"k ɛ r ə ʤ ")</f>
        <v>k ɛ r ə ʤ </v>
      </c>
    </row>
    <row r="3271">
      <c r="A3271" s="1" t="s">
        <v>3272</v>
      </c>
      <c r="B3271" s="1" t="s">
        <v>5</v>
      </c>
      <c r="C3271" s="2">
        <f>IFERROR(__xludf.DUMMYFUNCTION("IFERROR(VLOOKUP(A3271, IMPORTRANGE(""https://docs.google.com/spreadsheets/d/1AVX9GT0dgogEBStecCXMMQ29tWz3gBrtNB8yIromXbY/edit?gid=741673867"", ""out1g!A:B""), 2, FALSE), 0)"),183.0)</f>
        <v>183</v>
      </c>
      <c r="D3271" s="2" t="str">
        <f>IFERROR(__xludf.DUMMYFUNCTION("IFERROR(VLOOKUP(A3271, IMPORTRANGE(""https://docs.google.com/spreadsheets/d/1-3Vjw2Cyy-mry5gbC8ypIR3YVGFfEpyFESummAta6sg/edit"", ""Sheet1!B:D""), 2, FALSE), ""Not Found"")"),"ven")</f>
        <v>ven</v>
      </c>
      <c r="E3271" s="2" t="str">
        <f>IFERROR(__xludf.DUMMYFUNCTION("IFERROR(VLOOKUP(A3271, IMPORTRANGE(""https://docs.google.com/spreadsheets/d/1-3Vjw2Cyy-mry5gbC8ypIR3YVGFfEpyFESummAta6sg/edit"", ""Sheet1!B:D""), 3, FALSE), ""Not Found"")"),"v e n ")</f>
        <v>v e n </v>
      </c>
    </row>
    <row r="3272">
      <c r="A3272" s="1" t="s">
        <v>3273</v>
      </c>
      <c r="B3272" s="1" t="s">
        <v>5</v>
      </c>
      <c r="C3272" s="2">
        <f>IFERROR(__xludf.DUMMYFUNCTION("IFERROR(VLOOKUP(A3272, IMPORTRANGE(""https://docs.google.com/spreadsheets/d/1AVX9GT0dgogEBStecCXMMQ29tWz3gBrtNB8yIromXbY/edit?gid=741673867"", ""out1g!A:B""), 2, FALSE), 0)"),979.0)</f>
        <v>979</v>
      </c>
      <c r="D3272" s="2" t="str">
        <f>IFERROR(__xludf.DUMMYFUNCTION("IFERROR(VLOOKUP(A3272, IMPORTRANGE(""https://docs.google.com/spreadsheets/d/1-3Vjw2Cyy-mry5gbC8ypIR3YVGFfEpyFESummAta6sg/edit"", ""Sheet1!B:D""), 2, FALSE), ""Not Found"")"),"trel")</f>
        <v>trel</v>
      </c>
      <c r="E3272" s="2" t="str">
        <f>IFERROR(__xludf.DUMMYFUNCTION("IFERROR(VLOOKUP(A3272, IMPORTRANGE(""https://docs.google.com/spreadsheets/d/1-3Vjw2Cyy-mry5gbC8ypIR3YVGFfEpyFESummAta6sg/edit"", ""Sheet1!B:D""), 3, FALSE), ""Not Found"")"),"t r e l ")</f>
        <v>t r e l </v>
      </c>
    </row>
    <row r="3273">
      <c r="A3273" s="1" t="s">
        <v>3274</v>
      </c>
      <c r="B3273" s="1" t="s">
        <v>5</v>
      </c>
      <c r="C3273" s="2">
        <f>IFERROR(__xludf.DUMMYFUNCTION("IFERROR(VLOOKUP(A3273, IMPORTRANGE(""https://docs.google.com/spreadsheets/d/1AVX9GT0dgogEBStecCXMMQ29tWz3gBrtNB8yIromXbY/edit?gid=741673867"", ""out1g!A:B""), 2, FALSE), 0)"),29.0)</f>
        <v>29</v>
      </c>
      <c r="D3273" s="2" t="str">
        <f>IFERROR(__xludf.DUMMYFUNCTION("IFERROR(VLOOKUP(A3273, IMPORTRANGE(""https://docs.google.com/spreadsheets/d/1-3Vjw2Cyy-mry5gbC8ypIR3YVGFfEpyFESummAta6sg/edit"", ""Sheet1!B:D""), 2, FALSE), ""Not Found"")"),"flɛʃi")</f>
        <v>flɛʃi</v>
      </c>
      <c r="E3273" s="2" t="str">
        <f>IFERROR(__xludf.DUMMYFUNCTION("IFERROR(VLOOKUP(A3273, IMPORTRANGE(""https://docs.google.com/spreadsheets/d/1-3Vjw2Cyy-mry5gbC8ypIR3YVGFfEpyFESummAta6sg/edit"", ""Sheet1!B:D""), 3, FALSE), ""Not Found"")"),"f l ɛ ʃ i ")</f>
        <v>f l ɛ ʃ i </v>
      </c>
    </row>
    <row r="3274">
      <c r="A3274" s="1" t="s">
        <v>3275</v>
      </c>
      <c r="B3274" s="1" t="s">
        <v>5</v>
      </c>
      <c r="C3274" s="2">
        <f>IFERROR(__xludf.DUMMYFUNCTION("IFERROR(VLOOKUP(A3274, IMPORTRANGE(""https://docs.google.com/spreadsheets/d/1AVX9GT0dgogEBStecCXMMQ29tWz3gBrtNB8yIromXbY/edit?gid=741673867"", ""out1g!A:B""), 2, FALSE), 0)"),88.0)</f>
        <v>88</v>
      </c>
      <c r="D3274" s="2" t="str">
        <f>IFERROR(__xludf.DUMMYFUNCTION("IFERROR(VLOOKUP(A3274, IMPORTRANGE(""https://docs.google.com/spreadsheets/d/1-3Vjw2Cyy-mry5gbC8ypIR3YVGFfEpyFESummAta6sg/edit"", ""Sheet1!B:D""), 2, FALSE), ""Not Found"")"),"wev")</f>
        <v>wev</v>
      </c>
      <c r="E3274" s="2" t="str">
        <f>IFERROR(__xludf.DUMMYFUNCTION("IFERROR(VLOOKUP(A3274, IMPORTRANGE(""https://docs.google.com/spreadsheets/d/1-3Vjw2Cyy-mry5gbC8ypIR3YVGFfEpyFESummAta6sg/edit"", ""Sheet1!B:D""), 3, FALSE), ""Not Found"")"),"w e v ")</f>
        <v>w e v </v>
      </c>
    </row>
    <row r="3275">
      <c r="A3275" s="1" t="s">
        <v>3276</v>
      </c>
      <c r="B3275" s="1" t="s">
        <v>5</v>
      </c>
      <c r="C3275" s="2">
        <f>IFERROR(__xludf.DUMMYFUNCTION("IFERROR(VLOOKUP(A3275, IMPORTRANGE(""https://docs.google.com/spreadsheets/d/1AVX9GT0dgogEBStecCXMMQ29tWz3gBrtNB8yIromXbY/edit?gid=741673867"", ""out1g!A:B""), 2, FALSE), 0)"),419.0)</f>
        <v>419</v>
      </c>
      <c r="D3275" s="2" t="str">
        <f>IFERROR(__xludf.DUMMYFUNCTION("IFERROR(VLOOKUP(A3275, IMPORTRANGE(""https://docs.google.com/spreadsheets/d/1-3Vjw2Cyy-mry5gbC8ypIR3YVGFfEpyFESummAta6sg/edit"", ""Sheet1!B:D""), 2, FALSE), ""Not Found"")"),"ʃɛli")</f>
        <v>ʃɛli</v>
      </c>
      <c r="E3275" s="2" t="str">
        <f>IFERROR(__xludf.DUMMYFUNCTION("IFERROR(VLOOKUP(A3275, IMPORTRANGE(""https://docs.google.com/spreadsheets/d/1-3Vjw2Cyy-mry5gbC8ypIR3YVGFfEpyFESummAta6sg/edit"", ""Sheet1!B:D""), 3, FALSE), ""Not Found"")"),"ʃ ɛ l i ")</f>
        <v>ʃ ɛ l i </v>
      </c>
    </row>
    <row r="3276">
      <c r="A3276" s="1" t="s">
        <v>3277</v>
      </c>
      <c r="B3276" s="1" t="s">
        <v>5</v>
      </c>
      <c r="C3276" s="2">
        <f>IFERROR(__xludf.DUMMYFUNCTION("IFERROR(VLOOKUP(A3276, IMPORTRANGE(""https://docs.google.com/spreadsheets/d/1AVX9GT0dgogEBStecCXMMQ29tWz3gBrtNB8yIromXbY/edit?gid=741673867"", ""out1g!A:B""), 2, FALSE), 0)"),81.0)</f>
        <v>81</v>
      </c>
      <c r="D3276" s="2" t="str">
        <f>IFERROR(__xludf.DUMMYFUNCTION("IFERROR(VLOOKUP(A3276, IMPORTRANGE(""https://docs.google.com/spreadsheets/d/1-3Vjw2Cyy-mry5gbC8ypIR3YVGFfEpyFESummAta6sg/edit"", ""Sheet1!B:D""), 2, FALSE), ""Not Found"")"),"bɪdz")</f>
        <v>bɪdz</v>
      </c>
      <c r="E3276" s="2" t="str">
        <f>IFERROR(__xludf.DUMMYFUNCTION("IFERROR(VLOOKUP(A3276, IMPORTRANGE(""https://docs.google.com/spreadsheets/d/1-3Vjw2Cyy-mry5gbC8ypIR3YVGFfEpyFESummAta6sg/edit"", ""Sheet1!B:D""), 3, FALSE), ""Not Found"")"),"b ɪ d z ")</f>
        <v>b ɪ d z </v>
      </c>
    </row>
    <row r="3277">
      <c r="A3277" s="1" t="s">
        <v>3278</v>
      </c>
      <c r="B3277" s="1" t="s">
        <v>5</v>
      </c>
      <c r="C3277" s="2">
        <f>IFERROR(__xludf.DUMMYFUNCTION("IFERROR(VLOOKUP(A3277, IMPORTRANGE(""https://docs.google.com/spreadsheets/d/1AVX9GT0dgogEBStecCXMMQ29tWz3gBrtNB8yIromXbY/edit?gid=741673867"", ""out1g!A:B""), 2, FALSE), 0)"),135.0)</f>
        <v>135</v>
      </c>
      <c r="D3277" s="2" t="str">
        <f>IFERROR(__xludf.DUMMYFUNCTION("IFERROR(VLOOKUP(A3277, IMPORTRANGE(""https://docs.google.com/spreadsheets/d/1-3Vjw2Cyy-mry5gbC8ypIR3YVGFfEpyFESummAta6sg/edit"", ""Sheet1!B:D""), 2, FALSE), ""Not Found"")"),"sɪrz")</f>
        <v>sɪrz</v>
      </c>
      <c r="E3277" s="2" t="str">
        <f>IFERROR(__xludf.DUMMYFUNCTION("IFERROR(VLOOKUP(A3277, IMPORTRANGE(""https://docs.google.com/spreadsheets/d/1-3Vjw2Cyy-mry5gbC8ypIR3YVGFfEpyFESummAta6sg/edit"", ""Sheet1!B:D""), 3, FALSE), ""Not Found"")"),"s ɪ r z ")</f>
        <v>s ɪ r z </v>
      </c>
    </row>
    <row r="3278">
      <c r="A3278" s="1" t="s">
        <v>3279</v>
      </c>
      <c r="B3278" s="1" t="s">
        <v>5</v>
      </c>
      <c r="C3278" s="2">
        <f>IFERROR(__xludf.DUMMYFUNCTION("IFERROR(VLOOKUP(A3278, IMPORTRANGE(""https://docs.google.com/spreadsheets/d/1AVX9GT0dgogEBStecCXMMQ29tWz3gBrtNB8yIromXbY/edit?gid=741673867"", ""out1g!A:B""), 2, FALSE), 0)"),137.0)</f>
        <v>137</v>
      </c>
      <c r="D3278" s="2" t="str">
        <f>IFERROR(__xludf.DUMMYFUNCTION("IFERROR(VLOOKUP(A3278, IMPORTRANGE(""https://docs.google.com/spreadsheets/d/1-3Vjw2Cyy-mry5gbC8ypIR3YVGFfEpyFESummAta6sg/edit"", ""Sheet1!B:D""), 2, FALSE), ""Not Found"")"),"əpoʊzɪŋ")</f>
        <v>əpoʊzɪŋ</v>
      </c>
      <c r="E3278" s="2" t="str">
        <f>IFERROR(__xludf.DUMMYFUNCTION("IFERROR(VLOOKUP(A3278, IMPORTRANGE(""https://docs.google.com/spreadsheets/d/1-3Vjw2Cyy-mry5gbC8ypIR3YVGFfEpyFESummAta6sg/edit"", ""Sheet1!B:D""), 3, FALSE), ""Not Found"")"),"ə p o ʊ z ɪ ŋ ")</f>
        <v>ə p o ʊ z ɪ ŋ </v>
      </c>
    </row>
    <row r="3279">
      <c r="A3279" s="1" t="s">
        <v>3280</v>
      </c>
      <c r="B3279" s="1" t="s">
        <v>5</v>
      </c>
      <c r="C3279" s="2">
        <f>IFERROR(__xludf.DUMMYFUNCTION("IFERROR(VLOOKUP(A3279, IMPORTRANGE(""https://docs.google.com/spreadsheets/d/1AVX9GT0dgogEBStecCXMMQ29tWz3gBrtNB8yIromXbY/edit?gid=741673867"", ""out1g!A:B""), 2, FALSE), 0)"),58.0)</f>
        <v>58</v>
      </c>
      <c r="D3279" s="2" t="str">
        <f>IFERROR(__xludf.DUMMYFUNCTION("IFERROR(VLOOKUP(A3279, IMPORTRANGE(""https://docs.google.com/spreadsheets/d/1-3Vjw2Cyy-mry5gbC8ypIR3YVGFfEpyFESummAta6sg/edit"", ""Sheet1!B:D""), 2, FALSE), ""Not Found"")"),"krɛpt")</f>
        <v>krɛpt</v>
      </c>
      <c r="E3279" s="2" t="str">
        <f>IFERROR(__xludf.DUMMYFUNCTION("IFERROR(VLOOKUP(A3279, IMPORTRANGE(""https://docs.google.com/spreadsheets/d/1-3Vjw2Cyy-mry5gbC8ypIR3YVGFfEpyFESummAta6sg/edit"", ""Sheet1!B:D""), 3, FALSE), ""Not Found"")"),"k r ɛ p t ")</f>
        <v>k r ɛ p t </v>
      </c>
    </row>
    <row r="3280">
      <c r="A3280" s="1" t="s">
        <v>3281</v>
      </c>
      <c r="B3280" s="1" t="s">
        <v>5</v>
      </c>
      <c r="C3280" s="2">
        <f>IFERROR(__xludf.DUMMYFUNCTION("IFERROR(VLOOKUP(A3280, IMPORTRANGE(""https://docs.google.com/spreadsheets/d/1AVX9GT0dgogEBStecCXMMQ29tWz3gBrtNB8yIromXbY/edit?gid=741673867"", ""out1g!A:B""), 2, FALSE), 0)"),262.0)</f>
        <v>262</v>
      </c>
      <c r="D3280" s="2" t="str">
        <f>IFERROR(__xludf.DUMMYFUNCTION("IFERROR(VLOOKUP(A3280, IMPORTRANGE(""https://docs.google.com/spreadsheets/d/1-3Vjw2Cyy-mry5gbC8ypIR3YVGFfEpyFESummAta6sg/edit"", ""Sheet1!B:D""), 2, FALSE), ""Not Found"")"),"fæni")</f>
        <v>fæni</v>
      </c>
      <c r="E3280" s="2" t="str">
        <f>IFERROR(__xludf.DUMMYFUNCTION("IFERROR(VLOOKUP(A3280, IMPORTRANGE(""https://docs.google.com/spreadsheets/d/1-3Vjw2Cyy-mry5gbC8ypIR3YVGFfEpyFESummAta6sg/edit"", ""Sheet1!B:D""), 3, FALSE), ""Not Found"")"),"f æ n i ")</f>
        <v>f æ n i </v>
      </c>
    </row>
    <row r="3281">
      <c r="A3281" s="1" t="s">
        <v>3282</v>
      </c>
      <c r="B3281" s="1" t="s">
        <v>5</v>
      </c>
      <c r="C3281" s="2">
        <f>IFERROR(__xludf.DUMMYFUNCTION("IFERROR(VLOOKUP(A3281, IMPORTRANGE(""https://docs.google.com/spreadsheets/d/1AVX9GT0dgogEBStecCXMMQ29tWz3gBrtNB8yIromXbY/edit?gid=741673867"", ""out1g!A:B""), 2, FALSE), 0)"),156.0)</f>
        <v>156</v>
      </c>
      <c r="D3281" s="2" t="str">
        <f>IFERROR(__xludf.DUMMYFUNCTION("IFERROR(VLOOKUP(A3281, IMPORTRANGE(""https://docs.google.com/spreadsheets/d/1-3Vjw2Cyy-mry5gbC8ypIR3YVGFfEpyFESummAta6sg/edit"", ""Sheet1!B:D""), 2, FALSE), ""Not Found"")"),"welɪŋ")</f>
        <v>welɪŋ</v>
      </c>
      <c r="E3281" s="2" t="str">
        <f>IFERROR(__xludf.DUMMYFUNCTION("IFERROR(VLOOKUP(A3281, IMPORTRANGE(""https://docs.google.com/spreadsheets/d/1-3Vjw2Cyy-mry5gbC8ypIR3YVGFfEpyFESummAta6sg/edit"", ""Sheet1!B:D""), 3, FALSE), ""Not Found"")"),"w e l ɪ ŋ ")</f>
        <v>w e l ɪ ŋ </v>
      </c>
    </row>
    <row r="3282">
      <c r="A3282" s="1" t="s">
        <v>3283</v>
      </c>
      <c r="B3282" s="1" t="s">
        <v>5</v>
      </c>
      <c r="C3282" s="2">
        <f>IFERROR(__xludf.DUMMYFUNCTION("IFERROR(VLOOKUP(A3282, IMPORTRANGE(""https://docs.google.com/spreadsheets/d/1AVX9GT0dgogEBStecCXMMQ29tWz3gBrtNB8yIromXbY/edit?gid=741673867"", ""out1g!A:B""), 2, FALSE), 0)"),136.0)</f>
        <v>136</v>
      </c>
      <c r="D3282" s="2" t="str">
        <f>IFERROR(__xludf.DUMMYFUNCTION("IFERROR(VLOOKUP(A3282, IMPORTRANGE(""https://docs.google.com/spreadsheets/d/1-3Vjw2Cyy-mry5gbC8ypIR3YVGFfEpyFESummAta6sg/edit"", ""Sheet1!B:D""), 2, FALSE), ""Not Found"")"),"kərt")</f>
        <v>kərt</v>
      </c>
      <c r="E3282" s="2" t="str">
        <f>IFERROR(__xludf.DUMMYFUNCTION("IFERROR(VLOOKUP(A3282, IMPORTRANGE(""https://docs.google.com/spreadsheets/d/1-3Vjw2Cyy-mry5gbC8ypIR3YVGFfEpyFESummAta6sg/edit"", ""Sheet1!B:D""), 3, FALSE), ""Not Found"")"),"k ə r t ")</f>
        <v>k ə r t </v>
      </c>
    </row>
    <row r="3283">
      <c r="A3283" s="1" t="s">
        <v>3284</v>
      </c>
      <c r="B3283" s="1" t="s">
        <v>5</v>
      </c>
      <c r="C3283" s="2">
        <f>IFERROR(__xludf.DUMMYFUNCTION("IFERROR(VLOOKUP(A3283, IMPORTRANGE(""https://docs.google.com/spreadsheets/d/1AVX9GT0dgogEBStecCXMMQ29tWz3gBrtNB8yIromXbY/edit?gid=741673867"", ""out1g!A:B""), 2, FALSE), 0)"),1493.0)</f>
        <v>1493</v>
      </c>
      <c r="D3283" s="2" t="str">
        <f>IFERROR(__xludf.DUMMYFUNCTION("IFERROR(VLOOKUP(A3283, IMPORTRANGE(""https://docs.google.com/spreadsheets/d/1-3Vjw2Cyy-mry5gbC8ypIR3YVGFfEpyFESummAta6sg/edit"", ""Sheet1!B:D""), 2, FALSE), ""Not Found"")"),"gred")</f>
        <v>gred</v>
      </c>
      <c r="E3283" s="2" t="str">
        <f>IFERROR(__xludf.DUMMYFUNCTION("IFERROR(VLOOKUP(A3283, IMPORTRANGE(""https://docs.google.com/spreadsheets/d/1-3Vjw2Cyy-mry5gbC8ypIR3YVGFfEpyFESummAta6sg/edit"", ""Sheet1!B:D""), 3, FALSE), ""Not Found"")"),"g r e d ")</f>
        <v>g r e d </v>
      </c>
    </row>
    <row r="3284">
      <c r="A3284" s="1" t="s">
        <v>3285</v>
      </c>
      <c r="B3284" s="1" t="s">
        <v>5</v>
      </c>
      <c r="C3284" s="2">
        <f>IFERROR(__xludf.DUMMYFUNCTION("IFERROR(VLOOKUP(A3284, IMPORTRANGE(""https://docs.google.com/spreadsheets/d/1AVX9GT0dgogEBStecCXMMQ29tWz3gBrtNB8yIromXbY/edit?gid=741673867"", ""out1g!A:B""), 2, FALSE), 0)"),422.0)</f>
        <v>422</v>
      </c>
      <c r="D3284" s="2" t="str">
        <f>IFERROR(__xludf.DUMMYFUNCTION("IFERROR(VLOOKUP(A3284, IMPORTRANGE(""https://docs.google.com/spreadsheets/d/1-3Vjw2Cyy-mry5gbC8ypIR3YVGFfEpyFESummAta6sg/edit"", ""Sheet1!B:D""), 2, FALSE), ""Not Found"")"),"friks")</f>
        <v>friks</v>
      </c>
      <c r="E3284" s="2" t="str">
        <f>IFERROR(__xludf.DUMMYFUNCTION("IFERROR(VLOOKUP(A3284, IMPORTRANGE(""https://docs.google.com/spreadsheets/d/1-3Vjw2Cyy-mry5gbC8ypIR3YVGFfEpyFESummAta6sg/edit"", ""Sheet1!B:D""), 3, FALSE), ""Not Found"")"),"f r i k s ")</f>
        <v>f r i k s </v>
      </c>
    </row>
    <row r="3285">
      <c r="A3285" s="1" t="s">
        <v>3286</v>
      </c>
      <c r="B3285" s="1" t="s">
        <v>5</v>
      </c>
      <c r="C3285" s="2">
        <f>IFERROR(__xludf.DUMMYFUNCTION("IFERROR(VLOOKUP(A3285, IMPORTRANGE(""https://docs.google.com/spreadsheets/d/1AVX9GT0dgogEBStecCXMMQ29tWz3gBrtNB8yIromXbY/edit?gid=741673867"", ""out1g!A:B""), 2, FALSE), 0)"),141.0)</f>
        <v>141</v>
      </c>
      <c r="D3285" s="2" t="str">
        <f>IFERROR(__xludf.DUMMYFUNCTION("IFERROR(VLOOKUP(A3285, IMPORTRANGE(""https://docs.google.com/spreadsheets/d/1-3Vjw2Cyy-mry5gbC8ypIR3YVGFfEpyFESummAta6sg/edit"", ""Sheet1!B:D""), 2, FALSE), ""Not Found"")"),"aɪdəl")</f>
        <v>aɪdəl</v>
      </c>
      <c r="E3285" s="2" t="str">
        <f>IFERROR(__xludf.DUMMYFUNCTION("IFERROR(VLOOKUP(A3285, IMPORTRANGE(""https://docs.google.com/spreadsheets/d/1-3Vjw2Cyy-mry5gbC8ypIR3YVGFfEpyFESummAta6sg/edit"", ""Sheet1!B:D""), 3, FALSE), ""Not Found"")"),"a ɪ d ə l ")</f>
        <v>a ɪ d ə l </v>
      </c>
    </row>
    <row r="3286">
      <c r="A3286" s="1" t="s">
        <v>3287</v>
      </c>
      <c r="B3286" s="1" t="s">
        <v>5</v>
      </c>
      <c r="C3286" s="2">
        <f>IFERROR(__xludf.DUMMYFUNCTION("IFERROR(VLOOKUP(A3286, IMPORTRANGE(""https://docs.google.com/spreadsheets/d/1AVX9GT0dgogEBStecCXMMQ29tWz3gBrtNB8yIromXbY/edit?gid=741673867"", ""out1g!A:B""), 2, FALSE), 0)"),152.0)</f>
        <v>152</v>
      </c>
      <c r="D3286" s="2" t="str">
        <f>IFERROR(__xludf.DUMMYFUNCTION("IFERROR(VLOOKUP(A3286, IMPORTRANGE(""https://docs.google.com/spreadsheets/d/1-3Vjw2Cyy-mry5gbC8ypIR3YVGFfEpyFESummAta6sg/edit"", ""Sheet1!B:D""), 2, FALSE), ""Not Found"")"),"prɑps")</f>
        <v>prɑps</v>
      </c>
      <c r="E3286" s="2" t="str">
        <f>IFERROR(__xludf.DUMMYFUNCTION("IFERROR(VLOOKUP(A3286, IMPORTRANGE(""https://docs.google.com/spreadsheets/d/1-3Vjw2Cyy-mry5gbC8ypIR3YVGFfEpyFESummAta6sg/edit"", ""Sheet1!B:D""), 3, FALSE), ""Not Found"")"),"p r ɑ p s ")</f>
        <v>p r ɑ p s </v>
      </c>
    </row>
    <row r="3287">
      <c r="A3287" s="1" t="s">
        <v>3288</v>
      </c>
      <c r="B3287" s="1" t="s">
        <v>5</v>
      </c>
      <c r="C3287" s="2">
        <f>IFERROR(__xludf.DUMMYFUNCTION("IFERROR(VLOOKUP(A3287, IMPORTRANGE(""https://docs.google.com/spreadsheets/d/1AVX9GT0dgogEBStecCXMMQ29tWz3gBrtNB8yIromXbY/edit?gid=741673867"", ""out1g!A:B""), 2, FALSE), 0)"),147.0)</f>
        <v>147</v>
      </c>
      <c r="D3287" s="2" t="str">
        <f>IFERROR(__xludf.DUMMYFUNCTION("IFERROR(VLOOKUP(A3287, IMPORTRANGE(""https://docs.google.com/spreadsheets/d/1-3Vjw2Cyy-mry5gbC8ypIR3YVGFfEpyFESummAta6sg/edit"", ""Sheet1!B:D""), 2, FALSE), ""Not Found"")"),"ʤoʊnə")</f>
        <v>ʤoʊnə</v>
      </c>
      <c r="E3287" s="2" t="str">
        <f>IFERROR(__xludf.DUMMYFUNCTION("IFERROR(VLOOKUP(A3287, IMPORTRANGE(""https://docs.google.com/spreadsheets/d/1-3Vjw2Cyy-mry5gbC8ypIR3YVGFfEpyFESummAta6sg/edit"", ""Sheet1!B:D""), 3, FALSE), ""Not Found"")"),"ʤ o ʊ n ə ")</f>
        <v>ʤ o ʊ n ə </v>
      </c>
    </row>
    <row r="3288">
      <c r="A3288" s="1" t="s">
        <v>3289</v>
      </c>
      <c r="B3288" s="1" t="s">
        <v>5</v>
      </c>
      <c r="C3288" s="2">
        <f>IFERROR(__xludf.DUMMYFUNCTION("IFERROR(VLOOKUP(A3288, IMPORTRANGE(""https://docs.google.com/spreadsheets/d/1AVX9GT0dgogEBStecCXMMQ29tWz3gBrtNB8yIromXbY/edit?gid=741673867"", ""out1g!A:B""), 2, FALSE), 0)"),19.0)</f>
        <v>19</v>
      </c>
      <c r="D3288" s="2" t="str">
        <f>IFERROR(__xludf.DUMMYFUNCTION("IFERROR(VLOOKUP(A3288, IMPORTRANGE(""https://docs.google.com/spreadsheets/d/1-3Vjw2Cyy-mry5gbC8ypIR3YVGFfEpyFESummAta6sg/edit"", ""Sheet1!B:D""), 2, FALSE), ""Not Found"")"),"kɪln")</f>
        <v>kɪln</v>
      </c>
      <c r="E3288" s="2" t="str">
        <f>IFERROR(__xludf.DUMMYFUNCTION("IFERROR(VLOOKUP(A3288, IMPORTRANGE(""https://docs.google.com/spreadsheets/d/1-3Vjw2Cyy-mry5gbC8ypIR3YVGFfEpyFESummAta6sg/edit"", ""Sheet1!B:D""), 3, FALSE), ""Not Found"")"),"k ɪ l n ")</f>
        <v>k ɪ l n </v>
      </c>
    </row>
    <row r="3289">
      <c r="A3289" s="1" t="s">
        <v>3290</v>
      </c>
      <c r="B3289" s="1" t="s">
        <v>5</v>
      </c>
      <c r="C3289" s="2">
        <f>IFERROR(__xludf.DUMMYFUNCTION("IFERROR(VLOOKUP(A3289, IMPORTRANGE(""https://docs.google.com/spreadsheets/d/1AVX9GT0dgogEBStecCXMMQ29tWz3gBrtNB8yIromXbY/edit?gid=741673867"", ""out1g!A:B""), 2, FALSE), 0)"),756.0)</f>
        <v>756</v>
      </c>
      <c r="D3289" s="2" t="str">
        <f>IFERROR(__xludf.DUMMYFUNCTION("IFERROR(VLOOKUP(A3289, IMPORTRANGE(""https://docs.google.com/spreadsheets/d/1-3Vjw2Cyy-mry5gbC8ypIR3YVGFfEpyFESummAta6sg/edit"", ""Sheet1!B:D""), 2, FALSE), ""Not Found"")"),"məd")</f>
        <v>məd</v>
      </c>
      <c r="E3289" s="2" t="str">
        <f>IFERROR(__xludf.DUMMYFUNCTION("IFERROR(VLOOKUP(A3289, IMPORTRANGE(""https://docs.google.com/spreadsheets/d/1-3Vjw2Cyy-mry5gbC8ypIR3YVGFfEpyFESummAta6sg/edit"", ""Sheet1!B:D""), 3, FALSE), ""Not Found"")"),"m ə d ")</f>
        <v>m ə d </v>
      </c>
    </row>
    <row r="3290">
      <c r="A3290" s="1" t="s">
        <v>3291</v>
      </c>
      <c r="B3290" s="1" t="s">
        <v>5</v>
      </c>
      <c r="C3290" s="2">
        <f>IFERROR(__xludf.DUMMYFUNCTION("IFERROR(VLOOKUP(A3290, IMPORTRANGE(""https://docs.google.com/spreadsheets/d/1AVX9GT0dgogEBStecCXMMQ29tWz3gBrtNB8yIromXbY/edit?gid=741673867"", ""out1g!A:B""), 2, FALSE), 0)"),88.0)</f>
        <v>88</v>
      </c>
      <c r="D3290" s="2" t="str">
        <f>IFERROR(__xludf.DUMMYFUNCTION("IFERROR(VLOOKUP(A3290, IMPORTRANGE(""https://docs.google.com/spreadsheets/d/1-3Vjw2Cyy-mry5gbC8ypIR3YVGFfEpyFESummAta6sg/edit"", ""Sheet1!B:D""), 2, FALSE), ""Not Found"")"),"mik")</f>
        <v>mik</v>
      </c>
      <c r="E3290" s="2" t="str">
        <f>IFERROR(__xludf.DUMMYFUNCTION("IFERROR(VLOOKUP(A3290, IMPORTRANGE(""https://docs.google.com/spreadsheets/d/1-3Vjw2Cyy-mry5gbC8ypIR3YVGFfEpyFESummAta6sg/edit"", ""Sheet1!B:D""), 3, FALSE), ""Not Found"")"),"m i k ")</f>
        <v>m i k </v>
      </c>
    </row>
    <row r="3291">
      <c r="A3291" s="1" t="s">
        <v>3292</v>
      </c>
      <c r="B3291" s="1" t="s">
        <v>5</v>
      </c>
      <c r="C3291" s="2">
        <f>IFERROR(__xludf.DUMMYFUNCTION("IFERROR(VLOOKUP(A3291, IMPORTRANGE(""https://docs.google.com/spreadsheets/d/1AVX9GT0dgogEBStecCXMMQ29tWz3gBrtNB8yIromXbY/edit?gid=741673867"", ""out1g!A:B""), 2, FALSE), 0)"),37276.0)</f>
        <v>37276</v>
      </c>
      <c r="D3291" s="2" t="str">
        <f>IFERROR(__xludf.DUMMYFUNCTION("IFERROR(VLOOKUP(A3291, IMPORTRANGE(""https://docs.google.com/spreadsheets/d/1-3Vjw2Cyy-mry5gbC8ypIR3YVGFfEpyFESummAta6sg/edit"", ""Sheet1!B:D""), 2, FALSE), ""Not Found"")"),"əwe")</f>
        <v>əwe</v>
      </c>
      <c r="E3291" s="2" t="str">
        <f>IFERROR(__xludf.DUMMYFUNCTION("IFERROR(VLOOKUP(A3291, IMPORTRANGE(""https://docs.google.com/spreadsheets/d/1-3Vjw2Cyy-mry5gbC8ypIR3YVGFfEpyFESummAta6sg/edit"", ""Sheet1!B:D""), 3, FALSE), ""Not Found"")"),"ə w e ")</f>
        <v>ə w e </v>
      </c>
    </row>
    <row r="3292">
      <c r="A3292" s="1" t="s">
        <v>3293</v>
      </c>
      <c r="B3292" s="1" t="s">
        <v>5</v>
      </c>
      <c r="C3292" s="2">
        <f>IFERROR(__xludf.DUMMYFUNCTION("IFERROR(VLOOKUP(A3292, IMPORTRANGE(""https://docs.google.com/spreadsheets/d/1AVX9GT0dgogEBStecCXMMQ29tWz3gBrtNB8yIromXbY/edit?gid=741673867"", ""out1g!A:B""), 2, FALSE), 0)"),133.0)</f>
        <v>133</v>
      </c>
      <c r="D3292" s="2" t="str">
        <f>IFERROR(__xludf.DUMMYFUNCTION("IFERROR(VLOOKUP(A3292, IMPORTRANGE(""https://docs.google.com/spreadsheets/d/1-3Vjw2Cyy-mry5gbC8ypIR3YVGFfEpyFESummAta6sg/edit"", ""Sheet1!B:D""), 2, FALSE), ""Not Found"")"),"prə")</f>
        <v>prə</v>
      </c>
      <c r="E3292" s="2" t="str">
        <f>IFERROR(__xludf.DUMMYFUNCTION("IFERROR(VLOOKUP(A3292, IMPORTRANGE(""https://docs.google.com/spreadsheets/d/1-3Vjw2Cyy-mry5gbC8ypIR3YVGFfEpyFESummAta6sg/edit"", ""Sheet1!B:D""), 3, FALSE), ""Not Found"")"),"p r ə ")</f>
        <v>p r ə </v>
      </c>
    </row>
    <row r="3293">
      <c r="A3293" s="1" t="s">
        <v>3294</v>
      </c>
      <c r="B3293" s="1" t="s">
        <v>5</v>
      </c>
      <c r="C3293" s="2">
        <f>IFERROR(__xludf.DUMMYFUNCTION("IFERROR(VLOOKUP(A3293, IMPORTRANGE(""https://docs.google.com/spreadsheets/d/1AVX9GT0dgogEBStecCXMMQ29tWz3gBrtNB8yIromXbY/edit?gid=741673867"", ""out1g!A:B""), 2, FALSE), 0)"),382.0)</f>
        <v>382</v>
      </c>
      <c r="D3293" s="2" t="str">
        <f>IFERROR(__xludf.DUMMYFUNCTION("IFERROR(VLOOKUP(A3293, IMPORTRANGE(""https://docs.google.com/spreadsheets/d/1-3Vjw2Cyy-mry5gbC8ypIR3YVGFfEpyFESummAta6sg/edit"", ""Sheet1!B:D""), 2, FALSE), ""Not Found"")"),"bɑmɪŋ")</f>
        <v>bɑmɪŋ</v>
      </c>
      <c r="E3293" s="2" t="str">
        <f>IFERROR(__xludf.DUMMYFUNCTION("IFERROR(VLOOKUP(A3293, IMPORTRANGE(""https://docs.google.com/spreadsheets/d/1-3Vjw2Cyy-mry5gbC8ypIR3YVGFfEpyFESummAta6sg/edit"", ""Sheet1!B:D""), 3, FALSE), ""Not Found"")"),"b ɑ m ɪ ŋ ")</f>
        <v>b ɑ m ɪ ŋ </v>
      </c>
    </row>
    <row r="3294">
      <c r="A3294" s="1" t="s">
        <v>3295</v>
      </c>
      <c r="B3294" s="1" t="s">
        <v>5</v>
      </c>
      <c r="C3294" s="2">
        <f>IFERROR(__xludf.DUMMYFUNCTION("IFERROR(VLOOKUP(A3294, IMPORTRANGE(""https://docs.google.com/spreadsheets/d/1AVX9GT0dgogEBStecCXMMQ29tWz3gBrtNB8yIromXbY/edit?gid=741673867"", ""out1g!A:B""), 2, FALSE), 0)"),153.0)</f>
        <v>153</v>
      </c>
      <c r="D3294" s="2" t="str">
        <f>IFERROR(__xludf.DUMMYFUNCTION("IFERROR(VLOOKUP(A3294, IMPORTRANGE(""https://docs.google.com/spreadsheets/d/1-3Vjw2Cyy-mry5gbC8ypIR3YVGFfEpyFESummAta6sg/edit"", ""Sheet1!B:D""), 2, FALSE), ""Not Found"")"),"bips")</f>
        <v>bips</v>
      </c>
      <c r="E3294" s="2" t="str">
        <f>IFERROR(__xludf.DUMMYFUNCTION("IFERROR(VLOOKUP(A3294, IMPORTRANGE(""https://docs.google.com/spreadsheets/d/1-3Vjw2Cyy-mry5gbC8ypIR3YVGFfEpyFESummAta6sg/edit"", ""Sheet1!B:D""), 3, FALSE), ""Not Found"")"),"b i p s ")</f>
        <v>b i p s </v>
      </c>
    </row>
    <row r="3295">
      <c r="A3295" s="1" t="s">
        <v>3296</v>
      </c>
      <c r="B3295" s="1" t="s">
        <v>5</v>
      </c>
      <c r="C3295" s="2">
        <f>IFERROR(__xludf.DUMMYFUNCTION("IFERROR(VLOOKUP(A3295, IMPORTRANGE(""https://docs.google.com/spreadsheets/d/1AVX9GT0dgogEBStecCXMMQ29tWz3gBrtNB8yIromXbY/edit?gid=741673867"", ""out1g!A:B""), 2, FALSE), 0)"),12063.0)</f>
        <v>12063</v>
      </c>
      <c r="D3295" s="2" t="str">
        <f>IFERROR(__xludf.DUMMYFUNCTION("IFERROR(VLOOKUP(A3295, IMPORTRANGE(""https://docs.google.com/spreadsheets/d/1-3Vjw2Cyy-mry5gbC8ypIR3YVGFfEpyFESummAta6sg/edit"", ""Sheet1!B:D""), 2, FALSE), ""Not Found"")"),"hænz")</f>
        <v>hænz</v>
      </c>
      <c r="E3295" s="2" t="str">
        <f>IFERROR(__xludf.DUMMYFUNCTION("IFERROR(VLOOKUP(A3295, IMPORTRANGE(""https://docs.google.com/spreadsheets/d/1-3Vjw2Cyy-mry5gbC8ypIR3YVGFfEpyFESummAta6sg/edit"", ""Sheet1!B:D""), 3, FALSE), ""Not Found"")"),"h æ n z ")</f>
        <v>h æ n z </v>
      </c>
    </row>
    <row r="3296">
      <c r="A3296" s="1" t="s">
        <v>3297</v>
      </c>
      <c r="B3296" s="1" t="s">
        <v>5</v>
      </c>
      <c r="C3296" s="2">
        <f>IFERROR(__xludf.DUMMYFUNCTION("IFERROR(VLOOKUP(A3296, IMPORTRANGE(""https://docs.google.com/spreadsheets/d/1AVX9GT0dgogEBStecCXMMQ29tWz3gBrtNB8yIromXbY/edit?gid=741673867"", ""out1g!A:B""), 2, FALSE), 0)"),128.0)</f>
        <v>128</v>
      </c>
      <c r="D3296" s="2" t="str">
        <f>IFERROR(__xludf.DUMMYFUNCTION("IFERROR(VLOOKUP(A3296, IMPORTRANGE(""https://docs.google.com/spreadsheets/d/1-3Vjw2Cyy-mry5gbC8ypIR3YVGFfEpyFESummAta6sg/edit"", ""Sheet1!B:D""), 2, FALSE), ""Not Found"")"),"klɪŋ")</f>
        <v>klɪŋ</v>
      </c>
      <c r="E3296" s="2" t="str">
        <f>IFERROR(__xludf.DUMMYFUNCTION("IFERROR(VLOOKUP(A3296, IMPORTRANGE(""https://docs.google.com/spreadsheets/d/1-3Vjw2Cyy-mry5gbC8ypIR3YVGFfEpyFESummAta6sg/edit"", ""Sheet1!B:D""), 3, FALSE), ""Not Found"")"),"k l ɪ ŋ ")</f>
        <v>k l ɪ ŋ </v>
      </c>
    </row>
    <row r="3297">
      <c r="A3297" s="1" t="s">
        <v>3298</v>
      </c>
      <c r="B3297" s="1" t="s">
        <v>5</v>
      </c>
      <c r="C3297" s="2">
        <f>IFERROR(__xludf.DUMMYFUNCTION("IFERROR(VLOOKUP(A3297, IMPORTRANGE(""https://docs.google.com/spreadsheets/d/1AVX9GT0dgogEBStecCXMMQ29tWz3gBrtNB8yIromXbY/edit?gid=741673867"", ""out1g!A:B""), 2, FALSE), 0)"),627.0)</f>
        <v>627</v>
      </c>
      <c r="D3297" s="2" t="str">
        <f>IFERROR(__xludf.DUMMYFUNCTION("IFERROR(VLOOKUP(A3297, IMPORTRANGE(""https://docs.google.com/spreadsheets/d/1-3Vjw2Cyy-mry5gbC8ypIR3YVGFfEpyFESummAta6sg/edit"", ""Sheet1!B:D""), 2, FALSE), ""Not Found"")"),"tɪts")</f>
        <v>tɪts</v>
      </c>
      <c r="E3297" s="2" t="str">
        <f>IFERROR(__xludf.DUMMYFUNCTION("IFERROR(VLOOKUP(A3297, IMPORTRANGE(""https://docs.google.com/spreadsheets/d/1-3Vjw2Cyy-mry5gbC8ypIR3YVGFfEpyFESummAta6sg/edit"", ""Sheet1!B:D""), 3, FALSE), ""Not Found"")"),"t ɪ t s ")</f>
        <v>t ɪ t s </v>
      </c>
    </row>
    <row r="3298">
      <c r="A3298" s="1" t="s">
        <v>3299</v>
      </c>
      <c r="B3298" s="1" t="s">
        <v>5</v>
      </c>
      <c r="C3298" s="2">
        <f>IFERROR(__xludf.DUMMYFUNCTION("IFERROR(VLOOKUP(A3298, IMPORTRANGE(""https://docs.google.com/spreadsheets/d/1AVX9GT0dgogEBStecCXMMQ29tWz3gBrtNB8yIromXbY/edit?gid=741673867"", ""out1g!A:B""), 2, FALSE), 0)"),106.0)</f>
        <v>106</v>
      </c>
      <c r="D3298" s="2" t="str">
        <f>IFERROR(__xludf.DUMMYFUNCTION("IFERROR(VLOOKUP(A3298, IMPORTRANGE(""https://docs.google.com/spreadsheets/d/1-3Vjw2Cyy-mry5gbC8ypIR3YVGFfEpyFESummAta6sg/edit"", ""Sheet1!B:D""), 2, FALSE), ""Not Found"")"),"fɔlts")</f>
        <v>fɔlts</v>
      </c>
      <c r="E3298" s="2" t="str">
        <f>IFERROR(__xludf.DUMMYFUNCTION("IFERROR(VLOOKUP(A3298, IMPORTRANGE(""https://docs.google.com/spreadsheets/d/1-3Vjw2Cyy-mry5gbC8ypIR3YVGFfEpyFESummAta6sg/edit"", ""Sheet1!B:D""), 3, FALSE), ""Not Found"")"),"f ɔ l t s ")</f>
        <v>f ɔ l t s </v>
      </c>
    </row>
    <row r="3299">
      <c r="A3299" s="1" t="s">
        <v>3300</v>
      </c>
      <c r="B3299" s="1" t="s">
        <v>5</v>
      </c>
      <c r="C3299" s="2">
        <f>IFERROR(__xludf.DUMMYFUNCTION("IFERROR(VLOOKUP(A3299, IMPORTRANGE(""https://docs.google.com/spreadsheets/d/1AVX9GT0dgogEBStecCXMMQ29tWz3gBrtNB8yIromXbY/edit?gid=741673867"", ""out1g!A:B""), 2, FALSE), 0)"),58.0)</f>
        <v>58</v>
      </c>
      <c r="D3299" s="2" t="str">
        <f>IFERROR(__xludf.DUMMYFUNCTION("IFERROR(VLOOKUP(A3299, IMPORTRANGE(""https://docs.google.com/spreadsheets/d/1-3Vjw2Cyy-mry5gbC8ypIR3YVGFfEpyFESummAta6sg/edit"", ""Sheet1!B:D""), 2, FALSE), ""Not Found"")"),"woʊ")</f>
        <v>woʊ</v>
      </c>
      <c r="E3299" s="2" t="str">
        <f>IFERROR(__xludf.DUMMYFUNCTION("IFERROR(VLOOKUP(A3299, IMPORTRANGE(""https://docs.google.com/spreadsheets/d/1-3Vjw2Cyy-mry5gbC8ypIR3YVGFfEpyFESummAta6sg/edit"", ""Sheet1!B:D""), 3, FALSE), ""Not Found"")"),"w o ʊ ")</f>
        <v>w o ʊ </v>
      </c>
    </row>
    <row r="3300">
      <c r="A3300" s="1" t="s">
        <v>3301</v>
      </c>
      <c r="B3300" s="1" t="s">
        <v>5</v>
      </c>
      <c r="C3300" s="2">
        <f>IFERROR(__xludf.DUMMYFUNCTION("IFERROR(VLOOKUP(A3300, IMPORTRANGE(""https://docs.google.com/spreadsheets/d/1AVX9GT0dgogEBStecCXMMQ29tWz3gBrtNB8yIromXbY/edit?gid=741673867"", ""out1g!A:B""), 2, FALSE), 0)"),574.0)</f>
        <v>574</v>
      </c>
      <c r="D3300" s="2" t="str">
        <f>IFERROR(__xludf.DUMMYFUNCTION("IFERROR(VLOOKUP(A3300, IMPORTRANGE(""https://docs.google.com/spreadsheets/d/1-3Vjw2Cyy-mry5gbC8ypIR3YVGFfEpyFESummAta6sg/edit"", ""Sheet1!B:D""), 2, FALSE), ""Not Found"")"),"blænʧ")</f>
        <v>blænʧ</v>
      </c>
      <c r="E3300" s="2" t="str">
        <f>IFERROR(__xludf.DUMMYFUNCTION("IFERROR(VLOOKUP(A3300, IMPORTRANGE(""https://docs.google.com/spreadsheets/d/1-3Vjw2Cyy-mry5gbC8ypIR3YVGFfEpyFESummAta6sg/edit"", ""Sheet1!B:D""), 3, FALSE), ""Not Found"")"),"b l æ n ʧ ")</f>
        <v>b l æ n ʧ </v>
      </c>
    </row>
    <row r="3301">
      <c r="A3301" s="1" t="s">
        <v>3302</v>
      </c>
      <c r="B3301" s="1" t="s">
        <v>5</v>
      </c>
      <c r="C3301" s="2">
        <f>IFERROR(__xludf.DUMMYFUNCTION("IFERROR(VLOOKUP(A3301, IMPORTRANGE(""https://docs.google.com/spreadsheets/d/1AVX9GT0dgogEBStecCXMMQ29tWz3gBrtNB8yIromXbY/edit?gid=741673867"", ""out1g!A:B""), 2, FALSE), 0)"),129.0)</f>
        <v>129</v>
      </c>
      <c r="D3301" s="2" t="str">
        <f>IFERROR(__xludf.DUMMYFUNCTION("IFERROR(VLOOKUP(A3301, IMPORTRANGE(""https://docs.google.com/spreadsheets/d/1-3Vjw2Cyy-mry5gbC8ypIR3YVGFfEpyFESummAta6sg/edit"", ""Sheet1!B:D""), 2, FALSE), ""Not Found"")"),"pɛnz")</f>
        <v>pɛnz</v>
      </c>
      <c r="E3301" s="2" t="str">
        <f>IFERROR(__xludf.DUMMYFUNCTION("IFERROR(VLOOKUP(A3301, IMPORTRANGE(""https://docs.google.com/spreadsheets/d/1-3Vjw2Cyy-mry5gbC8ypIR3YVGFfEpyFESummAta6sg/edit"", ""Sheet1!B:D""), 3, FALSE), ""Not Found"")"),"p ɛ n z ")</f>
        <v>p ɛ n z </v>
      </c>
    </row>
    <row r="3302">
      <c r="A3302" s="1" t="s">
        <v>3303</v>
      </c>
      <c r="B3302" s="1" t="s">
        <v>5</v>
      </c>
      <c r="C3302" s="2">
        <f>IFERROR(__xludf.DUMMYFUNCTION("IFERROR(VLOOKUP(A3302, IMPORTRANGE(""https://docs.google.com/spreadsheets/d/1AVX9GT0dgogEBStecCXMMQ29tWz3gBrtNB8yIromXbY/edit?gid=741673867"", ""out1g!A:B""), 2, FALSE), 0)"),764.0)</f>
        <v>764</v>
      </c>
      <c r="D3302" s="2" t="str">
        <f>IFERROR(__xludf.DUMMYFUNCTION("IFERROR(VLOOKUP(A3302, IMPORTRANGE(""https://docs.google.com/spreadsheets/d/1-3Vjw2Cyy-mry5gbC8ypIR3YVGFfEpyFESummAta6sg/edit"", ""Sheet1!B:D""), 2, FALSE), ""Not Found"")"),"taɪmɪŋ")</f>
        <v>taɪmɪŋ</v>
      </c>
      <c r="E3302" s="2" t="str">
        <f>IFERROR(__xludf.DUMMYFUNCTION("IFERROR(VLOOKUP(A3302, IMPORTRANGE(""https://docs.google.com/spreadsheets/d/1-3Vjw2Cyy-mry5gbC8ypIR3YVGFfEpyFESummAta6sg/edit"", ""Sheet1!B:D""), 3, FALSE), ""Not Found"")"),"t a ɪ m ɪ ŋ ")</f>
        <v>t a ɪ m ɪ ŋ </v>
      </c>
    </row>
    <row r="3303">
      <c r="A3303" s="1" t="s">
        <v>3304</v>
      </c>
      <c r="B3303" s="1" t="s">
        <v>5</v>
      </c>
      <c r="C3303" s="2">
        <f>IFERROR(__xludf.DUMMYFUNCTION("IFERROR(VLOOKUP(A3303, IMPORTRANGE(""https://docs.google.com/spreadsheets/d/1AVX9GT0dgogEBStecCXMMQ29tWz3gBrtNB8yIromXbY/edit?gid=741673867"", ""out1g!A:B""), 2, FALSE), 0)"),1203.0)</f>
        <v>1203</v>
      </c>
      <c r="D3303" s="2" t="str">
        <f>IFERROR(__xludf.DUMMYFUNCTION("IFERROR(VLOOKUP(A3303, IMPORTRANGE(""https://docs.google.com/spreadsheets/d/1-3Vjw2Cyy-mry5gbC8ypIR3YVGFfEpyFESummAta6sg/edit"", ""Sheet1!B:D""), 2, FALSE), ""Not Found"")"),"pɪs")</f>
        <v>pɪs</v>
      </c>
      <c r="E3303" s="2" t="str">
        <f>IFERROR(__xludf.DUMMYFUNCTION("IFERROR(VLOOKUP(A3303, IMPORTRANGE(""https://docs.google.com/spreadsheets/d/1-3Vjw2Cyy-mry5gbC8ypIR3YVGFfEpyFESummAta6sg/edit"", ""Sheet1!B:D""), 3, FALSE), ""Not Found"")"),"p ɪ s ")</f>
        <v>p ɪ s </v>
      </c>
    </row>
    <row r="3304">
      <c r="A3304" s="1" t="s">
        <v>3305</v>
      </c>
      <c r="B3304" s="1" t="s">
        <v>5</v>
      </c>
      <c r="C3304" s="2">
        <f>IFERROR(__xludf.DUMMYFUNCTION("IFERROR(VLOOKUP(A3304, IMPORTRANGE(""https://docs.google.com/spreadsheets/d/1AVX9GT0dgogEBStecCXMMQ29tWz3gBrtNB8yIromXbY/edit?gid=741673867"", ""out1g!A:B""), 2, FALSE), 0)"),252.0)</f>
        <v>252</v>
      </c>
      <c r="D3304" s="2" t="str">
        <f>IFERROR(__xludf.DUMMYFUNCTION("IFERROR(VLOOKUP(A3304, IMPORTRANGE(""https://docs.google.com/spreadsheets/d/1-3Vjw2Cyy-mry5gbC8ypIR3YVGFfEpyFESummAta6sg/edit"", ""Sheet1!B:D""), 2, FALSE), ""Not Found"")"),"jæŋ")</f>
        <v>jæŋ</v>
      </c>
      <c r="E3304" s="2" t="str">
        <f>IFERROR(__xludf.DUMMYFUNCTION("IFERROR(VLOOKUP(A3304, IMPORTRANGE(""https://docs.google.com/spreadsheets/d/1-3Vjw2Cyy-mry5gbC8ypIR3YVGFfEpyFESummAta6sg/edit"", ""Sheet1!B:D""), 3, FALSE), ""Not Found"")"),"j æ ŋ ")</f>
        <v>j æ ŋ </v>
      </c>
    </row>
    <row r="3305">
      <c r="A3305" s="1" t="s">
        <v>3306</v>
      </c>
      <c r="B3305" s="1" t="s">
        <v>5</v>
      </c>
      <c r="C3305" s="2">
        <f>IFERROR(__xludf.DUMMYFUNCTION("IFERROR(VLOOKUP(A3305, IMPORTRANGE(""https://docs.google.com/spreadsheets/d/1AVX9GT0dgogEBStecCXMMQ29tWz3gBrtNB8yIromXbY/edit?gid=741673867"", ""out1g!A:B""), 2, FALSE), 0)"),431.0)</f>
        <v>431</v>
      </c>
      <c r="D3305" s="2" t="str">
        <f>IFERROR(__xludf.DUMMYFUNCTION("IFERROR(VLOOKUP(A3305, IMPORTRANGE(""https://docs.google.com/spreadsheets/d/1-3Vjw2Cyy-mry5gbC8ypIR3YVGFfEpyFESummAta6sg/edit"", ""Sheet1!B:D""), 2, FALSE), ""Not Found"")"),"ʧest")</f>
        <v>ʧest</v>
      </c>
      <c r="E3305" s="2" t="str">
        <f>IFERROR(__xludf.DUMMYFUNCTION("IFERROR(VLOOKUP(A3305, IMPORTRANGE(""https://docs.google.com/spreadsheets/d/1-3Vjw2Cyy-mry5gbC8ypIR3YVGFfEpyFESummAta6sg/edit"", ""Sheet1!B:D""), 3, FALSE), ""Not Found"")"),"ʧ e s t ")</f>
        <v>ʧ e s t </v>
      </c>
    </row>
    <row r="3306">
      <c r="A3306" s="1" t="s">
        <v>3307</v>
      </c>
      <c r="B3306" s="1" t="s">
        <v>5</v>
      </c>
      <c r="C3306" s="2">
        <f>IFERROR(__xludf.DUMMYFUNCTION("IFERROR(VLOOKUP(A3306, IMPORTRANGE(""https://docs.google.com/spreadsheets/d/1AVX9GT0dgogEBStecCXMMQ29tWz3gBrtNB8yIromXbY/edit?gid=741673867"", ""out1g!A:B""), 2, FALSE), 0)"),71.0)</f>
        <v>71</v>
      </c>
      <c r="D3306" s="2" t="str">
        <f>IFERROR(__xludf.DUMMYFUNCTION("IFERROR(VLOOKUP(A3306, IMPORTRANGE(""https://docs.google.com/spreadsheets/d/1-3Vjw2Cyy-mry5gbC8ypIR3YVGFfEpyFESummAta6sg/edit"", ""Sheet1!B:D""), 2, FALSE), ""Not Found"")"),"vedə")</f>
        <v>vedə</v>
      </c>
      <c r="E3306" s="2" t="str">
        <f>IFERROR(__xludf.DUMMYFUNCTION("IFERROR(VLOOKUP(A3306, IMPORTRANGE(""https://docs.google.com/spreadsheets/d/1-3Vjw2Cyy-mry5gbC8ypIR3YVGFfEpyFESummAta6sg/edit"", ""Sheet1!B:D""), 3, FALSE), ""Not Found"")"),"v e d ə ")</f>
        <v>v e d ə </v>
      </c>
    </row>
    <row r="3307">
      <c r="A3307" s="1" t="s">
        <v>3308</v>
      </c>
      <c r="B3307" s="1" t="s">
        <v>5</v>
      </c>
      <c r="C3307" s="2">
        <f>IFERROR(__xludf.DUMMYFUNCTION("IFERROR(VLOOKUP(A3307, IMPORTRANGE(""https://docs.google.com/spreadsheets/d/1AVX9GT0dgogEBStecCXMMQ29tWz3gBrtNB8yIromXbY/edit?gid=741673867"", ""out1g!A:B""), 2, FALSE), 0)"),682780.0)</f>
        <v>682780</v>
      </c>
      <c r="D3307" s="2" t="str">
        <f>IFERROR(__xludf.DUMMYFUNCTION("IFERROR(VLOOKUP(A3307, IMPORTRANGE(""https://docs.google.com/spreadsheets/d/1-3Vjw2Cyy-mry5gbC8ypIR3YVGFfEpyFESummAta6sg/edit"", ""Sheet1!B:D""), 2, FALSE), ""Not Found"")"),"ənd")</f>
        <v>ənd</v>
      </c>
      <c r="E3307" s="2" t="str">
        <f>IFERROR(__xludf.DUMMYFUNCTION("IFERROR(VLOOKUP(A3307, IMPORTRANGE(""https://docs.google.com/spreadsheets/d/1-3Vjw2Cyy-mry5gbC8ypIR3YVGFfEpyFESummAta6sg/edit"", ""Sheet1!B:D""), 3, FALSE), ""Not Found"")"),"ə n d ")</f>
        <v>ə n d </v>
      </c>
    </row>
    <row r="3308">
      <c r="A3308" s="1" t="s">
        <v>3309</v>
      </c>
      <c r="B3308" s="1" t="s">
        <v>5</v>
      </c>
      <c r="C3308" s="2">
        <f>IFERROR(__xludf.DUMMYFUNCTION("IFERROR(VLOOKUP(A3308, IMPORTRANGE(""https://docs.google.com/spreadsheets/d/1AVX9GT0dgogEBStecCXMMQ29tWz3gBrtNB8yIromXbY/edit?gid=741673867"", ""out1g!A:B""), 2, FALSE), 0)"),64.0)</f>
        <v>64</v>
      </c>
      <c r="D3308" s="2" t="str">
        <f>IFERROR(__xludf.DUMMYFUNCTION("IFERROR(VLOOKUP(A3308, IMPORTRANGE(""https://docs.google.com/spreadsheets/d/1-3Vjw2Cyy-mry5gbC8ypIR3YVGFfEpyFESummAta6sg/edit"", ""Sheet1!B:D""), 2, FALSE), ""Not Found"")"),"həbə")</f>
        <v>həbə</v>
      </c>
      <c r="E3308" s="2" t="str">
        <f>IFERROR(__xludf.DUMMYFUNCTION("IFERROR(VLOOKUP(A3308, IMPORTRANGE(""https://docs.google.com/spreadsheets/d/1-3Vjw2Cyy-mry5gbC8ypIR3YVGFfEpyFESummAta6sg/edit"", ""Sheet1!B:D""), 3, FALSE), ""Not Found"")"),"h ə b ə ")</f>
        <v>h ə b ə </v>
      </c>
    </row>
    <row r="3309">
      <c r="A3309" s="1" t="s">
        <v>3310</v>
      </c>
      <c r="B3309" s="1" t="s">
        <v>5</v>
      </c>
      <c r="C3309" s="2">
        <f>IFERROR(__xludf.DUMMYFUNCTION("IFERROR(VLOOKUP(A3309, IMPORTRANGE(""https://docs.google.com/spreadsheets/d/1AVX9GT0dgogEBStecCXMMQ29tWz3gBrtNB8yIromXbY/edit?gid=741673867"", ""out1g!A:B""), 2, FALSE), 0)"),107.0)</f>
        <v>107</v>
      </c>
      <c r="D3309" s="2" t="str">
        <f>IFERROR(__xludf.DUMMYFUNCTION("IFERROR(VLOOKUP(A3309, IMPORTRANGE(""https://docs.google.com/spreadsheets/d/1-3Vjw2Cyy-mry5gbC8ypIR3YVGFfEpyFESummAta6sg/edit"", ""Sheet1!B:D""), 2, FALSE), ""Not Found"")"),"rʊts")</f>
        <v>rʊts</v>
      </c>
      <c r="E3309" s="2" t="str">
        <f>IFERROR(__xludf.DUMMYFUNCTION("IFERROR(VLOOKUP(A3309, IMPORTRANGE(""https://docs.google.com/spreadsheets/d/1-3Vjw2Cyy-mry5gbC8ypIR3YVGFfEpyFESummAta6sg/edit"", ""Sheet1!B:D""), 3, FALSE), ""Not Found"")"),"r ʊ t s ")</f>
        <v>r ʊ t s </v>
      </c>
    </row>
    <row r="3310">
      <c r="A3310" s="1" t="s">
        <v>3311</v>
      </c>
      <c r="B3310" s="1" t="s">
        <v>5</v>
      </c>
      <c r="C3310" s="2">
        <f>IFERROR(__xludf.DUMMYFUNCTION("IFERROR(VLOOKUP(A3310, IMPORTRANGE(""https://docs.google.com/spreadsheets/d/1AVX9GT0dgogEBStecCXMMQ29tWz3gBrtNB8yIromXbY/edit?gid=741673867"", ""out1g!A:B""), 2, FALSE), 0)"),255.0)</f>
        <v>255</v>
      </c>
      <c r="D3310" s="2" t="str">
        <f>IFERROR(__xludf.DUMMYFUNCTION("IFERROR(VLOOKUP(A3310, IMPORTRANGE(""https://docs.google.com/spreadsheets/d/1-3Vjw2Cyy-mry5gbC8ypIR3YVGFfEpyFESummAta6sg/edit"", ""Sheet1!B:D""), 2, FALSE), ""Not Found"")"),"flevər")</f>
        <v>flevər</v>
      </c>
      <c r="E3310" s="2" t="str">
        <f>IFERROR(__xludf.DUMMYFUNCTION("IFERROR(VLOOKUP(A3310, IMPORTRANGE(""https://docs.google.com/spreadsheets/d/1-3Vjw2Cyy-mry5gbC8ypIR3YVGFfEpyFESummAta6sg/edit"", ""Sheet1!B:D""), 3, FALSE), ""Not Found"")"),"f l e v ə r ")</f>
        <v>f l e v ə r </v>
      </c>
    </row>
    <row r="3311">
      <c r="A3311" s="1" t="s">
        <v>3312</v>
      </c>
      <c r="B3311" s="1" t="s">
        <v>5</v>
      </c>
      <c r="C3311" s="2">
        <f>IFERROR(__xludf.DUMMYFUNCTION("IFERROR(VLOOKUP(A3311, IMPORTRANGE(""https://docs.google.com/spreadsheets/d/1AVX9GT0dgogEBStecCXMMQ29tWz3gBrtNB8yIromXbY/edit?gid=741673867"", ""out1g!A:B""), 2, FALSE), 0)"),68.0)</f>
        <v>68</v>
      </c>
      <c r="D3311" s="2" t="str">
        <f>IFERROR(__xludf.DUMMYFUNCTION("IFERROR(VLOOKUP(A3311, IMPORTRANGE(""https://docs.google.com/spreadsheets/d/1-3Vjw2Cyy-mry5gbC8ypIR3YVGFfEpyFESummAta6sg/edit"", ""Sheet1!B:D""), 2, FALSE), ""Not Found"")"),"wəp")</f>
        <v>wəp</v>
      </c>
      <c r="E3311" s="2" t="str">
        <f>IFERROR(__xludf.DUMMYFUNCTION("IFERROR(VLOOKUP(A3311, IMPORTRANGE(""https://docs.google.com/spreadsheets/d/1-3Vjw2Cyy-mry5gbC8ypIR3YVGFfEpyFESummAta6sg/edit"", ""Sheet1!B:D""), 3, FALSE), ""Not Found"")"),"w ə p ")</f>
        <v>w ə p </v>
      </c>
    </row>
    <row r="3312">
      <c r="A3312" s="1" t="s">
        <v>3313</v>
      </c>
      <c r="B3312" s="1" t="s">
        <v>5</v>
      </c>
      <c r="C3312" s="2">
        <f>IFERROR(__xludf.DUMMYFUNCTION("IFERROR(VLOOKUP(A3312, IMPORTRANGE(""https://docs.google.com/spreadsheets/d/1AVX9GT0dgogEBStecCXMMQ29tWz3gBrtNB8yIromXbY/edit?gid=741673867"", ""out1g!A:B""), 2, FALSE), 0)"),314.0)</f>
        <v>314</v>
      </c>
      <c r="D3312" s="2" t="str">
        <f>IFERROR(__xludf.DUMMYFUNCTION("IFERROR(VLOOKUP(A3312, IMPORTRANGE(""https://docs.google.com/spreadsheets/d/1-3Vjw2Cyy-mry5gbC8ypIR3YVGFfEpyFESummAta6sg/edit"", ""Sheet1!B:D""), 2, FALSE), ""Not Found"")"),"stɑrv")</f>
        <v>stɑrv</v>
      </c>
      <c r="E3312" s="2" t="str">
        <f>IFERROR(__xludf.DUMMYFUNCTION("IFERROR(VLOOKUP(A3312, IMPORTRANGE(""https://docs.google.com/spreadsheets/d/1-3Vjw2Cyy-mry5gbC8ypIR3YVGFfEpyFESummAta6sg/edit"", ""Sheet1!B:D""), 3, FALSE), ""Not Found"")"),"s t ɑ r v ")</f>
        <v>s t ɑ r v </v>
      </c>
    </row>
    <row r="3313">
      <c r="A3313" s="1" t="s">
        <v>3314</v>
      </c>
      <c r="B3313" s="1" t="s">
        <v>5</v>
      </c>
      <c r="C3313" s="2">
        <f>IFERROR(__xludf.DUMMYFUNCTION("IFERROR(VLOOKUP(A3313, IMPORTRANGE(""https://docs.google.com/spreadsheets/d/1AVX9GT0dgogEBStecCXMMQ29tWz3gBrtNB8yIromXbY/edit?gid=741673867"", ""out1g!A:B""), 2, FALSE), 0)"),48.0)</f>
        <v>48</v>
      </c>
      <c r="D3313" s="2" t="str">
        <f>IFERROR(__xludf.DUMMYFUNCTION("IFERROR(VLOOKUP(A3313, IMPORTRANGE(""https://docs.google.com/spreadsheets/d/1-3Vjw2Cyy-mry5gbC8ypIR3YVGFfEpyFESummAta6sg/edit"", ""Sheet1!B:D""), 2, FALSE), ""Not Found"")"),"kəvət")</f>
        <v>kəvət</v>
      </c>
      <c r="E3313" s="2" t="str">
        <f>IFERROR(__xludf.DUMMYFUNCTION("IFERROR(VLOOKUP(A3313, IMPORTRANGE(""https://docs.google.com/spreadsheets/d/1-3Vjw2Cyy-mry5gbC8ypIR3YVGFfEpyFESummAta6sg/edit"", ""Sheet1!B:D""), 3, FALSE), ""Not Found"")"),"k ə v ə t ")</f>
        <v>k ə v ə t </v>
      </c>
    </row>
    <row r="3314">
      <c r="A3314" s="1" t="s">
        <v>3315</v>
      </c>
      <c r="B3314" s="1" t="s">
        <v>5</v>
      </c>
      <c r="C3314" s="2">
        <f>IFERROR(__xludf.DUMMYFUNCTION("IFERROR(VLOOKUP(A3314, IMPORTRANGE(""https://docs.google.com/spreadsheets/d/1AVX9GT0dgogEBStecCXMMQ29tWz3gBrtNB8yIromXbY/edit?gid=741673867"", ""out1g!A:B""), 2, FALSE), 0)"),54.0)</f>
        <v>54</v>
      </c>
      <c r="D3314" s="2" t="str">
        <f>IFERROR(__xludf.DUMMYFUNCTION("IFERROR(VLOOKUP(A3314, IMPORTRANGE(""https://docs.google.com/spreadsheets/d/1-3Vjw2Cyy-mry5gbC8ypIR3YVGFfEpyFESummAta6sg/edit"", ""Sheet1!B:D""), 2, FALSE), ""Not Found"")"),"krit")</f>
        <v>krit</v>
      </c>
      <c r="E3314" s="2" t="str">
        <f>IFERROR(__xludf.DUMMYFUNCTION("IFERROR(VLOOKUP(A3314, IMPORTRANGE(""https://docs.google.com/spreadsheets/d/1-3Vjw2Cyy-mry5gbC8ypIR3YVGFfEpyFESummAta6sg/edit"", ""Sheet1!B:D""), 3, FALSE), ""Not Found"")"),"k r i t ")</f>
        <v>k r i t </v>
      </c>
    </row>
    <row r="3315">
      <c r="A3315" s="1" t="s">
        <v>3316</v>
      </c>
      <c r="B3315" s="1" t="s">
        <v>5</v>
      </c>
      <c r="C3315" s="2">
        <f>IFERROR(__xludf.DUMMYFUNCTION("IFERROR(VLOOKUP(A3315, IMPORTRANGE(""https://docs.google.com/spreadsheets/d/1AVX9GT0dgogEBStecCXMMQ29tWz3gBrtNB8yIromXbY/edit?gid=741673867"", ""out1g!A:B""), 2, FALSE), 0)"),226.0)</f>
        <v>226</v>
      </c>
      <c r="D3315" s="2" t="str">
        <f>IFERROR(__xludf.DUMMYFUNCTION("IFERROR(VLOOKUP(A3315, IMPORTRANGE(""https://docs.google.com/spreadsheets/d/1-3Vjw2Cyy-mry5gbC8ypIR3YVGFfEpyFESummAta6sg/edit"", ""Sheet1!B:D""), 2, FALSE), ""Not Found"")"),"bəfət")</f>
        <v>bəfət</v>
      </c>
      <c r="E3315" s="2" t="str">
        <f>IFERROR(__xludf.DUMMYFUNCTION("IFERROR(VLOOKUP(A3315, IMPORTRANGE(""https://docs.google.com/spreadsheets/d/1-3Vjw2Cyy-mry5gbC8ypIR3YVGFfEpyFESummAta6sg/edit"", ""Sheet1!B:D""), 3, FALSE), ""Not Found"")"),"b ə f ə t ")</f>
        <v>b ə f ə t </v>
      </c>
    </row>
    <row r="3316">
      <c r="A3316" s="1" t="s">
        <v>3317</v>
      </c>
      <c r="B3316" s="1" t="s">
        <v>5</v>
      </c>
      <c r="C3316" s="2">
        <f>IFERROR(__xludf.DUMMYFUNCTION("IFERROR(VLOOKUP(A3316, IMPORTRANGE(""https://docs.google.com/spreadsheets/d/1AVX9GT0dgogEBStecCXMMQ29tWz3gBrtNB8yIromXbY/edit?gid=741673867"", ""out1g!A:B""), 2, FALSE), 0)"),313.0)</f>
        <v>313</v>
      </c>
      <c r="D3316" s="2" t="str">
        <f>IFERROR(__xludf.DUMMYFUNCTION("IFERROR(VLOOKUP(A3316, IMPORTRANGE(""https://docs.google.com/spreadsheets/d/1-3Vjw2Cyy-mry5gbC8ypIR3YVGFfEpyFESummAta6sg/edit"", ""Sheet1!B:D""), 2, FALSE), ""Not Found"")"),"ɪrɪŋz")</f>
        <v>ɪrɪŋz</v>
      </c>
      <c r="E3316" s="2" t="str">
        <f>IFERROR(__xludf.DUMMYFUNCTION("IFERROR(VLOOKUP(A3316, IMPORTRANGE(""https://docs.google.com/spreadsheets/d/1-3Vjw2Cyy-mry5gbC8ypIR3YVGFfEpyFESummAta6sg/edit"", ""Sheet1!B:D""), 3, FALSE), ""Not Found"")"),"ɪ r ɪ ŋ z ")</f>
        <v>ɪ r ɪ ŋ z </v>
      </c>
    </row>
    <row r="3317">
      <c r="A3317" s="1" t="s">
        <v>3318</v>
      </c>
      <c r="B3317" s="1" t="s">
        <v>5</v>
      </c>
      <c r="C3317" s="2">
        <f>IFERROR(__xludf.DUMMYFUNCTION("IFERROR(VLOOKUP(A3317, IMPORTRANGE(""https://docs.google.com/spreadsheets/d/1AVX9GT0dgogEBStecCXMMQ29tWz3gBrtNB8yIromXbY/edit?gid=741673867"", ""out1g!A:B""), 2, FALSE), 0)"),848.0)</f>
        <v>848</v>
      </c>
      <c r="D3317" s="2" t="str">
        <f>IFERROR(__xludf.DUMMYFUNCTION("IFERROR(VLOOKUP(A3317, IMPORTRANGE(""https://docs.google.com/spreadsheets/d/1-3Vjw2Cyy-mry5gbC8ypIR3YVGFfEpyFESummAta6sg/edit"", ""Sheet1!B:D""), 2, FALSE), ""Not Found"")"),"ræts")</f>
        <v>ræts</v>
      </c>
      <c r="E3317" s="2" t="str">
        <f>IFERROR(__xludf.DUMMYFUNCTION("IFERROR(VLOOKUP(A3317, IMPORTRANGE(""https://docs.google.com/spreadsheets/d/1-3Vjw2Cyy-mry5gbC8ypIR3YVGFfEpyFESummAta6sg/edit"", ""Sheet1!B:D""), 3, FALSE), ""Not Found"")"),"r æ t s ")</f>
        <v>r æ t s </v>
      </c>
    </row>
    <row r="3318">
      <c r="A3318" s="1" t="s">
        <v>3319</v>
      </c>
      <c r="B3318" s="1" t="s">
        <v>5</v>
      </c>
      <c r="C3318" s="2">
        <f>IFERROR(__xludf.DUMMYFUNCTION("IFERROR(VLOOKUP(A3318, IMPORTRANGE(""https://docs.google.com/spreadsheets/d/1AVX9GT0dgogEBStecCXMMQ29tWz3gBrtNB8yIromXbY/edit?gid=741673867"", ""out1g!A:B""), 2, FALSE), 0)"),159.0)</f>
        <v>159</v>
      </c>
      <c r="D3318" s="2" t="str">
        <f>IFERROR(__xludf.DUMMYFUNCTION("IFERROR(VLOOKUP(A3318, IMPORTRANGE(""https://docs.google.com/spreadsheets/d/1-3Vjw2Cyy-mry5gbC8ypIR3YVGFfEpyFESummAta6sg/edit"", ""Sheet1!B:D""), 2, FALSE), ""Not Found"")"),"gərli")</f>
        <v>gərli</v>
      </c>
      <c r="E3318" s="2" t="str">
        <f>IFERROR(__xludf.DUMMYFUNCTION("IFERROR(VLOOKUP(A3318, IMPORTRANGE(""https://docs.google.com/spreadsheets/d/1-3Vjw2Cyy-mry5gbC8ypIR3YVGFfEpyFESummAta6sg/edit"", ""Sheet1!B:D""), 3, FALSE), ""Not Found"")"),"g ə r l i ")</f>
        <v>g ə r l i </v>
      </c>
    </row>
    <row r="3319">
      <c r="A3319" s="1" t="s">
        <v>3320</v>
      </c>
      <c r="B3319" s="1" t="s">
        <v>5</v>
      </c>
      <c r="C3319" s="2">
        <f>IFERROR(__xludf.DUMMYFUNCTION("IFERROR(VLOOKUP(A3319, IMPORTRANGE(""https://docs.google.com/spreadsheets/d/1AVX9GT0dgogEBStecCXMMQ29tWz3gBrtNB8yIromXbY/edit?gid=741673867"", ""out1g!A:B""), 2, FALSE), 0)"),24.0)</f>
        <v>24</v>
      </c>
      <c r="D3319" s="2" t="str">
        <f>IFERROR(__xludf.DUMMYFUNCTION("IFERROR(VLOOKUP(A3319, IMPORTRANGE(""https://docs.google.com/spreadsheets/d/1-3Vjw2Cyy-mry5gbC8ypIR3YVGFfEpyFESummAta6sg/edit"", ""Sheet1!B:D""), 2, FALSE), ""Not Found"")"),"brumz")</f>
        <v>brumz</v>
      </c>
      <c r="E3319" s="2" t="str">
        <f>IFERROR(__xludf.DUMMYFUNCTION("IFERROR(VLOOKUP(A3319, IMPORTRANGE(""https://docs.google.com/spreadsheets/d/1-3Vjw2Cyy-mry5gbC8ypIR3YVGFfEpyFESummAta6sg/edit"", ""Sheet1!B:D""), 3, FALSE), ""Not Found"")"),"b r u m z ")</f>
        <v>b r u m z </v>
      </c>
    </row>
    <row r="3320">
      <c r="A3320" s="1" t="s">
        <v>3321</v>
      </c>
      <c r="B3320" s="1" t="s">
        <v>5</v>
      </c>
      <c r="C3320" s="2">
        <f>IFERROR(__xludf.DUMMYFUNCTION("IFERROR(VLOOKUP(A3320, IMPORTRANGE(""https://docs.google.com/spreadsheets/d/1AVX9GT0dgogEBStecCXMMQ29tWz3gBrtNB8yIromXbY/edit?gid=741673867"", ""out1g!A:B""), 2, FALSE), 0)"),5709.0)</f>
        <v>5709</v>
      </c>
      <c r="D3320" s="2" t="str">
        <f>IFERROR(__xludf.DUMMYFUNCTION("IFERROR(VLOOKUP(A3320, IMPORTRANGE(""https://docs.google.com/spreadsheets/d/1-3Vjw2Cyy-mry5gbC8ypIR3YVGFfEpyFESummAta6sg/edit"", ""Sheet1!B:D""), 2, FALSE), ""Not Found"")"),"roʊd")</f>
        <v>roʊd</v>
      </c>
      <c r="E3320" s="2" t="str">
        <f>IFERROR(__xludf.DUMMYFUNCTION("IFERROR(VLOOKUP(A3320, IMPORTRANGE(""https://docs.google.com/spreadsheets/d/1-3Vjw2Cyy-mry5gbC8ypIR3YVGFfEpyFESummAta6sg/edit"", ""Sheet1!B:D""), 3, FALSE), ""Not Found"")"),"r o ʊ d ")</f>
        <v>r o ʊ d </v>
      </c>
    </row>
    <row r="3321">
      <c r="A3321" s="1" t="s">
        <v>3322</v>
      </c>
      <c r="B3321" s="1" t="s">
        <v>5</v>
      </c>
      <c r="C3321" s="2">
        <f>IFERROR(__xludf.DUMMYFUNCTION("IFERROR(VLOOKUP(A3321, IMPORTRANGE(""https://docs.google.com/spreadsheets/d/1AVX9GT0dgogEBStecCXMMQ29tWz3gBrtNB8yIromXbY/edit?gid=741673867"", ""out1g!A:B""), 2, FALSE), 0)"),1113.0)</f>
        <v>1113</v>
      </c>
      <c r="D3321" s="2" t="str">
        <f>IFERROR(__xludf.DUMMYFUNCTION("IFERROR(VLOOKUP(A3321, IMPORTRANGE(""https://docs.google.com/spreadsheets/d/1-3Vjw2Cyy-mry5gbC8ypIR3YVGFfEpyFESummAta6sg/edit"", ""Sheet1!B:D""), 2, FALSE), ""Not Found"")"),"plen")</f>
        <v>plen</v>
      </c>
      <c r="E3321" s="2" t="str">
        <f>IFERROR(__xludf.DUMMYFUNCTION("IFERROR(VLOOKUP(A3321, IMPORTRANGE(""https://docs.google.com/spreadsheets/d/1-3Vjw2Cyy-mry5gbC8ypIR3YVGFfEpyFESummAta6sg/edit"", ""Sheet1!B:D""), 3, FALSE), ""Not Found"")"),"p l e n ")</f>
        <v>p l e n </v>
      </c>
    </row>
    <row r="3322">
      <c r="A3322" s="1" t="s">
        <v>3323</v>
      </c>
      <c r="B3322" s="1" t="s">
        <v>5</v>
      </c>
      <c r="C3322" s="2">
        <f>IFERROR(__xludf.DUMMYFUNCTION("IFERROR(VLOOKUP(A3322, IMPORTRANGE(""https://docs.google.com/spreadsheets/d/1AVX9GT0dgogEBStecCXMMQ29tWz3gBrtNB8yIromXbY/edit?gid=741673867"", ""out1g!A:B""), 2, FALSE), 0)"),736.0)</f>
        <v>736</v>
      </c>
      <c r="D3322" s="2" t="str">
        <f>IFERROR(__xludf.DUMMYFUNCTION("IFERROR(VLOOKUP(A3322, IMPORTRANGE(""https://docs.google.com/spreadsheets/d/1-3Vjw2Cyy-mry5gbC8ypIR3YVGFfEpyFESummAta6sg/edit"", ""Sheet1!B:D""), 2, FALSE), ""Not Found"")"),"binz")</f>
        <v>binz</v>
      </c>
      <c r="E3322" s="2" t="str">
        <f>IFERROR(__xludf.DUMMYFUNCTION("IFERROR(VLOOKUP(A3322, IMPORTRANGE(""https://docs.google.com/spreadsheets/d/1-3Vjw2Cyy-mry5gbC8ypIR3YVGFfEpyFESummAta6sg/edit"", ""Sheet1!B:D""), 3, FALSE), ""Not Found"")"),"b i n z ")</f>
        <v>b i n z </v>
      </c>
    </row>
    <row r="3323">
      <c r="A3323" s="1" t="s">
        <v>3324</v>
      </c>
      <c r="B3323" s="1" t="s">
        <v>5</v>
      </c>
      <c r="C3323" s="2">
        <f>IFERROR(__xludf.DUMMYFUNCTION("IFERROR(VLOOKUP(A3323, IMPORTRANGE(""https://docs.google.com/spreadsheets/d/1AVX9GT0dgogEBStecCXMMQ29tWz3gBrtNB8yIromXbY/edit?gid=741673867"", ""out1g!A:B""), 2, FALSE), 0)"),111.0)</f>
        <v>111</v>
      </c>
      <c r="D3323" s="2" t="str">
        <f>IFERROR(__xludf.DUMMYFUNCTION("IFERROR(VLOOKUP(A3323, IMPORTRANGE(""https://docs.google.com/spreadsheets/d/1-3Vjw2Cyy-mry5gbC8ypIR3YVGFfEpyFESummAta6sg/edit"", ""Sheet1!B:D""), 2, FALSE), ""Not Found"")"),"rɪnu")</f>
        <v>rɪnu</v>
      </c>
      <c r="E3323" s="2" t="str">
        <f>IFERROR(__xludf.DUMMYFUNCTION("IFERROR(VLOOKUP(A3323, IMPORTRANGE(""https://docs.google.com/spreadsheets/d/1-3Vjw2Cyy-mry5gbC8ypIR3YVGFfEpyFESummAta6sg/edit"", ""Sheet1!B:D""), 3, FALSE), ""Not Found"")"),"r ɪ n u ")</f>
        <v>r ɪ n u </v>
      </c>
    </row>
    <row r="3324">
      <c r="A3324" s="1" t="s">
        <v>3325</v>
      </c>
      <c r="B3324" s="1" t="s">
        <v>5</v>
      </c>
      <c r="C3324" s="2">
        <f>IFERROR(__xludf.DUMMYFUNCTION("IFERROR(VLOOKUP(A3324, IMPORTRANGE(""https://docs.google.com/spreadsheets/d/1AVX9GT0dgogEBStecCXMMQ29tWz3gBrtNB8yIromXbY/edit?gid=741673867"", ""out1g!A:B""), 2, FALSE), 0)"),609.0)</f>
        <v>609</v>
      </c>
      <c r="D3324" s="2" t="str">
        <f>IFERROR(__xludf.DUMMYFUNCTION("IFERROR(VLOOKUP(A3324, IMPORTRANGE(""https://docs.google.com/spreadsheets/d/1-3Vjw2Cyy-mry5gbC8ypIR3YVGFfEpyFESummAta6sg/edit"", ""Sheet1!B:D""), 2, FALSE), ""Not Found"")"),"lɪŋk")</f>
        <v>lɪŋk</v>
      </c>
      <c r="E3324" s="2" t="str">
        <f>IFERROR(__xludf.DUMMYFUNCTION("IFERROR(VLOOKUP(A3324, IMPORTRANGE(""https://docs.google.com/spreadsheets/d/1-3Vjw2Cyy-mry5gbC8ypIR3YVGFfEpyFESummAta6sg/edit"", ""Sheet1!B:D""), 3, FALSE), ""Not Found"")"),"l ɪ ŋ k ")</f>
        <v>l ɪ ŋ k </v>
      </c>
    </row>
    <row r="3325">
      <c r="A3325" s="1" t="s">
        <v>3326</v>
      </c>
      <c r="B3325" s="1" t="s">
        <v>5</v>
      </c>
      <c r="C3325" s="2">
        <f>IFERROR(__xludf.DUMMYFUNCTION("IFERROR(VLOOKUP(A3325, IMPORTRANGE(""https://docs.google.com/spreadsheets/d/1AVX9GT0dgogEBStecCXMMQ29tWz3gBrtNB8yIromXbY/edit?gid=741673867"", ""out1g!A:B""), 2, FALSE), 0)"),59.0)</f>
        <v>59</v>
      </c>
      <c r="D3325" s="2" t="str">
        <f>IFERROR(__xludf.DUMMYFUNCTION("IFERROR(VLOOKUP(A3325, IMPORTRANGE(""https://docs.google.com/spreadsheets/d/1-3Vjw2Cyy-mry5gbC8ypIR3YVGFfEpyFESummAta6sg/edit"", ""Sheet1!B:D""), 2, FALSE), ""Not Found"")"),"skɔrn")</f>
        <v>skɔrn</v>
      </c>
      <c r="E3325" s="2" t="str">
        <f>IFERROR(__xludf.DUMMYFUNCTION("IFERROR(VLOOKUP(A3325, IMPORTRANGE(""https://docs.google.com/spreadsheets/d/1-3Vjw2Cyy-mry5gbC8ypIR3YVGFfEpyFESummAta6sg/edit"", ""Sheet1!B:D""), 3, FALSE), ""Not Found"")"),"s k ɔ r n ")</f>
        <v>s k ɔ r n </v>
      </c>
    </row>
    <row r="3326">
      <c r="A3326" s="1" t="s">
        <v>3327</v>
      </c>
      <c r="B3326" s="1" t="s">
        <v>5</v>
      </c>
      <c r="C3326" s="2">
        <f>IFERROR(__xludf.DUMMYFUNCTION("IFERROR(VLOOKUP(A3326, IMPORTRANGE(""https://docs.google.com/spreadsheets/d/1AVX9GT0dgogEBStecCXMMQ29tWz3gBrtNB8yIromXbY/edit?gid=741673867"", ""out1g!A:B""), 2, FALSE), 0)"),95.0)</f>
        <v>95</v>
      </c>
      <c r="D3326" s="2" t="str">
        <f>IFERROR(__xludf.DUMMYFUNCTION("IFERROR(VLOOKUP(A3326, IMPORTRANGE(""https://docs.google.com/spreadsheets/d/1-3Vjw2Cyy-mry5gbC8ypIR3YVGFfEpyFESummAta6sg/edit"", ""Sheet1!B:D""), 2, FALSE), ""Not Found"")"),"pɔrts")</f>
        <v>pɔrts</v>
      </c>
      <c r="E3326" s="2" t="str">
        <f>IFERROR(__xludf.DUMMYFUNCTION("IFERROR(VLOOKUP(A3326, IMPORTRANGE(""https://docs.google.com/spreadsheets/d/1-3Vjw2Cyy-mry5gbC8ypIR3YVGFfEpyFESummAta6sg/edit"", ""Sheet1!B:D""), 3, FALSE), ""Not Found"")"),"p ɔ r t s ")</f>
        <v>p ɔ r t s </v>
      </c>
    </row>
    <row r="3327">
      <c r="A3327" s="1" t="s">
        <v>3328</v>
      </c>
      <c r="B3327" s="1" t="s">
        <v>5</v>
      </c>
      <c r="C3327" s="2">
        <f>IFERROR(__xludf.DUMMYFUNCTION("IFERROR(VLOOKUP(A3327, IMPORTRANGE(""https://docs.google.com/spreadsheets/d/1AVX9GT0dgogEBStecCXMMQ29tWz3gBrtNB8yIromXbY/edit?gid=741673867"", ""out1g!A:B""), 2, FALSE), 0)"),1589.0)</f>
        <v>1589</v>
      </c>
      <c r="D3327" s="2" t="str">
        <f>IFERROR(__xludf.DUMMYFUNCTION("IFERROR(VLOOKUP(A3327, IMPORTRANGE(""https://docs.google.com/spreadsheets/d/1-3Vjw2Cyy-mry5gbC8ypIR3YVGFfEpyFESummAta6sg/edit"", ""Sheet1!B:D""), 2, FALSE), ""Not Found"")"),"təŋ")</f>
        <v>təŋ</v>
      </c>
      <c r="E3327" s="2" t="str">
        <f>IFERROR(__xludf.DUMMYFUNCTION("IFERROR(VLOOKUP(A3327, IMPORTRANGE(""https://docs.google.com/spreadsheets/d/1-3Vjw2Cyy-mry5gbC8ypIR3YVGFfEpyFESummAta6sg/edit"", ""Sheet1!B:D""), 3, FALSE), ""Not Found"")"),"t ə ŋ ")</f>
        <v>t ə ŋ </v>
      </c>
    </row>
    <row r="3328">
      <c r="A3328" s="1" t="s">
        <v>3329</v>
      </c>
      <c r="B3328" s="1" t="s">
        <v>5</v>
      </c>
      <c r="C3328" s="2">
        <f>IFERROR(__xludf.DUMMYFUNCTION("IFERROR(VLOOKUP(A3328, IMPORTRANGE(""https://docs.google.com/spreadsheets/d/1AVX9GT0dgogEBStecCXMMQ29tWz3gBrtNB8yIromXbY/edit?gid=741673867"", ""out1g!A:B""), 2, FALSE), 0)"),2807.0)</f>
        <v>2807</v>
      </c>
      <c r="D3328" s="2" t="str">
        <f>IFERROR(__xludf.DUMMYFUNCTION("IFERROR(VLOOKUP(A3328, IMPORTRANGE(""https://docs.google.com/spreadsheets/d/1-3Vjw2Cyy-mry5gbC8ypIR3YVGFfEpyFESummAta6sg/edit"", ""Sheet1!B:D""), 2, FALSE), ""Not Found"")"),"krɔs")</f>
        <v>krɔs</v>
      </c>
      <c r="E3328" s="2" t="str">
        <f>IFERROR(__xludf.DUMMYFUNCTION("IFERROR(VLOOKUP(A3328, IMPORTRANGE(""https://docs.google.com/spreadsheets/d/1-3Vjw2Cyy-mry5gbC8ypIR3YVGFfEpyFESummAta6sg/edit"", ""Sheet1!B:D""), 3, FALSE), ""Not Found"")"),"k r ɔ s ")</f>
        <v>k r ɔ s </v>
      </c>
    </row>
    <row r="3329">
      <c r="A3329" s="1" t="s">
        <v>3330</v>
      </c>
      <c r="B3329" s="1" t="s">
        <v>5</v>
      </c>
      <c r="C3329" s="2">
        <f>IFERROR(__xludf.DUMMYFUNCTION("IFERROR(VLOOKUP(A3329, IMPORTRANGE(""https://docs.google.com/spreadsheets/d/1AVX9GT0dgogEBStecCXMMQ29tWz3gBrtNB8yIromXbY/edit?gid=741673867"", ""out1g!A:B""), 2, FALSE), 0)"),67.0)</f>
        <v>67</v>
      </c>
      <c r="D3329" s="2" t="str">
        <f>IFERROR(__xludf.DUMMYFUNCTION("IFERROR(VLOOKUP(A3329, IMPORTRANGE(""https://docs.google.com/spreadsheets/d/1-3Vjw2Cyy-mry5gbC8ypIR3YVGFfEpyFESummAta6sg/edit"", ""Sheet1!B:D""), 2, FALSE), ""Not Found"")"),"twərl")</f>
        <v>twərl</v>
      </c>
      <c r="E3329" s="2" t="str">
        <f>IFERROR(__xludf.DUMMYFUNCTION("IFERROR(VLOOKUP(A3329, IMPORTRANGE(""https://docs.google.com/spreadsheets/d/1-3Vjw2Cyy-mry5gbC8ypIR3YVGFfEpyFESummAta6sg/edit"", ""Sheet1!B:D""), 3, FALSE), ""Not Found"")"),"t w ə r l ")</f>
        <v>t w ə r l </v>
      </c>
    </row>
    <row r="3330">
      <c r="A3330" s="1" t="s">
        <v>3331</v>
      </c>
      <c r="B3330" s="1" t="s">
        <v>5</v>
      </c>
      <c r="C3330" s="2">
        <f>IFERROR(__xludf.DUMMYFUNCTION("IFERROR(VLOOKUP(A3330, IMPORTRANGE(""https://docs.google.com/spreadsheets/d/1AVX9GT0dgogEBStecCXMMQ29tWz3gBrtNB8yIromXbY/edit?gid=741673867"", ""out1g!A:B""), 2, FALSE), 0)"),9169.0)</f>
        <v>9169</v>
      </c>
      <c r="D3330" s="2" t="str">
        <f>IFERROR(__xludf.DUMMYFUNCTION("IFERROR(VLOOKUP(A3330, IMPORTRANGE(""https://docs.google.com/spreadsheets/d/1-3Vjw2Cyy-mry5gbC8ypIR3YVGFfEpyFESummAta6sg/edit"", ""Sheet1!B:D""), 2, FALSE), ""Not Found"")"),"sɛnd")</f>
        <v>sɛnd</v>
      </c>
      <c r="E3330" s="2" t="str">
        <f>IFERROR(__xludf.DUMMYFUNCTION("IFERROR(VLOOKUP(A3330, IMPORTRANGE(""https://docs.google.com/spreadsheets/d/1-3Vjw2Cyy-mry5gbC8ypIR3YVGFfEpyFESummAta6sg/edit"", ""Sheet1!B:D""), 3, FALSE), ""Not Found"")"),"s ɛ n d ")</f>
        <v>s ɛ n d </v>
      </c>
    </row>
    <row r="3331">
      <c r="A3331" s="1" t="s">
        <v>3332</v>
      </c>
      <c r="B3331" s="1" t="s">
        <v>5</v>
      </c>
      <c r="C3331" s="2">
        <f>IFERROR(__xludf.DUMMYFUNCTION("IFERROR(VLOOKUP(A3331, IMPORTRANGE(""https://docs.google.com/spreadsheets/d/1AVX9GT0dgogEBStecCXMMQ29tWz3gBrtNB8yIromXbY/edit?gid=741673867"", ""out1g!A:B""), 2, FALSE), 0)"),146.0)</f>
        <v>146</v>
      </c>
      <c r="D3331" s="2" t="str">
        <f>IFERROR(__xludf.DUMMYFUNCTION("IFERROR(VLOOKUP(A3331, IMPORTRANGE(""https://docs.google.com/spreadsheets/d/1-3Vjw2Cyy-mry5gbC8ypIR3YVGFfEpyFESummAta6sg/edit"", ""Sheet1!B:D""), 2, FALSE), ""Not Found"")"),"stoʊks")</f>
        <v>stoʊks</v>
      </c>
      <c r="E3331" s="2" t="str">
        <f>IFERROR(__xludf.DUMMYFUNCTION("IFERROR(VLOOKUP(A3331, IMPORTRANGE(""https://docs.google.com/spreadsheets/d/1-3Vjw2Cyy-mry5gbC8ypIR3YVGFfEpyFESummAta6sg/edit"", ""Sheet1!B:D""), 3, FALSE), ""Not Found"")"),"s t o ʊ k s ")</f>
        <v>s t o ʊ k s </v>
      </c>
    </row>
    <row r="3332">
      <c r="A3332" s="1" t="s">
        <v>3333</v>
      </c>
      <c r="B3332" s="1" t="s">
        <v>5</v>
      </c>
      <c r="C3332" s="2">
        <f>IFERROR(__xludf.DUMMYFUNCTION("IFERROR(VLOOKUP(A3332, IMPORTRANGE(""https://docs.google.com/spreadsheets/d/1AVX9GT0dgogEBStecCXMMQ29tWz3gBrtNB8yIromXbY/edit?gid=741673867"", ""out1g!A:B""), 2, FALSE), 0)"),750.0)</f>
        <v>750</v>
      </c>
      <c r="D3332" s="2" t="str">
        <f>IFERROR(__xludf.DUMMYFUNCTION("IFERROR(VLOOKUP(A3332, IMPORTRANGE(""https://docs.google.com/spreadsheets/d/1-3Vjw2Cyy-mry5gbC8ypIR3YVGFfEpyFESummAta6sg/edit"", ""Sheet1!B:D""), 2, FALSE), ""Not Found"")"),"skəl")</f>
        <v>skəl</v>
      </c>
      <c r="E3332" s="2" t="str">
        <f>IFERROR(__xludf.DUMMYFUNCTION("IFERROR(VLOOKUP(A3332, IMPORTRANGE(""https://docs.google.com/spreadsheets/d/1-3Vjw2Cyy-mry5gbC8ypIR3YVGFfEpyFESummAta6sg/edit"", ""Sheet1!B:D""), 3, FALSE), ""Not Found"")"),"s k ə l ")</f>
        <v>s k ə l </v>
      </c>
    </row>
    <row r="3333">
      <c r="A3333" s="1" t="s">
        <v>3334</v>
      </c>
      <c r="B3333" s="1" t="s">
        <v>5</v>
      </c>
      <c r="C3333" s="2">
        <f>IFERROR(__xludf.DUMMYFUNCTION("IFERROR(VLOOKUP(A3333, IMPORTRANGE(""https://docs.google.com/spreadsheets/d/1AVX9GT0dgogEBStecCXMMQ29tWz3gBrtNB8yIromXbY/edit?gid=741673867"", ""out1g!A:B""), 2, FALSE), 0)"),109.0)</f>
        <v>109</v>
      </c>
      <c r="D3333" s="2" t="str">
        <f>IFERROR(__xludf.DUMMYFUNCTION("IFERROR(VLOOKUP(A3333, IMPORTRANGE(""https://docs.google.com/spreadsheets/d/1-3Vjw2Cyy-mry5gbC8ypIR3YVGFfEpyFESummAta6sg/edit"", ""Sheet1!B:D""), 2, FALSE), ""Not Found"")"),"nemɪŋ")</f>
        <v>nemɪŋ</v>
      </c>
      <c r="E3333" s="2" t="str">
        <f>IFERROR(__xludf.DUMMYFUNCTION("IFERROR(VLOOKUP(A3333, IMPORTRANGE(""https://docs.google.com/spreadsheets/d/1-3Vjw2Cyy-mry5gbC8ypIR3YVGFfEpyFESummAta6sg/edit"", ""Sheet1!B:D""), 3, FALSE), ""Not Found"")"),"n e m ɪ ŋ ")</f>
        <v>n e m ɪ ŋ </v>
      </c>
    </row>
    <row r="3334">
      <c r="A3334" s="1" t="s">
        <v>3335</v>
      </c>
      <c r="B3334" s="1" t="s">
        <v>5</v>
      </c>
      <c r="C3334" s="2">
        <f>IFERROR(__xludf.DUMMYFUNCTION("IFERROR(VLOOKUP(A3334, IMPORTRANGE(""https://docs.google.com/spreadsheets/d/1AVX9GT0dgogEBStecCXMMQ29tWz3gBrtNB8yIromXbY/edit?gid=741673867"", ""out1g!A:B""), 2, FALSE), 0)"),168.0)</f>
        <v>168</v>
      </c>
      <c r="D3334" s="2" t="str">
        <f>IFERROR(__xludf.DUMMYFUNCTION("IFERROR(VLOOKUP(A3334, IMPORTRANGE(""https://docs.google.com/spreadsheets/d/1-3Vjw2Cyy-mry5gbC8ypIR3YVGFfEpyFESummAta6sg/edit"", ""Sheet1!B:D""), 2, FALSE), ""Not Found"")"),"laɪm")</f>
        <v>laɪm</v>
      </c>
      <c r="E3334" s="2" t="str">
        <f>IFERROR(__xludf.DUMMYFUNCTION("IFERROR(VLOOKUP(A3334, IMPORTRANGE(""https://docs.google.com/spreadsheets/d/1-3Vjw2Cyy-mry5gbC8ypIR3YVGFfEpyFESummAta6sg/edit"", ""Sheet1!B:D""), 3, FALSE), ""Not Found"")"),"l a ɪ m ")</f>
        <v>l a ɪ m </v>
      </c>
    </row>
    <row r="3335">
      <c r="A3335" s="1" t="s">
        <v>3336</v>
      </c>
      <c r="B3335" s="1" t="s">
        <v>5</v>
      </c>
      <c r="C3335" s="2">
        <f>IFERROR(__xludf.DUMMYFUNCTION("IFERROR(VLOOKUP(A3335, IMPORTRANGE(""https://docs.google.com/spreadsheets/d/1AVX9GT0dgogEBStecCXMMQ29tWz3gBrtNB8yIromXbY/edit?gid=741673867"", ""out1g!A:B""), 2, FALSE), 0)"),4386.0)</f>
        <v>4386</v>
      </c>
      <c r="D3335" s="2" t="str">
        <f>IFERROR(__xludf.DUMMYFUNCTION("IFERROR(VLOOKUP(A3335, IMPORTRANGE(""https://docs.google.com/spreadsheets/d/1-3Vjw2Cyy-mry5gbC8ypIR3YVGFfEpyFESummAta6sg/edit"", ""Sheet1!B:D""), 2, FALSE), ""Not Found"")"),"wɪndoʊ")</f>
        <v>wɪndoʊ</v>
      </c>
      <c r="E3335" s="2" t="str">
        <f>IFERROR(__xludf.DUMMYFUNCTION("IFERROR(VLOOKUP(A3335, IMPORTRANGE(""https://docs.google.com/spreadsheets/d/1-3Vjw2Cyy-mry5gbC8ypIR3YVGFfEpyFESummAta6sg/edit"", ""Sheet1!B:D""), 3, FALSE), ""Not Found"")"),"w ɪ n d o ʊ ")</f>
        <v>w ɪ n d o ʊ </v>
      </c>
    </row>
    <row r="3336">
      <c r="A3336" s="1" t="s">
        <v>3337</v>
      </c>
      <c r="B3336" s="1" t="s">
        <v>5</v>
      </c>
      <c r="C3336" s="2">
        <f>IFERROR(__xludf.DUMMYFUNCTION("IFERROR(VLOOKUP(A3336, IMPORTRANGE(""https://docs.google.com/spreadsheets/d/1AVX9GT0dgogEBStecCXMMQ29tWz3gBrtNB8yIromXbY/edit?gid=741673867"", ""out1g!A:B""), 2, FALSE), 0)"),821.0)</f>
        <v>821</v>
      </c>
      <c r="D3336" s="2" t="str">
        <f>IFERROR(__xludf.DUMMYFUNCTION("IFERROR(VLOOKUP(A3336, IMPORTRANGE(""https://docs.google.com/spreadsheets/d/1-3Vjw2Cyy-mry5gbC8ypIR3YVGFfEpyFESummAta6sg/edit"", ""Sheet1!B:D""), 2, FALSE), ""Not Found"")"),"ʤe")</f>
        <v>ʤe</v>
      </c>
      <c r="E3336" s="2" t="str">
        <f>IFERROR(__xludf.DUMMYFUNCTION("IFERROR(VLOOKUP(A3336, IMPORTRANGE(""https://docs.google.com/spreadsheets/d/1-3Vjw2Cyy-mry5gbC8ypIR3YVGFfEpyFESummAta6sg/edit"", ""Sheet1!B:D""), 3, FALSE), ""Not Found"")"),"ʤ e ")</f>
        <v>ʤ e </v>
      </c>
    </row>
    <row r="3337">
      <c r="A3337" s="1" t="s">
        <v>3338</v>
      </c>
      <c r="B3337" s="1" t="s">
        <v>5</v>
      </c>
      <c r="C3337" s="2">
        <f>IFERROR(__xludf.DUMMYFUNCTION("IFERROR(VLOOKUP(A3337, IMPORTRANGE(""https://docs.google.com/spreadsheets/d/1AVX9GT0dgogEBStecCXMMQ29tWz3gBrtNB8yIromXbY/edit?gid=741673867"", ""out1g!A:B""), 2, FALSE), 0)"),121.0)</f>
        <v>121</v>
      </c>
      <c r="D3337" s="2" t="str">
        <f>IFERROR(__xludf.DUMMYFUNCTION("IFERROR(VLOOKUP(A3337, IMPORTRANGE(""https://docs.google.com/spreadsheets/d/1-3Vjw2Cyy-mry5gbC8ypIR3YVGFfEpyFESummAta6sg/edit"", ""Sheet1!B:D""), 2, FALSE), ""Not Found"")"),"wikər")</f>
        <v>wikər</v>
      </c>
      <c r="E3337" s="2" t="str">
        <f>IFERROR(__xludf.DUMMYFUNCTION("IFERROR(VLOOKUP(A3337, IMPORTRANGE(""https://docs.google.com/spreadsheets/d/1-3Vjw2Cyy-mry5gbC8ypIR3YVGFfEpyFESummAta6sg/edit"", ""Sheet1!B:D""), 3, FALSE), ""Not Found"")"),"w i k ə r ")</f>
        <v>w i k ə r </v>
      </c>
    </row>
    <row r="3338">
      <c r="A3338" s="1" t="s">
        <v>3339</v>
      </c>
      <c r="B3338" s="1" t="s">
        <v>5</v>
      </c>
      <c r="C3338" s="2">
        <f>IFERROR(__xludf.DUMMYFUNCTION("IFERROR(VLOOKUP(A3338, IMPORTRANGE(""https://docs.google.com/spreadsheets/d/1AVX9GT0dgogEBStecCXMMQ29tWz3gBrtNB8yIromXbY/edit?gid=741673867"", ""out1g!A:B""), 2, FALSE), 0)"),267.0)</f>
        <v>267</v>
      </c>
      <c r="D3338" s="2" t="str">
        <f>IFERROR(__xludf.DUMMYFUNCTION("IFERROR(VLOOKUP(A3338, IMPORTRANGE(""https://docs.google.com/spreadsheets/d/1-3Vjw2Cyy-mry5gbC8ypIR3YVGFfEpyFESummAta6sg/edit"", ""Sheet1!B:D""), 2, FALSE), ""Not Found"")"),"tɛkst")</f>
        <v>tɛkst</v>
      </c>
      <c r="E3338" s="2" t="str">
        <f>IFERROR(__xludf.DUMMYFUNCTION("IFERROR(VLOOKUP(A3338, IMPORTRANGE(""https://docs.google.com/spreadsheets/d/1-3Vjw2Cyy-mry5gbC8ypIR3YVGFfEpyFESummAta6sg/edit"", ""Sheet1!B:D""), 3, FALSE), ""Not Found"")"),"t ɛ k s t ")</f>
        <v>t ɛ k s t </v>
      </c>
    </row>
    <row r="3339">
      <c r="A3339" s="1" t="s">
        <v>3340</v>
      </c>
      <c r="B3339" s="1" t="s">
        <v>5</v>
      </c>
      <c r="C3339" s="2">
        <f>IFERROR(__xludf.DUMMYFUNCTION("IFERROR(VLOOKUP(A3339, IMPORTRANGE(""https://docs.google.com/spreadsheets/d/1AVX9GT0dgogEBStecCXMMQ29tWz3gBrtNB8yIromXbY/edit?gid=741673867"", ""out1g!A:B""), 2, FALSE), 0)"),269.0)</f>
        <v>269</v>
      </c>
      <c r="D3339" s="2" t="str">
        <f>IFERROR(__xludf.DUMMYFUNCTION("IFERROR(VLOOKUP(A3339, IMPORTRANGE(""https://docs.google.com/spreadsheets/d/1-3Vjw2Cyy-mry5gbC8ypIR3YVGFfEpyFESummAta6sg/edit"", ""Sheet1!B:D""), 2, FALSE), ""Not Found"")"),"penz")</f>
        <v>penz</v>
      </c>
      <c r="E3339" s="2" t="str">
        <f>IFERROR(__xludf.DUMMYFUNCTION("IFERROR(VLOOKUP(A3339, IMPORTRANGE(""https://docs.google.com/spreadsheets/d/1-3Vjw2Cyy-mry5gbC8ypIR3YVGFfEpyFESummAta6sg/edit"", ""Sheet1!B:D""), 3, FALSE), ""Not Found"")"),"p e n z ")</f>
        <v>p e n z </v>
      </c>
    </row>
    <row r="3340">
      <c r="A3340" s="1" t="s">
        <v>3341</v>
      </c>
      <c r="B3340" s="1" t="s">
        <v>5</v>
      </c>
      <c r="C3340" s="2">
        <f>IFERROR(__xludf.DUMMYFUNCTION("IFERROR(VLOOKUP(A3340, IMPORTRANGE(""https://docs.google.com/spreadsheets/d/1AVX9GT0dgogEBStecCXMMQ29tWz3gBrtNB8yIromXbY/edit?gid=741673867"", ""out1g!A:B""), 2, FALSE), 0)"),46.0)</f>
        <v>46</v>
      </c>
      <c r="D3340" s="2" t="str">
        <f>IFERROR(__xludf.DUMMYFUNCTION("IFERROR(VLOOKUP(A3340, IMPORTRANGE(""https://docs.google.com/spreadsheets/d/1-3Vjw2Cyy-mry5gbC8ypIR3YVGFfEpyFESummAta6sg/edit"", ""Sheet1!B:D""), 2, FALSE), ""Not Found"")"),"vɔlts")</f>
        <v>vɔlts</v>
      </c>
      <c r="E3340" s="2" t="str">
        <f>IFERROR(__xludf.DUMMYFUNCTION("IFERROR(VLOOKUP(A3340, IMPORTRANGE(""https://docs.google.com/spreadsheets/d/1-3Vjw2Cyy-mry5gbC8ypIR3YVGFfEpyFESummAta6sg/edit"", ""Sheet1!B:D""), 3, FALSE), ""Not Found"")"),"v ɔ l t s ")</f>
        <v>v ɔ l t s </v>
      </c>
    </row>
    <row r="3341">
      <c r="A3341" s="1" t="s">
        <v>3342</v>
      </c>
      <c r="B3341" s="1" t="s">
        <v>5</v>
      </c>
      <c r="C3341" s="2">
        <f>IFERROR(__xludf.DUMMYFUNCTION("IFERROR(VLOOKUP(A3341, IMPORTRANGE(""https://docs.google.com/spreadsheets/d/1AVX9GT0dgogEBStecCXMMQ29tWz3gBrtNB8yIromXbY/edit?gid=741673867"", ""out1g!A:B""), 2, FALSE), 0)"),168.0)</f>
        <v>168</v>
      </c>
      <c r="D3341" s="2" t="str">
        <f>IFERROR(__xludf.DUMMYFUNCTION("IFERROR(VLOOKUP(A3341, IMPORTRANGE(""https://docs.google.com/spreadsheets/d/1-3Vjw2Cyy-mry5gbC8ypIR3YVGFfEpyFESummAta6sg/edit"", ""Sheet1!B:D""), 2, FALSE), ""Not Found"")"),"koʊʧɪŋ")</f>
        <v>koʊʧɪŋ</v>
      </c>
      <c r="E3341" s="2" t="str">
        <f>IFERROR(__xludf.DUMMYFUNCTION("IFERROR(VLOOKUP(A3341, IMPORTRANGE(""https://docs.google.com/spreadsheets/d/1-3Vjw2Cyy-mry5gbC8ypIR3YVGFfEpyFESummAta6sg/edit"", ""Sheet1!B:D""), 3, FALSE), ""Not Found"")"),"k o ʊ ʧ ɪ ŋ ")</f>
        <v>k o ʊ ʧ ɪ ŋ </v>
      </c>
    </row>
    <row r="3342">
      <c r="A3342" s="1" t="s">
        <v>3343</v>
      </c>
      <c r="B3342" s="1" t="s">
        <v>5</v>
      </c>
      <c r="C3342" s="2">
        <f>IFERROR(__xludf.DUMMYFUNCTION("IFERROR(VLOOKUP(A3342, IMPORTRANGE(""https://docs.google.com/spreadsheets/d/1AVX9GT0dgogEBStecCXMMQ29tWz3gBrtNB8yIromXbY/edit?gid=741673867"", ""out1g!A:B""), 2, FALSE), 0)"),3285.0)</f>
        <v>3285</v>
      </c>
      <c r="D3342" s="2" t="str">
        <f>IFERROR(__xludf.DUMMYFUNCTION("IFERROR(VLOOKUP(A3342, IMPORTRANGE(""https://docs.google.com/spreadsheets/d/1-3Vjw2Cyy-mry5gbC8ypIR3YVGFfEpyFESummAta6sg/edit"", ""Sheet1!B:D""), 2, FALSE), ""Not Found"")"),"drimz")</f>
        <v>drimz</v>
      </c>
      <c r="E3342" s="2" t="str">
        <f>IFERROR(__xludf.DUMMYFUNCTION("IFERROR(VLOOKUP(A3342, IMPORTRANGE(""https://docs.google.com/spreadsheets/d/1-3Vjw2Cyy-mry5gbC8ypIR3YVGFfEpyFESummAta6sg/edit"", ""Sheet1!B:D""), 3, FALSE), ""Not Found"")"),"d r i m z ")</f>
        <v>d r i m z </v>
      </c>
    </row>
    <row r="3343">
      <c r="A3343" s="1" t="s">
        <v>3344</v>
      </c>
      <c r="B3343" s="1" t="s">
        <v>5</v>
      </c>
      <c r="C3343" s="2">
        <f>IFERROR(__xludf.DUMMYFUNCTION("IFERROR(VLOOKUP(A3343, IMPORTRANGE(""https://docs.google.com/spreadsheets/d/1AVX9GT0dgogEBStecCXMMQ29tWz3gBrtNB8yIromXbY/edit?gid=741673867"", ""out1g!A:B""), 2, FALSE), 0)"),408.0)</f>
        <v>408</v>
      </c>
      <c r="D3343" s="2" t="str">
        <f>IFERROR(__xludf.DUMMYFUNCTION("IFERROR(VLOOKUP(A3343, IMPORTRANGE(""https://docs.google.com/spreadsheets/d/1-3Vjw2Cyy-mry5gbC8ypIR3YVGFfEpyFESummAta6sg/edit"", ""Sheet1!B:D""), 2, FALSE), ""Not Found"")"),"pɑd")</f>
        <v>pɑd</v>
      </c>
      <c r="E3343" s="2" t="str">
        <f>IFERROR(__xludf.DUMMYFUNCTION("IFERROR(VLOOKUP(A3343, IMPORTRANGE(""https://docs.google.com/spreadsheets/d/1-3Vjw2Cyy-mry5gbC8ypIR3YVGFfEpyFESummAta6sg/edit"", ""Sheet1!B:D""), 3, FALSE), ""Not Found"")"),"p ɑ d ")</f>
        <v>p ɑ d </v>
      </c>
    </row>
    <row r="3344">
      <c r="A3344" s="1" t="s">
        <v>3345</v>
      </c>
      <c r="B3344" s="1" t="s">
        <v>5</v>
      </c>
      <c r="C3344" s="2">
        <f>IFERROR(__xludf.DUMMYFUNCTION("IFERROR(VLOOKUP(A3344, IMPORTRANGE(""https://docs.google.com/spreadsheets/d/1AVX9GT0dgogEBStecCXMMQ29tWz3gBrtNB8yIromXbY/edit?gid=741673867"", ""out1g!A:B""), 2, FALSE), 0)"),267.0)</f>
        <v>267</v>
      </c>
      <c r="D3344" s="2" t="str">
        <f>IFERROR(__xludf.DUMMYFUNCTION("IFERROR(VLOOKUP(A3344, IMPORTRANGE(""https://docs.google.com/spreadsheets/d/1-3Vjw2Cyy-mry5gbC8ypIR3YVGFfEpyFESummAta6sg/edit"", ""Sheet1!B:D""), 2, FALSE), ""Not Found"")"),"gətər")</f>
        <v>gətər</v>
      </c>
      <c r="E3344" s="2" t="str">
        <f>IFERROR(__xludf.DUMMYFUNCTION("IFERROR(VLOOKUP(A3344, IMPORTRANGE(""https://docs.google.com/spreadsheets/d/1-3Vjw2Cyy-mry5gbC8ypIR3YVGFfEpyFESummAta6sg/edit"", ""Sheet1!B:D""), 3, FALSE), ""Not Found"")"),"g ə t ə r ")</f>
        <v>g ə t ə r </v>
      </c>
    </row>
    <row r="3345">
      <c r="A3345" s="1" t="s">
        <v>3346</v>
      </c>
      <c r="B3345" s="1" t="s">
        <v>5</v>
      </c>
      <c r="C3345" s="2">
        <f>IFERROR(__xludf.DUMMYFUNCTION("IFERROR(VLOOKUP(A3345, IMPORTRANGE(""https://docs.google.com/spreadsheets/d/1AVX9GT0dgogEBStecCXMMQ29tWz3gBrtNB8yIromXbY/edit?gid=741673867"", ""out1g!A:B""), 2, FALSE), 0)"),50.0)</f>
        <v>50</v>
      </c>
      <c r="D3345" s="2" t="str">
        <f>IFERROR(__xludf.DUMMYFUNCTION("IFERROR(VLOOKUP(A3345, IMPORTRANGE(""https://docs.google.com/spreadsheets/d/1-3Vjw2Cyy-mry5gbC8ypIR3YVGFfEpyFESummAta6sg/edit"", ""Sheet1!B:D""), 2, FALSE), ""Not Found"")"),"fɔrsi")</f>
        <v>fɔrsi</v>
      </c>
      <c r="E3345" s="2" t="str">
        <f>IFERROR(__xludf.DUMMYFUNCTION("IFERROR(VLOOKUP(A3345, IMPORTRANGE(""https://docs.google.com/spreadsheets/d/1-3Vjw2Cyy-mry5gbC8ypIR3YVGFfEpyFESummAta6sg/edit"", ""Sheet1!B:D""), 3, FALSE), ""Not Found"")"),"f ɔ r s i ")</f>
        <v>f ɔ r s i </v>
      </c>
    </row>
    <row r="3346">
      <c r="A3346" s="1" t="s">
        <v>3347</v>
      </c>
      <c r="B3346" s="1" t="s">
        <v>5</v>
      </c>
      <c r="C3346" s="2">
        <f>IFERROR(__xludf.DUMMYFUNCTION("IFERROR(VLOOKUP(A3346, IMPORTRANGE(""https://docs.google.com/spreadsheets/d/1AVX9GT0dgogEBStecCXMMQ29tWz3gBrtNB8yIromXbY/edit?gid=741673867"", ""out1g!A:B""), 2, FALSE), 0)"),79.0)</f>
        <v>79</v>
      </c>
      <c r="D3346" s="2" t="str">
        <f>IFERROR(__xludf.DUMMYFUNCTION("IFERROR(VLOOKUP(A3346, IMPORTRANGE(""https://docs.google.com/spreadsheets/d/1-3Vjw2Cyy-mry5gbC8ypIR3YVGFfEpyFESummAta6sg/edit"", ""Sheet1!B:D""), 2, FALSE), ""Not Found"")"),"likt")</f>
        <v>likt</v>
      </c>
      <c r="E3346" s="2" t="str">
        <f>IFERROR(__xludf.DUMMYFUNCTION("IFERROR(VLOOKUP(A3346, IMPORTRANGE(""https://docs.google.com/spreadsheets/d/1-3Vjw2Cyy-mry5gbC8ypIR3YVGFfEpyFESummAta6sg/edit"", ""Sheet1!B:D""), 3, FALSE), ""Not Found"")"),"l i k t ")</f>
        <v>l i k t </v>
      </c>
    </row>
    <row r="3347">
      <c r="A3347" s="1" t="s">
        <v>3348</v>
      </c>
      <c r="B3347" s="1" t="s">
        <v>5</v>
      </c>
      <c r="C3347" s="2">
        <f>IFERROR(__xludf.DUMMYFUNCTION("IFERROR(VLOOKUP(A3347, IMPORTRANGE(""https://docs.google.com/spreadsheets/d/1AVX9GT0dgogEBStecCXMMQ29tWz3gBrtNB8yIromXbY/edit?gid=741673867"", ""out1g!A:B""), 2, FALSE), 0)"),62.0)</f>
        <v>62</v>
      </c>
      <c r="D3347" s="2" t="str">
        <f>IFERROR(__xludf.DUMMYFUNCTION("IFERROR(VLOOKUP(A3347, IMPORTRANGE(""https://docs.google.com/spreadsheets/d/1-3Vjw2Cyy-mry5gbC8ypIR3YVGFfEpyFESummAta6sg/edit"", ""Sheet1!B:D""), 2, FALSE), ""Not Found"")"),"fɪʃt")</f>
        <v>fɪʃt</v>
      </c>
      <c r="E3347" s="2" t="str">
        <f>IFERROR(__xludf.DUMMYFUNCTION("IFERROR(VLOOKUP(A3347, IMPORTRANGE(""https://docs.google.com/spreadsheets/d/1-3Vjw2Cyy-mry5gbC8ypIR3YVGFfEpyFESummAta6sg/edit"", ""Sheet1!B:D""), 3, FALSE), ""Not Found"")"),"f ɪ ʃ t ")</f>
        <v>f ɪ ʃ t </v>
      </c>
    </row>
    <row r="3348">
      <c r="A3348" s="1" t="s">
        <v>3349</v>
      </c>
      <c r="B3348" s="1" t="s">
        <v>5</v>
      </c>
      <c r="C3348" s="2">
        <f>IFERROR(__xludf.DUMMYFUNCTION("IFERROR(VLOOKUP(A3348, IMPORTRANGE(""https://docs.google.com/spreadsheets/d/1AVX9GT0dgogEBStecCXMMQ29tWz3gBrtNB8yIromXbY/edit?gid=741673867"", ""out1g!A:B""), 2, FALSE), 0)"),182.0)</f>
        <v>182</v>
      </c>
      <c r="D3348" s="2" t="str">
        <f>IFERROR(__xludf.DUMMYFUNCTION("IFERROR(VLOOKUP(A3348, IMPORTRANGE(""https://docs.google.com/spreadsheets/d/1-3Vjw2Cyy-mry5gbC8ypIR3YVGFfEpyFESummAta6sg/edit"", ""Sheet1!B:D""), 2, FALSE), ""Not Found"")"),"stɪŋki")</f>
        <v>stɪŋki</v>
      </c>
      <c r="E3348" s="2" t="str">
        <f>IFERROR(__xludf.DUMMYFUNCTION("IFERROR(VLOOKUP(A3348, IMPORTRANGE(""https://docs.google.com/spreadsheets/d/1-3Vjw2Cyy-mry5gbC8ypIR3YVGFfEpyFESummAta6sg/edit"", ""Sheet1!B:D""), 3, FALSE), ""Not Found"")"),"s t ɪ ŋ k i ")</f>
        <v>s t ɪ ŋ k i </v>
      </c>
    </row>
    <row r="3349">
      <c r="A3349" s="1" t="s">
        <v>3350</v>
      </c>
      <c r="B3349" s="1" t="s">
        <v>5</v>
      </c>
      <c r="C3349" s="2">
        <f>IFERROR(__xludf.DUMMYFUNCTION("IFERROR(VLOOKUP(A3349, IMPORTRANGE(""https://docs.google.com/spreadsheets/d/1AVX9GT0dgogEBStecCXMMQ29tWz3gBrtNB8yIromXbY/edit?gid=741673867"", ""out1g!A:B""), 2, FALSE), 0)"),67.0)</f>
        <v>67</v>
      </c>
      <c r="D3349" s="2" t="str">
        <f>IFERROR(__xludf.DUMMYFUNCTION("IFERROR(VLOOKUP(A3349, IMPORTRANGE(""https://docs.google.com/spreadsheets/d/1-3Vjw2Cyy-mry5gbC8ypIR3YVGFfEpyFESummAta6sg/edit"", ""Sheet1!B:D""), 2, FALSE), ""Not Found"")"),"pɛrə")</f>
        <v>pɛrə</v>
      </c>
      <c r="E3349" s="2" t="str">
        <f>IFERROR(__xludf.DUMMYFUNCTION("IFERROR(VLOOKUP(A3349, IMPORTRANGE(""https://docs.google.com/spreadsheets/d/1-3Vjw2Cyy-mry5gbC8ypIR3YVGFfEpyFESummAta6sg/edit"", ""Sheet1!B:D""), 3, FALSE), ""Not Found"")"),"p ɛ r ə ")</f>
        <v>p ɛ r ə </v>
      </c>
    </row>
    <row r="3350">
      <c r="A3350" s="1" t="s">
        <v>3351</v>
      </c>
      <c r="B3350" s="1" t="s">
        <v>5</v>
      </c>
      <c r="C3350" s="2">
        <f>IFERROR(__xludf.DUMMYFUNCTION("IFERROR(VLOOKUP(A3350, IMPORTRANGE(""https://docs.google.com/spreadsheets/d/1AVX9GT0dgogEBStecCXMMQ29tWz3gBrtNB8yIromXbY/edit?gid=741673867"", ""out1g!A:B""), 2, FALSE), 0)"),19660.0)</f>
        <v>19660</v>
      </c>
      <c r="D3350" s="2" t="str">
        <f>IFERROR(__xludf.DUMMYFUNCTION("IFERROR(VLOOKUP(A3350, IMPORTRANGE(""https://docs.google.com/spreadsheets/d/1-3Vjw2Cyy-mry5gbC8ypIR3YVGFfEpyFESummAta6sg/edit"", ""Sheet1!B:D""), 2, FALSE), ""Not Found"")"),"hoʊl")</f>
        <v>hoʊl</v>
      </c>
      <c r="E3350" s="2" t="str">
        <f>IFERROR(__xludf.DUMMYFUNCTION("IFERROR(VLOOKUP(A3350, IMPORTRANGE(""https://docs.google.com/spreadsheets/d/1-3Vjw2Cyy-mry5gbC8ypIR3YVGFfEpyFESummAta6sg/edit"", ""Sheet1!B:D""), 3, FALSE), ""Not Found"")"),"h o ʊ l ")</f>
        <v>h o ʊ l </v>
      </c>
    </row>
    <row r="3351">
      <c r="A3351" s="1" t="s">
        <v>3352</v>
      </c>
      <c r="B3351" s="1" t="s">
        <v>5</v>
      </c>
      <c r="C3351" s="2">
        <f>IFERROR(__xludf.DUMMYFUNCTION("IFERROR(VLOOKUP(A3351, IMPORTRANGE(""https://docs.google.com/spreadsheets/d/1AVX9GT0dgogEBStecCXMMQ29tWz3gBrtNB8yIromXbY/edit?gid=741673867"", ""out1g!A:B""), 2, FALSE), 0)"),112.0)</f>
        <v>112</v>
      </c>
      <c r="D3351" s="2" t="str">
        <f>IFERROR(__xludf.DUMMYFUNCTION("IFERROR(VLOOKUP(A3351, IMPORTRANGE(""https://docs.google.com/spreadsheets/d/1-3Vjw2Cyy-mry5gbC8ypIR3YVGFfEpyFESummAta6sg/edit"", ""Sheet1!B:D""), 2, FALSE), ""Not Found"")"),"kulɪŋ")</f>
        <v>kulɪŋ</v>
      </c>
      <c r="E3351" s="2" t="str">
        <f>IFERROR(__xludf.DUMMYFUNCTION("IFERROR(VLOOKUP(A3351, IMPORTRANGE(""https://docs.google.com/spreadsheets/d/1-3Vjw2Cyy-mry5gbC8ypIR3YVGFfEpyFESummAta6sg/edit"", ""Sheet1!B:D""), 3, FALSE), ""Not Found"")"),"k u l ɪ ŋ ")</f>
        <v>k u l ɪ ŋ </v>
      </c>
    </row>
    <row r="3352">
      <c r="A3352" s="1" t="s">
        <v>3353</v>
      </c>
      <c r="B3352" s="1" t="s">
        <v>5</v>
      </c>
      <c r="C3352" s="2">
        <f>IFERROR(__xludf.DUMMYFUNCTION("IFERROR(VLOOKUP(A3352, IMPORTRANGE(""https://docs.google.com/spreadsheets/d/1AVX9GT0dgogEBStecCXMMQ29tWz3gBrtNB8yIromXbY/edit?gid=741673867"", ""out1g!A:B""), 2, FALSE), 0)"),375.0)</f>
        <v>375</v>
      </c>
      <c r="D3352" s="2" t="str">
        <f>IFERROR(__xludf.DUMMYFUNCTION("IFERROR(VLOOKUP(A3352, IMPORTRANGE(""https://docs.google.com/spreadsheets/d/1-3Vjw2Cyy-mry5gbC8ypIR3YVGFfEpyFESummAta6sg/edit"", ""Sheet1!B:D""), 2, FALSE), ""Not Found"")"),"fɪst")</f>
        <v>fɪst</v>
      </c>
      <c r="E3352" s="2" t="str">
        <f>IFERROR(__xludf.DUMMYFUNCTION("IFERROR(VLOOKUP(A3352, IMPORTRANGE(""https://docs.google.com/spreadsheets/d/1-3Vjw2Cyy-mry5gbC8ypIR3YVGFfEpyFESummAta6sg/edit"", ""Sheet1!B:D""), 3, FALSE), ""Not Found"")"),"f ɪ s t ")</f>
        <v>f ɪ s t </v>
      </c>
    </row>
    <row r="3353">
      <c r="A3353" s="1" t="s">
        <v>3354</v>
      </c>
      <c r="B3353" s="1" t="s">
        <v>5</v>
      </c>
      <c r="C3353" s="2">
        <f>IFERROR(__xludf.DUMMYFUNCTION("IFERROR(VLOOKUP(A3353, IMPORTRANGE(""https://docs.google.com/spreadsheets/d/1AVX9GT0dgogEBStecCXMMQ29tWz3gBrtNB8yIromXbY/edit?gid=741673867"", ""out1g!A:B""), 2, FALSE), 0)"),46.0)</f>
        <v>46</v>
      </c>
      <c r="D3353" s="2" t="str">
        <f>IFERROR(__xludf.DUMMYFUNCTION("IFERROR(VLOOKUP(A3353, IMPORTRANGE(""https://docs.google.com/spreadsheets/d/1-3Vjw2Cyy-mry5gbC8ypIR3YVGFfEpyFESummAta6sg/edit"", ""Sheet1!B:D""), 2, FALSE), ""Not Found"")"),"mæpt")</f>
        <v>mæpt</v>
      </c>
      <c r="E3353" s="2" t="str">
        <f>IFERROR(__xludf.DUMMYFUNCTION("IFERROR(VLOOKUP(A3353, IMPORTRANGE(""https://docs.google.com/spreadsheets/d/1-3Vjw2Cyy-mry5gbC8ypIR3YVGFfEpyFESummAta6sg/edit"", ""Sheet1!B:D""), 3, FALSE), ""Not Found"")"),"m æ p t ")</f>
        <v>m æ p t </v>
      </c>
    </row>
    <row r="3354">
      <c r="A3354" s="1" t="s">
        <v>3355</v>
      </c>
      <c r="B3354" s="1" t="s">
        <v>5</v>
      </c>
      <c r="C3354" s="2">
        <f>IFERROR(__xludf.DUMMYFUNCTION("IFERROR(VLOOKUP(A3354, IMPORTRANGE(""https://docs.google.com/spreadsheets/d/1AVX9GT0dgogEBStecCXMMQ29tWz3gBrtNB8yIromXbY/edit?gid=741673867"", ""out1g!A:B""), 2, FALSE), 0)"),65.0)</f>
        <v>65</v>
      </c>
      <c r="D3354" s="2" t="str">
        <f>IFERROR(__xludf.DUMMYFUNCTION("IFERROR(VLOOKUP(A3354, IMPORTRANGE(""https://docs.google.com/spreadsheets/d/1-3Vjw2Cyy-mry5gbC8ypIR3YVGFfEpyFESummAta6sg/edit"", ""Sheet1!B:D""), 2, FALSE), ""Not Found"")"),"vɛndər")</f>
        <v>vɛndər</v>
      </c>
      <c r="E3354" s="2" t="str">
        <f>IFERROR(__xludf.DUMMYFUNCTION("IFERROR(VLOOKUP(A3354, IMPORTRANGE(""https://docs.google.com/spreadsheets/d/1-3Vjw2Cyy-mry5gbC8ypIR3YVGFfEpyFESummAta6sg/edit"", ""Sheet1!B:D""), 3, FALSE), ""Not Found"")"),"v ɛ n d ə r ")</f>
        <v>v ɛ n d ə r </v>
      </c>
    </row>
    <row r="3355">
      <c r="A3355" s="1" t="s">
        <v>3356</v>
      </c>
      <c r="B3355" s="1" t="s">
        <v>5</v>
      </c>
      <c r="C3355" s="2">
        <f>IFERROR(__xludf.DUMMYFUNCTION("IFERROR(VLOOKUP(A3355, IMPORTRANGE(""https://docs.google.com/spreadsheets/d/1AVX9GT0dgogEBStecCXMMQ29tWz3gBrtNB8yIromXbY/edit?gid=741673867"", ""out1g!A:B""), 2, FALSE), 0)"),17589.0)</f>
        <v>17589</v>
      </c>
      <c r="D3355" s="2" t="str">
        <f>IFERROR(__xludf.DUMMYFUNCTION("IFERROR(VLOOKUP(A3355, IMPORTRANGE(""https://docs.google.com/spreadsheets/d/1-3Vjw2Cyy-mry5gbC8ypIR3YVGFfEpyFESummAta6sg/edit"", ""Sheet1!B:D""), 2, FALSE), ""Not Found"")"),"wəns")</f>
        <v>wəns</v>
      </c>
      <c r="E3355" s="2" t="str">
        <f>IFERROR(__xludf.DUMMYFUNCTION("IFERROR(VLOOKUP(A3355, IMPORTRANGE(""https://docs.google.com/spreadsheets/d/1-3Vjw2Cyy-mry5gbC8ypIR3YVGFfEpyFESummAta6sg/edit"", ""Sheet1!B:D""), 3, FALSE), ""Not Found"")"),"w ə n s ")</f>
        <v>w ə n s </v>
      </c>
    </row>
    <row r="3356">
      <c r="A3356" s="1" t="s">
        <v>3357</v>
      </c>
      <c r="B3356" s="1" t="s">
        <v>5</v>
      </c>
      <c r="C3356" s="2">
        <f>IFERROR(__xludf.DUMMYFUNCTION("IFERROR(VLOOKUP(A3356, IMPORTRANGE(""https://docs.google.com/spreadsheets/d/1AVX9GT0dgogEBStecCXMMQ29tWz3gBrtNB8yIromXbY/edit?gid=741673867"", ""out1g!A:B""), 2, FALSE), 0)"),69.0)</f>
        <v>69</v>
      </c>
      <c r="D3356" s="2" t="str">
        <f>IFERROR(__xludf.DUMMYFUNCTION("IFERROR(VLOOKUP(A3356, IMPORTRANGE(""https://docs.google.com/spreadsheets/d/1-3Vjw2Cyy-mry5gbC8ypIR3YVGFfEpyFESummAta6sg/edit"", ""Sheet1!B:D""), 2, FALSE), ""Not Found"")"),"ɑb")</f>
        <v>ɑb</v>
      </c>
      <c r="E3356" s="2" t="str">
        <f>IFERROR(__xludf.DUMMYFUNCTION("IFERROR(VLOOKUP(A3356, IMPORTRANGE(""https://docs.google.com/spreadsheets/d/1-3Vjw2Cyy-mry5gbC8ypIR3YVGFfEpyFESummAta6sg/edit"", ""Sheet1!B:D""), 3, FALSE), ""Not Found"")"),"ɑ b ")</f>
        <v>ɑ b </v>
      </c>
    </row>
    <row r="3357">
      <c r="A3357" s="1" t="s">
        <v>3358</v>
      </c>
      <c r="B3357" s="1" t="s">
        <v>5</v>
      </c>
      <c r="C3357" s="2">
        <f>IFERROR(__xludf.DUMMYFUNCTION("IFERROR(VLOOKUP(A3357, IMPORTRANGE(""https://docs.google.com/spreadsheets/d/1AVX9GT0dgogEBStecCXMMQ29tWz3gBrtNB8yIromXbY/edit?gid=741673867"", ""out1g!A:B""), 2, FALSE), 0)"),19778.0)</f>
        <v>19778</v>
      </c>
      <c r="D3357" s="2" t="str">
        <f>IFERROR(__xludf.DUMMYFUNCTION("IFERROR(VLOOKUP(A3357, IMPORTRANGE(""https://docs.google.com/spreadsheets/d/1-3Vjw2Cyy-mry5gbC8ypIR3YVGFfEpyFESummAta6sg/edit"", ""Sheet1!B:D""), 2, FALSE), ""Not Found"")"),"rɛdi")</f>
        <v>rɛdi</v>
      </c>
      <c r="E3357" s="2" t="str">
        <f>IFERROR(__xludf.DUMMYFUNCTION("IFERROR(VLOOKUP(A3357, IMPORTRANGE(""https://docs.google.com/spreadsheets/d/1-3Vjw2Cyy-mry5gbC8ypIR3YVGFfEpyFESummAta6sg/edit"", ""Sheet1!B:D""), 3, FALSE), ""Not Found"")"),"r ɛ d i ")</f>
        <v>r ɛ d i </v>
      </c>
    </row>
    <row r="3358">
      <c r="A3358" s="1" t="s">
        <v>3359</v>
      </c>
      <c r="B3358" s="1" t="s">
        <v>5</v>
      </c>
      <c r="C3358" s="2">
        <f>IFERROR(__xludf.DUMMYFUNCTION("IFERROR(VLOOKUP(A3358, IMPORTRANGE(""https://docs.google.com/spreadsheets/d/1AVX9GT0dgogEBStecCXMMQ29tWz3gBrtNB8yIromXbY/edit?gid=741673867"", ""out1g!A:B""), 2, FALSE), 0)"),2192.0)</f>
        <v>2192</v>
      </c>
      <c r="D3358" s="2" t="str">
        <f>IFERROR(__xludf.DUMMYFUNCTION("IFERROR(VLOOKUP(A3358, IMPORTRANGE(""https://docs.google.com/spreadsheets/d/1-3Vjw2Cyy-mry5gbC8ypIR3YVGFfEpyFESummAta6sg/edit"", ""Sheet1!B:D""), 2, FALSE), ""Not Found"")"),"ʤen")</f>
        <v>ʤen</v>
      </c>
      <c r="E3358" s="2" t="str">
        <f>IFERROR(__xludf.DUMMYFUNCTION("IFERROR(VLOOKUP(A3358, IMPORTRANGE(""https://docs.google.com/spreadsheets/d/1-3Vjw2Cyy-mry5gbC8ypIR3YVGFfEpyFESummAta6sg/edit"", ""Sheet1!B:D""), 3, FALSE), ""Not Found"")"),"ʤ e n ")</f>
        <v>ʤ e n </v>
      </c>
    </row>
    <row r="3359">
      <c r="A3359" s="1" t="s">
        <v>3360</v>
      </c>
      <c r="B3359" s="1" t="s">
        <v>5</v>
      </c>
      <c r="C3359" s="2">
        <f>IFERROR(__xludf.DUMMYFUNCTION("IFERROR(VLOOKUP(A3359, IMPORTRANGE(""https://docs.google.com/spreadsheets/d/1AVX9GT0dgogEBStecCXMMQ29tWz3gBrtNB8yIromXbY/edit?gid=741673867"", ""out1g!A:B""), 2, FALSE), 0)"),4149.0)</f>
        <v>4149</v>
      </c>
      <c r="D3359" s="2" t="str">
        <f>IFERROR(__xludf.DUMMYFUNCTION("IFERROR(VLOOKUP(A3359, IMPORTRANGE(""https://docs.google.com/spreadsheets/d/1-3Vjw2Cyy-mry5gbC8ypIR3YVGFfEpyFESummAta6sg/edit"", ""Sheet1!B:D""), 2, FALSE), ""Not Found"")"),"stɑr")</f>
        <v>stɑr</v>
      </c>
      <c r="E3359" s="2" t="str">
        <f>IFERROR(__xludf.DUMMYFUNCTION("IFERROR(VLOOKUP(A3359, IMPORTRANGE(""https://docs.google.com/spreadsheets/d/1-3Vjw2Cyy-mry5gbC8ypIR3YVGFfEpyFESummAta6sg/edit"", ""Sheet1!B:D""), 3, FALSE), ""Not Found"")"),"s t ɑ r ")</f>
        <v>s t ɑ r </v>
      </c>
    </row>
    <row r="3360">
      <c r="A3360" s="1" t="s">
        <v>3361</v>
      </c>
      <c r="B3360" s="1" t="s">
        <v>5</v>
      </c>
      <c r="C3360" s="2">
        <f>IFERROR(__xludf.DUMMYFUNCTION("IFERROR(VLOOKUP(A3360, IMPORTRANGE(""https://docs.google.com/spreadsheets/d/1AVX9GT0dgogEBStecCXMMQ29tWz3gBrtNB8yIromXbY/edit?gid=741673867"", ""out1g!A:B""), 2, FALSE), 0)"),673.0)</f>
        <v>673</v>
      </c>
      <c r="D3360" s="2" t="str">
        <f>IFERROR(__xludf.DUMMYFUNCTION("IFERROR(VLOOKUP(A3360, IMPORTRANGE(""https://docs.google.com/spreadsheets/d/1-3Vjw2Cyy-mry5gbC8ypIR3YVGFfEpyFESummAta6sg/edit"", ""Sheet1!B:D""), 2, FALSE), ""Not Found"")"),"wetər")</f>
        <v>wetər</v>
      </c>
      <c r="E3360" s="2" t="str">
        <f>IFERROR(__xludf.DUMMYFUNCTION("IFERROR(VLOOKUP(A3360, IMPORTRANGE(""https://docs.google.com/spreadsheets/d/1-3Vjw2Cyy-mry5gbC8ypIR3YVGFfEpyFESummAta6sg/edit"", ""Sheet1!B:D""), 3, FALSE), ""Not Found"")"),"w e t ə r ")</f>
        <v>w e t ə r </v>
      </c>
    </row>
    <row r="3361">
      <c r="A3361" s="1" t="s">
        <v>3362</v>
      </c>
      <c r="B3361" s="1" t="s">
        <v>5</v>
      </c>
      <c r="C3361" s="2">
        <f>IFERROR(__xludf.DUMMYFUNCTION("IFERROR(VLOOKUP(A3361, IMPORTRANGE(""https://docs.google.com/spreadsheets/d/1AVX9GT0dgogEBStecCXMMQ29tWz3gBrtNB8yIromXbY/edit?gid=741673867"", ""out1g!A:B""), 2, FALSE), 0)"),160.0)</f>
        <v>160</v>
      </c>
      <c r="D3361" s="2" t="str">
        <f>IFERROR(__xludf.DUMMYFUNCTION("IFERROR(VLOOKUP(A3361, IMPORTRANGE(""https://docs.google.com/spreadsheets/d/1-3Vjw2Cyy-mry5gbC8ypIR3YVGFfEpyFESummAta6sg/edit"", ""Sheet1!B:D""), 2, FALSE), ""Not Found"")"),"bæŋd")</f>
        <v>bæŋd</v>
      </c>
      <c r="E3361" s="2" t="str">
        <f>IFERROR(__xludf.DUMMYFUNCTION("IFERROR(VLOOKUP(A3361, IMPORTRANGE(""https://docs.google.com/spreadsheets/d/1-3Vjw2Cyy-mry5gbC8ypIR3YVGFfEpyFESummAta6sg/edit"", ""Sheet1!B:D""), 3, FALSE), ""Not Found"")"),"b æ ŋ d ")</f>
        <v>b æ ŋ d </v>
      </c>
    </row>
    <row r="3362">
      <c r="A3362" s="1" t="s">
        <v>3363</v>
      </c>
      <c r="B3362" s="1" t="s">
        <v>5</v>
      </c>
      <c r="C3362" s="2">
        <f>IFERROR(__xludf.DUMMYFUNCTION("IFERROR(VLOOKUP(A3362, IMPORTRANGE(""https://docs.google.com/spreadsheets/d/1AVX9GT0dgogEBStecCXMMQ29tWz3gBrtNB8yIromXbY/edit?gid=741673867"", ""out1g!A:B""), 2, FALSE), 0)"),94.0)</f>
        <v>94</v>
      </c>
      <c r="D3362" s="2" t="str">
        <f>IFERROR(__xludf.DUMMYFUNCTION("IFERROR(VLOOKUP(A3362, IMPORTRANGE(""https://docs.google.com/spreadsheets/d/1-3Vjw2Cyy-mry5gbC8ypIR3YVGFfEpyFESummAta6sg/edit"", ""Sheet1!B:D""), 2, FALSE), ""Not Found"")"),"lekərz")</f>
        <v>lekərz</v>
      </c>
      <c r="E3362" s="2" t="str">
        <f>IFERROR(__xludf.DUMMYFUNCTION("IFERROR(VLOOKUP(A3362, IMPORTRANGE(""https://docs.google.com/spreadsheets/d/1-3Vjw2Cyy-mry5gbC8ypIR3YVGFfEpyFESummAta6sg/edit"", ""Sheet1!B:D""), 3, FALSE), ""Not Found"")"),"l e k ə r z ")</f>
        <v>l e k ə r z </v>
      </c>
    </row>
    <row r="3363">
      <c r="A3363" s="1" t="s">
        <v>3364</v>
      </c>
      <c r="B3363" s="1" t="s">
        <v>5</v>
      </c>
      <c r="C3363" s="2">
        <f>IFERROR(__xludf.DUMMYFUNCTION("IFERROR(VLOOKUP(A3363, IMPORTRANGE(""https://docs.google.com/spreadsheets/d/1AVX9GT0dgogEBStecCXMMQ29tWz3gBrtNB8yIromXbY/edit?gid=741673867"", ""out1g!A:B""), 2, FALSE), 0)"),193.0)</f>
        <v>193</v>
      </c>
      <c r="D3363" s="2" t="str">
        <f>IFERROR(__xludf.DUMMYFUNCTION("IFERROR(VLOOKUP(A3363, IMPORTRANGE(""https://docs.google.com/spreadsheets/d/1-3Vjw2Cyy-mry5gbC8ypIR3YVGFfEpyFESummAta6sg/edit"", ""Sheet1!B:D""), 2, FALSE), ""Not Found"")"),"raɪvəl")</f>
        <v>raɪvəl</v>
      </c>
      <c r="E3363" s="2" t="str">
        <f>IFERROR(__xludf.DUMMYFUNCTION("IFERROR(VLOOKUP(A3363, IMPORTRANGE(""https://docs.google.com/spreadsheets/d/1-3Vjw2Cyy-mry5gbC8ypIR3YVGFfEpyFESummAta6sg/edit"", ""Sheet1!B:D""), 3, FALSE), ""Not Found"")"),"r a ɪ v ə l ")</f>
        <v>r a ɪ v ə l </v>
      </c>
    </row>
    <row r="3364">
      <c r="A3364" s="1" t="s">
        <v>3365</v>
      </c>
      <c r="B3364" s="1" t="s">
        <v>5</v>
      </c>
      <c r="C3364" s="2">
        <f>IFERROR(__xludf.DUMMYFUNCTION("IFERROR(VLOOKUP(A3364, IMPORTRANGE(""https://docs.google.com/spreadsheets/d/1AVX9GT0dgogEBStecCXMMQ29tWz3gBrtNB8yIromXbY/edit?gid=741673867"", ""out1g!A:B""), 2, FALSE), 0)"),5569.0)</f>
        <v>5569</v>
      </c>
      <c r="D3364" s="2" t="str">
        <f>IFERROR(__xludf.DUMMYFUNCTION("IFERROR(VLOOKUP(A3364, IMPORTRANGE(""https://docs.google.com/spreadsheets/d/1-3Vjw2Cyy-mry5gbC8ypIR3YVGFfEpyFESummAta6sg/edit"", ""Sheet1!B:D""), 2, FALSE), ""Not Found"")"),"wərθ")</f>
        <v>wərθ</v>
      </c>
      <c r="E3364" s="2" t="str">
        <f>IFERROR(__xludf.DUMMYFUNCTION("IFERROR(VLOOKUP(A3364, IMPORTRANGE(""https://docs.google.com/spreadsheets/d/1-3Vjw2Cyy-mry5gbC8ypIR3YVGFfEpyFESummAta6sg/edit"", ""Sheet1!B:D""), 3, FALSE), ""Not Found"")"),"w ə r θ ")</f>
        <v>w ə r θ </v>
      </c>
    </row>
    <row r="3365">
      <c r="A3365" s="1" t="s">
        <v>3366</v>
      </c>
      <c r="B3365" s="1" t="s">
        <v>5</v>
      </c>
      <c r="C3365" s="2">
        <f>IFERROR(__xludf.DUMMYFUNCTION("IFERROR(VLOOKUP(A3365, IMPORTRANGE(""https://docs.google.com/spreadsheets/d/1AVX9GT0dgogEBStecCXMMQ29tWz3gBrtNB8yIromXbY/edit?gid=741673867"", ""out1g!A:B""), 2, FALSE), 0)"),2809.0)</f>
        <v>2809</v>
      </c>
      <c r="D3365" s="2" t="str">
        <f>IFERROR(__xludf.DUMMYFUNCTION("IFERROR(VLOOKUP(A3365, IMPORTRANGE(""https://docs.google.com/spreadsheets/d/1-3Vjw2Cyy-mry5gbC8ypIR3YVGFfEpyFESummAta6sg/edit"", ""Sheet1!B:D""), 2, FALSE), ""Not Found"")"),"rɔri")</f>
        <v>rɔri</v>
      </c>
      <c r="E3365" s="2" t="str">
        <f>IFERROR(__xludf.DUMMYFUNCTION("IFERROR(VLOOKUP(A3365, IMPORTRANGE(""https://docs.google.com/spreadsheets/d/1-3Vjw2Cyy-mry5gbC8ypIR3YVGFfEpyFESummAta6sg/edit"", ""Sheet1!B:D""), 3, FALSE), ""Not Found"")"),"r ɔ r i ")</f>
        <v>r ɔ r i </v>
      </c>
    </row>
    <row r="3366">
      <c r="A3366" s="1" t="s">
        <v>3367</v>
      </c>
      <c r="B3366" s="1" t="s">
        <v>5</v>
      </c>
      <c r="C3366" s="2">
        <f>IFERROR(__xludf.DUMMYFUNCTION("IFERROR(VLOOKUP(A3366, IMPORTRANGE(""https://docs.google.com/spreadsheets/d/1AVX9GT0dgogEBStecCXMMQ29tWz3gBrtNB8yIromXbY/edit?gid=741673867"", ""out1g!A:B""), 2, FALSE), 0)"),6661.0)</f>
        <v>6661</v>
      </c>
      <c r="D3366" s="2" t="str">
        <f>IFERROR(__xludf.DUMMYFUNCTION("IFERROR(VLOOKUP(A3366, IMPORTRANGE(""https://docs.google.com/spreadsheets/d/1-3Vjw2Cyy-mry5gbC8ypIR3YVGFfEpyFESummAta6sg/edit"", ""Sheet1!B:D""), 2, FALSE), ""Not Found"")"),"drɔp")</f>
        <v>drɔp</v>
      </c>
      <c r="E3366" s="2" t="str">
        <f>IFERROR(__xludf.DUMMYFUNCTION("IFERROR(VLOOKUP(A3366, IMPORTRANGE(""https://docs.google.com/spreadsheets/d/1-3Vjw2Cyy-mry5gbC8ypIR3YVGFfEpyFESummAta6sg/edit"", ""Sheet1!B:D""), 3, FALSE), ""Not Found"")"),"d r ɔ p ")</f>
        <v>d r ɔ p </v>
      </c>
    </row>
    <row r="3367">
      <c r="A3367" s="1" t="s">
        <v>3368</v>
      </c>
      <c r="B3367" s="1" t="s">
        <v>5</v>
      </c>
      <c r="C3367" s="2">
        <f>IFERROR(__xludf.DUMMYFUNCTION("IFERROR(VLOOKUP(A3367, IMPORTRANGE(""https://docs.google.com/spreadsheets/d/1AVX9GT0dgogEBStecCXMMQ29tWz3gBrtNB8yIromXbY/edit?gid=741673867"", ""out1g!A:B""), 2, FALSE), 0)"),663.0)</f>
        <v>663</v>
      </c>
      <c r="D3367" s="2" t="str">
        <f>IFERROR(__xludf.DUMMYFUNCTION("IFERROR(VLOOKUP(A3367, IMPORTRANGE(""https://docs.google.com/spreadsheets/d/1-3Vjw2Cyy-mry5gbC8ypIR3YVGFfEpyFESummAta6sg/edit"", ""Sheet1!B:D""), 2, FALSE), ""Not Found"")"),"drɔr")</f>
        <v>drɔr</v>
      </c>
      <c r="E3367" s="2" t="str">
        <f>IFERROR(__xludf.DUMMYFUNCTION("IFERROR(VLOOKUP(A3367, IMPORTRANGE(""https://docs.google.com/spreadsheets/d/1-3Vjw2Cyy-mry5gbC8ypIR3YVGFfEpyFESummAta6sg/edit"", ""Sheet1!B:D""), 3, FALSE), ""Not Found"")"),"d r ɔ r ")</f>
        <v>d r ɔ r </v>
      </c>
    </row>
    <row r="3368">
      <c r="A3368" s="1" t="s">
        <v>3369</v>
      </c>
      <c r="B3368" s="1" t="s">
        <v>5</v>
      </c>
      <c r="C3368" s="2">
        <f>IFERROR(__xludf.DUMMYFUNCTION("IFERROR(VLOOKUP(A3368, IMPORTRANGE(""https://docs.google.com/spreadsheets/d/1AVX9GT0dgogEBStecCXMMQ29tWz3gBrtNB8yIromXbY/edit?gid=741673867"", ""out1g!A:B""), 2, FALSE), 0)"),31056.0)</f>
        <v>31056</v>
      </c>
      <c r="D3368" s="2" t="str">
        <f>IFERROR(__xludf.DUMMYFUNCTION("IFERROR(VLOOKUP(A3368, IMPORTRANGE(""https://docs.google.com/spreadsheets/d/1-3Vjw2Cyy-mry5gbC8ypIR3YVGFfEpyFESummAta6sg/edit"", ""Sheet1!B:D""), 2, FALSE), ""Not Found"")"),"oʊld")</f>
        <v>oʊld</v>
      </c>
      <c r="E3368" s="2" t="str">
        <f>IFERROR(__xludf.DUMMYFUNCTION("IFERROR(VLOOKUP(A3368, IMPORTRANGE(""https://docs.google.com/spreadsheets/d/1-3Vjw2Cyy-mry5gbC8ypIR3YVGFfEpyFESummAta6sg/edit"", ""Sheet1!B:D""), 3, FALSE), ""Not Found"")"),"o ʊ l d ")</f>
        <v>o ʊ l d </v>
      </c>
    </row>
    <row r="3369">
      <c r="A3369" s="1" t="s">
        <v>3370</v>
      </c>
      <c r="B3369" s="1" t="s">
        <v>5</v>
      </c>
      <c r="C3369" s="2">
        <f>IFERROR(__xludf.DUMMYFUNCTION("IFERROR(VLOOKUP(A3369, IMPORTRANGE(""https://docs.google.com/spreadsheets/d/1AVX9GT0dgogEBStecCXMMQ29tWz3gBrtNB8yIromXbY/edit?gid=741673867"", ""out1g!A:B""), 2, FALSE), 0)"),4872.0)</f>
        <v>4872</v>
      </c>
      <c r="D3369" s="2" t="str">
        <f>IFERROR(__xludf.DUMMYFUNCTION("IFERROR(VLOOKUP(A3369, IMPORTRANGE(""https://docs.google.com/spreadsheets/d/1-3Vjw2Cyy-mry5gbC8ypIR3YVGFfEpyFESummAta6sg/edit"", ""Sheet1!B:D""), 2, FALSE), ""Not Found"")"),"plen")</f>
        <v>plen</v>
      </c>
      <c r="E3369" s="2" t="str">
        <f>IFERROR(__xludf.DUMMYFUNCTION("IFERROR(VLOOKUP(A3369, IMPORTRANGE(""https://docs.google.com/spreadsheets/d/1-3Vjw2Cyy-mry5gbC8ypIR3YVGFfEpyFESummAta6sg/edit"", ""Sheet1!B:D""), 3, FALSE), ""Not Found"")"),"p l e n ")</f>
        <v>p l e n </v>
      </c>
    </row>
    <row r="3370">
      <c r="A3370" s="1" t="s">
        <v>3371</v>
      </c>
      <c r="B3370" s="1" t="s">
        <v>5</v>
      </c>
      <c r="C3370" s="2">
        <f>IFERROR(__xludf.DUMMYFUNCTION("IFERROR(VLOOKUP(A3370, IMPORTRANGE(""https://docs.google.com/spreadsheets/d/1AVX9GT0dgogEBStecCXMMQ29tWz3gBrtNB8yIromXbY/edit?gid=741673867"", ""out1g!A:B""), 2, FALSE), 0)"),331.0)</f>
        <v>331</v>
      </c>
      <c r="D3370" s="2" t="str">
        <f>IFERROR(__xludf.DUMMYFUNCTION("IFERROR(VLOOKUP(A3370, IMPORTRANGE(""https://docs.google.com/spreadsheets/d/1-3Vjw2Cyy-mry5gbC8ypIR3YVGFfEpyFESummAta6sg/edit"", ""Sheet1!B:D""), 2, FALSE), ""Not Found"")"),"rɑbɪŋ")</f>
        <v>rɑbɪŋ</v>
      </c>
      <c r="E3370" s="2" t="str">
        <f>IFERROR(__xludf.DUMMYFUNCTION("IFERROR(VLOOKUP(A3370, IMPORTRANGE(""https://docs.google.com/spreadsheets/d/1-3Vjw2Cyy-mry5gbC8ypIR3YVGFfEpyFESummAta6sg/edit"", ""Sheet1!B:D""), 3, FALSE), ""Not Found"")"),"r ɑ b ɪ ŋ ")</f>
        <v>r ɑ b ɪ ŋ </v>
      </c>
    </row>
    <row r="3371">
      <c r="A3371" s="1" t="s">
        <v>3372</v>
      </c>
      <c r="B3371" s="1" t="s">
        <v>5</v>
      </c>
      <c r="C3371" s="2">
        <f>IFERROR(__xludf.DUMMYFUNCTION("IFERROR(VLOOKUP(A3371, IMPORTRANGE(""https://docs.google.com/spreadsheets/d/1AVX9GT0dgogEBStecCXMMQ29tWz3gBrtNB8yIromXbY/edit?gid=741673867"", ""out1g!A:B""), 2, FALSE), 0)"),5565.0)</f>
        <v>5565</v>
      </c>
      <c r="D3371" s="2" t="str">
        <f>IFERROR(__xludf.DUMMYFUNCTION("IFERROR(VLOOKUP(A3371, IMPORTRANGE(""https://docs.google.com/spreadsheets/d/1-3Vjw2Cyy-mry5gbC8ypIR3YVGFfEpyFESummAta6sg/edit"", ""Sheet1!B:D""), 2, FALSE), ""Not Found"")"),"ækt")</f>
        <v>ækt</v>
      </c>
      <c r="E3371" s="2" t="str">
        <f>IFERROR(__xludf.DUMMYFUNCTION("IFERROR(VLOOKUP(A3371, IMPORTRANGE(""https://docs.google.com/spreadsheets/d/1-3Vjw2Cyy-mry5gbC8ypIR3YVGFfEpyFESummAta6sg/edit"", ""Sheet1!B:D""), 3, FALSE), ""Not Found"")"),"æ k t ")</f>
        <v>æ k t </v>
      </c>
    </row>
    <row r="3372">
      <c r="A3372" s="1" t="s">
        <v>3373</v>
      </c>
      <c r="B3372" s="1" t="s">
        <v>5</v>
      </c>
      <c r="C3372" s="2">
        <f>IFERROR(__xludf.DUMMYFUNCTION("IFERROR(VLOOKUP(A3372, IMPORTRANGE(""https://docs.google.com/spreadsheets/d/1AVX9GT0dgogEBStecCXMMQ29tWz3gBrtNB8yIromXbY/edit?gid=741673867"", ""out1g!A:B""), 2, FALSE), 0)"),432.0)</f>
        <v>432</v>
      </c>
      <c r="D3372" s="2" t="str">
        <f>IFERROR(__xludf.DUMMYFUNCTION("IFERROR(VLOOKUP(A3372, IMPORTRANGE(""https://docs.google.com/spreadsheets/d/1-3Vjw2Cyy-mry5gbC8ypIR3YVGFfEpyFESummAta6sg/edit"", ""Sheet1!B:D""), 2, FALSE), ""Not Found"")"),"spɔɪld")</f>
        <v>spɔɪld</v>
      </c>
      <c r="E3372" s="2" t="str">
        <f>IFERROR(__xludf.DUMMYFUNCTION("IFERROR(VLOOKUP(A3372, IMPORTRANGE(""https://docs.google.com/spreadsheets/d/1-3Vjw2Cyy-mry5gbC8ypIR3YVGFfEpyFESummAta6sg/edit"", ""Sheet1!B:D""), 3, FALSE), ""Not Found"")"),"s p ɔ ɪ l d ")</f>
        <v>s p ɔ ɪ l d </v>
      </c>
    </row>
    <row r="3373">
      <c r="A3373" s="1" t="s">
        <v>3374</v>
      </c>
      <c r="B3373" s="1" t="s">
        <v>5</v>
      </c>
      <c r="C3373" s="2">
        <f>IFERROR(__xludf.DUMMYFUNCTION("IFERROR(VLOOKUP(A3373, IMPORTRANGE(""https://docs.google.com/spreadsheets/d/1AVX9GT0dgogEBStecCXMMQ29tWz3gBrtNB8yIromXbY/edit?gid=741673867"", ""out1g!A:B""), 2, FALSE), 0)"),58.0)</f>
        <v>58</v>
      </c>
      <c r="D3373" s="2" t="str">
        <f>IFERROR(__xludf.DUMMYFUNCTION("IFERROR(VLOOKUP(A3373, IMPORTRANGE(""https://docs.google.com/spreadsheets/d/1-3Vjw2Cyy-mry5gbC8ypIR3YVGFfEpyFESummAta6sg/edit"", ""Sheet1!B:D""), 2, FALSE), ""Not Found"")"),"rɛks")</f>
        <v>rɛks</v>
      </c>
      <c r="E3373" s="2" t="str">
        <f>IFERROR(__xludf.DUMMYFUNCTION("IFERROR(VLOOKUP(A3373, IMPORTRANGE(""https://docs.google.com/spreadsheets/d/1-3Vjw2Cyy-mry5gbC8ypIR3YVGFfEpyFESummAta6sg/edit"", ""Sheet1!B:D""), 3, FALSE), ""Not Found"")"),"r ɛ k s ")</f>
        <v>r ɛ k s </v>
      </c>
    </row>
    <row r="3374">
      <c r="A3374" s="1" t="s">
        <v>3375</v>
      </c>
      <c r="B3374" s="1" t="s">
        <v>5</v>
      </c>
      <c r="C3374" s="2">
        <f>IFERROR(__xludf.DUMMYFUNCTION("IFERROR(VLOOKUP(A3374, IMPORTRANGE(""https://docs.google.com/spreadsheets/d/1AVX9GT0dgogEBStecCXMMQ29tWz3gBrtNB8yIromXbY/edit?gid=741673867"", ""out1g!A:B""), 2, FALSE), 0)"),68.0)</f>
        <v>68</v>
      </c>
      <c r="D3374" s="2" t="str">
        <f>IFERROR(__xludf.DUMMYFUNCTION("IFERROR(VLOOKUP(A3374, IMPORTRANGE(""https://docs.google.com/spreadsheets/d/1-3Vjw2Cyy-mry5gbC8ypIR3YVGFfEpyFESummAta6sg/edit"", ""Sheet1!B:D""), 2, FALSE), ""Not Found"")"),"grist")</f>
        <v>grist</v>
      </c>
      <c r="E3374" s="2" t="str">
        <f>IFERROR(__xludf.DUMMYFUNCTION("IFERROR(VLOOKUP(A3374, IMPORTRANGE(""https://docs.google.com/spreadsheets/d/1-3Vjw2Cyy-mry5gbC8ypIR3YVGFfEpyFESummAta6sg/edit"", ""Sheet1!B:D""), 3, FALSE), ""Not Found"")"),"g r i s t ")</f>
        <v>g r i s t </v>
      </c>
    </row>
    <row r="3375">
      <c r="A3375" s="1" t="s">
        <v>3376</v>
      </c>
      <c r="B3375" s="1" t="s">
        <v>5</v>
      </c>
      <c r="C3375" s="2">
        <f>IFERROR(__xludf.DUMMYFUNCTION("IFERROR(VLOOKUP(A3375, IMPORTRANGE(""https://docs.google.com/spreadsheets/d/1AVX9GT0dgogEBStecCXMMQ29tWz3gBrtNB8yIromXbY/edit?gid=741673867"", ""out1g!A:B""), 2, FALSE), 0)"),144.0)</f>
        <v>144</v>
      </c>
      <c r="D3375" s="2" t="str">
        <f>IFERROR(__xludf.DUMMYFUNCTION("IFERROR(VLOOKUP(A3375, IMPORTRANGE(""https://docs.google.com/spreadsheets/d/1-3Vjw2Cyy-mry5gbC8ypIR3YVGFfEpyFESummAta6sg/edit"", ""Sheet1!B:D""), 2, FALSE), ""Not Found"")"),"rɑkt")</f>
        <v>rɑkt</v>
      </c>
      <c r="E3375" s="2" t="str">
        <f>IFERROR(__xludf.DUMMYFUNCTION("IFERROR(VLOOKUP(A3375, IMPORTRANGE(""https://docs.google.com/spreadsheets/d/1-3Vjw2Cyy-mry5gbC8ypIR3YVGFfEpyFESummAta6sg/edit"", ""Sheet1!B:D""), 3, FALSE), ""Not Found"")"),"r ɑ k t ")</f>
        <v>r ɑ k t </v>
      </c>
    </row>
    <row r="3376">
      <c r="A3376" s="1" t="s">
        <v>3377</v>
      </c>
      <c r="B3376" s="1" t="s">
        <v>5</v>
      </c>
      <c r="C3376" s="2">
        <f>IFERROR(__xludf.DUMMYFUNCTION("IFERROR(VLOOKUP(A3376, IMPORTRANGE(""https://docs.google.com/spreadsheets/d/1AVX9GT0dgogEBStecCXMMQ29tWz3gBrtNB8yIromXbY/edit?gid=741673867"", ""out1g!A:B""), 2, FALSE), 0)"),195.0)</f>
        <v>195</v>
      </c>
      <c r="D3376" s="2" t="str">
        <f>IFERROR(__xludf.DUMMYFUNCTION("IFERROR(VLOOKUP(A3376, IMPORTRANGE(""https://docs.google.com/spreadsheets/d/1-3Vjw2Cyy-mry5gbC8ypIR3YVGFfEpyFESummAta6sg/edit"", ""Sheet1!B:D""), 2, FALSE), ""Not Found"")"),"hɛr")</f>
        <v>hɛr</v>
      </c>
      <c r="E3376" s="2" t="str">
        <f>IFERROR(__xludf.DUMMYFUNCTION("IFERROR(VLOOKUP(A3376, IMPORTRANGE(""https://docs.google.com/spreadsheets/d/1-3Vjw2Cyy-mry5gbC8ypIR3YVGFfEpyFESummAta6sg/edit"", ""Sheet1!B:D""), 3, FALSE), ""Not Found"")"),"h ɛ r ")</f>
        <v>h ɛ r </v>
      </c>
    </row>
    <row r="3377">
      <c r="A3377" s="1" t="s">
        <v>3378</v>
      </c>
      <c r="B3377" s="1" t="s">
        <v>5</v>
      </c>
      <c r="C3377" s="2">
        <f>IFERROR(__xludf.DUMMYFUNCTION("IFERROR(VLOOKUP(A3377, IMPORTRANGE(""https://docs.google.com/spreadsheets/d/1AVX9GT0dgogEBStecCXMMQ29tWz3gBrtNB8yIromXbY/edit?gid=741673867"", ""out1g!A:B""), 2, FALSE), 0)"),94.0)</f>
        <v>94</v>
      </c>
      <c r="D3377" s="2" t="str">
        <f>IFERROR(__xludf.DUMMYFUNCTION("IFERROR(VLOOKUP(A3377, IMPORTRANGE(""https://docs.google.com/spreadsheets/d/1-3Vjw2Cyy-mry5gbC8ypIR3YVGFfEpyFESummAta6sg/edit"", ""Sheet1!B:D""), 2, FALSE), ""Not Found"")"),"aɪbɔl")</f>
        <v>aɪbɔl</v>
      </c>
      <c r="E3377" s="2" t="str">
        <f>IFERROR(__xludf.DUMMYFUNCTION("IFERROR(VLOOKUP(A3377, IMPORTRANGE(""https://docs.google.com/spreadsheets/d/1-3Vjw2Cyy-mry5gbC8ypIR3YVGFfEpyFESummAta6sg/edit"", ""Sheet1!B:D""), 3, FALSE), ""Not Found"")"),"a ɪ b ɔ l ")</f>
        <v>a ɪ b ɔ l </v>
      </c>
    </row>
    <row r="3378">
      <c r="A3378" s="1" t="s">
        <v>3379</v>
      </c>
      <c r="B3378" s="1" t="s">
        <v>5</v>
      </c>
      <c r="C3378" s="2">
        <f>IFERROR(__xludf.DUMMYFUNCTION("IFERROR(VLOOKUP(A3378, IMPORTRANGE(""https://docs.google.com/spreadsheets/d/1AVX9GT0dgogEBStecCXMMQ29tWz3gBrtNB8yIromXbY/edit?gid=741673867"", ""out1g!A:B""), 2, FALSE), 0)"),253.0)</f>
        <v>253</v>
      </c>
      <c r="D3378" s="2" t="str">
        <f>IFERROR(__xludf.DUMMYFUNCTION("IFERROR(VLOOKUP(A3378, IMPORTRANGE(""https://docs.google.com/spreadsheets/d/1-3Vjw2Cyy-mry5gbC8ypIR3YVGFfEpyFESummAta6sg/edit"", ""Sheet1!B:D""), 2, FALSE), ""Not Found"")"),"slæpt")</f>
        <v>slæpt</v>
      </c>
      <c r="E3378" s="2" t="str">
        <f>IFERROR(__xludf.DUMMYFUNCTION("IFERROR(VLOOKUP(A3378, IMPORTRANGE(""https://docs.google.com/spreadsheets/d/1-3Vjw2Cyy-mry5gbC8ypIR3YVGFfEpyFESummAta6sg/edit"", ""Sheet1!B:D""), 3, FALSE), ""Not Found"")"),"s l æ p t ")</f>
        <v>s l æ p t </v>
      </c>
    </row>
    <row r="3379">
      <c r="A3379" s="1" t="s">
        <v>3380</v>
      </c>
      <c r="B3379" s="1" t="s">
        <v>5</v>
      </c>
      <c r="C3379" s="2">
        <f>IFERROR(__xludf.DUMMYFUNCTION("IFERROR(VLOOKUP(A3379, IMPORTRANGE(""https://docs.google.com/spreadsheets/d/1AVX9GT0dgogEBStecCXMMQ29tWz3gBrtNB8yIromXbY/edit?gid=741673867"", ""out1g!A:B""), 2, FALSE), 0)"),52.0)</f>
        <v>52</v>
      </c>
      <c r="D3379" s="2" t="str">
        <f>IFERROR(__xludf.DUMMYFUNCTION("IFERROR(VLOOKUP(A3379, IMPORTRANGE(""https://docs.google.com/spreadsheets/d/1-3Vjw2Cyy-mry5gbC8ypIR3YVGFfEpyFESummAta6sg/edit"", ""Sheet1!B:D""), 2, FALSE), ""Not Found"")"),"spaʊt")</f>
        <v>spaʊt</v>
      </c>
      <c r="E3379" s="2" t="str">
        <f>IFERROR(__xludf.DUMMYFUNCTION("IFERROR(VLOOKUP(A3379, IMPORTRANGE(""https://docs.google.com/spreadsheets/d/1-3Vjw2Cyy-mry5gbC8ypIR3YVGFfEpyFESummAta6sg/edit"", ""Sheet1!B:D""), 3, FALSE), ""Not Found"")"),"s p a ʊ t ")</f>
        <v>s p a ʊ t </v>
      </c>
    </row>
    <row r="3380">
      <c r="A3380" s="1" t="s">
        <v>3381</v>
      </c>
      <c r="B3380" s="1" t="s">
        <v>5</v>
      </c>
      <c r="C3380" s="2">
        <f>IFERROR(__xludf.DUMMYFUNCTION("IFERROR(VLOOKUP(A3380, IMPORTRANGE(""https://docs.google.com/spreadsheets/d/1AVX9GT0dgogEBStecCXMMQ29tWz3gBrtNB8yIromXbY/edit?gid=741673867"", ""out1g!A:B""), 2, FALSE), 0)"),72.0)</f>
        <v>72</v>
      </c>
      <c r="D3380" s="2" t="str">
        <f>IFERROR(__xludf.DUMMYFUNCTION("IFERROR(VLOOKUP(A3380, IMPORTRANGE(""https://docs.google.com/spreadsheets/d/1-3Vjw2Cyy-mry5gbC8ypIR3YVGFfEpyFESummAta6sg/edit"", ""Sheet1!B:D""), 2, FALSE), ""Not Found"")"),"ni")</f>
        <v>ni</v>
      </c>
      <c r="E3380" s="2" t="str">
        <f>IFERROR(__xludf.DUMMYFUNCTION("IFERROR(VLOOKUP(A3380, IMPORTRANGE(""https://docs.google.com/spreadsheets/d/1-3Vjw2Cyy-mry5gbC8ypIR3YVGFfEpyFESummAta6sg/edit"", ""Sheet1!B:D""), 3, FALSE), ""Not Found"")"),"n i ")</f>
        <v>n i </v>
      </c>
    </row>
    <row r="3381">
      <c r="A3381" s="1" t="s">
        <v>3382</v>
      </c>
      <c r="B3381" s="1" t="s">
        <v>5</v>
      </c>
      <c r="C3381" s="2">
        <f>IFERROR(__xludf.DUMMYFUNCTION("IFERROR(VLOOKUP(A3381, IMPORTRANGE(""https://docs.google.com/spreadsheets/d/1AVX9GT0dgogEBStecCXMMQ29tWz3gBrtNB8yIromXbY/edit?gid=741673867"", ""out1g!A:B""), 2, FALSE), 0)"),46.0)</f>
        <v>46</v>
      </c>
      <c r="D3381" s="2" t="str">
        <f>IFERROR(__xludf.DUMMYFUNCTION("IFERROR(VLOOKUP(A3381, IMPORTRANGE(""https://docs.google.com/spreadsheets/d/1-3Vjw2Cyy-mry5gbC8ypIR3YVGFfEpyFESummAta6sg/edit"", ""Sheet1!B:D""), 2, FALSE), ""Not Found"")"),"ækni")</f>
        <v>ækni</v>
      </c>
      <c r="E3381" s="2" t="str">
        <f>IFERROR(__xludf.DUMMYFUNCTION("IFERROR(VLOOKUP(A3381, IMPORTRANGE(""https://docs.google.com/spreadsheets/d/1-3Vjw2Cyy-mry5gbC8ypIR3YVGFfEpyFESummAta6sg/edit"", ""Sheet1!B:D""), 3, FALSE), ""Not Found"")"),"æ k n i ")</f>
        <v>æ k n i </v>
      </c>
    </row>
    <row r="3382">
      <c r="A3382" s="1" t="s">
        <v>3383</v>
      </c>
      <c r="B3382" s="1" t="s">
        <v>5</v>
      </c>
      <c r="C3382" s="2">
        <f>IFERROR(__xludf.DUMMYFUNCTION("IFERROR(VLOOKUP(A3382, IMPORTRANGE(""https://docs.google.com/spreadsheets/d/1AVX9GT0dgogEBStecCXMMQ29tWz3gBrtNB8yIromXbY/edit?gid=741673867"", ""out1g!A:B""), 2, FALSE), 0)"),806.0)</f>
        <v>806</v>
      </c>
      <c r="D3382" s="2" t="str">
        <f>IFERROR(__xludf.DUMMYFUNCTION("IFERROR(VLOOKUP(A3382, IMPORTRANGE(""https://docs.google.com/spreadsheets/d/1-3Vjw2Cyy-mry5gbC8ypIR3YVGFfEpyFESummAta6sg/edit"", ""Sheet1!B:D""), 2, FALSE), ""Not Found"")"),"kɔni")</f>
        <v>kɔni</v>
      </c>
      <c r="E3382" s="2" t="str">
        <f>IFERROR(__xludf.DUMMYFUNCTION("IFERROR(VLOOKUP(A3382, IMPORTRANGE(""https://docs.google.com/spreadsheets/d/1-3Vjw2Cyy-mry5gbC8ypIR3YVGFfEpyFESummAta6sg/edit"", ""Sheet1!B:D""), 3, FALSE), ""Not Found"")"),"k ɔ n i ")</f>
        <v>k ɔ n i </v>
      </c>
    </row>
    <row r="3383">
      <c r="A3383" s="1" t="s">
        <v>3384</v>
      </c>
      <c r="B3383" s="1" t="s">
        <v>5</v>
      </c>
      <c r="C3383" s="2">
        <f>IFERROR(__xludf.DUMMYFUNCTION("IFERROR(VLOOKUP(A3383, IMPORTRANGE(""https://docs.google.com/spreadsheets/d/1AVX9GT0dgogEBStecCXMMQ29tWz3gBrtNB8yIromXbY/edit?gid=741673867"", ""out1g!A:B""), 2, FALSE), 0)"),4667.0)</f>
        <v>4667</v>
      </c>
      <c r="D3383" s="2" t="str">
        <f>IFERROR(__xludf.DUMMYFUNCTION("IFERROR(VLOOKUP(A3383, IMPORTRANGE(""https://docs.google.com/spreadsheets/d/1-3Vjw2Cyy-mry5gbC8ypIR3YVGFfEpyFESummAta6sg/edit"", ""Sheet1!B:D""), 2, FALSE), ""Not Found"")"),"sɪstəm")</f>
        <v>sɪstəm</v>
      </c>
      <c r="E3383" s="2" t="str">
        <f>IFERROR(__xludf.DUMMYFUNCTION("IFERROR(VLOOKUP(A3383, IMPORTRANGE(""https://docs.google.com/spreadsheets/d/1-3Vjw2Cyy-mry5gbC8ypIR3YVGFfEpyFESummAta6sg/edit"", ""Sheet1!B:D""), 3, FALSE), ""Not Found"")"),"s ɪ s t ə m ")</f>
        <v>s ɪ s t ə m </v>
      </c>
    </row>
    <row r="3384">
      <c r="A3384" s="1" t="s">
        <v>3385</v>
      </c>
      <c r="B3384" s="1" t="s">
        <v>5</v>
      </c>
      <c r="C3384" s="2">
        <f>IFERROR(__xludf.DUMMYFUNCTION("IFERROR(VLOOKUP(A3384, IMPORTRANGE(""https://docs.google.com/spreadsheets/d/1AVX9GT0dgogEBStecCXMMQ29tWz3gBrtNB8yIromXbY/edit?gid=741673867"", ""out1g!A:B""), 2, FALSE), 0)"),146.0)</f>
        <v>146</v>
      </c>
      <c r="D3384" s="2" t="str">
        <f>IFERROR(__xludf.DUMMYFUNCTION("IFERROR(VLOOKUP(A3384, IMPORTRANGE(""https://docs.google.com/spreadsheets/d/1-3Vjw2Cyy-mry5gbC8ypIR3YVGFfEpyFESummAta6sg/edit"", ""Sheet1!B:D""), 2, FALSE), ""Not Found"")"),"pɛst")</f>
        <v>pɛst</v>
      </c>
      <c r="E3384" s="2" t="str">
        <f>IFERROR(__xludf.DUMMYFUNCTION("IFERROR(VLOOKUP(A3384, IMPORTRANGE(""https://docs.google.com/spreadsheets/d/1-3Vjw2Cyy-mry5gbC8ypIR3YVGFfEpyFESummAta6sg/edit"", ""Sheet1!B:D""), 3, FALSE), ""Not Found"")"),"p ɛ s t ")</f>
        <v>p ɛ s t </v>
      </c>
    </row>
    <row r="3385">
      <c r="A3385" s="1" t="s">
        <v>3386</v>
      </c>
      <c r="B3385" s="1" t="s">
        <v>5</v>
      </c>
      <c r="C3385" s="2">
        <f>IFERROR(__xludf.DUMMYFUNCTION("IFERROR(VLOOKUP(A3385, IMPORTRANGE(""https://docs.google.com/spreadsheets/d/1AVX9GT0dgogEBStecCXMMQ29tWz3gBrtNB8yIromXbY/edit?gid=741673867"", ""out1g!A:B""), 2, FALSE), 0)"),65.0)</f>
        <v>65</v>
      </c>
      <c r="D3385" s="2" t="str">
        <f>IFERROR(__xludf.DUMMYFUNCTION("IFERROR(VLOOKUP(A3385, IMPORTRANGE(""https://docs.google.com/spreadsheets/d/1-3Vjw2Cyy-mry5gbC8ypIR3YVGFfEpyFESummAta6sg/edit"", ""Sheet1!B:D""), 2, FALSE), ""Not Found"")"),"daʊtɪŋ")</f>
        <v>daʊtɪŋ</v>
      </c>
      <c r="E3385" s="2" t="str">
        <f>IFERROR(__xludf.DUMMYFUNCTION("IFERROR(VLOOKUP(A3385, IMPORTRANGE(""https://docs.google.com/spreadsheets/d/1-3Vjw2Cyy-mry5gbC8ypIR3YVGFfEpyFESummAta6sg/edit"", ""Sheet1!B:D""), 3, FALSE), ""Not Found"")"),"d a ʊ t ɪ ŋ ")</f>
        <v>d a ʊ t ɪ ŋ </v>
      </c>
    </row>
    <row r="3386">
      <c r="A3386" s="1" t="s">
        <v>3387</v>
      </c>
      <c r="B3386" s="1" t="s">
        <v>5</v>
      </c>
      <c r="C3386" s="2">
        <f>IFERROR(__xludf.DUMMYFUNCTION("IFERROR(VLOOKUP(A3386, IMPORTRANGE(""https://docs.google.com/spreadsheets/d/1AVX9GT0dgogEBStecCXMMQ29tWz3gBrtNB8yIromXbY/edit?gid=741673867"", ""out1g!A:B""), 2, FALSE), 0)"),162.0)</f>
        <v>162</v>
      </c>
      <c r="D3386" s="2" t="str">
        <f>IFERROR(__xludf.DUMMYFUNCTION("IFERROR(VLOOKUP(A3386, IMPORTRANGE(""https://docs.google.com/spreadsheets/d/1-3Vjw2Cyy-mry5gbC8ypIR3YVGFfEpyFESummAta6sg/edit"", ""Sheet1!B:D""), 2, FALSE), ""Not Found"")"),"lərnt")</f>
        <v>lərnt</v>
      </c>
      <c r="E3386" s="2" t="str">
        <f>IFERROR(__xludf.DUMMYFUNCTION("IFERROR(VLOOKUP(A3386, IMPORTRANGE(""https://docs.google.com/spreadsheets/d/1-3Vjw2Cyy-mry5gbC8ypIR3YVGFfEpyFESummAta6sg/edit"", ""Sheet1!B:D""), 3, FALSE), ""Not Found"")"),"l ə r n t ")</f>
        <v>l ə r n t </v>
      </c>
    </row>
    <row r="3387">
      <c r="A3387" s="1" t="s">
        <v>3388</v>
      </c>
      <c r="B3387" s="1" t="s">
        <v>5</v>
      </c>
      <c r="C3387" s="2">
        <f>IFERROR(__xludf.DUMMYFUNCTION("IFERROR(VLOOKUP(A3387, IMPORTRANGE(""https://docs.google.com/spreadsheets/d/1AVX9GT0dgogEBStecCXMMQ29tWz3gBrtNB8yIromXbY/edit?gid=741673867"", ""out1g!A:B""), 2, FALSE), 0)"),122.0)</f>
        <v>122</v>
      </c>
      <c r="D3387" s="2" t="str">
        <f>IFERROR(__xludf.DUMMYFUNCTION("IFERROR(VLOOKUP(A3387, IMPORTRANGE(""https://docs.google.com/spreadsheets/d/1-3Vjw2Cyy-mry5gbC8ypIR3YVGFfEpyFESummAta6sg/edit"", ""Sheet1!B:D""), 2, FALSE), ""Not Found"")"),"sɪnd")</f>
        <v>sɪnd</v>
      </c>
      <c r="E3387" s="2" t="str">
        <f>IFERROR(__xludf.DUMMYFUNCTION("IFERROR(VLOOKUP(A3387, IMPORTRANGE(""https://docs.google.com/spreadsheets/d/1-3Vjw2Cyy-mry5gbC8ypIR3YVGFfEpyFESummAta6sg/edit"", ""Sheet1!B:D""), 3, FALSE), ""Not Found"")"),"s ɪ n d ")</f>
        <v>s ɪ n d </v>
      </c>
    </row>
    <row r="3388">
      <c r="A3388" s="1" t="s">
        <v>3389</v>
      </c>
      <c r="B3388" s="1" t="s">
        <v>5</v>
      </c>
      <c r="C3388" s="2">
        <f>IFERROR(__xludf.DUMMYFUNCTION("IFERROR(VLOOKUP(A3388, IMPORTRANGE(""https://docs.google.com/spreadsheets/d/1AVX9GT0dgogEBStecCXMMQ29tWz3gBrtNB8yIromXbY/edit?gid=741673867"", ""out1g!A:B""), 2, FALSE), 0)"),75.0)</f>
        <v>75</v>
      </c>
      <c r="D3388" s="2" t="str">
        <f>IFERROR(__xludf.DUMMYFUNCTION("IFERROR(VLOOKUP(A3388, IMPORTRANGE(""https://docs.google.com/spreadsheets/d/1-3Vjw2Cyy-mry5gbC8ypIR3YVGFfEpyFESummAta6sg/edit"", ""Sheet1!B:D""), 2, FALSE), ""Not Found"")"),"fləʃɪŋ")</f>
        <v>fləʃɪŋ</v>
      </c>
      <c r="E3388" s="2" t="str">
        <f>IFERROR(__xludf.DUMMYFUNCTION("IFERROR(VLOOKUP(A3388, IMPORTRANGE(""https://docs.google.com/spreadsheets/d/1-3Vjw2Cyy-mry5gbC8ypIR3YVGFfEpyFESummAta6sg/edit"", ""Sheet1!B:D""), 3, FALSE), ""Not Found"")"),"f l ə ʃ ɪ ŋ ")</f>
        <v>f l ə ʃ ɪ ŋ </v>
      </c>
    </row>
    <row r="3389">
      <c r="A3389" s="1" t="s">
        <v>3390</v>
      </c>
      <c r="B3389" s="1" t="s">
        <v>5</v>
      </c>
      <c r="C3389" s="2">
        <f>IFERROR(__xludf.DUMMYFUNCTION("IFERROR(VLOOKUP(A3389, IMPORTRANGE(""https://docs.google.com/spreadsheets/d/1AVX9GT0dgogEBStecCXMMQ29tWz3gBrtNB8yIromXbY/edit?gid=741673867"", ""out1g!A:B""), 2, FALSE), 0)"),1336.0)</f>
        <v>1336</v>
      </c>
      <c r="D3389" s="2" t="str">
        <f>IFERROR(__xludf.DUMMYFUNCTION("IFERROR(VLOOKUP(A3389, IMPORTRANGE(""https://docs.google.com/spreadsheets/d/1-3Vjw2Cyy-mry5gbC8ypIR3YVGFfEpyFESummAta6sg/edit"", ""Sheet1!B:D""), 2, FALSE), ""Not Found"")"),"skɛri")</f>
        <v>skɛri</v>
      </c>
      <c r="E3389" s="2" t="str">
        <f>IFERROR(__xludf.DUMMYFUNCTION("IFERROR(VLOOKUP(A3389, IMPORTRANGE(""https://docs.google.com/spreadsheets/d/1-3Vjw2Cyy-mry5gbC8ypIR3YVGFfEpyFESummAta6sg/edit"", ""Sheet1!B:D""), 3, FALSE), ""Not Found"")"),"s k ɛ r i ")</f>
        <v>s k ɛ r i </v>
      </c>
    </row>
    <row r="3390">
      <c r="A3390" s="1" t="s">
        <v>3391</v>
      </c>
      <c r="B3390" s="1" t="s">
        <v>5</v>
      </c>
      <c r="C3390" s="2">
        <f>IFERROR(__xludf.DUMMYFUNCTION("IFERROR(VLOOKUP(A3390, IMPORTRANGE(""https://docs.google.com/spreadsheets/d/1AVX9GT0dgogEBStecCXMMQ29tWz3gBrtNB8yIromXbY/edit?gid=741673867"", ""out1g!A:B""), 2, FALSE), 0)"),53.0)</f>
        <v>53</v>
      </c>
      <c r="D3390" s="2" t="str">
        <f>IFERROR(__xludf.DUMMYFUNCTION("IFERROR(VLOOKUP(A3390, IMPORTRANGE(""https://docs.google.com/spreadsheets/d/1-3Vjw2Cyy-mry5gbC8ypIR3YVGFfEpyFESummAta6sg/edit"", ""Sheet1!B:D""), 2, FALSE), ""Not Found"")"),"næps")</f>
        <v>næps</v>
      </c>
      <c r="E3390" s="2" t="str">
        <f>IFERROR(__xludf.DUMMYFUNCTION("IFERROR(VLOOKUP(A3390, IMPORTRANGE(""https://docs.google.com/spreadsheets/d/1-3Vjw2Cyy-mry5gbC8ypIR3YVGFfEpyFESummAta6sg/edit"", ""Sheet1!B:D""), 3, FALSE), ""Not Found"")"),"n æ p s ")</f>
        <v>n æ p s </v>
      </c>
    </row>
    <row r="3391">
      <c r="A3391" s="1" t="s">
        <v>3392</v>
      </c>
      <c r="B3391" s="1" t="s">
        <v>5</v>
      </c>
      <c r="C3391" s="2">
        <f>IFERROR(__xludf.DUMMYFUNCTION("IFERROR(VLOOKUP(A3391, IMPORTRANGE(""https://docs.google.com/spreadsheets/d/1AVX9GT0dgogEBStecCXMMQ29tWz3gBrtNB8yIromXbY/edit?gid=741673867"", ""out1g!A:B""), 2, FALSE), 0)"),160.0)</f>
        <v>160</v>
      </c>
      <c r="D3391" s="2" t="str">
        <f>IFERROR(__xludf.DUMMYFUNCTION("IFERROR(VLOOKUP(A3391, IMPORTRANGE(""https://docs.google.com/spreadsheets/d/1-3Vjw2Cyy-mry5gbC8ypIR3YVGFfEpyFESummAta6sg/edit"", ""Sheet1!B:D""), 2, FALSE), ""Not Found"")"),"sɪŋərz")</f>
        <v>sɪŋərz</v>
      </c>
      <c r="E3391" s="2" t="str">
        <f>IFERROR(__xludf.DUMMYFUNCTION("IFERROR(VLOOKUP(A3391, IMPORTRANGE(""https://docs.google.com/spreadsheets/d/1-3Vjw2Cyy-mry5gbC8ypIR3YVGFfEpyFESummAta6sg/edit"", ""Sheet1!B:D""), 3, FALSE), ""Not Found"")"),"s ɪ ŋ ə r z ")</f>
        <v>s ɪ ŋ ə r z </v>
      </c>
    </row>
    <row r="3392">
      <c r="A3392" s="1" t="s">
        <v>3393</v>
      </c>
      <c r="B3392" s="1" t="s">
        <v>5</v>
      </c>
      <c r="C3392" s="2">
        <f>IFERROR(__xludf.DUMMYFUNCTION("IFERROR(VLOOKUP(A3392, IMPORTRANGE(""https://docs.google.com/spreadsheets/d/1AVX9GT0dgogEBStecCXMMQ29tWz3gBrtNB8yIromXbY/edit?gid=741673867"", ""out1g!A:B""), 2, FALSE), 0)"),33.0)</f>
        <v>33</v>
      </c>
      <c r="D3392" s="2" t="str">
        <f>IFERROR(__xludf.DUMMYFUNCTION("IFERROR(VLOOKUP(A3392, IMPORTRANGE(""https://docs.google.com/spreadsheets/d/1-3Vjw2Cyy-mry5gbC8ypIR3YVGFfEpyFESummAta6sg/edit"", ""Sheet1!B:D""), 2, FALSE), ""Not Found"")"),"kləbər")</f>
        <v>kləbər</v>
      </c>
      <c r="E3392" s="2" t="str">
        <f>IFERROR(__xludf.DUMMYFUNCTION("IFERROR(VLOOKUP(A3392, IMPORTRANGE(""https://docs.google.com/spreadsheets/d/1-3Vjw2Cyy-mry5gbC8ypIR3YVGFfEpyFESummAta6sg/edit"", ""Sheet1!B:D""), 3, FALSE), ""Not Found"")"),"k l ə b ə r ")</f>
        <v>k l ə b ə r </v>
      </c>
    </row>
    <row r="3393">
      <c r="A3393" s="1" t="s">
        <v>3394</v>
      </c>
      <c r="B3393" s="1" t="s">
        <v>5</v>
      </c>
      <c r="C3393" s="2">
        <f>IFERROR(__xludf.DUMMYFUNCTION("IFERROR(VLOOKUP(A3393, IMPORTRANGE(""https://docs.google.com/spreadsheets/d/1AVX9GT0dgogEBStecCXMMQ29tWz3gBrtNB8yIromXbY/edit?gid=741673867"", ""out1g!A:B""), 2, FALSE), 0)"),69.0)</f>
        <v>69</v>
      </c>
      <c r="D3393" s="2" t="str">
        <f>IFERROR(__xludf.DUMMYFUNCTION("IFERROR(VLOOKUP(A3393, IMPORTRANGE(""https://docs.google.com/spreadsheets/d/1-3Vjw2Cyy-mry5gbC8ypIR3YVGFfEpyFESummAta6sg/edit"", ""Sheet1!B:D""), 2, FALSE), ""Not Found"")"),"fɛst")</f>
        <v>fɛst</v>
      </c>
      <c r="E3393" s="2" t="str">
        <f>IFERROR(__xludf.DUMMYFUNCTION("IFERROR(VLOOKUP(A3393, IMPORTRANGE(""https://docs.google.com/spreadsheets/d/1-3Vjw2Cyy-mry5gbC8ypIR3YVGFfEpyFESummAta6sg/edit"", ""Sheet1!B:D""), 3, FALSE), ""Not Found"")"),"f ɛ s t ")</f>
        <v>f ɛ s t </v>
      </c>
    </row>
    <row r="3394">
      <c r="A3394" s="1" t="s">
        <v>3395</v>
      </c>
      <c r="B3394" s="1" t="s">
        <v>5</v>
      </c>
      <c r="C3394" s="2">
        <f>IFERROR(__xludf.DUMMYFUNCTION("IFERROR(VLOOKUP(A3394, IMPORTRANGE(""https://docs.google.com/spreadsheets/d/1AVX9GT0dgogEBStecCXMMQ29tWz3gBrtNB8yIromXbY/edit?gid=741673867"", ""out1g!A:B""), 2, FALSE), 0)"),1521.0)</f>
        <v>1521</v>
      </c>
      <c r="D3394" s="2" t="str">
        <f>IFERROR(__xludf.DUMMYFUNCTION("IFERROR(VLOOKUP(A3394, IMPORTRANGE(""https://docs.google.com/spreadsheets/d/1-3Vjw2Cyy-mry5gbC8ypIR3YVGFfEpyFESummAta6sg/edit"", ""Sheet1!B:D""), 2, FALSE), ""Not Found"")"),"plez")</f>
        <v>plez</v>
      </c>
      <c r="E3394" s="2" t="str">
        <f>IFERROR(__xludf.DUMMYFUNCTION("IFERROR(VLOOKUP(A3394, IMPORTRANGE(""https://docs.google.com/spreadsheets/d/1-3Vjw2Cyy-mry5gbC8ypIR3YVGFfEpyFESummAta6sg/edit"", ""Sheet1!B:D""), 3, FALSE), ""Not Found"")"),"p l e z ")</f>
        <v>p l e z </v>
      </c>
    </row>
    <row r="3395">
      <c r="A3395" s="1" t="s">
        <v>3396</v>
      </c>
      <c r="B3395" s="1" t="s">
        <v>5</v>
      </c>
      <c r="C3395" s="2">
        <f>IFERROR(__xludf.DUMMYFUNCTION("IFERROR(VLOOKUP(A3395, IMPORTRANGE(""https://docs.google.com/spreadsheets/d/1AVX9GT0dgogEBStecCXMMQ29tWz3gBrtNB8yIromXbY/edit?gid=741673867"", ""out1g!A:B""), 2, FALSE), 0)"),198.0)</f>
        <v>198</v>
      </c>
      <c r="D3395" s="2" t="str">
        <f>IFERROR(__xludf.DUMMYFUNCTION("IFERROR(VLOOKUP(A3395, IMPORTRANGE(""https://docs.google.com/spreadsheets/d/1-3Vjw2Cyy-mry5gbC8ypIR3YVGFfEpyFESummAta6sg/edit"", ""Sheet1!B:D""), 2, FALSE), ""Not Found"")"),"stenz")</f>
        <v>stenz</v>
      </c>
      <c r="E3395" s="2" t="str">
        <f>IFERROR(__xludf.DUMMYFUNCTION("IFERROR(VLOOKUP(A3395, IMPORTRANGE(""https://docs.google.com/spreadsheets/d/1-3Vjw2Cyy-mry5gbC8ypIR3YVGFfEpyFESummAta6sg/edit"", ""Sheet1!B:D""), 3, FALSE), ""Not Found"")"),"s t e n z ")</f>
        <v>s t e n z </v>
      </c>
    </row>
    <row r="3396">
      <c r="A3396" s="1" t="s">
        <v>3397</v>
      </c>
      <c r="B3396" s="1" t="s">
        <v>5</v>
      </c>
      <c r="C3396" s="2">
        <f>IFERROR(__xludf.DUMMYFUNCTION("IFERROR(VLOOKUP(A3396, IMPORTRANGE(""https://docs.google.com/spreadsheets/d/1AVX9GT0dgogEBStecCXMMQ29tWz3gBrtNB8yIromXbY/edit?gid=741673867"", ""out1g!A:B""), 2, FALSE), 0)"),101.0)</f>
        <v>101</v>
      </c>
      <c r="D3396" s="2" t="str">
        <f>IFERROR(__xludf.DUMMYFUNCTION("IFERROR(VLOOKUP(A3396, IMPORTRANGE(""https://docs.google.com/spreadsheets/d/1-3Vjw2Cyy-mry5gbC8ypIR3YVGFfEpyFESummAta6sg/edit"", ""Sheet1!B:D""), 2, FALSE), ""Not Found"")"),"gɪt")</f>
        <v>gɪt</v>
      </c>
      <c r="E3396" s="2" t="str">
        <f>IFERROR(__xludf.DUMMYFUNCTION("IFERROR(VLOOKUP(A3396, IMPORTRANGE(""https://docs.google.com/spreadsheets/d/1-3Vjw2Cyy-mry5gbC8ypIR3YVGFfEpyFESummAta6sg/edit"", ""Sheet1!B:D""), 3, FALSE), ""Not Found"")"),"g ɪ t ")</f>
        <v>g ɪ t </v>
      </c>
    </row>
    <row r="3397">
      <c r="A3397" s="1" t="s">
        <v>3398</v>
      </c>
      <c r="B3397" s="1" t="s">
        <v>5</v>
      </c>
      <c r="C3397" s="2">
        <f>IFERROR(__xludf.DUMMYFUNCTION("IFERROR(VLOOKUP(A3397, IMPORTRANGE(""https://docs.google.com/spreadsheets/d/1AVX9GT0dgogEBStecCXMMQ29tWz3gBrtNB8yIromXbY/edit?gid=741673867"", ""out1g!A:B""), 2, FALSE), 0)"),393.0)</f>
        <v>393</v>
      </c>
      <c r="D3397" s="2" t="str">
        <f>IFERROR(__xludf.DUMMYFUNCTION("IFERROR(VLOOKUP(A3397, IMPORTRANGE(""https://docs.google.com/spreadsheets/d/1-3Vjw2Cyy-mry5gbC8ypIR3YVGFfEpyFESummAta6sg/edit"", ""Sheet1!B:D""), 2, FALSE), ""Not Found"")"),"raɪdər")</f>
        <v>raɪdər</v>
      </c>
      <c r="E3397" s="2" t="str">
        <f>IFERROR(__xludf.DUMMYFUNCTION("IFERROR(VLOOKUP(A3397, IMPORTRANGE(""https://docs.google.com/spreadsheets/d/1-3Vjw2Cyy-mry5gbC8ypIR3YVGFfEpyFESummAta6sg/edit"", ""Sheet1!B:D""), 3, FALSE), ""Not Found"")"),"r a ɪ d ə r ")</f>
        <v>r a ɪ d ə r </v>
      </c>
    </row>
    <row r="3398">
      <c r="A3398" s="1" t="s">
        <v>3399</v>
      </c>
      <c r="B3398" s="1" t="s">
        <v>5</v>
      </c>
      <c r="C3398" s="2">
        <f>IFERROR(__xludf.DUMMYFUNCTION("IFERROR(VLOOKUP(A3398, IMPORTRANGE(""https://docs.google.com/spreadsheets/d/1AVX9GT0dgogEBStecCXMMQ29tWz3gBrtNB8yIromXbY/edit?gid=741673867"", ""out1g!A:B""), 2, FALSE), 0)"),66.0)</f>
        <v>66</v>
      </c>
      <c r="D3398" s="2" t="str">
        <f>IFERROR(__xludf.DUMMYFUNCTION("IFERROR(VLOOKUP(A3398, IMPORTRANGE(""https://docs.google.com/spreadsheets/d/1-3Vjw2Cyy-mry5gbC8ypIR3YVGFfEpyFESummAta6sg/edit"", ""Sheet1!B:D""), 2, FALSE), ""Not Found"")"),"fruti")</f>
        <v>fruti</v>
      </c>
      <c r="E3398" s="2" t="str">
        <f>IFERROR(__xludf.DUMMYFUNCTION("IFERROR(VLOOKUP(A3398, IMPORTRANGE(""https://docs.google.com/spreadsheets/d/1-3Vjw2Cyy-mry5gbC8ypIR3YVGFfEpyFESummAta6sg/edit"", ""Sheet1!B:D""), 3, FALSE), ""Not Found"")"),"f r u t i ")</f>
        <v>f r u t i </v>
      </c>
    </row>
    <row r="3399">
      <c r="A3399" s="1" t="s">
        <v>3400</v>
      </c>
      <c r="B3399" s="1" t="s">
        <v>5</v>
      </c>
      <c r="C3399" s="2">
        <f>IFERROR(__xludf.DUMMYFUNCTION("IFERROR(VLOOKUP(A3399, IMPORTRANGE(""https://docs.google.com/spreadsheets/d/1AVX9GT0dgogEBStecCXMMQ29tWz3gBrtNB8yIromXbY/edit?gid=741673867"", ""out1g!A:B""), 2, FALSE), 0)"),123.0)</f>
        <v>123</v>
      </c>
      <c r="D3399" s="2" t="str">
        <f>IFERROR(__xludf.DUMMYFUNCTION("IFERROR(VLOOKUP(A3399, IMPORTRANGE(""https://docs.google.com/spreadsheets/d/1-3Vjw2Cyy-mry5gbC8ypIR3YVGFfEpyFESummAta6sg/edit"", ""Sheet1!B:D""), 2, FALSE), ""Not Found"")"),"əndrɛst")</f>
        <v>əndrɛst</v>
      </c>
      <c r="E3399" s="2" t="str">
        <f>IFERROR(__xludf.DUMMYFUNCTION("IFERROR(VLOOKUP(A3399, IMPORTRANGE(""https://docs.google.com/spreadsheets/d/1-3Vjw2Cyy-mry5gbC8ypIR3YVGFfEpyFESummAta6sg/edit"", ""Sheet1!B:D""), 3, FALSE), ""Not Found"")"),"ə n d r ɛ s t ")</f>
        <v>ə n d r ɛ s t </v>
      </c>
    </row>
    <row r="3400">
      <c r="A3400" s="1" t="s">
        <v>3401</v>
      </c>
      <c r="B3400" s="1" t="s">
        <v>5</v>
      </c>
      <c r="C3400" s="2">
        <f>IFERROR(__xludf.DUMMYFUNCTION("IFERROR(VLOOKUP(A3400, IMPORTRANGE(""https://docs.google.com/spreadsheets/d/1AVX9GT0dgogEBStecCXMMQ29tWz3gBrtNB8yIromXbY/edit?gid=741673867"", ""out1g!A:B""), 2, FALSE), 0)"),389.0)</f>
        <v>389</v>
      </c>
      <c r="D3400" s="2" t="str">
        <f>IFERROR(__xludf.DUMMYFUNCTION("IFERROR(VLOOKUP(A3400, IMPORTRANGE(""https://docs.google.com/spreadsheets/d/1-3Vjw2Cyy-mry5gbC8ypIR3YVGFfEpyFESummAta6sg/edit"", ""Sheet1!B:D""), 2, FALSE), ""Not Found"")"),"əntu")</f>
        <v>əntu</v>
      </c>
      <c r="E3400" s="2" t="str">
        <f>IFERROR(__xludf.DUMMYFUNCTION("IFERROR(VLOOKUP(A3400, IMPORTRANGE(""https://docs.google.com/spreadsheets/d/1-3Vjw2Cyy-mry5gbC8ypIR3YVGFfEpyFESummAta6sg/edit"", ""Sheet1!B:D""), 3, FALSE), ""Not Found"")"),"ə n t u ")</f>
        <v>ə n t u </v>
      </c>
    </row>
    <row r="3401">
      <c r="A3401" s="1" t="s">
        <v>3402</v>
      </c>
      <c r="B3401" s="1" t="s">
        <v>5</v>
      </c>
      <c r="C3401" s="2">
        <f>IFERROR(__xludf.DUMMYFUNCTION("IFERROR(VLOOKUP(A3401, IMPORTRANGE(""https://docs.google.com/spreadsheets/d/1AVX9GT0dgogEBStecCXMMQ29tWz3gBrtNB8yIromXbY/edit?gid=741673867"", ""out1g!A:B""), 2, FALSE), 0)"),705.0)</f>
        <v>705</v>
      </c>
      <c r="D3401" s="2" t="str">
        <f>IFERROR(__xludf.DUMMYFUNCTION("IFERROR(VLOOKUP(A3401, IMPORTRANGE(""https://docs.google.com/spreadsheets/d/1-3Vjw2Cyy-mry5gbC8ypIR3YVGFfEpyFESummAta6sg/edit"", ""Sheet1!B:D""), 2, FALSE), ""Not Found"")"),"ʃɛri")</f>
        <v>ʃɛri</v>
      </c>
      <c r="E3401" s="2" t="str">
        <f>IFERROR(__xludf.DUMMYFUNCTION("IFERROR(VLOOKUP(A3401, IMPORTRANGE(""https://docs.google.com/spreadsheets/d/1-3Vjw2Cyy-mry5gbC8ypIR3YVGFfEpyFESummAta6sg/edit"", ""Sheet1!B:D""), 3, FALSE), ""Not Found"")"),"ʃ ɛ r i ")</f>
        <v>ʃ ɛ r i </v>
      </c>
    </row>
    <row r="3402">
      <c r="A3402" s="1" t="s">
        <v>3403</v>
      </c>
      <c r="B3402" s="1" t="s">
        <v>5</v>
      </c>
      <c r="C3402" s="2">
        <f>IFERROR(__xludf.DUMMYFUNCTION("IFERROR(VLOOKUP(A3402, IMPORTRANGE(""https://docs.google.com/spreadsheets/d/1AVX9GT0dgogEBStecCXMMQ29tWz3gBrtNB8yIromXbY/edit?gid=741673867"", ""out1g!A:B""), 2, FALSE), 0)"),190.0)</f>
        <v>190</v>
      </c>
      <c r="D3402" s="2" t="str">
        <f>IFERROR(__xludf.DUMMYFUNCTION("IFERROR(VLOOKUP(A3402, IMPORTRANGE(""https://docs.google.com/spreadsheets/d/1-3Vjw2Cyy-mry5gbC8ypIR3YVGFfEpyFESummAta6sg/edit"", ""Sheet1!B:D""), 2, FALSE), ""Not Found"")"),"graɪnd")</f>
        <v>graɪnd</v>
      </c>
      <c r="E3402" s="2" t="str">
        <f>IFERROR(__xludf.DUMMYFUNCTION("IFERROR(VLOOKUP(A3402, IMPORTRANGE(""https://docs.google.com/spreadsheets/d/1-3Vjw2Cyy-mry5gbC8ypIR3YVGFfEpyFESummAta6sg/edit"", ""Sheet1!B:D""), 3, FALSE), ""Not Found"")"),"g r a ɪ n d ")</f>
        <v>g r a ɪ n d </v>
      </c>
    </row>
    <row r="3403">
      <c r="A3403" s="1" t="s">
        <v>3404</v>
      </c>
      <c r="B3403" s="1" t="s">
        <v>5</v>
      </c>
      <c r="C3403" s="2">
        <f>IFERROR(__xludf.DUMMYFUNCTION("IFERROR(VLOOKUP(A3403, IMPORTRANGE(""https://docs.google.com/spreadsheets/d/1AVX9GT0dgogEBStecCXMMQ29tWz3gBrtNB8yIromXbY/edit?gid=741673867"", ""out1g!A:B""), 2, FALSE), 0)"),328.0)</f>
        <v>328</v>
      </c>
      <c r="D3403" s="2" t="str">
        <f>IFERROR(__xludf.DUMMYFUNCTION("IFERROR(VLOOKUP(A3403, IMPORTRANGE(""https://docs.google.com/spreadsheets/d/1-3Vjw2Cyy-mry5gbC8ypIR3YVGFfEpyFESummAta6sg/edit"", ""Sheet1!B:D""), 2, FALSE), ""Not Found"")"),"fɑrt")</f>
        <v>fɑrt</v>
      </c>
      <c r="E3403" s="2" t="str">
        <f>IFERROR(__xludf.DUMMYFUNCTION("IFERROR(VLOOKUP(A3403, IMPORTRANGE(""https://docs.google.com/spreadsheets/d/1-3Vjw2Cyy-mry5gbC8ypIR3YVGFfEpyFESummAta6sg/edit"", ""Sheet1!B:D""), 3, FALSE), ""Not Found"")"),"f ɑ r t ")</f>
        <v>f ɑ r t </v>
      </c>
    </row>
    <row r="3404">
      <c r="A3404" s="1" t="s">
        <v>3405</v>
      </c>
      <c r="B3404" s="1" t="s">
        <v>5</v>
      </c>
      <c r="C3404" s="2">
        <f>IFERROR(__xludf.DUMMYFUNCTION("IFERROR(VLOOKUP(A3404, IMPORTRANGE(""https://docs.google.com/spreadsheets/d/1AVX9GT0dgogEBStecCXMMQ29tWz3gBrtNB8yIromXbY/edit?gid=741673867"", ""out1g!A:B""), 2, FALSE), 0)"),36.0)</f>
        <v>36</v>
      </c>
      <c r="D3404" s="2" t="str">
        <f>IFERROR(__xludf.DUMMYFUNCTION("IFERROR(VLOOKUP(A3404, IMPORTRANGE(""https://docs.google.com/spreadsheets/d/1-3Vjw2Cyy-mry5gbC8ypIR3YVGFfEpyFESummAta6sg/edit"", ""Sheet1!B:D""), 2, FALSE), ""Not Found"")"),"ʤæzd")</f>
        <v>ʤæzd</v>
      </c>
      <c r="E3404" s="2" t="str">
        <f>IFERROR(__xludf.DUMMYFUNCTION("IFERROR(VLOOKUP(A3404, IMPORTRANGE(""https://docs.google.com/spreadsheets/d/1-3Vjw2Cyy-mry5gbC8ypIR3YVGFfEpyFESummAta6sg/edit"", ""Sheet1!B:D""), 3, FALSE), ""Not Found"")"),"ʤ æ z d ")</f>
        <v>ʤ æ z d </v>
      </c>
    </row>
    <row r="3405">
      <c r="A3405" s="1" t="s">
        <v>3406</v>
      </c>
      <c r="B3405" s="1" t="s">
        <v>5</v>
      </c>
      <c r="C3405" s="2">
        <f>IFERROR(__xludf.DUMMYFUNCTION("IFERROR(VLOOKUP(A3405, IMPORTRANGE(""https://docs.google.com/spreadsheets/d/1AVX9GT0dgogEBStecCXMMQ29tWz3gBrtNB8yIromXbY/edit?gid=741673867"", ""out1g!A:B""), 2, FALSE), 0)"),592.0)</f>
        <v>592</v>
      </c>
      <c r="D3405" s="2" t="str">
        <f>IFERROR(__xludf.DUMMYFUNCTION("IFERROR(VLOOKUP(A3405, IMPORTRANGE(""https://docs.google.com/spreadsheets/d/1-3Vjw2Cyy-mry5gbC8ypIR3YVGFfEpyFESummAta6sg/edit"", ""Sheet1!B:D""), 2, FALSE), ""Not Found"")"),"ʃit")</f>
        <v>ʃit</v>
      </c>
      <c r="E3405" s="2" t="str">
        <f>IFERROR(__xludf.DUMMYFUNCTION("IFERROR(VLOOKUP(A3405, IMPORTRANGE(""https://docs.google.com/spreadsheets/d/1-3Vjw2Cyy-mry5gbC8ypIR3YVGFfEpyFESummAta6sg/edit"", ""Sheet1!B:D""), 3, FALSE), ""Not Found"")"),"ʃ i t ")</f>
        <v>ʃ i t </v>
      </c>
    </row>
    <row r="3406">
      <c r="A3406" s="1" t="s">
        <v>3407</v>
      </c>
      <c r="B3406" s="1" t="s">
        <v>5</v>
      </c>
      <c r="C3406" s="2">
        <f>IFERROR(__xludf.DUMMYFUNCTION("IFERROR(VLOOKUP(A3406, IMPORTRANGE(""https://docs.google.com/spreadsheets/d/1AVX9GT0dgogEBStecCXMMQ29tWz3gBrtNB8yIromXbY/edit?gid=741673867"", ""out1g!A:B""), 2, FALSE), 0)"),125.0)</f>
        <v>125</v>
      </c>
      <c r="D3406" s="2" t="str">
        <f>IFERROR(__xludf.DUMMYFUNCTION("IFERROR(VLOOKUP(A3406, IMPORTRANGE(""https://docs.google.com/spreadsheets/d/1-3Vjw2Cyy-mry5gbC8ypIR3YVGFfEpyFESummAta6sg/edit"", ""Sheet1!B:D""), 2, FALSE), ""Not Found"")"),"bəroʊz")</f>
        <v>bəroʊz</v>
      </c>
      <c r="E3406" s="2" t="str">
        <f>IFERROR(__xludf.DUMMYFUNCTION("IFERROR(VLOOKUP(A3406, IMPORTRANGE(""https://docs.google.com/spreadsheets/d/1-3Vjw2Cyy-mry5gbC8ypIR3YVGFfEpyFESummAta6sg/edit"", ""Sheet1!B:D""), 3, FALSE), ""Not Found"")"),"b ə r o ʊ z ")</f>
        <v>b ə r o ʊ z </v>
      </c>
    </row>
    <row r="3407">
      <c r="A3407" s="1" t="s">
        <v>3408</v>
      </c>
      <c r="B3407" s="1" t="s">
        <v>5</v>
      </c>
      <c r="C3407" s="2">
        <f>IFERROR(__xludf.DUMMYFUNCTION("IFERROR(VLOOKUP(A3407, IMPORTRANGE(""https://docs.google.com/spreadsheets/d/1AVX9GT0dgogEBStecCXMMQ29tWz3gBrtNB8yIromXbY/edit?gid=741673867"", ""out1g!A:B""), 2, FALSE), 0)"),273.0)</f>
        <v>273</v>
      </c>
      <c r="D3407" s="2" t="str">
        <f>IFERROR(__xludf.DUMMYFUNCTION("IFERROR(VLOOKUP(A3407, IMPORTRANGE(""https://docs.google.com/spreadsheets/d/1-3Vjw2Cyy-mry5gbC8ypIR3YVGFfEpyFESummAta6sg/edit"", ""Sheet1!B:D""), 2, FALSE), ""Not Found"")"),"ænt")</f>
        <v>ænt</v>
      </c>
      <c r="E3407" s="2" t="str">
        <f>IFERROR(__xludf.DUMMYFUNCTION("IFERROR(VLOOKUP(A3407, IMPORTRANGE(""https://docs.google.com/spreadsheets/d/1-3Vjw2Cyy-mry5gbC8ypIR3YVGFfEpyFESummAta6sg/edit"", ""Sheet1!B:D""), 3, FALSE), ""Not Found"")"),"æ n t ")</f>
        <v>æ n t </v>
      </c>
    </row>
    <row r="3408">
      <c r="A3408" s="1" t="s">
        <v>3409</v>
      </c>
      <c r="B3408" s="1" t="s">
        <v>5</v>
      </c>
      <c r="C3408" s="2">
        <f>IFERROR(__xludf.DUMMYFUNCTION("IFERROR(VLOOKUP(A3408, IMPORTRANGE(""https://docs.google.com/spreadsheets/d/1AVX9GT0dgogEBStecCXMMQ29tWz3gBrtNB8yIromXbY/edit?gid=741673867"", ""out1g!A:B""), 2, FALSE), 0)"),137.0)</f>
        <v>137</v>
      </c>
      <c r="D3408" s="2" t="str">
        <f>IFERROR(__xludf.DUMMYFUNCTION("IFERROR(VLOOKUP(A3408, IMPORTRANGE(""https://docs.google.com/spreadsheets/d/1-3Vjw2Cyy-mry5gbC8ypIR3YVGFfEpyFESummAta6sg/edit"", ""Sheet1!B:D""), 2, FALSE), ""Not Found"")"),"dərk")</f>
        <v>dərk</v>
      </c>
      <c r="E3408" s="2" t="str">
        <f>IFERROR(__xludf.DUMMYFUNCTION("IFERROR(VLOOKUP(A3408, IMPORTRANGE(""https://docs.google.com/spreadsheets/d/1-3Vjw2Cyy-mry5gbC8ypIR3YVGFfEpyFESummAta6sg/edit"", ""Sheet1!B:D""), 3, FALSE), ""Not Found"")"),"d ə r k ")</f>
        <v>d ə r k </v>
      </c>
    </row>
    <row r="3409">
      <c r="A3409" s="1" t="s">
        <v>3410</v>
      </c>
      <c r="B3409" s="1" t="s">
        <v>5</v>
      </c>
      <c r="C3409" s="2">
        <f>IFERROR(__xludf.DUMMYFUNCTION("IFERROR(VLOOKUP(A3409, IMPORTRANGE(""https://docs.google.com/spreadsheets/d/1AVX9GT0dgogEBStecCXMMQ29tWz3gBrtNB8yIromXbY/edit?gid=741673867"", ""out1g!A:B""), 2, FALSE), 0)"),80.0)</f>
        <v>80</v>
      </c>
      <c r="D3409" s="2" t="str">
        <f>IFERROR(__xludf.DUMMYFUNCTION("IFERROR(VLOOKUP(A3409, IMPORTRANGE(""https://docs.google.com/spreadsheets/d/1-3Vjw2Cyy-mry5gbC8ypIR3YVGFfEpyFESummAta6sg/edit"", ""Sheet1!B:D""), 2, FALSE), ""Not Found"")"),"strimz")</f>
        <v>strimz</v>
      </c>
      <c r="E3409" s="2" t="str">
        <f>IFERROR(__xludf.DUMMYFUNCTION("IFERROR(VLOOKUP(A3409, IMPORTRANGE(""https://docs.google.com/spreadsheets/d/1-3Vjw2Cyy-mry5gbC8ypIR3YVGFfEpyFESummAta6sg/edit"", ""Sheet1!B:D""), 3, FALSE), ""Not Found"")"),"s t r i m z ")</f>
        <v>s t r i m z </v>
      </c>
    </row>
    <row r="3410">
      <c r="A3410" s="1" t="s">
        <v>3411</v>
      </c>
      <c r="B3410" s="1" t="s">
        <v>5</v>
      </c>
      <c r="C3410" s="2">
        <f>IFERROR(__xludf.DUMMYFUNCTION("IFERROR(VLOOKUP(A3410, IMPORTRANGE(""https://docs.google.com/spreadsheets/d/1AVX9GT0dgogEBStecCXMMQ29tWz3gBrtNB8yIromXbY/edit?gid=741673867"", ""out1g!A:B""), 2, FALSE), 0)"),137261.0)</f>
        <v>137261</v>
      </c>
      <c r="D3410" s="2" t="str">
        <f>IFERROR(__xludf.DUMMYFUNCTION("IFERROR(VLOOKUP(A3410, IMPORTRANGE(""https://docs.google.com/spreadsheets/d/1-3Vjw2Cyy-mry5gbC8ypIR3YVGFfEpyFESummAta6sg/edit"", ""Sheet1!B:D""), 2, FALSE), ""Not Found"")"),"θɪŋk")</f>
        <v>θɪŋk</v>
      </c>
      <c r="E3410" s="2" t="str">
        <f>IFERROR(__xludf.DUMMYFUNCTION("IFERROR(VLOOKUP(A3410, IMPORTRANGE(""https://docs.google.com/spreadsheets/d/1-3Vjw2Cyy-mry5gbC8ypIR3YVGFfEpyFESummAta6sg/edit"", ""Sheet1!B:D""), 3, FALSE), ""Not Found"")"),"θ ɪ ŋ k ")</f>
        <v>θ ɪ ŋ k </v>
      </c>
    </row>
    <row r="3411">
      <c r="A3411" s="1" t="s">
        <v>3412</v>
      </c>
      <c r="B3411" s="1" t="s">
        <v>5</v>
      </c>
      <c r="C3411" s="2">
        <f>IFERROR(__xludf.DUMMYFUNCTION("IFERROR(VLOOKUP(A3411, IMPORTRANGE(""https://docs.google.com/spreadsheets/d/1AVX9GT0dgogEBStecCXMMQ29tWz3gBrtNB8yIromXbY/edit?gid=741673867"", ""out1g!A:B""), 2, FALSE), 0)"),1132.0)</f>
        <v>1132</v>
      </c>
      <c r="D3411" s="2" t="str">
        <f>IFERROR(__xludf.DUMMYFUNCTION("IFERROR(VLOOKUP(A3411, IMPORTRANGE(""https://docs.google.com/spreadsheets/d/1-3Vjw2Cyy-mry5gbC8ypIR3YVGFfEpyFESummAta6sg/edit"", ""Sheet1!B:D""), 2, FALSE), ""Not Found"")"),"sɔŋz")</f>
        <v>sɔŋz</v>
      </c>
      <c r="E3411" s="2" t="str">
        <f>IFERROR(__xludf.DUMMYFUNCTION("IFERROR(VLOOKUP(A3411, IMPORTRANGE(""https://docs.google.com/spreadsheets/d/1-3Vjw2Cyy-mry5gbC8ypIR3YVGFfEpyFESummAta6sg/edit"", ""Sheet1!B:D""), 3, FALSE), ""Not Found"")"),"s ɔ ŋ z ")</f>
        <v>s ɔ ŋ z </v>
      </c>
    </row>
    <row r="3412">
      <c r="A3412" s="1" t="s">
        <v>3413</v>
      </c>
      <c r="B3412" s="1" t="s">
        <v>5</v>
      </c>
      <c r="C3412" s="2">
        <f>IFERROR(__xludf.DUMMYFUNCTION("IFERROR(VLOOKUP(A3412, IMPORTRANGE(""https://docs.google.com/spreadsheets/d/1AVX9GT0dgogEBStecCXMMQ29tWz3gBrtNB8yIromXbY/edit?gid=741673867"", ""out1g!A:B""), 2, FALSE), 0)"),631.0)</f>
        <v>631</v>
      </c>
      <c r="D3412" s="2" t="str">
        <f>IFERROR(__xludf.DUMMYFUNCTION("IFERROR(VLOOKUP(A3412, IMPORTRANGE(""https://docs.google.com/spreadsheets/d/1-3Vjw2Cyy-mry5gbC8ypIR3YVGFfEpyFESummAta6sg/edit"", ""Sheet1!B:D""), 2, FALSE), ""Not Found"")"),"ɪnʧ")</f>
        <v>ɪnʧ</v>
      </c>
      <c r="E3412" s="2" t="str">
        <f>IFERROR(__xludf.DUMMYFUNCTION("IFERROR(VLOOKUP(A3412, IMPORTRANGE(""https://docs.google.com/spreadsheets/d/1-3Vjw2Cyy-mry5gbC8ypIR3YVGFfEpyFESummAta6sg/edit"", ""Sheet1!B:D""), 3, FALSE), ""Not Found"")"),"ɪ n ʧ ")</f>
        <v>ɪ n ʧ </v>
      </c>
    </row>
    <row r="3413">
      <c r="A3413" s="1" t="s">
        <v>3414</v>
      </c>
      <c r="B3413" s="1" t="s">
        <v>5</v>
      </c>
      <c r="C3413" s="2">
        <f>IFERROR(__xludf.DUMMYFUNCTION("IFERROR(VLOOKUP(A3413, IMPORTRANGE(""https://docs.google.com/spreadsheets/d/1AVX9GT0dgogEBStecCXMMQ29tWz3gBrtNB8yIromXbY/edit?gid=741673867"", ""out1g!A:B""), 2, FALSE), 0)"),104.0)</f>
        <v>104</v>
      </c>
      <c r="D3413" s="2" t="str">
        <f>IFERROR(__xludf.DUMMYFUNCTION("IFERROR(VLOOKUP(A3413, IMPORTRANGE(""https://docs.google.com/spreadsheets/d/1-3Vjw2Cyy-mry5gbC8ypIR3YVGFfEpyFESummAta6sg/edit"", ""Sheet1!B:D""), 2, FALSE), ""Not Found"")"),"epi")</f>
        <v>epi</v>
      </c>
      <c r="E3413" s="2" t="str">
        <f>IFERROR(__xludf.DUMMYFUNCTION("IFERROR(VLOOKUP(A3413, IMPORTRANGE(""https://docs.google.com/spreadsheets/d/1-3Vjw2Cyy-mry5gbC8ypIR3YVGFfEpyFESummAta6sg/edit"", ""Sheet1!B:D""), 3, FALSE), ""Not Found"")"),"e p i ")</f>
        <v>e p i </v>
      </c>
    </row>
    <row r="3414">
      <c r="A3414" s="1" t="s">
        <v>3415</v>
      </c>
      <c r="B3414" s="1" t="s">
        <v>5</v>
      </c>
      <c r="C3414" s="2">
        <f>IFERROR(__xludf.DUMMYFUNCTION("IFERROR(VLOOKUP(A3414, IMPORTRANGE(""https://docs.google.com/spreadsheets/d/1AVX9GT0dgogEBStecCXMMQ29tWz3gBrtNB8yIromXbY/edit?gid=741673867"", ""out1g!A:B""), 2, FALSE), 0)"),78.0)</f>
        <v>78</v>
      </c>
      <c r="D3414" s="2" t="str">
        <f>IFERROR(__xludf.DUMMYFUNCTION("IFERROR(VLOOKUP(A3414, IMPORTRANGE(""https://docs.google.com/spreadsheets/d/1-3Vjw2Cyy-mry5gbC8ypIR3YVGFfEpyFESummAta6sg/edit"", ""Sheet1!B:D""), 2, FALSE), ""Not Found"")"),"lidz")</f>
        <v>lidz</v>
      </c>
      <c r="E3414" s="2" t="str">
        <f>IFERROR(__xludf.DUMMYFUNCTION("IFERROR(VLOOKUP(A3414, IMPORTRANGE(""https://docs.google.com/spreadsheets/d/1-3Vjw2Cyy-mry5gbC8ypIR3YVGFfEpyFESummAta6sg/edit"", ""Sheet1!B:D""), 3, FALSE), ""Not Found"")"),"l i d z ")</f>
        <v>l i d z </v>
      </c>
    </row>
    <row r="3415">
      <c r="A3415" s="1" t="s">
        <v>3416</v>
      </c>
      <c r="B3415" s="1" t="s">
        <v>5</v>
      </c>
      <c r="C3415" s="2">
        <f>IFERROR(__xludf.DUMMYFUNCTION("IFERROR(VLOOKUP(A3415, IMPORTRANGE(""https://docs.google.com/spreadsheets/d/1AVX9GT0dgogEBStecCXMMQ29tWz3gBrtNB8yIromXbY/edit?gid=741673867"", ""out1g!A:B""), 2, FALSE), 0)"),113.0)</f>
        <v>113</v>
      </c>
      <c r="D3415" s="2" t="str">
        <f>IFERROR(__xludf.DUMMYFUNCTION("IFERROR(VLOOKUP(A3415, IMPORTRANGE(""https://docs.google.com/spreadsheets/d/1-3Vjw2Cyy-mry5gbC8ypIR3YVGFfEpyFESummAta6sg/edit"", ""Sheet1!B:D""), 2, FALSE), ""Not Found"")"),"klɪpt")</f>
        <v>klɪpt</v>
      </c>
      <c r="E3415" s="2" t="str">
        <f>IFERROR(__xludf.DUMMYFUNCTION("IFERROR(VLOOKUP(A3415, IMPORTRANGE(""https://docs.google.com/spreadsheets/d/1-3Vjw2Cyy-mry5gbC8ypIR3YVGFfEpyFESummAta6sg/edit"", ""Sheet1!B:D""), 3, FALSE), ""Not Found"")"),"k l ɪ p t ")</f>
        <v>k l ɪ p t </v>
      </c>
    </row>
    <row r="3416">
      <c r="A3416" s="1" t="s">
        <v>3417</v>
      </c>
      <c r="B3416" s="1" t="s">
        <v>5</v>
      </c>
      <c r="C3416" s="2">
        <f>IFERROR(__xludf.DUMMYFUNCTION("IFERROR(VLOOKUP(A3416, IMPORTRANGE(""https://docs.google.com/spreadsheets/d/1AVX9GT0dgogEBStecCXMMQ29tWz3gBrtNB8yIromXbY/edit?gid=741673867"", ""out1g!A:B""), 2, FALSE), 0)"),307.0)</f>
        <v>307</v>
      </c>
      <c r="D3416" s="2" t="str">
        <f>IFERROR(__xludf.DUMMYFUNCTION("IFERROR(VLOOKUP(A3416, IMPORTRANGE(""https://docs.google.com/spreadsheets/d/1-3Vjw2Cyy-mry5gbC8ypIR3YVGFfEpyFESummAta6sg/edit"", ""Sheet1!B:D""), 2, FALSE), ""Not Found"")"),"hərmən")</f>
        <v>hərmən</v>
      </c>
      <c r="E3416" s="2" t="str">
        <f>IFERROR(__xludf.DUMMYFUNCTION("IFERROR(VLOOKUP(A3416, IMPORTRANGE(""https://docs.google.com/spreadsheets/d/1-3Vjw2Cyy-mry5gbC8ypIR3YVGFfEpyFESummAta6sg/edit"", ""Sheet1!B:D""), 3, FALSE), ""Not Found"")"),"h ə r m ə n ")</f>
        <v>h ə r m ə n </v>
      </c>
    </row>
    <row r="3417">
      <c r="A3417" s="1" t="s">
        <v>3418</v>
      </c>
      <c r="B3417" s="1" t="s">
        <v>5</v>
      </c>
      <c r="C3417" s="2">
        <f>IFERROR(__xludf.DUMMYFUNCTION("IFERROR(VLOOKUP(A3417, IMPORTRANGE(""https://docs.google.com/spreadsheets/d/1AVX9GT0dgogEBStecCXMMQ29tWz3gBrtNB8yIromXbY/edit?gid=741673867"", ""out1g!A:B""), 2, FALSE), 0)"),102.0)</f>
        <v>102</v>
      </c>
      <c r="D3417" s="2" t="str">
        <f>IFERROR(__xludf.DUMMYFUNCTION("IFERROR(VLOOKUP(A3417, IMPORTRANGE(""https://docs.google.com/spreadsheets/d/1-3Vjw2Cyy-mry5gbC8ypIR3YVGFfEpyFESummAta6sg/edit"", ""Sheet1!B:D""), 2, FALSE), ""Not Found"")"),"pisi")</f>
        <v>pisi</v>
      </c>
      <c r="E3417" s="2" t="str">
        <f>IFERROR(__xludf.DUMMYFUNCTION("IFERROR(VLOOKUP(A3417, IMPORTRANGE(""https://docs.google.com/spreadsheets/d/1-3Vjw2Cyy-mry5gbC8ypIR3YVGFfEpyFESummAta6sg/edit"", ""Sheet1!B:D""), 3, FALSE), ""Not Found"")"),"p i s i ")</f>
        <v>p i s i </v>
      </c>
    </row>
    <row r="3418">
      <c r="A3418" s="1" t="s">
        <v>3419</v>
      </c>
      <c r="B3418" s="1" t="s">
        <v>5</v>
      </c>
      <c r="C3418" s="2">
        <f>IFERROR(__xludf.DUMMYFUNCTION("IFERROR(VLOOKUP(A3418, IMPORTRANGE(""https://docs.google.com/spreadsheets/d/1AVX9GT0dgogEBStecCXMMQ29tWz3gBrtNB8yIromXbY/edit?gid=741673867"", ""out1g!A:B""), 2, FALSE), 0)"),1396.0)</f>
        <v>1396</v>
      </c>
      <c r="D3418" s="2" t="str">
        <f>IFERROR(__xludf.DUMMYFUNCTION("IFERROR(VLOOKUP(A3418, IMPORTRANGE(""https://docs.google.com/spreadsheets/d/1-3Vjw2Cyy-mry5gbC8ypIR3YVGFfEpyFESummAta6sg/edit"", ""Sheet1!B:D""), 2, FALSE), ""Not Found"")"),"əʃemd")</f>
        <v>əʃemd</v>
      </c>
      <c r="E3418" s="2" t="str">
        <f>IFERROR(__xludf.DUMMYFUNCTION("IFERROR(VLOOKUP(A3418, IMPORTRANGE(""https://docs.google.com/spreadsheets/d/1-3Vjw2Cyy-mry5gbC8ypIR3YVGFfEpyFESummAta6sg/edit"", ""Sheet1!B:D""), 3, FALSE), ""Not Found"")"),"ə ʃ e m d ")</f>
        <v>ə ʃ e m d </v>
      </c>
    </row>
    <row r="3419">
      <c r="A3419" s="1" t="s">
        <v>3420</v>
      </c>
      <c r="B3419" s="1" t="s">
        <v>5</v>
      </c>
      <c r="C3419" s="2">
        <f>IFERROR(__xludf.DUMMYFUNCTION("IFERROR(VLOOKUP(A3419, IMPORTRANGE(""https://docs.google.com/spreadsheets/d/1AVX9GT0dgogEBStecCXMMQ29tWz3gBrtNB8yIromXbY/edit?gid=741673867"", ""out1g!A:B""), 2, FALSE), 0)"),154.0)</f>
        <v>154</v>
      </c>
      <c r="D3419" s="2" t="str">
        <f>IFERROR(__xludf.DUMMYFUNCTION("IFERROR(VLOOKUP(A3419, IMPORTRANGE(""https://docs.google.com/spreadsheets/d/1-3Vjw2Cyy-mry5gbC8ypIR3YVGFfEpyFESummAta6sg/edit"", ""Sheet1!B:D""), 2, FALSE), ""Not Found"")"),"ʤərmz")</f>
        <v>ʤərmz</v>
      </c>
      <c r="E3419" s="2" t="str">
        <f>IFERROR(__xludf.DUMMYFUNCTION("IFERROR(VLOOKUP(A3419, IMPORTRANGE(""https://docs.google.com/spreadsheets/d/1-3Vjw2Cyy-mry5gbC8ypIR3YVGFfEpyFESummAta6sg/edit"", ""Sheet1!B:D""), 3, FALSE), ""Not Found"")"),"ʤ ə r m z ")</f>
        <v>ʤ ə r m z </v>
      </c>
    </row>
    <row r="3420">
      <c r="A3420" s="1" t="s">
        <v>3421</v>
      </c>
      <c r="B3420" s="1" t="s">
        <v>5</v>
      </c>
      <c r="C3420" s="2">
        <f>IFERROR(__xludf.DUMMYFUNCTION("IFERROR(VLOOKUP(A3420, IMPORTRANGE(""https://docs.google.com/spreadsheets/d/1AVX9GT0dgogEBStecCXMMQ29tWz3gBrtNB8yIromXbY/edit?gid=741673867"", ""out1g!A:B""), 2, FALSE), 0)"),100.0)</f>
        <v>100</v>
      </c>
      <c r="D3420" s="2" t="str">
        <f>IFERROR(__xludf.DUMMYFUNCTION("IFERROR(VLOOKUP(A3420, IMPORTRANGE(""https://docs.google.com/spreadsheets/d/1-3Vjw2Cyy-mry5gbC8ypIR3YVGFfEpyFESummAta6sg/edit"", ""Sheet1!B:D""), 2, FALSE), ""Not Found"")"),"hulə")</f>
        <v>hulə</v>
      </c>
      <c r="E3420" s="2" t="str">
        <f>IFERROR(__xludf.DUMMYFUNCTION("IFERROR(VLOOKUP(A3420, IMPORTRANGE(""https://docs.google.com/spreadsheets/d/1-3Vjw2Cyy-mry5gbC8ypIR3YVGFfEpyFESummAta6sg/edit"", ""Sheet1!B:D""), 3, FALSE), ""Not Found"")"),"h u l ə ")</f>
        <v>h u l ə </v>
      </c>
    </row>
    <row r="3421">
      <c r="A3421" s="1" t="s">
        <v>3422</v>
      </c>
      <c r="B3421" s="1" t="s">
        <v>5</v>
      </c>
      <c r="C3421" s="2">
        <f>IFERROR(__xludf.DUMMYFUNCTION("IFERROR(VLOOKUP(A3421, IMPORTRANGE(""https://docs.google.com/spreadsheets/d/1AVX9GT0dgogEBStecCXMMQ29tWz3gBrtNB8yIromXbY/edit?gid=741673867"", ""out1g!A:B""), 2, FALSE), 0)"),280.0)</f>
        <v>280</v>
      </c>
      <c r="D3421" s="2" t="str">
        <f>IFERROR(__xludf.DUMMYFUNCTION("IFERROR(VLOOKUP(A3421, IMPORTRANGE(""https://docs.google.com/spreadsheets/d/1-3Vjw2Cyy-mry5gbC8ypIR3YVGFfEpyFESummAta6sg/edit"", ""Sheet1!B:D""), 2, FALSE), ""Not Found"")"),"wɔrp")</f>
        <v>wɔrp</v>
      </c>
      <c r="E3421" s="2" t="str">
        <f>IFERROR(__xludf.DUMMYFUNCTION("IFERROR(VLOOKUP(A3421, IMPORTRANGE(""https://docs.google.com/spreadsheets/d/1-3Vjw2Cyy-mry5gbC8ypIR3YVGFfEpyFESummAta6sg/edit"", ""Sheet1!B:D""), 3, FALSE), ""Not Found"")"),"w ɔ r p ")</f>
        <v>w ɔ r p </v>
      </c>
    </row>
    <row r="3422">
      <c r="A3422" s="1" t="s">
        <v>3423</v>
      </c>
      <c r="B3422" s="1" t="s">
        <v>5</v>
      </c>
      <c r="C3422" s="2">
        <f>IFERROR(__xludf.DUMMYFUNCTION("IFERROR(VLOOKUP(A3422, IMPORTRANGE(""https://docs.google.com/spreadsheets/d/1AVX9GT0dgogEBStecCXMMQ29tWz3gBrtNB8yIromXbY/edit?gid=741673867"", ""out1g!A:B""), 2, FALSE), 0)"),219.0)</f>
        <v>219</v>
      </c>
      <c r="D3422" s="2" t="str">
        <f>IFERROR(__xludf.DUMMYFUNCTION("IFERROR(VLOOKUP(A3422, IMPORTRANGE(""https://docs.google.com/spreadsheets/d/1-3Vjw2Cyy-mry5gbC8ypIR3YVGFfEpyFESummAta6sg/edit"", ""Sheet1!B:D""), 2, FALSE), ""Not Found"")"),"lɪŋkt")</f>
        <v>lɪŋkt</v>
      </c>
      <c r="E3422" s="2" t="str">
        <f>IFERROR(__xludf.DUMMYFUNCTION("IFERROR(VLOOKUP(A3422, IMPORTRANGE(""https://docs.google.com/spreadsheets/d/1-3Vjw2Cyy-mry5gbC8ypIR3YVGFfEpyFESummAta6sg/edit"", ""Sheet1!B:D""), 3, FALSE), ""Not Found"")"),"l ɪ ŋ k t ")</f>
        <v>l ɪ ŋ k t </v>
      </c>
    </row>
    <row r="3423">
      <c r="A3423" s="1" t="s">
        <v>3424</v>
      </c>
      <c r="B3423" s="1" t="s">
        <v>5</v>
      </c>
      <c r="C3423" s="2">
        <f>IFERROR(__xludf.DUMMYFUNCTION("IFERROR(VLOOKUP(A3423, IMPORTRANGE(""https://docs.google.com/spreadsheets/d/1AVX9GT0dgogEBStecCXMMQ29tWz3gBrtNB8yIromXbY/edit?gid=741673867"", ""out1g!A:B""), 2, FALSE), 0)"),300.0)</f>
        <v>300</v>
      </c>
      <c r="D3423" s="2" t="str">
        <f>IFERROR(__xludf.DUMMYFUNCTION("IFERROR(VLOOKUP(A3423, IMPORTRANGE(""https://docs.google.com/spreadsheets/d/1-3Vjw2Cyy-mry5gbC8ypIR3YVGFfEpyFESummAta6sg/edit"", ""Sheet1!B:D""), 2, FALSE), ""Not Found"")"),"mede")</f>
        <v>mede</v>
      </c>
      <c r="E3423" s="2" t="str">
        <f>IFERROR(__xludf.DUMMYFUNCTION("IFERROR(VLOOKUP(A3423, IMPORTRANGE(""https://docs.google.com/spreadsheets/d/1-3Vjw2Cyy-mry5gbC8ypIR3YVGFfEpyFESummAta6sg/edit"", ""Sheet1!B:D""), 3, FALSE), ""Not Found"")"),"m e d e ")</f>
        <v>m e d e </v>
      </c>
    </row>
    <row r="3424">
      <c r="A3424" s="1" t="s">
        <v>3425</v>
      </c>
      <c r="B3424" s="1" t="s">
        <v>5</v>
      </c>
      <c r="C3424" s="2">
        <f>IFERROR(__xludf.DUMMYFUNCTION("IFERROR(VLOOKUP(A3424, IMPORTRANGE(""https://docs.google.com/spreadsheets/d/1AVX9GT0dgogEBStecCXMMQ29tWz3gBrtNB8yIromXbY/edit?gid=741673867"", ""out1g!A:B""), 2, FALSE), 0)"),58.0)</f>
        <v>58</v>
      </c>
      <c r="D3424" s="2" t="str">
        <f>IFERROR(__xludf.DUMMYFUNCTION("IFERROR(VLOOKUP(A3424, IMPORTRANGE(""https://docs.google.com/spreadsheets/d/1-3Vjw2Cyy-mry5gbC8ypIR3YVGFfEpyFESummAta6sg/edit"", ""Sheet1!B:D""), 2, FALSE), ""Not Found"")"),"lups")</f>
        <v>lups</v>
      </c>
      <c r="E3424" s="2" t="str">
        <f>IFERROR(__xludf.DUMMYFUNCTION("IFERROR(VLOOKUP(A3424, IMPORTRANGE(""https://docs.google.com/spreadsheets/d/1-3Vjw2Cyy-mry5gbC8ypIR3YVGFfEpyFESummAta6sg/edit"", ""Sheet1!B:D""), 3, FALSE), ""Not Found"")"),"l u p s ")</f>
        <v>l u p s </v>
      </c>
    </row>
    <row r="3425">
      <c r="A3425" s="1" t="s">
        <v>3426</v>
      </c>
      <c r="B3425" s="1" t="s">
        <v>5</v>
      </c>
      <c r="C3425" s="2">
        <f>IFERROR(__xludf.DUMMYFUNCTION("IFERROR(VLOOKUP(A3425, IMPORTRANGE(""https://docs.google.com/spreadsheets/d/1AVX9GT0dgogEBStecCXMMQ29tWz3gBrtNB8yIromXbY/edit?gid=741673867"", ""out1g!A:B""), 2, FALSE), 0)"),3003.0)</f>
        <v>3003</v>
      </c>
      <c r="D3425" s="2" t="str">
        <f>IFERROR(__xludf.DUMMYFUNCTION("IFERROR(VLOOKUP(A3425, IMPORTRANGE(""https://docs.google.com/spreadsheets/d/1-3Vjw2Cyy-mry5gbC8ypIR3YVGFfEpyFESummAta6sg/edit"", ""Sheet1!B:D""), 2, FALSE), ""Not Found"")"),"bənʧ")</f>
        <v>bənʧ</v>
      </c>
      <c r="E3425" s="2" t="str">
        <f>IFERROR(__xludf.DUMMYFUNCTION("IFERROR(VLOOKUP(A3425, IMPORTRANGE(""https://docs.google.com/spreadsheets/d/1-3Vjw2Cyy-mry5gbC8ypIR3YVGFfEpyFESummAta6sg/edit"", ""Sheet1!B:D""), 3, FALSE), ""Not Found"")"),"b ə n ʧ ")</f>
        <v>b ə n ʧ </v>
      </c>
    </row>
    <row r="3426">
      <c r="A3426" s="1" t="s">
        <v>3427</v>
      </c>
      <c r="B3426" s="1" t="s">
        <v>5</v>
      </c>
      <c r="C3426" s="2">
        <f>IFERROR(__xludf.DUMMYFUNCTION("IFERROR(VLOOKUP(A3426, IMPORTRANGE(""https://docs.google.com/spreadsheets/d/1AVX9GT0dgogEBStecCXMMQ29tWz3gBrtNB8yIromXbY/edit?gid=741673867"", ""out1g!A:B""), 2, FALSE), 0)"),50.0)</f>
        <v>50</v>
      </c>
      <c r="D3426" s="2" t="str">
        <f>IFERROR(__xludf.DUMMYFUNCTION("IFERROR(VLOOKUP(A3426, IMPORTRANGE(""https://docs.google.com/spreadsheets/d/1-3Vjw2Cyy-mry5gbC8ypIR3YVGFfEpyFESummAta6sg/edit"", ""Sheet1!B:D""), 2, FALSE), ""Not Found"")"),"loʊfərz")</f>
        <v>loʊfərz</v>
      </c>
      <c r="E3426" s="2" t="str">
        <f>IFERROR(__xludf.DUMMYFUNCTION("IFERROR(VLOOKUP(A3426, IMPORTRANGE(""https://docs.google.com/spreadsheets/d/1-3Vjw2Cyy-mry5gbC8ypIR3YVGFfEpyFESummAta6sg/edit"", ""Sheet1!B:D""), 3, FALSE), ""Not Found"")"),"l o ʊ f ə r z ")</f>
        <v>l o ʊ f ə r z </v>
      </c>
    </row>
    <row r="3427">
      <c r="A3427" s="1" t="s">
        <v>3428</v>
      </c>
      <c r="B3427" s="1" t="s">
        <v>5</v>
      </c>
      <c r="C3427" s="2">
        <f>IFERROR(__xludf.DUMMYFUNCTION("IFERROR(VLOOKUP(A3427, IMPORTRANGE(""https://docs.google.com/spreadsheets/d/1AVX9GT0dgogEBStecCXMMQ29tWz3gBrtNB8yIromXbY/edit?gid=741673867"", ""out1g!A:B""), 2, FALSE), 0)"),56.0)</f>
        <v>56</v>
      </c>
      <c r="D3427" s="2" t="str">
        <f>IFERROR(__xludf.DUMMYFUNCTION("IFERROR(VLOOKUP(A3427, IMPORTRANGE(""https://docs.google.com/spreadsheets/d/1-3Vjw2Cyy-mry5gbC8ypIR3YVGFfEpyFESummAta6sg/edit"", ""Sheet1!B:D""), 2, FALSE), ""Not Found"")"),"len")</f>
        <v>len</v>
      </c>
      <c r="E3427" s="2" t="str">
        <f>IFERROR(__xludf.DUMMYFUNCTION("IFERROR(VLOOKUP(A3427, IMPORTRANGE(""https://docs.google.com/spreadsheets/d/1-3Vjw2Cyy-mry5gbC8ypIR3YVGFfEpyFESummAta6sg/edit"", ""Sheet1!B:D""), 3, FALSE), ""Not Found"")"),"l e n ")</f>
        <v>l e n </v>
      </c>
    </row>
    <row r="3428">
      <c r="A3428" s="1" t="s">
        <v>3429</v>
      </c>
      <c r="B3428" s="1" t="s">
        <v>5</v>
      </c>
      <c r="C3428" s="2">
        <f>IFERROR(__xludf.DUMMYFUNCTION("IFERROR(VLOOKUP(A3428, IMPORTRANGE(""https://docs.google.com/spreadsheets/d/1AVX9GT0dgogEBStecCXMMQ29tWz3gBrtNB8yIromXbY/edit?gid=741673867"", ""out1g!A:B""), 2, FALSE), 0)"),1705.0)</f>
        <v>1705</v>
      </c>
      <c r="D3428" s="2" t="str">
        <f>IFERROR(__xludf.DUMMYFUNCTION("IFERROR(VLOOKUP(A3428, IMPORTRANGE(""https://docs.google.com/spreadsheets/d/1-3Vjw2Cyy-mry5gbC8ypIR3YVGFfEpyFESummAta6sg/edit"", ""Sheet1!B:D""), 2, FALSE), ""Not Found"")"),"fɛlə")</f>
        <v>fɛlə</v>
      </c>
      <c r="E3428" s="2" t="str">
        <f>IFERROR(__xludf.DUMMYFUNCTION("IFERROR(VLOOKUP(A3428, IMPORTRANGE(""https://docs.google.com/spreadsheets/d/1-3Vjw2Cyy-mry5gbC8ypIR3YVGFfEpyFESummAta6sg/edit"", ""Sheet1!B:D""), 3, FALSE), ""Not Found"")"),"f ɛ l ə ")</f>
        <v>f ɛ l ə </v>
      </c>
    </row>
    <row r="3429">
      <c r="A3429" s="1" t="s">
        <v>3430</v>
      </c>
      <c r="B3429" s="1" t="s">
        <v>5</v>
      </c>
      <c r="C3429" s="2">
        <f>IFERROR(__xludf.DUMMYFUNCTION("IFERROR(VLOOKUP(A3429, IMPORTRANGE(""https://docs.google.com/spreadsheets/d/1AVX9GT0dgogEBStecCXMMQ29tWz3gBrtNB8yIromXbY/edit?gid=741673867"", ""out1g!A:B""), 2, FALSE), 0)"),932.0)</f>
        <v>932</v>
      </c>
      <c r="D3429" s="2" t="str">
        <f>IFERROR(__xludf.DUMMYFUNCTION("IFERROR(VLOOKUP(A3429, IMPORTRANGE(""https://docs.google.com/spreadsheets/d/1-3Vjw2Cyy-mry5gbC8ypIR3YVGFfEpyFESummAta6sg/edit"", ""Sheet1!B:D""), 2, FALSE), ""Not Found"")"),"sɑks")</f>
        <v>sɑks</v>
      </c>
      <c r="E3429" s="2" t="str">
        <f>IFERROR(__xludf.DUMMYFUNCTION("IFERROR(VLOOKUP(A3429, IMPORTRANGE(""https://docs.google.com/spreadsheets/d/1-3Vjw2Cyy-mry5gbC8ypIR3YVGFfEpyFESummAta6sg/edit"", ""Sheet1!B:D""), 3, FALSE), ""Not Found"")"),"s ɑ k s ")</f>
        <v>s ɑ k s </v>
      </c>
    </row>
    <row r="3430">
      <c r="A3430" s="1" t="s">
        <v>3431</v>
      </c>
      <c r="B3430" s="1" t="s">
        <v>5</v>
      </c>
      <c r="C3430" s="2">
        <f>IFERROR(__xludf.DUMMYFUNCTION("IFERROR(VLOOKUP(A3430, IMPORTRANGE(""https://docs.google.com/spreadsheets/d/1AVX9GT0dgogEBStecCXMMQ29tWz3gBrtNB8yIromXbY/edit?gid=741673867"", ""out1g!A:B""), 2, FALSE), 0)"),1472.0)</f>
        <v>1472</v>
      </c>
      <c r="D3430" s="2" t="str">
        <f>IFERROR(__xludf.DUMMYFUNCTION("IFERROR(VLOOKUP(A3430, IMPORTRANGE(""https://docs.google.com/spreadsheets/d/1-3Vjw2Cyy-mry5gbC8ypIR3YVGFfEpyFESummAta6sg/edit"", ""Sheet1!B:D""), 2, FALSE), ""Not Found"")"),"mil")</f>
        <v>mil</v>
      </c>
      <c r="E3430" s="2" t="str">
        <f>IFERROR(__xludf.DUMMYFUNCTION("IFERROR(VLOOKUP(A3430, IMPORTRANGE(""https://docs.google.com/spreadsheets/d/1-3Vjw2Cyy-mry5gbC8ypIR3YVGFfEpyFESummAta6sg/edit"", ""Sheet1!B:D""), 3, FALSE), ""Not Found"")"),"m i l ")</f>
        <v>m i l </v>
      </c>
    </row>
    <row r="3431">
      <c r="A3431" s="1" t="s">
        <v>3432</v>
      </c>
      <c r="B3431" s="1" t="s">
        <v>5</v>
      </c>
      <c r="C3431" s="2">
        <f>IFERROR(__xludf.DUMMYFUNCTION("IFERROR(VLOOKUP(A3431, IMPORTRANGE(""https://docs.google.com/spreadsheets/d/1AVX9GT0dgogEBStecCXMMQ29tWz3gBrtNB8yIromXbY/edit?gid=741673867"", ""out1g!A:B""), 2, FALSE), 0)"),107.0)</f>
        <v>107</v>
      </c>
      <c r="D3431" s="2" t="str">
        <f>IFERROR(__xludf.DUMMYFUNCTION("IFERROR(VLOOKUP(A3431, IMPORTRANGE(""https://docs.google.com/spreadsheets/d/1-3Vjw2Cyy-mry5gbC8ypIR3YVGFfEpyFESummAta6sg/edit"", ""Sheet1!B:D""), 2, FALSE), ""Not Found"")"),"strɔz")</f>
        <v>strɔz</v>
      </c>
      <c r="E3431" s="2" t="str">
        <f>IFERROR(__xludf.DUMMYFUNCTION("IFERROR(VLOOKUP(A3431, IMPORTRANGE(""https://docs.google.com/spreadsheets/d/1-3Vjw2Cyy-mry5gbC8ypIR3YVGFfEpyFESummAta6sg/edit"", ""Sheet1!B:D""), 3, FALSE), ""Not Found"")"),"s t r ɔ z ")</f>
        <v>s t r ɔ z </v>
      </c>
    </row>
    <row r="3432">
      <c r="A3432" s="1" t="s">
        <v>3433</v>
      </c>
      <c r="B3432" s="1" t="s">
        <v>5</v>
      </c>
      <c r="C3432" s="2">
        <f>IFERROR(__xludf.DUMMYFUNCTION("IFERROR(VLOOKUP(A3432, IMPORTRANGE(""https://docs.google.com/spreadsheets/d/1AVX9GT0dgogEBStecCXMMQ29tWz3gBrtNB8yIromXbY/edit?gid=741673867"", ""out1g!A:B""), 2, FALSE), 0)"),61.0)</f>
        <v>61</v>
      </c>
      <c r="D3432" s="2" t="str">
        <f>IFERROR(__xludf.DUMMYFUNCTION("IFERROR(VLOOKUP(A3432, IMPORTRANGE(""https://docs.google.com/spreadsheets/d/1-3Vjw2Cyy-mry5gbC8ypIR3YVGFfEpyFESummAta6sg/edit"", ""Sheet1!B:D""), 2, FALSE), ""Not Found"")"),"tubə")</f>
        <v>tubə</v>
      </c>
      <c r="E3432" s="2" t="str">
        <f>IFERROR(__xludf.DUMMYFUNCTION("IFERROR(VLOOKUP(A3432, IMPORTRANGE(""https://docs.google.com/spreadsheets/d/1-3Vjw2Cyy-mry5gbC8ypIR3YVGFfEpyFESummAta6sg/edit"", ""Sheet1!B:D""), 3, FALSE), ""Not Found"")"),"t u b ə ")</f>
        <v>t u b ə </v>
      </c>
    </row>
    <row r="3433">
      <c r="A3433" s="1" t="s">
        <v>3434</v>
      </c>
      <c r="B3433" s="1" t="s">
        <v>5</v>
      </c>
      <c r="C3433" s="2">
        <f>IFERROR(__xludf.DUMMYFUNCTION("IFERROR(VLOOKUP(A3433, IMPORTRANGE(""https://docs.google.com/spreadsheets/d/1AVX9GT0dgogEBStecCXMMQ29tWz3gBrtNB8yIromXbY/edit?gid=741673867"", ""out1g!A:B""), 2, FALSE), 0)"),148.0)</f>
        <v>148</v>
      </c>
      <c r="D3433" s="2" t="str">
        <f>IFERROR(__xludf.DUMMYFUNCTION("IFERROR(VLOOKUP(A3433, IMPORTRANGE(""https://docs.google.com/spreadsheets/d/1-3Vjw2Cyy-mry5gbC8ypIR3YVGFfEpyFESummAta6sg/edit"", ""Sheet1!B:D""), 2, FALSE), ""Not Found"")"),"mɛr")</f>
        <v>mɛr</v>
      </c>
      <c r="E3433" s="2" t="str">
        <f>IFERROR(__xludf.DUMMYFUNCTION("IFERROR(VLOOKUP(A3433, IMPORTRANGE(""https://docs.google.com/spreadsheets/d/1-3Vjw2Cyy-mry5gbC8ypIR3YVGFfEpyFESummAta6sg/edit"", ""Sheet1!B:D""), 3, FALSE), ""Not Found"")"),"m ɛ r ")</f>
        <v>m ɛ r </v>
      </c>
    </row>
    <row r="3434">
      <c r="A3434" s="1" t="s">
        <v>3435</v>
      </c>
      <c r="B3434" s="1" t="s">
        <v>5</v>
      </c>
      <c r="C3434" s="2">
        <f>IFERROR(__xludf.DUMMYFUNCTION("IFERROR(VLOOKUP(A3434, IMPORTRANGE(""https://docs.google.com/spreadsheets/d/1AVX9GT0dgogEBStecCXMMQ29tWz3gBrtNB8yIromXbY/edit?gid=741673867"", ""out1g!A:B""), 2, FALSE), 0)"),1123.0)</f>
        <v>1123</v>
      </c>
      <c r="D3434" s="2" t="str">
        <f>IFERROR(__xludf.DUMMYFUNCTION("IFERROR(VLOOKUP(A3434, IMPORTRANGE(""https://docs.google.com/spreadsheets/d/1-3Vjw2Cyy-mry5gbC8ypIR3YVGFfEpyFESummAta6sg/edit"", ""Sheet1!B:D""), 2, FALSE), ""Not Found"")"),"tɛri")</f>
        <v>tɛri</v>
      </c>
      <c r="E3434" s="2" t="str">
        <f>IFERROR(__xludf.DUMMYFUNCTION("IFERROR(VLOOKUP(A3434, IMPORTRANGE(""https://docs.google.com/spreadsheets/d/1-3Vjw2Cyy-mry5gbC8ypIR3YVGFfEpyFESummAta6sg/edit"", ""Sheet1!B:D""), 3, FALSE), ""Not Found"")"),"t ɛ r i ")</f>
        <v>t ɛ r i </v>
      </c>
    </row>
    <row r="3435">
      <c r="A3435" s="1" t="s">
        <v>3436</v>
      </c>
      <c r="B3435" s="1" t="s">
        <v>5</v>
      </c>
      <c r="C3435" s="2">
        <f>IFERROR(__xludf.DUMMYFUNCTION("IFERROR(VLOOKUP(A3435, IMPORTRANGE(""https://docs.google.com/spreadsheets/d/1AVX9GT0dgogEBStecCXMMQ29tWz3gBrtNB8yIromXbY/edit?gid=741673867"", ""out1g!A:B""), 2, FALSE), 0)"),2765.0)</f>
        <v>2765</v>
      </c>
      <c r="D3435" s="2" t="str">
        <f>IFERROR(__xludf.DUMMYFUNCTION("IFERROR(VLOOKUP(A3435, IMPORTRANGE(""https://docs.google.com/spreadsheets/d/1-3Vjw2Cyy-mry5gbC8ypIR3YVGFfEpyFESummAta6sg/edit"", ""Sheet1!B:D""), 2, FALSE), ""Not Found"")"),"bɪgər")</f>
        <v>bɪgər</v>
      </c>
      <c r="E3435" s="2" t="str">
        <f>IFERROR(__xludf.DUMMYFUNCTION("IFERROR(VLOOKUP(A3435, IMPORTRANGE(""https://docs.google.com/spreadsheets/d/1-3Vjw2Cyy-mry5gbC8ypIR3YVGFfEpyFESummAta6sg/edit"", ""Sheet1!B:D""), 3, FALSE), ""Not Found"")"),"b ɪ g ə r ")</f>
        <v>b ɪ g ə r </v>
      </c>
    </row>
    <row r="3436">
      <c r="A3436" s="1" t="s">
        <v>3437</v>
      </c>
      <c r="B3436" s="1" t="s">
        <v>5</v>
      </c>
      <c r="C3436" s="2">
        <f>IFERROR(__xludf.DUMMYFUNCTION("IFERROR(VLOOKUP(A3436, IMPORTRANGE(""https://docs.google.com/spreadsheets/d/1AVX9GT0dgogEBStecCXMMQ29tWz3gBrtNB8yIromXbY/edit?gid=741673867"", ""out1g!A:B""), 2, FALSE), 0)"),238.0)</f>
        <v>238</v>
      </c>
      <c r="D3436" s="2" t="str">
        <f>IFERROR(__xludf.DUMMYFUNCTION("IFERROR(VLOOKUP(A3436, IMPORTRANGE(""https://docs.google.com/spreadsheets/d/1-3Vjw2Cyy-mry5gbC8ypIR3YVGFfEpyFESummAta6sg/edit"", ""Sheet1!B:D""), 2, FALSE), ""Not Found"")"),"tæd")</f>
        <v>tæd</v>
      </c>
      <c r="E3436" s="2" t="str">
        <f>IFERROR(__xludf.DUMMYFUNCTION("IFERROR(VLOOKUP(A3436, IMPORTRANGE(""https://docs.google.com/spreadsheets/d/1-3Vjw2Cyy-mry5gbC8ypIR3YVGFfEpyFESummAta6sg/edit"", ""Sheet1!B:D""), 3, FALSE), ""Not Found"")"),"t æ d ")</f>
        <v>t æ d </v>
      </c>
    </row>
    <row r="3437">
      <c r="A3437" s="1" t="s">
        <v>3438</v>
      </c>
      <c r="B3437" s="1" t="s">
        <v>5</v>
      </c>
      <c r="C3437" s="2">
        <f>IFERROR(__xludf.DUMMYFUNCTION("IFERROR(VLOOKUP(A3437, IMPORTRANGE(""https://docs.google.com/spreadsheets/d/1AVX9GT0dgogEBStecCXMMQ29tWz3gBrtNB8yIromXbY/edit?gid=741673867"", ""out1g!A:B""), 2, FALSE), 0)"),230.0)</f>
        <v>230</v>
      </c>
      <c r="D3437" s="2" t="str">
        <f>IFERROR(__xludf.DUMMYFUNCTION("IFERROR(VLOOKUP(A3437, IMPORTRANGE(""https://docs.google.com/spreadsheets/d/1-3Vjw2Cyy-mry5gbC8ypIR3YVGFfEpyFESummAta6sg/edit"", ""Sheet1!B:D""), 2, FALSE), ""Not Found"")"),"pɔrnoʊ")</f>
        <v>pɔrnoʊ</v>
      </c>
      <c r="E3437" s="2" t="str">
        <f>IFERROR(__xludf.DUMMYFUNCTION("IFERROR(VLOOKUP(A3437, IMPORTRANGE(""https://docs.google.com/spreadsheets/d/1-3Vjw2Cyy-mry5gbC8ypIR3YVGFfEpyFESummAta6sg/edit"", ""Sheet1!B:D""), 3, FALSE), ""Not Found"")"),"p ɔ r n o ʊ ")</f>
        <v>p ɔ r n o ʊ </v>
      </c>
    </row>
    <row r="3438">
      <c r="A3438" s="1" t="s">
        <v>3439</v>
      </c>
      <c r="B3438" s="1" t="s">
        <v>5</v>
      </c>
      <c r="C3438" s="2">
        <f>IFERROR(__xludf.DUMMYFUNCTION("IFERROR(VLOOKUP(A3438, IMPORTRANGE(""https://docs.google.com/spreadsheets/d/1AVX9GT0dgogEBStecCXMMQ29tWz3gBrtNB8yIromXbY/edit?gid=741673867"", ""out1g!A:B""), 2, FALSE), 0)"),262.0)</f>
        <v>262</v>
      </c>
      <c r="D3438" s="2" t="str">
        <f>IFERROR(__xludf.DUMMYFUNCTION("IFERROR(VLOOKUP(A3438, IMPORTRANGE(""https://docs.google.com/spreadsheets/d/1-3Vjw2Cyy-mry5gbC8ypIR3YVGFfEpyFESummAta6sg/edit"", ""Sheet1!B:D""), 2, FALSE), ""Not Found"")"),"smoʊks")</f>
        <v>smoʊks</v>
      </c>
      <c r="E3438" s="2" t="str">
        <f>IFERROR(__xludf.DUMMYFUNCTION("IFERROR(VLOOKUP(A3438, IMPORTRANGE(""https://docs.google.com/spreadsheets/d/1-3Vjw2Cyy-mry5gbC8ypIR3YVGFfEpyFESummAta6sg/edit"", ""Sheet1!B:D""), 3, FALSE), ""Not Found"")"),"s m o ʊ k s ")</f>
        <v>s m o ʊ k s </v>
      </c>
    </row>
    <row r="3439">
      <c r="A3439" s="1" t="s">
        <v>3440</v>
      </c>
      <c r="B3439" s="1" t="s">
        <v>5</v>
      </c>
      <c r="C3439" s="2">
        <f>IFERROR(__xludf.DUMMYFUNCTION("IFERROR(VLOOKUP(A3439, IMPORTRANGE(""https://docs.google.com/spreadsheets/d/1AVX9GT0dgogEBStecCXMMQ29tWz3gBrtNB8yIromXbY/edit?gid=741673867"", ""out1g!A:B""), 2, FALSE), 0)"),16.0)</f>
        <v>16</v>
      </c>
      <c r="D3439" s="2" t="str">
        <f>IFERROR(__xludf.DUMMYFUNCTION("IFERROR(VLOOKUP(A3439, IMPORTRANGE(""https://docs.google.com/spreadsheets/d/1-3Vjw2Cyy-mry5gbC8ypIR3YVGFfEpyFESummAta6sg/edit"", ""Sheet1!B:D""), 2, FALSE), ""Not Found"")"),"wɔltsər")</f>
        <v>wɔltsər</v>
      </c>
      <c r="E3439" s="2" t="str">
        <f>IFERROR(__xludf.DUMMYFUNCTION("IFERROR(VLOOKUP(A3439, IMPORTRANGE(""https://docs.google.com/spreadsheets/d/1-3Vjw2Cyy-mry5gbC8ypIR3YVGFfEpyFESummAta6sg/edit"", ""Sheet1!B:D""), 3, FALSE), ""Not Found"")"),"w ɔ l t s ə r ")</f>
        <v>w ɔ l t s ə r </v>
      </c>
    </row>
    <row r="3440">
      <c r="A3440" s="1" t="s">
        <v>3441</v>
      </c>
      <c r="B3440" s="1" t="s">
        <v>5</v>
      </c>
      <c r="C3440" s="2">
        <f>IFERROR(__xludf.DUMMYFUNCTION("IFERROR(VLOOKUP(A3440, IMPORTRANGE(""https://docs.google.com/spreadsheets/d/1AVX9GT0dgogEBStecCXMMQ29tWz3gBrtNB8yIromXbY/edit?gid=741673867"", ""out1g!A:B""), 2, FALSE), 0)"),2396.0)</f>
        <v>2396</v>
      </c>
      <c r="D3440" s="2" t="str">
        <f>IFERROR(__xludf.DUMMYFUNCTION("IFERROR(VLOOKUP(A3440, IMPORTRANGE(""https://docs.google.com/spreadsheets/d/1-3Vjw2Cyy-mry5gbC8ypIR3YVGFfEpyFESummAta6sg/edit"", ""Sheet1!B:D""), 2, FALSE), ""Not Found"")"),"pul")</f>
        <v>pul</v>
      </c>
      <c r="E3440" s="2" t="str">
        <f>IFERROR(__xludf.DUMMYFUNCTION("IFERROR(VLOOKUP(A3440, IMPORTRANGE(""https://docs.google.com/spreadsheets/d/1-3Vjw2Cyy-mry5gbC8ypIR3YVGFfEpyFESummAta6sg/edit"", ""Sheet1!B:D""), 3, FALSE), ""Not Found"")"),"p u l ")</f>
        <v>p u l </v>
      </c>
    </row>
    <row r="3441">
      <c r="A3441" s="1" t="s">
        <v>3442</v>
      </c>
      <c r="B3441" s="1" t="s">
        <v>5</v>
      </c>
      <c r="C3441" s="2">
        <f>IFERROR(__xludf.DUMMYFUNCTION("IFERROR(VLOOKUP(A3441, IMPORTRANGE(""https://docs.google.com/spreadsheets/d/1AVX9GT0dgogEBStecCXMMQ29tWz3gBrtNB8yIromXbY/edit?gid=741673867"", ""out1g!A:B""), 2, FALSE), 0)"),119.0)</f>
        <v>119</v>
      </c>
      <c r="D3441" s="2" t="str">
        <f>IFERROR(__xludf.DUMMYFUNCTION("IFERROR(VLOOKUP(A3441, IMPORTRANGE(""https://docs.google.com/spreadsheets/d/1-3Vjw2Cyy-mry5gbC8ypIR3YVGFfEpyFESummAta6sg/edit"", ""Sheet1!B:D""), 2, FALSE), ""Not Found"")"),"leərz")</f>
        <v>leərz</v>
      </c>
      <c r="E3441" s="2" t="str">
        <f>IFERROR(__xludf.DUMMYFUNCTION("IFERROR(VLOOKUP(A3441, IMPORTRANGE(""https://docs.google.com/spreadsheets/d/1-3Vjw2Cyy-mry5gbC8ypIR3YVGFfEpyFESummAta6sg/edit"", ""Sheet1!B:D""), 3, FALSE), ""Not Found"")"),"l e ə r z ")</f>
        <v>l e ə r z </v>
      </c>
    </row>
    <row r="3442">
      <c r="A3442" s="1" t="s">
        <v>3443</v>
      </c>
      <c r="B3442" s="1" t="s">
        <v>5</v>
      </c>
      <c r="C3442" s="2">
        <f>IFERROR(__xludf.DUMMYFUNCTION("IFERROR(VLOOKUP(A3442, IMPORTRANGE(""https://docs.google.com/spreadsheets/d/1AVX9GT0dgogEBStecCXMMQ29tWz3gBrtNB8yIromXbY/edit?gid=741673867"", ""out1g!A:B""), 2, FALSE), 0)"),988.0)</f>
        <v>988</v>
      </c>
      <c r="D3442" s="2" t="str">
        <f>IFERROR(__xludf.DUMMYFUNCTION("IFERROR(VLOOKUP(A3442, IMPORTRANGE(""https://docs.google.com/spreadsheets/d/1-3Vjw2Cyy-mry5gbC8ypIR3YVGFfEpyFESummAta6sg/edit"", ""Sheet1!B:D""), 2, FALSE), ""Not Found"")"),"wɪnz")</f>
        <v>wɪnz</v>
      </c>
      <c r="E3442" s="2" t="str">
        <f>IFERROR(__xludf.DUMMYFUNCTION("IFERROR(VLOOKUP(A3442, IMPORTRANGE(""https://docs.google.com/spreadsheets/d/1-3Vjw2Cyy-mry5gbC8ypIR3YVGFfEpyFESummAta6sg/edit"", ""Sheet1!B:D""), 3, FALSE), ""Not Found"")"),"w ɪ n z ")</f>
        <v>w ɪ n z </v>
      </c>
    </row>
    <row r="3443">
      <c r="A3443" s="1" t="s">
        <v>3444</v>
      </c>
      <c r="B3443" s="1" t="s">
        <v>5</v>
      </c>
      <c r="C3443" s="2">
        <f>IFERROR(__xludf.DUMMYFUNCTION("IFERROR(VLOOKUP(A3443, IMPORTRANGE(""https://docs.google.com/spreadsheets/d/1AVX9GT0dgogEBStecCXMMQ29tWz3gBrtNB8yIromXbY/edit?gid=741673867"", ""out1g!A:B""), 2, FALSE), 0)"),605.0)</f>
        <v>605</v>
      </c>
      <c r="D3443" s="2" t="str">
        <f>IFERROR(__xludf.DUMMYFUNCTION("IFERROR(VLOOKUP(A3443, IMPORTRANGE(""https://docs.google.com/spreadsheets/d/1-3Vjw2Cyy-mry5gbC8ypIR3YVGFfEpyFESummAta6sg/edit"", ""Sheet1!B:D""), 2, FALSE), ""Not Found"")"),"slɪm")</f>
        <v>slɪm</v>
      </c>
      <c r="E3443" s="2" t="str">
        <f>IFERROR(__xludf.DUMMYFUNCTION("IFERROR(VLOOKUP(A3443, IMPORTRANGE(""https://docs.google.com/spreadsheets/d/1-3Vjw2Cyy-mry5gbC8ypIR3YVGFfEpyFESummAta6sg/edit"", ""Sheet1!B:D""), 3, FALSE), ""Not Found"")"),"s l ɪ m ")</f>
        <v>s l ɪ m </v>
      </c>
    </row>
    <row r="3444">
      <c r="A3444" s="1" t="s">
        <v>3445</v>
      </c>
      <c r="B3444" s="1" t="s">
        <v>5</v>
      </c>
      <c r="C3444" s="2">
        <f>IFERROR(__xludf.DUMMYFUNCTION("IFERROR(VLOOKUP(A3444, IMPORTRANGE(""https://docs.google.com/spreadsheets/d/1AVX9GT0dgogEBStecCXMMQ29tWz3gBrtNB8yIromXbY/edit?gid=741673867"", ""out1g!A:B""), 2, FALSE), 0)"),49.0)</f>
        <v>49</v>
      </c>
      <c r="D3444" s="2" t="str">
        <f>IFERROR(__xludf.DUMMYFUNCTION("IFERROR(VLOOKUP(A3444, IMPORTRANGE(""https://docs.google.com/spreadsheets/d/1-3Vjw2Cyy-mry5gbC8ypIR3YVGFfEpyFESummAta6sg/edit"", ""Sheet1!B:D""), 2, FALSE), ""Not Found"")"),"ʃoʊ")</f>
        <v>ʃoʊ</v>
      </c>
      <c r="E3444" s="2" t="str">
        <f>IFERROR(__xludf.DUMMYFUNCTION("IFERROR(VLOOKUP(A3444, IMPORTRANGE(""https://docs.google.com/spreadsheets/d/1-3Vjw2Cyy-mry5gbC8ypIR3YVGFfEpyFESummAta6sg/edit"", ""Sheet1!B:D""), 3, FALSE), ""Not Found"")"),"ʃ o ʊ ")</f>
        <v>ʃ o ʊ </v>
      </c>
    </row>
    <row r="3445">
      <c r="A3445" s="1" t="s">
        <v>3446</v>
      </c>
      <c r="B3445" s="1" t="s">
        <v>5</v>
      </c>
      <c r="C3445" s="2">
        <f>IFERROR(__xludf.DUMMYFUNCTION("IFERROR(VLOOKUP(A3445, IMPORTRANGE(""https://docs.google.com/spreadsheets/d/1AVX9GT0dgogEBStecCXMMQ29tWz3gBrtNB8yIromXbY/edit?gid=741673867"", ""out1g!A:B""), 2, FALSE), 0)"),132.0)</f>
        <v>132</v>
      </c>
      <c r="D3445" s="2" t="str">
        <f>IFERROR(__xludf.DUMMYFUNCTION("IFERROR(VLOOKUP(A3445, IMPORTRANGE(""https://docs.google.com/spreadsheets/d/1-3Vjw2Cyy-mry5gbC8ypIR3YVGFfEpyFESummAta6sg/edit"", ""Sheet1!B:D""), 2, FALSE), ""Not Found"")"),"ʃəts")</f>
        <v>ʃəts</v>
      </c>
      <c r="E3445" s="2" t="str">
        <f>IFERROR(__xludf.DUMMYFUNCTION("IFERROR(VLOOKUP(A3445, IMPORTRANGE(""https://docs.google.com/spreadsheets/d/1-3Vjw2Cyy-mry5gbC8ypIR3YVGFfEpyFESummAta6sg/edit"", ""Sheet1!B:D""), 3, FALSE), ""Not Found"")"),"ʃ ə t s ")</f>
        <v>ʃ ə t s </v>
      </c>
    </row>
    <row r="3446">
      <c r="A3446" s="1" t="s">
        <v>3447</v>
      </c>
      <c r="B3446" s="1" t="s">
        <v>5</v>
      </c>
      <c r="C3446" s="2">
        <f>IFERROR(__xludf.DUMMYFUNCTION("IFERROR(VLOOKUP(A3446, IMPORTRANGE(""https://docs.google.com/spreadsheets/d/1AVX9GT0dgogEBStecCXMMQ29tWz3gBrtNB8yIromXbY/edit?gid=741673867"", ""out1g!A:B""), 2, FALSE), 0)"),70.0)</f>
        <v>70</v>
      </c>
      <c r="D3446" s="2" t="str">
        <f>IFERROR(__xludf.DUMMYFUNCTION("IFERROR(VLOOKUP(A3446, IMPORTRANGE(""https://docs.google.com/spreadsheets/d/1-3Vjw2Cyy-mry5gbC8ypIR3YVGFfEpyFESummAta6sg/edit"", ""Sheet1!B:D""), 2, FALSE), ""Not Found"")"),"troʊlz")</f>
        <v>troʊlz</v>
      </c>
      <c r="E3446" s="2" t="str">
        <f>IFERROR(__xludf.DUMMYFUNCTION("IFERROR(VLOOKUP(A3446, IMPORTRANGE(""https://docs.google.com/spreadsheets/d/1-3Vjw2Cyy-mry5gbC8ypIR3YVGFfEpyFESummAta6sg/edit"", ""Sheet1!B:D""), 3, FALSE), ""Not Found"")"),"t r o ʊ l z ")</f>
        <v>t r o ʊ l z </v>
      </c>
    </row>
    <row r="3447">
      <c r="A3447" s="1" t="s">
        <v>3448</v>
      </c>
      <c r="B3447" s="1" t="s">
        <v>5</v>
      </c>
      <c r="C3447" s="2">
        <f>IFERROR(__xludf.DUMMYFUNCTION("IFERROR(VLOOKUP(A3447, IMPORTRANGE(""https://docs.google.com/spreadsheets/d/1AVX9GT0dgogEBStecCXMMQ29tWz3gBrtNB8yIromXbY/edit?gid=741673867"", ""out1g!A:B""), 2, FALSE), 0)"),9877.0)</f>
        <v>9877</v>
      </c>
      <c r="D3447" s="2" t="str">
        <f>IFERROR(__xludf.DUMMYFUNCTION("IFERROR(VLOOKUP(A3447, IMPORTRANGE(""https://docs.google.com/spreadsheets/d/1-3Vjw2Cyy-mry5gbC8ypIR3YVGFfEpyFESummAta6sg/edit"", ""Sheet1!B:D""), 2, FALSE), ""Not Found"")"),"ʤɑn")</f>
        <v>ʤɑn</v>
      </c>
      <c r="E3447" s="2" t="str">
        <f>IFERROR(__xludf.DUMMYFUNCTION("IFERROR(VLOOKUP(A3447, IMPORTRANGE(""https://docs.google.com/spreadsheets/d/1-3Vjw2Cyy-mry5gbC8ypIR3YVGFfEpyFESummAta6sg/edit"", ""Sheet1!B:D""), 3, FALSE), ""Not Found"")"),"ʤ ɑ n ")</f>
        <v>ʤ ɑ n </v>
      </c>
    </row>
    <row r="3448">
      <c r="A3448" s="1" t="s">
        <v>3449</v>
      </c>
      <c r="B3448" s="1" t="s">
        <v>5</v>
      </c>
      <c r="C3448" s="2">
        <f>IFERROR(__xludf.DUMMYFUNCTION("IFERROR(VLOOKUP(A3448, IMPORTRANGE(""https://docs.google.com/spreadsheets/d/1AVX9GT0dgogEBStecCXMMQ29tWz3gBrtNB8yIromXbY/edit?gid=741673867"", ""out1g!A:B""), 2, FALSE), 0)"),155.0)</f>
        <v>155</v>
      </c>
      <c r="D3448" s="2" t="str">
        <f>IFERROR(__xludf.DUMMYFUNCTION("IFERROR(VLOOKUP(A3448, IMPORTRANGE(""https://docs.google.com/spreadsheets/d/1-3Vjw2Cyy-mry5gbC8ypIR3YVGFfEpyFESummAta6sg/edit"", ""Sheet1!B:D""), 2, FALSE), ""Not Found"")"),"brɪg")</f>
        <v>brɪg</v>
      </c>
      <c r="E3448" s="2" t="str">
        <f>IFERROR(__xludf.DUMMYFUNCTION("IFERROR(VLOOKUP(A3448, IMPORTRANGE(""https://docs.google.com/spreadsheets/d/1-3Vjw2Cyy-mry5gbC8ypIR3YVGFfEpyFESummAta6sg/edit"", ""Sheet1!B:D""), 3, FALSE), ""Not Found"")"),"b r ɪ g ")</f>
        <v>b r ɪ g </v>
      </c>
    </row>
    <row r="3449">
      <c r="A3449" s="1" t="s">
        <v>3450</v>
      </c>
      <c r="B3449" s="1" t="s">
        <v>5</v>
      </c>
      <c r="C3449" s="2">
        <f>IFERROR(__xludf.DUMMYFUNCTION("IFERROR(VLOOKUP(A3449, IMPORTRANGE(""https://docs.google.com/spreadsheets/d/1AVX9GT0dgogEBStecCXMMQ29tWz3gBrtNB8yIromXbY/edit?gid=741673867"", ""out1g!A:B""), 2, FALSE), 0)"),73766.0)</f>
        <v>73766</v>
      </c>
      <c r="D3449" s="2" t="str">
        <f>IFERROR(__xludf.DUMMYFUNCTION("IFERROR(VLOOKUP(A3449, IMPORTRANGE(""https://docs.google.com/spreadsheets/d/1-3Vjw2Cyy-mry5gbC8ypIR3YVGFfEpyFESummAta6sg/edit"", ""Sheet1!B:D""), 2, FALSE), ""Not Found"")"),"lɪtəl")</f>
        <v>lɪtəl</v>
      </c>
      <c r="E3449" s="2" t="str">
        <f>IFERROR(__xludf.DUMMYFUNCTION("IFERROR(VLOOKUP(A3449, IMPORTRANGE(""https://docs.google.com/spreadsheets/d/1-3Vjw2Cyy-mry5gbC8ypIR3YVGFfEpyFESummAta6sg/edit"", ""Sheet1!B:D""), 3, FALSE), ""Not Found"")"),"l ɪ t ə l ")</f>
        <v>l ɪ t ə l </v>
      </c>
    </row>
    <row r="3450">
      <c r="A3450" s="1" t="s">
        <v>3451</v>
      </c>
      <c r="B3450" s="1" t="s">
        <v>5</v>
      </c>
      <c r="C3450" s="2">
        <f>IFERROR(__xludf.DUMMYFUNCTION("IFERROR(VLOOKUP(A3450, IMPORTRANGE(""https://docs.google.com/spreadsheets/d/1AVX9GT0dgogEBStecCXMMQ29tWz3gBrtNB8yIromXbY/edit?gid=741673867"", ""out1g!A:B""), 2, FALSE), 0)"),21.0)</f>
        <v>21</v>
      </c>
      <c r="D3450" s="2" t="str">
        <f>IFERROR(__xludf.DUMMYFUNCTION("IFERROR(VLOOKUP(A3450, IMPORTRANGE(""https://docs.google.com/spreadsheets/d/1-3Vjw2Cyy-mry5gbC8ypIR3YVGFfEpyFESummAta6sg/edit"", ""Sheet1!B:D""), 2, FALSE), ""Not Found"")"),"kreɑn")</f>
        <v>kreɑn</v>
      </c>
      <c r="E3450" s="2" t="str">
        <f>IFERROR(__xludf.DUMMYFUNCTION("IFERROR(VLOOKUP(A3450, IMPORTRANGE(""https://docs.google.com/spreadsheets/d/1-3Vjw2Cyy-mry5gbC8ypIR3YVGFfEpyFESummAta6sg/edit"", ""Sheet1!B:D""), 3, FALSE), ""Not Found"")"),"k r e ɑ n ")</f>
        <v>k r e ɑ n </v>
      </c>
    </row>
    <row r="3451">
      <c r="A3451" s="1" t="s">
        <v>3452</v>
      </c>
      <c r="B3451" s="1" t="s">
        <v>5</v>
      </c>
      <c r="C3451" s="2">
        <f>IFERROR(__xludf.DUMMYFUNCTION("IFERROR(VLOOKUP(A3451, IMPORTRANGE(""https://docs.google.com/spreadsheets/d/1AVX9GT0dgogEBStecCXMMQ29tWz3gBrtNB8yIromXbY/edit?gid=741673867"", ""out1g!A:B""), 2, FALSE), 0)"),287.0)</f>
        <v>287</v>
      </c>
      <c r="D3451" s="2" t="str">
        <f>IFERROR(__xludf.DUMMYFUNCTION("IFERROR(VLOOKUP(A3451, IMPORTRANGE(""https://docs.google.com/spreadsheets/d/1-3Vjw2Cyy-mry5gbC8ypIR3YVGFfEpyFESummAta6sg/edit"", ""Sheet1!B:D""), 2, FALSE), ""Not Found"")"),"blemd")</f>
        <v>blemd</v>
      </c>
      <c r="E3451" s="2" t="str">
        <f>IFERROR(__xludf.DUMMYFUNCTION("IFERROR(VLOOKUP(A3451, IMPORTRANGE(""https://docs.google.com/spreadsheets/d/1-3Vjw2Cyy-mry5gbC8ypIR3YVGFfEpyFESummAta6sg/edit"", ""Sheet1!B:D""), 3, FALSE), ""Not Found"")"),"b l e m d ")</f>
        <v>b l e m d </v>
      </c>
    </row>
    <row r="3452">
      <c r="A3452" s="1" t="s">
        <v>3453</v>
      </c>
      <c r="B3452" s="1" t="s">
        <v>5</v>
      </c>
      <c r="C3452" s="2">
        <f>IFERROR(__xludf.DUMMYFUNCTION("IFERROR(VLOOKUP(A3452, IMPORTRANGE(""https://docs.google.com/spreadsheets/d/1AVX9GT0dgogEBStecCXMMQ29tWz3gBrtNB8yIromXbY/edit?gid=741673867"", ""out1g!A:B""), 2, FALSE), 0)"),12163.0)</f>
        <v>12163</v>
      </c>
      <c r="D3452" s="2" t="str">
        <f>IFERROR(__xludf.DUMMYFUNCTION("IFERROR(VLOOKUP(A3452, IMPORTRANGE(""https://docs.google.com/spreadsheets/d/1-3Vjw2Cyy-mry5gbC8ypIR3YVGFfEpyFESummAta6sg/edit"", ""Sheet1!B:D""), 2, FALSE), ""Not Found"")"),"mɛrid")</f>
        <v>mɛrid</v>
      </c>
      <c r="E3452" s="2" t="str">
        <f>IFERROR(__xludf.DUMMYFUNCTION("IFERROR(VLOOKUP(A3452, IMPORTRANGE(""https://docs.google.com/spreadsheets/d/1-3Vjw2Cyy-mry5gbC8ypIR3YVGFfEpyFESummAta6sg/edit"", ""Sheet1!B:D""), 3, FALSE), ""Not Found"")"),"m ɛ r i d ")</f>
        <v>m ɛ r i d </v>
      </c>
    </row>
    <row r="3453">
      <c r="A3453" s="1" t="s">
        <v>3454</v>
      </c>
      <c r="B3453" s="1" t="s">
        <v>5</v>
      </c>
      <c r="C3453" s="2">
        <f>IFERROR(__xludf.DUMMYFUNCTION("IFERROR(VLOOKUP(A3453, IMPORTRANGE(""https://docs.google.com/spreadsheets/d/1AVX9GT0dgogEBStecCXMMQ29tWz3gBrtNB8yIromXbY/edit?gid=741673867"", ""out1g!A:B""), 2, FALSE), 0)"),55.0)</f>
        <v>55</v>
      </c>
      <c r="D3453" s="2" t="str">
        <f>IFERROR(__xludf.DUMMYFUNCTION("IFERROR(VLOOKUP(A3453, IMPORTRANGE(""https://docs.google.com/spreadsheets/d/1-3Vjw2Cyy-mry5gbC8ypIR3YVGFfEpyFESummAta6sg/edit"", ""Sheet1!B:D""), 2, FALSE), ""Not Found"")"),"lutɪŋ")</f>
        <v>lutɪŋ</v>
      </c>
      <c r="E3453" s="2" t="str">
        <f>IFERROR(__xludf.DUMMYFUNCTION("IFERROR(VLOOKUP(A3453, IMPORTRANGE(""https://docs.google.com/spreadsheets/d/1-3Vjw2Cyy-mry5gbC8ypIR3YVGFfEpyFESummAta6sg/edit"", ""Sheet1!B:D""), 3, FALSE), ""Not Found"")"),"l u t ɪ ŋ ")</f>
        <v>l u t ɪ ŋ </v>
      </c>
    </row>
    <row r="3454">
      <c r="A3454" s="1" t="s">
        <v>3455</v>
      </c>
      <c r="B3454" s="1" t="s">
        <v>5</v>
      </c>
      <c r="C3454" s="2">
        <f>IFERROR(__xludf.DUMMYFUNCTION("IFERROR(VLOOKUP(A3454, IMPORTRANGE(""https://docs.google.com/spreadsheets/d/1AVX9GT0dgogEBStecCXMMQ29tWz3gBrtNB8yIromXbY/edit?gid=741673867"", ""out1g!A:B""), 2, FALSE), 0)"),48.0)</f>
        <v>48</v>
      </c>
      <c r="D3454" s="2" t="str">
        <f>IFERROR(__xludf.DUMMYFUNCTION("IFERROR(VLOOKUP(A3454, IMPORTRANGE(""https://docs.google.com/spreadsheets/d/1-3Vjw2Cyy-mry5gbC8ypIR3YVGFfEpyFESummAta6sg/edit"", ""Sheet1!B:D""), 2, FALSE), ""Not Found"")"),"stred")</f>
        <v>stred</v>
      </c>
      <c r="E3454" s="2" t="str">
        <f>IFERROR(__xludf.DUMMYFUNCTION("IFERROR(VLOOKUP(A3454, IMPORTRANGE(""https://docs.google.com/spreadsheets/d/1-3Vjw2Cyy-mry5gbC8ypIR3YVGFfEpyFESummAta6sg/edit"", ""Sheet1!B:D""), 3, FALSE), ""Not Found"")"),"s t r e d ")</f>
        <v>s t r e d </v>
      </c>
    </row>
    <row r="3455">
      <c r="A3455" s="1" t="s">
        <v>3456</v>
      </c>
      <c r="B3455" s="1" t="s">
        <v>5</v>
      </c>
      <c r="C3455" s="2">
        <f>IFERROR(__xludf.DUMMYFUNCTION("IFERROR(VLOOKUP(A3455, IMPORTRANGE(""https://docs.google.com/spreadsheets/d/1AVX9GT0dgogEBStecCXMMQ29tWz3gBrtNB8yIromXbY/edit?gid=741673867"", ""out1g!A:B""), 2, FALSE), 0)"),338.0)</f>
        <v>338</v>
      </c>
      <c r="D3455" s="2" t="str">
        <f>IFERROR(__xludf.DUMMYFUNCTION("IFERROR(VLOOKUP(A3455, IMPORTRANGE(""https://docs.google.com/spreadsheets/d/1-3Vjw2Cyy-mry5gbC8ypIR3YVGFfEpyFESummAta6sg/edit"", ""Sheet1!B:D""), 2, FALSE), ""Not Found"")"),"ʤɪpsi")</f>
        <v>ʤɪpsi</v>
      </c>
      <c r="E3455" s="2" t="str">
        <f>IFERROR(__xludf.DUMMYFUNCTION("IFERROR(VLOOKUP(A3455, IMPORTRANGE(""https://docs.google.com/spreadsheets/d/1-3Vjw2Cyy-mry5gbC8ypIR3YVGFfEpyFESummAta6sg/edit"", ""Sheet1!B:D""), 3, FALSE), ""Not Found"")"),"ʤ ɪ p s i ")</f>
        <v>ʤ ɪ p s i </v>
      </c>
    </row>
    <row r="3456">
      <c r="A3456" s="1" t="s">
        <v>3457</v>
      </c>
      <c r="B3456" s="1" t="s">
        <v>5</v>
      </c>
      <c r="C3456" s="2">
        <f>IFERROR(__xludf.DUMMYFUNCTION("IFERROR(VLOOKUP(A3456, IMPORTRANGE(""https://docs.google.com/spreadsheets/d/1AVX9GT0dgogEBStecCXMMQ29tWz3gBrtNB8yIromXbY/edit?gid=741673867"", ""out1g!A:B""), 2, FALSE), 0)"),8545.0)</f>
        <v>8545</v>
      </c>
      <c r="D3456" s="2" t="str">
        <f>IFERROR(__xludf.DUMMYFUNCTION("IFERROR(VLOOKUP(A3456, IMPORTRANGE(""https://docs.google.com/spreadsheets/d/1-3Vjw2Cyy-mry5gbC8ypIR3YVGFfEpyFESummAta6sg/edit"", ""Sheet1!B:D""), 2, FALSE), ""Not Found"")"),"simz")</f>
        <v>simz</v>
      </c>
      <c r="E3456" s="2" t="str">
        <f>IFERROR(__xludf.DUMMYFUNCTION("IFERROR(VLOOKUP(A3456, IMPORTRANGE(""https://docs.google.com/spreadsheets/d/1-3Vjw2Cyy-mry5gbC8ypIR3YVGFfEpyFESummAta6sg/edit"", ""Sheet1!B:D""), 3, FALSE), ""Not Found"")"),"s i m z ")</f>
        <v>s i m z </v>
      </c>
    </row>
    <row r="3457">
      <c r="A3457" s="1" t="s">
        <v>3458</v>
      </c>
      <c r="B3457" s="1" t="s">
        <v>5</v>
      </c>
      <c r="C3457" s="2">
        <f>IFERROR(__xludf.DUMMYFUNCTION("IFERROR(VLOOKUP(A3457, IMPORTRANGE(""https://docs.google.com/spreadsheets/d/1AVX9GT0dgogEBStecCXMMQ29tWz3gBrtNB8yIromXbY/edit?gid=741673867"", ""out1g!A:B""), 2, FALSE), 0)"),119.0)</f>
        <v>119</v>
      </c>
      <c r="D3457" s="2" t="str">
        <f>IFERROR(__xludf.DUMMYFUNCTION("IFERROR(VLOOKUP(A3457, IMPORTRANGE(""https://docs.google.com/spreadsheets/d/1-3Vjw2Cyy-mry5gbC8ypIR3YVGFfEpyFESummAta6sg/edit"", ""Sheet1!B:D""), 2, FALSE), ""Not Found"")"),"bərstɪŋ")</f>
        <v>bərstɪŋ</v>
      </c>
      <c r="E3457" s="2" t="str">
        <f>IFERROR(__xludf.DUMMYFUNCTION("IFERROR(VLOOKUP(A3457, IMPORTRANGE(""https://docs.google.com/spreadsheets/d/1-3Vjw2Cyy-mry5gbC8ypIR3YVGFfEpyFESummAta6sg/edit"", ""Sheet1!B:D""), 3, FALSE), ""Not Found"")"),"b ə r s t ɪ ŋ ")</f>
        <v>b ə r s t ɪ ŋ </v>
      </c>
    </row>
    <row r="3458">
      <c r="A3458" s="1" t="s">
        <v>3459</v>
      </c>
      <c r="B3458" s="1" t="s">
        <v>5</v>
      </c>
      <c r="C3458" s="2">
        <f>IFERROR(__xludf.DUMMYFUNCTION("IFERROR(VLOOKUP(A3458, IMPORTRANGE(""https://docs.google.com/spreadsheets/d/1AVX9GT0dgogEBStecCXMMQ29tWz3gBrtNB8yIromXbY/edit?gid=741673867"", ""out1g!A:B""), 2, FALSE), 0)"),196.0)</f>
        <v>196</v>
      </c>
      <c r="D3458" s="2" t="str">
        <f>IFERROR(__xludf.DUMMYFUNCTION("IFERROR(VLOOKUP(A3458, IMPORTRANGE(""https://docs.google.com/spreadsheets/d/1-3Vjw2Cyy-mry5gbC8ypIR3YVGFfEpyFESummAta6sg/edit"", ""Sheet1!B:D""), 2, FALSE), ""Not Found"")"),"vɑz")</f>
        <v>vɑz</v>
      </c>
      <c r="E3458" s="2" t="str">
        <f>IFERROR(__xludf.DUMMYFUNCTION("IFERROR(VLOOKUP(A3458, IMPORTRANGE(""https://docs.google.com/spreadsheets/d/1-3Vjw2Cyy-mry5gbC8ypIR3YVGFfEpyFESummAta6sg/edit"", ""Sheet1!B:D""), 3, FALSE), ""Not Found"")"),"v ɑ z ")</f>
        <v>v ɑ z </v>
      </c>
    </row>
    <row r="3459">
      <c r="A3459" s="1" t="s">
        <v>3460</v>
      </c>
      <c r="B3459" s="1" t="s">
        <v>5</v>
      </c>
      <c r="C3459" s="2">
        <f>IFERROR(__xludf.DUMMYFUNCTION("IFERROR(VLOOKUP(A3459, IMPORTRANGE(""https://docs.google.com/spreadsheets/d/1AVX9GT0dgogEBStecCXMMQ29tWz3gBrtNB8yIromXbY/edit?gid=741673867"", ""out1g!A:B""), 2, FALSE), 0)"),79.0)</f>
        <v>79</v>
      </c>
      <c r="D3459" s="2" t="str">
        <f>IFERROR(__xludf.DUMMYFUNCTION("IFERROR(VLOOKUP(A3459, IMPORTRANGE(""https://docs.google.com/spreadsheets/d/1-3Vjw2Cyy-mry5gbC8ypIR3YVGFfEpyFESummAta6sg/edit"", ""Sheet1!B:D""), 2, FALSE), ""Not Found"")"),"heti")</f>
        <v>heti</v>
      </c>
      <c r="E3459" s="2" t="str">
        <f>IFERROR(__xludf.DUMMYFUNCTION("IFERROR(VLOOKUP(A3459, IMPORTRANGE(""https://docs.google.com/spreadsheets/d/1-3Vjw2Cyy-mry5gbC8ypIR3YVGFfEpyFESummAta6sg/edit"", ""Sheet1!B:D""), 3, FALSE), ""Not Found"")"),"h e t i ")</f>
        <v>h e t i </v>
      </c>
    </row>
    <row r="3460">
      <c r="A3460" s="1" t="s">
        <v>3461</v>
      </c>
      <c r="B3460" s="1" t="s">
        <v>5</v>
      </c>
      <c r="C3460" s="2">
        <f>IFERROR(__xludf.DUMMYFUNCTION("IFERROR(VLOOKUP(A3460, IMPORTRANGE(""https://docs.google.com/spreadsheets/d/1AVX9GT0dgogEBStecCXMMQ29tWz3gBrtNB8yIromXbY/edit?gid=741673867"", ""out1g!A:B""), 2, FALSE), 0)"),35337.0)</f>
        <v>35337</v>
      </c>
      <c r="D3460" s="2" t="str">
        <f>IFERROR(__xludf.DUMMYFUNCTION("IFERROR(VLOOKUP(A3460, IMPORTRANGE(""https://docs.google.com/spreadsheets/d/1-3Vjw2Cyy-mry5gbC8ypIR3YVGFfEpyFESummAta6sg/edit"", ""Sheet1!B:D""), 2, FALSE), ""Not Found"")"),"θɪŋz")</f>
        <v>θɪŋz</v>
      </c>
      <c r="E3460" s="2" t="str">
        <f>IFERROR(__xludf.DUMMYFUNCTION("IFERROR(VLOOKUP(A3460, IMPORTRANGE(""https://docs.google.com/spreadsheets/d/1-3Vjw2Cyy-mry5gbC8ypIR3YVGFfEpyFESummAta6sg/edit"", ""Sheet1!B:D""), 3, FALSE), ""Not Found"")"),"θ ɪ ŋ z ")</f>
        <v>θ ɪ ŋ z </v>
      </c>
    </row>
    <row r="3461">
      <c r="A3461" s="1" t="s">
        <v>3462</v>
      </c>
      <c r="B3461" s="1" t="s">
        <v>5</v>
      </c>
      <c r="C3461" s="2">
        <f>IFERROR(__xludf.DUMMYFUNCTION("IFERROR(VLOOKUP(A3461, IMPORTRANGE(""https://docs.google.com/spreadsheets/d/1AVX9GT0dgogEBStecCXMMQ29tWz3gBrtNB8yIromXbY/edit?gid=741673867"", ""out1g!A:B""), 2, FALSE), 0)"),28.0)</f>
        <v>28</v>
      </c>
      <c r="D3461" s="2" t="str">
        <f>IFERROR(__xludf.DUMMYFUNCTION("IFERROR(VLOOKUP(A3461, IMPORTRANGE(""https://docs.google.com/spreadsheets/d/1-3Vjw2Cyy-mry5gbC8ypIR3YVGFfEpyFESummAta6sg/edit"", ""Sheet1!B:D""), 2, FALSE), ""Not Found"")"),"flɪnʧt")</f>
        <v>flɪnʧt</v>
      </c>
      <c r="E3461" s="2" t="str">
        <f>IFERROR(__xludf.DUMMYFUNCTION("IFERROR(VLOOKUP(A3461, IMPORTRANGE(""https://docs.google.com/spreadsheets/d/1-3Vjw2Cyy-mry5gbC8ypIR3YVGFfEpyFESummAta6sg/edit"", ""Sheet1!B:D""), 3, FALSE), ""Not Found"")"),"f l ɪ n ʧ t ")</f>
        <v>f l ɪ n ʧ t </v>
      </c>
    </row>
    <row r="3462">
      <c r="A3462" s="1" t="s">
        <v>3463</v>
      </c>
      <c r="B3462" s="1" t="s">
        <v>5</v>
      </c>
      <c r="C3462" s="2">
        <f>IFERROR(__xludf.DUMMYFUNCTION("IFERROR(VLOOKUP(A3462, IMPORTRANGE(""https://docs.google.com/spreadsheets/d/1AVX9GT0dgogEBStecCXMMQ29tWz3gBrtNB8yIromXbY/edit?gid=741673867"", ""out1g!A:B""), 2, FALSE), 0)"),130.0)</f>
        <v>130</v>
      </c>
      <c r="D3462" s="2" t="str">
        <f>IFERROR(__xludf.DUMMYFUNCTION("IFERROR(VLOOKUP(A3462, IMPORTRANGE(""https://docs.google.com/spreadsheets/d/1-3Vjw2Cyy-mry5gbC8ypIR3YVGFfEpyFESummAta6sg/edit"", ""Sheet1!B:D""), 2, FALSE), ""Not Found"")"),"krəmz")</f>
        <v>krəmz</v>
      </c>
      <c r="E3462" s="2" t="str">
        <f>IFERROR(__xludf.DUMMYFUNCTION("IFERROR(VLOOKUP(A3462, IMPORTRANGE(""https://docs.google.com/spreadsheets/d/1-3Vjw2Cyy-mry5gbC8ypIR3YVGFfEpyFESummAta6sg/edit"", ""Sheet1!B:D""), 3, FALSE), ""Not Found"")"),"k r ə m z ")</f>
        <v>k r ə m z </v>
      </c>
    </row>
    <row r="3463">
      <c r="A3463" s="1" t="s">
        <v>3464</v>
      </c>
      <c r="B3463" s="1" t="s">
        <v>5</v>
      </c>
      <c r="C3463" s="2">
        <f>IFERROR(__xludf.DUMMYFUNCTION("IFERROR(VLOOKUP(A3463, IMPORTRANGE(""https://docs.google.com/spreadsheets/d/1AVX9GT0dgogEBStecCXMMQ29tWz3gBrtNB8yIromXbY/edit?gid=741673867"", ""out1g!A:B""), 2, FALSE), 0)"),51.0)</f>
        <v>51</v>
      </c>
      <c r="D3463" s="2" t="str">
        <f>IFERROR(__xludf.DUMMYFUNCTION("IFERROR(VLOOKUP(A3463, IMPORTRANGE(""https://docs.google.com/spreadsheets/d/1-3Vjw2Cyy-mry5gbC8ypIR3YVGFfEpyFESummAta6sg/edit"", ""Sheet1!B:D""), 2, FALSE), ""Not Found"")"),"gɔlt")</f>
        <v>gɔlt</v>
      </c>
      <c r="E3463" s="2" t="str">
        <f>IFERROR(__xludf.DUMMYFUNCTION("IFERROR(VLOOKUP(A3463, IMPORTRANGE(""https://docs.google.com/spreadsheets/d/1-3Vjw2Cyy-mry5gbC8ypIR3YVGFfEpyFESummAta6sg/edit"", ""Sheet1!B:D""), 3, FALSE), ""Not Found"")"),"g ɔ l t ")</f>
        <v>g ɔ l t </v>
      </c>
    </row>
    <row r="3464">
      <c r="A3464" s="1" t="s">
        <v>3465</v>
      </c>
      <c r="B3464" s="1" t="s">
        <v>5</v>
      </c>
      <c r="C3464" s="2">
        <f>IFERROR(__xludf.DUMMYFUNCTION("IFERROR(VLOOKUP(A3464, IMPORTRANGE(""https://docs.google.com/spreadsheets/d/1AVX9GT0dgogEBStecCXMMQ29tWz3gBrtNB8yIromXbY/edit?gid=741673867"", ""out1g!A:B""), 2, FALSE), 0)"),56.0)</f>
        <v>56</v>
      </c>
      <c r="D3464" s="2" t="str">
        <f>IFERROR(__xludf.DUMMYFUNCTION("IFERROR(VLOOKUP(A3464, IMPORTRANGE(""https://docs.google.com/spreadsheets/d/1-3Vjw2Cyy-mry5gbC8ypIR3YVGFfEpyFESummAta6sg/edit"", ""Sheet1!B:D""), 2, FALSE), ""Not Found"")"),"flər")</f>
        <v>flər</v>
      </c>
      <c r="E3464" s="2" t="str">
        <f>IFERROR(__xludf.DUMMYFUNCTION("IFERROR(VLOOKUP(A3464, IMPORTRANGE(""https://docs.google.com/spreadsheets/d/1-3Vjw2Cyy-mry5gbC8ypIR3YVGFfEpyFESummAta6sg/edit"", ""Sheet1!B:D""), 3, FALSE), ""Not Found"")"),"f l ə r ")</f>
        <v>f l ə r </v>
      </c>
    </row>
    <row r="3465">
      <c r="A3465" s="1" t="s">
        <v>3466</v>
      </c>
      <c r="B3465" s="1" t="s">
        <v>5</v>
      </c>
      <c r="C3465" s="2">
        <f>IFERROR(__xludf.DUMMYFUNCTION("IFERROR(VLOOKUP(A3465, IMPORTRANGE(""https://docs.google.com/spreadsheets/d/1AVX9GT0dgogEBStecCXMMQ29tWz3gBrtNB8yIromXbY/edit?gid=741673867"", ""out1g!A:B""), 2, FALSE), 0)"),101.0)</f>
        <v>101</v>
      </c>
      <c r="D3465" s="2" t="str">
        <f>IFERROR(__xludf.DUMMYFUNCTION("IFERROR(VLOOKUP(A3465, IMPORTRANGE(""https://docs.google.com/spreadsheets/d/1-3Vjw2Cyy-mry5gbC8ypIR3YVGFfEpyFESummAta6sg/edit"", ""Sheet1!B:D""), 2, FALSE), ""Not Found"")"),"gɔl")</f>
        <v>gɔl</v>
      </c>
      <c r="E3465" s="2" t="str">
        <f>IFERROR(__xludf.DUMMYFUNCTION("IFERROR(VLOOKUP(A3465, IMPORTRANGE(""https://docs.google.com/spreadsheets/d/1-3Vjw2Cyy-mry5gbC8ypIR3YVGFfEpyFESummAta6sg/edit"", ""Sheet1!B:D""), 3, FALSE), ""Not Found"")"),"g ɔ l ")</f>
        <v>g ɔ l </v>
      </c>
    </row>
    <row r="3466">
      <c r="A3466" s="1" t="s">
        <v>3467</v>
      </c>
      <c r="B3466" s="1" t="s">
        <v>5</v>
      </c>
      <c r="C3466" s="2">
        <f>IFERROR(__xludf.DUMMYFUNCTION("IFERROR(VLOOKUP(A3466, IMPORTRANGE(""https://docs.google.com/spreadsheets/d/1AVX9GT0dgogEBStecCXMMQ29tWz3gBrtNB8yIromXbY/edit?gid=741673867"", ""out1g!A:B""), 2, FALSE), 0)"),153.0)</f>
        <v>153</v>
      </c>
      <c r="D3466" s="2" t="str">
        <f>IFERROR(__xludf.DUMMYFUNCTION("IFERROR(VLOOKUP(A3466, IMPORTRANGE(""https://docs.google.com/spreadsheets/d/1-3Vjw2Cyy-mry5gbC8ypIR3YVGFfEpyFESummAta6sg/edit"", ""Sheet1!B:D""), 2, FALSE), ""Not Found"")"),"mɛloʊ")</f>
        <v>mɛloʊ</v>
      </c>
      <c r="E3466" s="2" t="str">
        <f>IFERROR(__xludf.DUMMYFUNCTION("IFERROR(VLOOKUP(A3466, IMPORTRANGE(""https://docs.google.com/spreadsheets/d/1-3Vjw2Cyy-mry5gbC8ypIR3YVGFfEpyFESummAta6sg/edit"", ""Sheet1!B:D""), 3, FALSE), ""Not Found"")"),"m ɛ l o ʊ ")</f>
        <v>m ɛ l o ʊ </v>
      </c>
    </row>
    <row r="3467">
      <c r="A3467" s="1" t="s">
        <v>3468</v>
      </c>
      <c r="B3467" s="1" t="s">
        <v>5</v>
      </c>
      <c r="C3467" s="2">
        <f>IFERROR(__xludf.DUMMYFUNCTION("IFERROR(VLOOKUP(A3467, IMPORTRANGE(""https://docs.google.com/spreadsheets/d/1AVX9GT0dgogEBStecCXMMQ29tWz3gBrtNB8yIromXbY/edit?gid=741673867"", ""out1g!A:B""), 2, FALSE), 0)"),697.0)</f>
        <v>697</v>
      </c>
      <c r="D3467" s="2" t="str">
        <f>IFERROR(__xludf.DUMMYFUNCTION("IFERROR(VLOOKUP(A3467, IMPORTRANGE(""https://docs.google.com/spreadsheets/d/1-3Vjw2Cyy-mry5gbC8ypIR3YVGFfEpyFESummAta6sg/edit"", ""Sheet1!B:D""), 2, FALSE), ""Not Found"")"),"grænɪd")</f>
        <v>grænɪd</v>
      </c>
      <c r="E3467" s="2" t="str">
        <f>IFERROR(__xludf.DUMMYFUNCTION("IFERROR(VLOOKUP(A3467, IMPORTRANGE(""https://docs.google.com/spreadsheets/d/1-3Vjw2Cyy-mry5gbC8ypIR3YVGFfEpyFESummAta6sg/edit"", ""Sheet1!B:D""), 3, FALSE), ""Not Found"")"),"g r æ n ɪ d ")</f>
        <v>g r æ n ɪ d </v>
      </c>
    </row>
    <row r="3468">
      <c r="A3468" s="1" t="s">
        <v>3469</v>
      </c>
      <c r="B3468" s="1" t="s">
        <v>5</v>
      </c>
      <c r="C3468" s="2">
        <f>IFERROR(__xludf.DUMMYFUNCTION("IFERROR(VLOOKUP(A3468, IMPORTRANGE(""https://docs.google.com/spreadsheets/d/1AVX9GT0dgogEBStecCXMMQ29tWz3gBrtNB8yIromXbY/edit?gid=741673867"", ""out1g!A:B""), 2, FALSE), 0)"),19.0)</f>
        <v>19</v>
      </c>
      <c r="D3468" s="2" t="str">
        <f>IFERROR(__xludf.DUMMYFUNCTION("IFERROR(VLOOKUP(A3468, IMPORTRANGE(""https://docs.google.com/spreadsheets/d/1-3Vjw2Cyy-mry5gbC8ypIR3YVGFfEpyFESummAta6sg/edit"", ""Sheet1!B:D""), 2, FALSE), ""Not Found"")"),"sɛtər")</f>
        <v>sɛtər</v>
      </c>
      <c r="E3468" s="2" t="str">
        <f>IFERROR(__xludf.DUMMYFUNCTION("IFERROR(VLOOKUP(A3468, IMPORTRANGE(""https://docs.google.com/spreadsheets/d/1-3Vjw2Cyy-mry5gbC8ypIR3YVGFfEpyFESummAta6sg/edit"", ""Sheet1!B:D""), 3, FALSE), ""Not Found"")"),"s ɛ t ə r ")</f>
        <v>s ɛ t ə r </v>
      </c>
    </row>
    <row r="3469">
      <c r="A3469" s="1" t="s">
        <v>3470</v>
      </c>
      <c r="B3469" s="1" t="s">
        <v>5</v>
      </c>
      <c r="C3469" s="2">
        <f>IFERROR(__xludf.DUMMYFUNCTION("IFERROR(VLOOKUP(A3469, IMPORTRANGE(""https://docs.google.com/spreadsheets/d/1AVX9GT0dgogEBStecCXMMQ29tWz3gBrtNB8yIromXbY/edit?gid=741673867"", ""out1g!A:B""), 2, FALSE), 0)"),4063.0)</f>
        <v>4063</v>
      </c>
      <c r="D3469" s="2" t="str">
        <f>IFERROR(__xludf.DUMMYFUNCTION("IFERROR(VLOOKUP(A3469, IMPORTRANGE(""https://docs.google.com/spreadsheets/d/1-3Vjw2Cyy-mry5gbC8ypIR3YVGFfEpyFESummAta6sg/edit"", ""Sheet1!B:D""), 2, FALSE), ""Not Found"")"),"ʤəʤ")</f>
        <v>ʤəʤ</v>
      </c>
      <c r="E3469" s="2" t="str">
        <f>IFERROR(__xludf.DUMMYFUNCTION("IFERROR(VLOOKUP(A3469, IMPORTRANGE(""https://docs.google.com/spreadsheets/d/1-3Vjw2Cyy-mry5gbC8ypIR3YVGFfEpyFESummAta6sg/edit"", ""Sheet1!B:D""), 3, FALSE), ""Not Found"")"),"ʤ ə ʤ ")</f>
        <v>ʤ ə ʤ </v>
      </c>
    </row>
    <row r="3470">
      <c r="A3470" s="1" t="s">
        <v>3471</v>
      </c>
      <c r="B3470" s="1" t="s">
        <v>5</v>
      </c>
      <c r="C3470" s="2">
        <f>IFERROR(__xludf.DUMMYFUNCTION("IFERROR(VLOOKUP(A3470, IMPORTRANGE(""https://docs.google.com/spreadsheets/d/1AVX9GT0dgogEBStecCXMMQ29tWz3gBrtNB8yIromXbY/edit?gid=741673867"", ""out1g!A:B""), 2, FALSE), 0)"),927.0)</f>
        <v>927</v>
      </c>
      <c r="D3470" s="2" t="str">
        <f>IFERROR(__xludf.DUMMYFUNCTION("IFERROR(VLOOKUP(A3470, IMPORTRANGE(""https://docs.google.com/spreadsheets/d/1-3Vjw2Cyy-mry5gbC8ypIR3YVGFfEpyFESummAta6sg/edit"", ""Sheet1!B:D""), 2, FALSE), ""Not Found"")"),"ʤɪm")</f>
        <v>ʤɪm</v>
      </c>
      <c r="E3470" s="2" t="str">
        <f>IFERROR(__xludf.DUMMYFUNCTION("IFERROR(VLOOKUP(A3470, IMPORTRANGE(""https://docs.google.com/spreadsheets/d/1-3Vjw2Cyy-mry5gbC8ypIR3YVGFfEpyFESummAta6sg/edit"", ""Sheet1!B:D""), 3, FALSE), ""Not Found"")"),"ʤ ɪ m ")</f>
        <v>ʤ ɪ m </v>
      </c>
    </row>
    <row r="3471">
      <c r="A3471" s="1" t="s">
        <v>3472</v>
      </c>
      <c r="B3471" s="1" t="s">
        <v>5</v>
      </c>
      <c r="C3471" s="2">
        <f>IFERROR(__xludf.DUMMYFUNCTION("IFERROR(VLOOKUP(A3471, IMPORTRANGE(""https://docs.google.com/spreadsheets/d/1AVX9GT0dgogEBStecCXMMQ29tWz3gBrtNB8yIromXbY/edit?gid=741673867"", ""out1g!A:B""), 2, FALSE), 0)"),105.0)</f>
        <v>105</v>
      </c>
      <c r="D3471" s="2" t="str">
        <f>IFERROR(__xludf.DUMMYFUNCTION("IFERROR(VLOOKUP(A3471, IMPORTRANGE(""https://docs.google.com/spreadsheets/d/1-3Vjw2Cyy-mry5gbC8ypIR3YVGFfEpyFESummAta6sg/edit"", ""Sheet1!B:D""), 2, FALSE), ""Not Found"")"),"oʊts")</f>
        <v>oʊts</v>
      </c>
      <c r="E3471" s="2" t="str">
        <f>IFERROR(__xludf.DUMMYFUNCTION("IFERROR(VLOOKUP(A3471, IMPORTRANGE(""https://docs.google.com/spreadsheets/d/1-3Vjw2Cyy-mry5gbC8ypIR3YVGFfEpyFESummAta6sg/edit"", ""Sheet1!B:D""), 3, FALSE), ""Not Found"")"),"o ʊ t s ")</f>
        <v>o ʊ t s </v>
      </c>
    </row>
    <row r="3472">
      <c r="A3472" s="1" t="s">
        <v>3473</v>
      </c>
      <c r="B3472" s="1" t="s">
        <v>5</v>
      </c>
      <c r="C3472" s="2">
        <f>IFERROR(__xludf.DUMMYFUNCTION("IFERROR(VLOOKUP(A3472, IMPORTRANGE(""https://docs.google.com/spreadsheets/d/1AVX9GT0dgogEBStecCXMMQ29tWz3gBrtNB8yIromXbY/edit?gid=741673867"", ""out1g!A:B""), 2, FALSE), 0)"),91.0)</f>
        <v>91</v>
      </c>
      <c r="D3472" s="2" t="str">
        <f>IFERROR(__xludf.DUMMYFUNCTION("IFERROR(VLOOKUP(A3472, IMPORTRANGE(""https://docs.google.com/spreadsheets/d/1-3Vjw2Cyy-mry5gbC8ypIR3YVGFfEpyFESummAta6sg/edit"", ""Sheet1!B:D""), 2, FALSE), ""Not Found"")"),"bɪti")</f>
        <v>bɪti</v>
      </c>
      <c r="E3472" s="2" t="str">
        <f>IFERROR(__xludf.DUMMYFUNCTION("IFERROR(VLOOKUP(A3472, IMPORTRANGE(""https://docs.google.com/spreadsheets/d/1-3Vjw2Cyy-mry5gbC8ypIR3YVGFfEpyFESummAta6sg/edit"", ""Sheet1!B:D""), 3, FALSE), ""Not Found"")"),"b ɪ t i ")</f>
        <v>b ɪ t i </v>
      </c>
    </row>
    <row r="3473">
      <c r="A3473" s="1" t="s">
        <v>3474</v>
      </c>
      <c r="B3473" s="1" t="s">
        <v>5</v>
      </c>
      <c r="C3473" s="2">
        <f>IFERROR(__xludf.DUMMYFUNCTION("IFERROR(VLOOKUP(A3473, IMPORTRANGE(""https://docs.google.com/spreadsheets/d/1AVX9GT0dgogEBStecCXMMQ29tWz3gBrtNB8yIromXbY/edit?gid=741673867"", ""out1g!A:B""), 2, FALSE), 0)"),508.0)</f>
        <v>508</v>
      </c>
      <c r="D3473" s="2" t="str">
        <f>IFERROR(__xludf.DUMMYFUNCTION("IFERROR(VLOOKUP(A3473, IMPORTRANGE(""https://docs.google.com/spreadsheets/d/1-3Vjw2Cyy-mry5gbC8ypIR3YVGFfEpyFESummAta6sg/edit"", ""Sheet1!B:D""), 2, FALSE), ""Not Found"")"),"stɛr")</f>
        <v>stɛr</v>
      </c>
      <c r="E3473" s="2" t="str">
        <f>IFERROR(__xludf.DUMMYFUNCTION("IFERROR(VLOOKUP(A3473, IMPORTRANGE(""https://docs.google.com/spreadsheets/d/1-3Vjw2Cyy-mry5gbC8ypIR3YVGFfEpyFESummAta6sg/edit"", ""Sheet1!B:D""), 3, FALSE), ""Not Found"")"),"s t ɛ r ")</f>
        <v>s t ɛ r </v>
      </c>
    </row>
    <row r="3474">
      <c r="A3474" s="1" t="s">
        <v>3475</v>
      </c>
      <c r="B3474" s="1" t="s">
        <v>5</v>
      </c>
      <c r="C3474" s="2">
        <f>IFERROR(__xludf.DUMMYFUNCTION("IFERROR(VLOOKUP(A3474, IMPORTRANGE(""https://docs.google.com/spreadsheets/d/1AVX9GT0dgogEBStecCXMMQ29tWz3gBrtNB8yIromXbY/edit?gid=741673867"", ""out1g!A:B""), 2, FALSE), 0)"),1028.0)</f>
        <v>1028</v>
      </c>
      <c r="D3474" s="2" t="str">
        <f>IFERROR(__xludf.DUMMYFUNCTION("IFERROR(VLOOKUP(A3474, IMPORTRANGE(""https://docs.google.com/spreadsheets/d/1-3Vjw2Cyy-mry5gbC8ypIR3YVGFfEpyFESummAta6sg/edit"", ""Sheet1!B:D""), 2, FALSE), ""Not Found"")"),"sɪriz")</f>
        <v>sɪriz</v>
      </c>
      <c r="E3474" s="2" t="str">
        <f>IFERROR(__xludf.DUMMYFUNCTION("IFERROR(VLOOKUP(A3474, IMPORTRANGE(""https://docs.google.com/spreadsheets/d/1-3Vjw2Cyy-mry5gbC8ypIR3YVGFfEpyFESummAta6sg/edit"", ""Sheet1!B:D""), 3, FALSE), ""Not Found"")"),"s ɪ r i z ")</f>
        <v>s ɪ r i z </v>
      </c>
    </row>
    <row r="3475">
      <c r="A3475" s="1" t="s">
        <v>3476</v>
      </c>
      <c r="B3475" s="1" t="s">
        <v>5</v>
      </c>
      <c r="C3475" s="2">
        <f>IFERROR(__xludf.DUMMYFUNCTION("IFERROR(VLOOKUP(A3475, IMPORTRANGE(""https://docs.google.com/spreadsheets/d/1AVX9GT0dgogEBStecCXMMQ29tWz3gBrtNB8yIromXbY/edit?gid=741673867"", ""out1g!A:B""), 2, FALSE), 0)"),261.0)</f>
        <v>261</v>
      </c>
      <c r="D3475" s="2" t="str">
        <f>IFERROR(__xludf.DUMMYFUNCTION("IFERROR(VLOOKUP(A3475, IMPORTRANGE(""https://docs.google.com/spreadsheets/d/1-3Vjw2Cyy-mry5gbC8ypIR3YVGFfEpyFESummAta6sg/edit"", ""Sheet1!B:D""), 2, FALSE), ""Not Found"")"),"əmezd")</f>
        <v>əmezd</v>
      </c>
      <c r="E3475" s="2" t="str">
        <f>IFERROR(__xludf.DUMMYFUNCTION("IFERROR(VLOOKUP(A3475, IMPORTRANGE(""https://docs.google.com/spreadsheets/d/1-3Vjw2Cyy-mry5gbC8ypIR3YVGFfEpyFESummAta6sg/edit"", ""Sheet1!B:D""), 3, FALSE), ""Not Found"")"),"ə m e z d ")</f>
        <v>ə m e z d </v>
      </c>
    </row>
    <row r="3476">
      <c r="A3476" s="1" t="s">
        <v>3477</v>
      </c>
      <c r="B3476" s="1" t="s">
        <v>5</v>
      </c>
      <c r="C3476" s="2">
        <f>IFERROR(__xludf.DUMMYFUNCTION("IFERROR(VLOOKUP(A3476, IMPORTRANGE(""https://docs.google.com/spreadsheets/d/1AVX9GT0dgogEBStecCXMMQ29tWz3gBrtNB8yIromXbY/edit?gid=741673867"", ""out1g!A:B""), 2, FALSE), 0)"),92.0)</f>
        <v>92</v>
      </c>
      <c r="D3476" s="2" t="str">
        <f>IFERROR(__xludf.DUMMYFUNCTION("IFERROR(VLOOKUP(A3476, IMPORTRANGE(""https://docs.google.com/spreadsheets/d/1-3Vjw2Cyy-mry5gbC8ypIR3YVGFfEpyFESummAta6sg/edit"", ""Sheet1!B:D""), 2, FALSE), ""Not Found"")"),"rɑdz")</f>
        <v>rɑdz</v>
      </c>
      <c r="E3476" s="2" t="str">
        <f>IFERROR(__xludf.DUMMYFUNCTION("IFERROR(VLOOKUP(A3476, IMPORTRANGE(""https://docs.google.com/spreadsheets/d/1-3Vjw2Cyy-mry5gbC8ypIR3YVGFfEpyFESummAta6sg/edit"", ""Sheet1!B:D""), 3, FALSE), ""Not Found"")"),"r ɑ d z ")</f>
        <v>r ɑ d z </v>
      </c>
    </row>
    <row r="3477">
      <c r="A3477" s="1" t="s">
        <v>3478</v>
      </c>
      <c r="B3477" s="1" t="s">
        <v>5</v>
      </c>
      <c r="C3477" s="2">
        <f>IFERROR(__xludf.DUMMYFUNCTION("IFERROR(VLOOKUP(A3477, IMPORTRANGE(""https://docs.google.com/spreadsheets/d/1AVX9GT0dgogEBStecCXMMQ29tWz3gBrtNB8yIromXbY/edit?gid=741673867"", ""out1g!A:B""), 2, FALSE), 0)"),407.0)</f>
        <v>407</v>
      </c>
      <c r="D3477" s="2" t="str">
        <f>IFERROR(__xludf.DUMMYFUNCTION("IFERROR(VLOOKUP(A3477, IMPORTRANGE(""https://docs.google.com/spreadsheets/d/1-3Vjw2Cyy-mry5gbC8ypIR3YVGFfEpyFESummAta6sg/edit"", ""Sheet1!B:D""), 2, FALSE), ""Not Found"")"),"dɛb")</f>
        <v>dɛb</v>
      </c>
      <c r="E3477" s="2" t="str">
        <f>IFERROR(__xludf.DUMMYFUNCTION("IFERROR(VLOOKUP(A3477, IMPORTRANGE(""https://docs.google.com/spreadsheets/d/1-3Vjw2Cyy-mry5gbC8ypIR3YVGFfEpyFESummAta6sg/edit"", ""Sheet1!B:D""), 3, FALSE), ""Not Found"")"),"d ɛ b ")</f>
        <v>d ɛ b </v>
      </c>
    </row>
    <row r="3478">
      <c r="A3478" s="1" t="s">
        <v>3479</v>
      </c>
      <c r="B3478" s="1" t="s">
        <v>5</v>
      </c>
      <c r="C3478" s="2">
        <f>IFERROR(__xludf.DUMMYFUNCTION("IFERROR(VLOOKUP(A3478, IMPORTRANGE(""https://docs.google.com/spreadsheets/d/1AVX9GT0dgogEBStecCXMMQ29tWz3gBrtNB8yIromXbY/edit?gid=741673867"", ""out1g!A:B""), 2, FALSE), 0)"),184.0)</f>
        <v>184</v>
      </c>
      <c r="D3478" s="2" t="str">
        <f>IFERROR(__xludf.DUMMYFUNCTION("IFERROR(VLOOKUP(A3478, IMPORTRANGE(""https://docs.google.com/spreadsheets/d/1-3Vjw2Cyy-mry5gbC8ypIR3YVGFfEpyFESummAta6sg/edit"", ""Sheet1!B:D""), 2, FALSE), ""Not Found"")"),"kɑzmɪk")</f>
        <v>kɑzmɪk</v>
      </c>
      <c r="E3478" s="2" t="str">
        <f>IFERROR(__xludf.DUMMYFUNCTION("IFERROR(VLOOKUP(A3478, IMPORTRANGE(""https://docs.google.com/spreadsheets/d/1-3Vjw2Cyy-mry5gbC8ypIR3YVGFfEpyFESummAta6sg/edit"", ""Sheet1!B:D""), 3, FALSE), ""Not Found"")"),"k ɑ z m ɪ k ")</f>
        <v>k ɑ z m ɪ k </v>
      </c>
    </row>
    <row r="3479">
      <c r="A3479" s="1" t="s">
        <v>3480</v>
      </c>
      <c r="B3479" s="1" t="s">
        <v>5</v>
      </c>
      <c r="C3479" s="2">
        <f>IFERROR(__xludf.DUMMYFUNCTION("IFERROR(VLOOKUP(A3479, IMPORTRANGE(""https://docs.google.com/spreadsheets/d/1AVX9GT0dgogEBStecCXMMQ29tWz3gBrtNB8yIromXbY/edit?gid=741673867"", ""out1g!A:B""), 2, FALSE), 0)"),304.0)</f>
        <v>304</v>
      </c>
      <c r="D3479" s="2" t="str">
        <f>IFERROR(__xludf.DUMMYFUNCTION("IFERROR(VLOOKUP(A3479, IMPORTRANGE(""https://docs.google.com/spreadsheets/d/1-3Vjw2Cyy-mry5gbC8ypIR3YVGFfEpyFESummAta6sg/edit"", ""Sheet1!B:D""), 2, FALSE), ""Not Found"")"),"sɛnt")</f>
        <v>sɛnt</v>
      </c>
      <c r="E3479" s="2" t="str">
        <f>IFERROR(__xludf.DUMMYFUNCTION("IFERROR(VLOOKUP(A3479, IMPORTRANGE(""https://docs.google.com/spreadsheets/d/1-3Vjw2Cyy-mry5gbC8ypIR3YVGFfEpyFESummAta6sg/edit"", ""Sheet1!B:D""), 3, FALSE), ""Not Found"")"),"s ɛ n t ")</f>
        <v>s ɛ n t </v>
      </c>
    </row>
    <row r="3480">
      <c r="A3480" s="1" t="s">
        <v>3481</v>
      </c>
      <c r="B3480" s="1" t="s">
        <v>5</v>
      </c>
      <c r="C3480" s="2">
        <f>IFERROR(__xludf.DUMMYFUNCTION("IFERROR(VLOOKUP(A3480, IMPORTRANGE(""https://docs.google.com/spreadsheets/d/1AVX9GT0dgogEBStecCXMMQ29tWz3gBrtNB8yIromXbY/edit?gid=741673867"", ""out1g!A:B""), 2, FALSE), 0)"),86.0)</f>
        <v>86</v>
      </c>
      <c r="D3480" s="2" t="str">
        <f>IFERROR(__xludf.DUMMYFUNCTION("IFERROR(VLOOKUP(A3480, IMPORTRANGE(""https://docs.google.com/spreadsheets/d/1-3Vjw2Cyy-mry5gbC8ypIR3YVGFfEpyFESummAta6sg/edit"", ""Sheet1!B:D""), 2, FALSE), ""Not Found"")"),"pəfi")</f>
        <v>pəfi</v>
      </c>
      <c r="E3480" s="2" t="str">
        <f>IFERROR(__xludf.DUMMYFUNCTION("IFERROR(VLOOKUP(A3480, IMPORTRANGE(""https://docs.google.com/spreadsheets/d/1-3Vjw2Cyy-mry5gbC8ypIR3YVGFfEpyFESummAta6sg/edit"", ""Sheet1!B:D""), 3, FALSE), ""Not Found"")"),"p ə f i ")</f>
        <v>p ə f i </v>
      </c>
    </row>
    <row r="3481">
      <c r="A3481" s="1" t="s">
        <v>3482</v>
      </c>
      <c r="B3481" s="1" t="s">
        <v>5</v>
      </c>
      <c r="C3481" s="2">
        <f>IFERROR(__xludf.DUMMYFUNCTION("IFERROR(VLOOKUP(A3481, IMPORTRANGE(""https://docs.google.com/spreadsheets/d/1AVX9GT0dgogEBStecCXMMQ29tWz3gBrtNB8yIromXbY/edit?gid=741673867"", ""out1g!A:B""), 2, FALSE), 0)"),76.0)</f>
        <v>76</v>
      </c>
      <c r="D3481" s="2" t="str">
        <f>IFERROR(__xludf.DUMMYFUNCTION("IFERROR(VLOOKUP(A3481, IMPORTRANGE(""https://docs.google.com/spreadsheets/d/1-3Vjw2Cyy-mry5gbC8ypIR3YVGFfEpyFESummAta6sg/edit"", ""Sheet1!B:D""), 2, FALSE), ""Not Found"")"),"swɪmərz")</f>
        <v>swɪmərz</v>
      </c>
      <c r="E3481" s="2" t="str">
        <f>IFERROR(__xludf.DUMMYFUNCTION("IFERROR(VLOOKUP(A3481, IMPORTRANGE(""https://docs.google.com/spreadsheets/d/1-3Vjw2Cyy-mry5gbC8ypIR3YVGFfEpyFESummAta6sg/edit"", ""Sheet1!B:D""), 3, FALSE), ""Not Found"")"),"s w ɪ m ə r z ")</f>
        <v>s w ɪ m ə r z </v>
      </c>
    </row>
    <row r="3482">
      <c r="A3482" s="1" t="s">
        <v>3483</v>
      </c>
      <c r="B3482" s="1" t="s">
        <v>5</v>
      </c>
      <c r="C3482" s="2">
        <f>IFERROR(__xludf.DUMMYFUNCTION("IFERROR(VLOOKUP(A3482, IMPORTRANGE(""https://docs.google.com/spreadsheets/d/1AVX9GT0dgogEBStecCXMMQ29tWz3gBrtNB8yIromXbY/edit?gid=741673867"", ""out1g!A:B""), 2, FALSE), 0)"),47.0)</f>
        <v>47</v>
      </c>
      <c r="D3482" s="2" t="str">
        <f>IFERROR(__xludf.DUMMYFUNCTION("IFERROR(VLOOKUP(A3482, IMPORTRANGE(""https://docs.google.com/spreadsheets/d/1-3Vjw2Cyy-mry5gbC8ypIR3YVGFfEpyFESummAta6sg/edit"", ""Sheet1!B:D""), 2, FALSE), ""Not Found"")"),"mɑmiz")</f>
        <v>mɑmiz</v>
      </c>
      <c r="E3482" s="2" t="str">
        <f>IFERROR(__xludf.DUMMYFUNCTION("IFERROR(VLOOKUP(A3482, IMPORTRANGE(""https://docs.google.com/spreadsheets/d/1-3Vjw2Cyy-mry5gbC8ypIR3YVGFfEpyFESummAta6sg/edit"", ""Sheet1!B:D""), 3, FALSE), ""Not Found"")"),"m ɑ m i z ")</f>
        <v>m ɑ m i z </v>
      </c>
    </row>
    <row r="3483">
      <c r="A3483" s="1" t="s">
        <v>3484</v>
      </c>
      <c r="B3483" s="1" t="s">
        <v>5</v>
      </c>
      <c r="C3483" s="2">
        <f>IFERROR(__xludf.DUMMYFUNCTION("IFERROR(VLOOKUP(A3483, IMPORTRANGE(""https://docs.google.com/spreadsheets/d/1AVX9GT0dgogEBStecCXMMQ29tWz3gBrtNB8yIromXbY/edit?gid=741673867"", ""out1g!A:B""), 2, FALSE), 0)"),37.0)</f>
        <v>37</v>
      </c>
      <c r="D3483" s="2" t="str">
        <f>IFERROR(__xludf.DUMMYFUNCTION("IFERROR(VLOOKUP(A3483, IMPORTRANGE(""https://docs.google.com/spreadsheets/d/1-3Vjw2Cyy-mry5gbC8ypIR3YVGFfEpyFESummAta6sg/edit"", ""Sheet1!B:D""), 2, FALSE), ""Not Found"")"),"hoʊmoʊz")</f>
        <v>hoʊmoʊz</v>
      </c>
      <c r="E3483" s="2" t="str">
        <f>IFERROR(__xludf.DUMMYFUNCTION("IFERROR(VLOOKUP(A3483, IMPORTRANGE(""https://docs.google.com/spreadsheets/d/1-3Vjw2Cyy-mry5gbC8ypIR3YVGFfEpyFESummAta6sg/edit"", ""Sheet1!B:D""), 3, FALSE), ""Not Found"")"),"h o ʊ m o ʊ z ")</f>
        <v>h o ʊ m o ʊ z </v>
      </c>
    </row>
    <row r="3484">
      <c r="A3484" s="1" t="s">
        <v>3485</v>
      </c>
      <c r="B3484" s="1" t="s">
        <v>5</v>
      </c>
      <c r="C3484" s="2">
        <f>IFERROR(__xludf.DUMMYFUNCTION("IFERROR(VLOOKUP(A3484, IMPORTRANGE(""https://docs.google.com/spreadsheets/d/1AVX9GT0dgogEBStecCXMMQ29tWz3gBrtNB8yIromXbY/edit?gid=741673867"", ""out1g!A:B""), 2, FALSE), 0)"),83.0)</f>
        <v>83</v>
      </c>
      <c r="D3484" s="2" t="str">
        <f>IFERROR(__xludf.DUMMYFUNCTION("IFERROR(VLOOKUP(A3484, IMPORTRANGE(""https://docs.google.com/spreadsheets/d/1-3Vjw2Cyy-mry5gbC8ypIR3YVGFfEpyFESummAta6sg/edit"", ""Sheet1!B:D""), 2, FALSE), ""Not Found"")"),"kəpoʊn")</f>
        <v>kəpoʊn</v>
      </c>
      <c r="E3484" s="2" t="str">
        <f>IFERROR(__xludf.DUMMYFUNCTION("IFERROR(VLOOKUP(A3484, IMPORTRANGE(""https://docs.google.com/spreadsheets/d/1-3Vjw2Cyy-mry5gbC8ypIR3YVGFfEpyFESummAta6sg/edit"", ""Sheet1!B:D""), 3, FALSE), ""Not Found"")"),"k ə p o ʊ n ")</f>
        <v>k ə p o ʊ n </v>
      </c>
    </row>
    <row r="3485">
      <c r="A3485" s="1" t="s">
        <v>3486</v>
      </c>
      <c r="B3485" s="1" t="s">
        <v>5</v>
      </c>
      <c r="C3485" s="2">
        <f>IFERROR(__xludf.DUMMYFUNCTION("IFERROR(VLOOKUP(A3485, IMPORTRANGE(""https://docs.google.com/spreadsheets/d/1AVX9GT0dgogEBStecCXMMQ29tWz3gBrtNB8yIromXbY/edit?gid=741673867"", ""out1g!A:B""), 2, FALSE), 0)"),52.0)</f>
        <v>52</v>
      </c>
      <c r="D3485" s="2" t="str">
        <f>IFERROR(__xludf.DUMMYFUNCTION("IFERROR(VLOOKUP(A3485, IMPORTRANGE(""https://docs.google.com/spreadsheets/d/1-3Vjw2Cyy-mry5gbC8ypIR3YVGFfEpyFESummAta6sg/edit"", ""Sheet1!B:D""), 2, FALSE), ""Not Found"")"),"oʊpəl")</f>
        <v>oʊpəl</v>
      </c>
      <c r="E3485" s="2" t="str">
        <f>IFERROR(__xludf.DUMMYFUNCTION("IFERROR(VLOOKUP(A3485, IMPORTRANGE(""https://docs.google.com/spreadsheets/d/1-3Vjw2Cyy-mry5gbC8ypIR3YVGFfEpyFESummAta6sg/edit"", ""Sheet1!B:D""), 3, FALSE), ""Not Found"")"),"o ʊ p ə l ")</f>
        <v>o ʊ p ə l </v>
      </c>
    </row>
    <row r="3486">
      <c r="A3486" s="1" t="s">
        <v>3487</v>
      </c>
      <c r="B3486" s="1" t="s">
        <v>5</v>
      </c>
      <c r="C3486" s="2">
        <f>IFERROR(__xludf.DUMMYFUNCTION("IFERROR(VLOOKUP(A3486, IMPORTRANGE(""https://docs.google.com/spreadsheets/d/1AVX9GT0dgogEBStecCXMMQ29tWz3gBrtNB8yIromXbY/edit?gid=741673867"", ""out1g!A:B""), 2, FALSE), 0)"),67.0)</f>
        <v>67</v>
      </c>
      <c r="D3486" s="2" t="str">
        <f>IFERROR(__xludf.DUMMYFUNCTION("IFERROR(VLOOKUP(A3486, IMPORTRANGE(""https://docs.google.com/spreadsheets/d/1-3Vjw2Cyy-mry5gbC8ypIR3YVGFfEpyFESummAta6sg/edit"", ""Sheet1!B:D""), 2, FALSE), ""Not Found"")"),"nɑʧoʊ")</f>
        <v>nɑʧoʊ</v>
      </c>
      <c r="E3486" s="2" t="str">
        <f>IFERROR(__xludf.DUMMYFUNCTION("IFERROR(VLOOKUP(A3486, IMPORTRANGE(""https://docs.google.com/spreadsheets/d/1-3Vjw2Cyy-mry5gbC8ypIR3YVGFfEpyFESummAta6sg/edit"", ""Sheet1!B:D""), 3, FALSE), ""Not Found"")"),"n ɑ ʧ o ʊ ")</f>
        <v>n ɑ ʧ o ʊ </v>
      </c>
    </row>
    <row r="3487">
      <c r="A3487" s="1" t="s">
        <v>3488</v>
      </c>
      <c r="B3487" s="1" t="s">
        <v>5</v>
      </c>
      <c r="C3487" s="2">
        <f>IFERROR(__xludf.DUMMYFUNCTION("IFERROR(VLOOKUP(A3487, IMPORTRANGE(""https://docs.google.com/spreadsheets/d/1AVX9GT0dgogEBStecCXMMQ29tWz3gBrtNB8yIromXbY/edit?gid=741673867"", ""out1g!A:B""), 2, FALSE), 0)"),83.0)</f>
        <v>83</v>
      </c>
      <c r="D3487" s="2" t="str">
        <f>IFERROR(__xludf.DUMMYFUNCTION("IFERROR(VLOOKUP(A3487, IMPORTRANGE(""https://docs.google.com/spreadsheets/d/1-3Vjw2Cyy-mry5gbC8ypIR3YVGFfEpyFESummAta6sg/edit"", ""Sheet1!B:D""), 2, FALSE), ""Not Found"")"),"fɛrət")</f>
        <v>fɛrət</v>
      </c>
      <c r="E3487" s="2" t="str">
        <f>IFERROR(__xludf.DUMMYFUNCTION("IFERROR(VLOOKUP(A3487, IMPORTRANGE(""https://docs.google.com/spreadsheets/d/1-3Vjw2Cyy-mry5gbC8ypIR3YVGFfEpyFESummAta6sg/edit"", ""Sheet1!B:D""), 3, FALSE), ""Not Found"")"),"f ɛ r ə t ")</f>
        <v>f ɛ r ə t </v>
      </c>
    </row>
    <row r="3488">
      <c r="A3488" s="1" t="s">
        <v>3489</v>
      </c>
      <c r="B3488" s="1" t="s">
        <v>5</v>
      </c>
      <c r="C3488" s="2">
        <f>IFERROR(__xludf.DUMMYFUNCTION("IFERROR(VLOOKUP(A3488, IMPORTRANGE(""https://docs.google.com/spreadsheets/d/1AVX9GT0dgogEBStecCXMMQ29tWz3gBrtNB8yIromXbY/edit?gid=741673867"", ""out1g!A:B""), 2, FALSE), 0)"),190.0)</f>
        <v>190</v>
      </c>
      <c r="D3488" s="2" t="str">
        <f>IFERROR(__xludf.DUMMYFUNCTION("IFERROR(VLOOKUP(A3488, IMPORTRANGE(""https://docs.google.com/spreadsheets/d/1-3Vjw2Cyy-mry5gbC8ypIR3YVGFfEpyFESummAta6sg/edit"", ""Sheet1!B:D""), 2, FALSE), ""Not Found"")"),"siʒər")</f>
        <v>siʒər</v>
      </c>
      <c r="E3488" s="2" t="str">
        <f>IFERROR(__xludf.DUMMYFUNCTION("IFERROR(VLOOKUP(A3488, IMPORTRANGE(""https://docs.google.com/spreadsheets/d/1-3Vjw2Cyy-mry5gbC8ypIR3YVGFfEpyFESummAta6sg/edit"", ""Sheet1!B:D""), 3, FALSE), ""Not Found"")"),"s i ʒ ə r ")</f>
        <v>s i ʒ ə r </v>
      </c>
    </row>
    <row r="3489">
      <c r="A3489" s="1" t="s">
        <v>3490</v>
      </c>
      <c r="B3489" s="1" t="s">
        <v>5</v>
      </c>
      <c r="C3489" s="2">
        <f>IFERROR(__xludf.DUMMYFUNCTION("IFERROR(VLOOKUP(A3489, IMPORTRANGE(""https://docs.google.com/spreadsheets/d/1AVX9GT0dgogEBStecCXMMQ29tWz3gBrtNB8yIromXbY/edit?gid=741673867"", ""out1g!A:B""), 2, FALSE), 0)"),161.0)</f>
        <v>161</v>
      </c>
      <c r="D3489" s="2" t="str">
        <f>IFERROR(__xludf.DUMMYFUNCTION("IFERROR(VLOOKUP(A3489, IMPORTRANGE(""https://docs.google.com/spreadsheets/d/1-3Vjw2Cyy-mry5gbC8ypIR3YVGFfEpyFESummAta6sg/edit"", ""Sheet1!B:D""), 2, FALSE), ""Not Found"")"),"revɪŋ")</f>
        <v>revɪŋ</v>
      </c>
      <c r="E3489" s="2" t="str">
        <f>IFERROR(__xludf.DUMMYFUNCTION("IFERROR(VLOOKUP(A3489, IMPORTRANGE(""https://docs.google.com/spreadsheets/d/1-3Vjw2Cyy-mry5gbC8ypIR3YVGFfEpyFESummAta6sg/edit"", ""Sheet1!B:D""), 3, FALSE), ""Not Found"")"),"r e v ɪ ŋ ")</f>
        <v>r e v ɪ ŋ </v>
      </c>
    </row>
    <row r="3490">
      <c r="A3490" s="1" t="s">
        <v>3491</v>
      </c>
      <c r="B3490" s="1" t="s">
        <v>5</v>
      </c>
      <c r="C3490" s="2">
        <f>IFERROR(__xludf.DUMMYFUNCTION("IFERROR(VLOOKUP(A3490, IMPORTRANGE(""https://docs.google.com/spreadsheets/d/1AVX9GT0dgogEBStecCXMMQ29tWz3gBrtNB8yIromXbY/edit?gid=741673867"", ""out1g!A:B""), 2, FALSE), 0)"),795.0)</f>
        <v>795</v>
      </c>
      <c r="D3490" s="2" t="str">
        <f>IFERROR(__xludf.DUMMYFUNCTION("IFERROR(VLOOKUP(A3490, IMPORTRANGE(""https://docs.google.com/spreadsheets/d/1-3Vjw2Cyy-mry5gbC8ypIR3YVGFfEpyFESummAta6sg/edit"", ""Sheet1!B:D""), 2, FALSE), ""Not Found"")"),"sɔs")</f>
        <v>sɔs</v>
      </c>
      <c r="E3490" s="2" t="str">
        <f>IFERROR(__xludf.DUMMYFUNCTION("IFERROR(VLOOKUP(A3490, IMPORTRANGE(""https://docs.google.com/spreadsheets/d/1-3Vjw2Cyy-mry5gbC8ypIR3YVGFfEpyFESummAta6sg/edit"", ""Sheet1!B:D""), 3, FALSE), ""Not Found"")"),"s ɔ s ")</f>
        <v>s ɔ s </v>
      </c>
    </row>
    <row r="3491">
      <c r="A3491" s="1" t="s">
        <v>3492</v>
      </c>
      <c r="B3491" s="1" t="s">
        <v>5</v>
      </c>
      <c r="C3491" s="2">
        <f>IFERROR(__xludf.DUMMYFUNCTION("IFERROR(VLOOKUP(A3491, IMPORTRANGE(""https://docs.google.com/spreadsheets/d/1AVX9GT0dgogEBStecCXMMQ29tWz3gBrtNB8yIromXbY/edit?gid=741673867"", ""out1g!A:B""), 2, FALSE), 0)"),264.0)</f>
        <v>264</v>
      </c>
      <c r="D3491" s="2" t="str">
        <f>IFERROR(__xludf.DUMMYFUNCTION("IFERROR(VLOOKUP(A3491, IMPORTRANGE(""https://docs.google.com/spreadsheets/d/1-3Vjw2Cyy-mry5gbC8ypIR3YVGFfEpyFESummAta6sg/edit"", ""Sheet1!B:D""), 2, FALSE), ""Not Found"")"),"gend")</f>
        <v>gend</v>
      </c>
      <c r="E3491" s="2" t="str">
        <f>IFERROR(__xludf.DUMMYFUNCTION("IFERROR(VLOOKUP(A3491, IMPORTRANGE(""https://docs.google.com/spreadsheets/d/1-3Vjw2Cyy-mry5gbC8ypIR3YVGFfEpyFESummAta6sg/edit"", ""Sheet1!B:D""), 3, FALSE), ""Not Found"")"),"g e n d ")</f>
        <v>g e n d </v>
      </c>
    </row>
    <row r="3492">
      <c r="A3492" s="1" t="s">
        <v>3493</v>
      </c>
      <c r="B3492" s="1" t="s">
        <v>5</v>
      </c>
      <c r="C3492" s="2">
        <f>IFERROR(__xludf.DUMMYFUNCTION("IFERROR(VLOOKUP(A3492, IMPORTRANGE(""https://docs.google.com/spreadsheets/d/1AVX9GT0dgogEBStecCXMMQ29tWz3gBrtNB8yIromXbY/edit?gid=741673867"", ""out1g!A:B""), 2, FALSE), 0)"),51.0)</f>
        <v>51</v>
      </c>
      <c r="D3492" s="2" t="str">
        <f>IFERROR(__xludf.DUMMYFUNCTION("IFERROR(VLOOKUP(A3492, IMPORTRANGE(""https://docs.google.com/spreadsheets/d/1-3Vjw2Cyy-mry5gbC8ypIR3YVGFfEpyFESummAta6sg/edit"", ""Sheet1!B:D""), 2, FALSE), ""Not Found"")"),"aʊtɪŋ")</f>
        <v>aʊtɪŋ</v>
      </c>
      <c r="E3492" s="2" t="str">
        <f>IFERROR(__xludf.DUMMYFUNCTION("IFERROR(VLOOKUP(A3492, IMPORTRANGE(""https://docs.google.com/spreadsheets/d/1-3Vjw2Cyy-mry5gbC8ypIR3YVGFfEpyFESummAta6sg/edit"", ""Sheet1!B:D""), 3, FALSE), ""Not Found"")"),"a ʊ t ɪ ŋ ")</f>
        <v>a ʊ t ɪ ŋ </v>
      </c>
    </row>
    <row r="3493">
      <c r="A3493" s="1" t="s">
        <v>3494</v>
      </c>
      <c r="B3493" s="1" t="s">
        <v>5</v>
      </c>
      <c r="C3493" s="2">
        <f>IFERROR(__xludf.DUMMYFUNCTION("IFERROR(VLOOKUP(A3493, IMPORTRANGE(""https://docs.google.com/spreadsheets/d/1AVX9GT0dgogEBStecCXMMQ29tWz3gBrtNB8yIromXbY/edit?gid=741673867"", ""out1g!A:B""), 2, FALSE), 0)"),1954.0)</f>
        <v>1954</v>
      </c>
      <c r="D3493" s="2" t="str">
        <f>IFERROR(__xludf.DUMMYFUNCTION("IFERROR(VLOOKUP(A3493, IMPORTRANGE(""https://docs.google.com/spreadsheets/d/1-3Vjw2Cyy-mry5gbC8ypIR3YVGFfEpyFESummAta6sg/edit"", ""Sheet1!B:D""), 2, FALSE), ""Not Found"")"),"splɪt")</f>
        <v>splɪt</v>
      </c>
      <c r="E3493" s="2" t="str">
        <f>IFERROR(__xludf.DUMMYFUNCTION("IFERROR(VLOOKUP(A3493, IMPORTRANGE(""https://docs.google.com/spreadsheets/d/1-3Vjw2Cyy-mry5gbC8ypIR3YVGFfEpyFESummAta6sg/edit"", ""Sheet1!B:D""), 3, FALSE), ""Not Found"")"),"s p l ɪ t ")</f>
        <v>s p l ɪ t </v>
      </c>
    </row>
    <row r="3494">
      <c r="A3494" s="1" t="s">
        <v>3495</v>
      </c>
      <c r="B3494" s="1" t="s">
        <v>5</v>
      </c>
      <c r="C3494" s="2">
        <f>IFERROR(__xludf.DUMMYFUNCTION("IFERROR(VLOOKUP(A3494, IMPORTRANGE(""https://docs.google.com/spreadsheets/d/1AVX9GT0dgogEBStecCXMMQ29tWz3gBrtNB8yIromXbY/edit?gid=741673867"", ""out1g!A:B""), 2, FALSE), 0)"),295.0)</f>
        <v>295</v>
      </c>
      <c r="D3494" s="2" t="str">
        <f>IFERROR(__xludf.DUMMYFUNCTION("IFERROR(VLOOKUP(A3494, IMPORTRANGE(""https://docs.google.com/spreadsheets/d/1-3Vjw2Cyy-mry5gbC8ypIR3YVGFfEpyFESummAta6sg/edit"", ""Sheet1!B:D""), 2, FALSE), ""Not Found"")"),"ɑrg")</f>
        <v>ɑrg</v>
      </c>
      <c r="E3494" s="2" t="str">
        <f>IFERROR(__xludf.DUMMYFUNCTION("IFERROR(VLOOKUP(A3494, IMPORTRANGE(""https://docs.google.com/spreadsheets/d/1-3Vjw2Cyy-mry5gbC8ypIR3YVGFfEpyFESummAta6sg/edit"", ""Sheet1!B:D""), 3, FALSE), ""Not Found"")"),"ɑ r g ")</f>
        <v>ɑ r g </v>
      </c>
    </row>
    <row r="3495">
      <c r="A3495" s="1" t="s">
        <v>3496</v>
      </c>
      <c r="B3495" s="1" t="s">
        <v>5</v>
      </c>
      <c r="C3495" s="2">
        <f>IFERROR(__xludf.DUMMYFUNCTION("IFERROR(VLOOKUP(A3495, IMPORTRANGE(""https://docs.google.com/spreadsheets/d/1AVX9GT0dgogEBStecCXMMQ29tWz3gBrtNB8yIromXbY/edit?gid=741673867"", ""out1g!A:B""), 2, FALSE), 0)"),9207.0)</f>
        <v>9207</v>
      </c>
      <c r="D3495" s="2" t="str">
        <f>IFERROR(__xludf.DUMMYFUNCTION("IFERROR(VLOOKUP(A3495, IMPORTRANGE(""https://docs.google.com/spreadsheets/d/1-3Vjw2Cyy-mry5gbC8ypIR3YVGFfEpyFESummAta6sg/edit"", ""Sheet1!B:D""), 2, FALSE), ""Not Found"")"),"sɪstər")</f>
        <v>sɪstər</v>
      </c>
      <c r="E3495" s="2" t="str">
        <f>IFERROR(__xludf.DUMMYFUNCTION("IFERROR(VLOOKUP(A3495, IMPORTRANGE(""https://docs.google.com/spreadsheets/d/1-3Vjw2Cyy-mry5gbC8ypIR3YVGFfEpyFESummAta6sg/edit"", ""Sheet1!B:D""), 3, FALSE), ""Not Found"")"),"s ɪ s t ə r ")</f>
        <v>s ɪ s t ə r </v>
      </c>
    </row>
    <row r="3496">
      <c r="A3496" s="1" t="s">
        <v>3497</v>
      </c>
      <c r="B3496" s="1" t="s">
        <v>5</v>
      </c>
      <c r="C3496" s="2">
        <f>IFERROR(__xludf.DUMMYFUNCTION("IFERROR(VLOOKUP(A3496, IMPORTRANGE(""https://docs.google.com/spreadsheets/d/1AVX9GT0dgogEBStecCXMMQ29tWz3gBrtNB8yIromXbY/edit?gid=741673867"", ""out1g!A:B""), 2, FALSE), 0)"),80623.0)</f>
        <v>80623</v>
      </c>
      <c r="D3496" s="2" t="str">
        <f>IFERROR(__xludf.DUMMYFUNCTION("IFERROR(VLOOKUP(A3496, IMPORTRANGE(""https://docs.google.com/spreadsheets/d/1-3Vjw2Cyy-mry5gbC8ypIR3YVGFfEpyFESummAta6sg/edit"", ""Sheet1!B:D""), 2, FALSE), ""Not Found"")"),"dɪdn")</f>
        <v>dɪdn</v>
      </c>
      <c r="E3496" s="2" t="str">
        <f>IFERROR(__xludf.DUMMYFUNCTION("IFERROR(VLOOKUP(A3496, IMPORTRANGE(""https://docs.google.com/spreadsheets/d/1-3Vjw2Cyy-mry5gbC8ypIR3YVGFfEpyFESummAta6sg/edit"", ""Sheet1!B:D""), 3, FALSE), ""Not Found"")"),"d ɪ d n ")</f>
        <v>d ɪ d n </v>
      </c>
    </row>
    <row r="3497">
      <c r="A3497" s="1" t="s">
        <v>3498</v>
      </c>
      <c r="B3497" s="1" t="s">
        <v>5</v>
      </c>
      <c r="C3497" s="2">
        <f>IFERROR(__xludf.DUMMYFUNCTION("IFERROR(VLOOKUP(A3497, IMPORTRANGE(""https://docs.google.com/spreadsheets/d/1AVX9GT0dgogEBStecCXMMQ29tWz3gBrtNB8yIromXbY/edit?gid=741673867"", ""out1g!A:B""), 2, FALSE), 0)"),31.0)</f>
        <v>31</v>
      </c>
      <c r="D3497" s="2" t="str">
        <f>IFERROR(__xludf.DUMMYFUNCTION("IFERROR(VLOOKUP(A3497, IMPORTRANGE(""https://docs.google.com/spreadsheets/d/1-3Vjw2Cyy-mry5gbC8ypIR3YVGFfEpyFESummAta6sg/edit"", ""Sheet1!B:D""), 2, FALSE), ""Not Found"")"),"lɪb")</f>
        <v>lɪb</v>
      </c>
      <c r="E3497" s="2" t="str">
        <f>IFERROR(__xludf.DUMMYFUNCTION("IFERROR(VLOOKUP(A3497, IMPORTRANGE(""https://docs.google.com/spreadsheets/d/1-3Vjw2Cyy-mry5gbC8ypIR3YVGFfEpyFESummAta6sg/edit"", ""Sheet1!B:D""), 3, FALSE), ""Not Found"")"),"l ɪ b ")</f>
        <v>l ɪ b </v>
      </c>
    </row>
    <row r="3498">
      <c r="A3498" s="1" t="s">
        <v>3499</v>
      </c>
      <c r="B3498" s="1" t="s">
        <v>5</v>
      </c>
      <c r="C3498" s="2">
        <f>IFERROR(__xludf.DUMMYFUNCTION("IFERROR(VLOOKUP(A3498, IMPORTRANGE(""https://docs.google.com/spreadsheets/d/1AVX9GT0dgogEBStecCXMMQ29tWz3gBrtNB8yIromXbY/edit?gid=741673867"", ""out1g!A:B""), 2, FALSE), 0)"),128.0)</f>
        <v>128</v>
      </c>
      <c r="D3498" s="2" t="str">
        <f>IFERROR(__xludf.DUMMYFUNCTION("IFERROR(VLOOKUP(A3498, IMPORTRANGE(""https://docs.google.com/spreadsheets/d/1-3Vjw2Cyy-mry5gbC8ypIR3YVGFfEpyFESummAta6sg/edit"", ""Sheet1!B:D""), 2, FALSE), ""Not Found"")"),"rɑbɪnz")</f>
        <v>rɑbɪnz</v>
      </c>
      <c r="E3498" s="2" t="str">
        <f>IFERROR(__xludf.DUMMYFUNCTION("IFERROR(VLOOKUP(A3498, IMPORTRANGE(""https://docs.google.com/spreadsheets/d/1-3Vjw2Cyy-mry5gbC8ypIR3YVGFfEpyFESummAta6sg/edit"", ""Sheet1!B:D""), 3, FALSE), ""Not Found"")"),"r ɑ b ɪ n z ")</f>
        <v>r ɑ b ɪ n z </v>
      </c>
    </row>
    <row r="3499">
      <c r="A3499" s="1" t="s">
        <v>3500</v>
      </c>
      <c r="B3499" s="1" t="s">
        <v>5</v>
      </c>
      <c r="C3499" s="2">
        <f>IFERROR(__xludf.DUMMYFUNCTION("IFERROR(VLOOKUP(A3499, IMPORTRANGE(""https://docs.google.com/spreadsheets/d/1AVX9GT0dgogEBStecCXMMQ29tWz3gBrtNB8yIromXbY/edit?gid=741673867"", ""out1g!A:B""), 2, FALSE), 0)"),118.0)</f>
        <v>118</v>
      </c>
      <c r="D3499" s="2" t="str">
        <f>IFERROR(__xludf.DUMMYFUNCTION("IFERROR(VLOOKUP(A3499, IMPORTRANGE(""https://docs.google.com/spreadsheets/d/1-3Vjw2Cyy-mry5gbC8ypIR3YVGFfEpyFESummAta6sg/edit"", ""Sheet1!B:D""), 2, FALSE), ""Not Found"")"),"swɛrz")</f>
        <v>swɛrz</v>
      </c>
      <c r="E3499" s="2" t="str">
        <f>IFERROR(__xludf.DUMMYFUNCTION("IFERROR(VLOOKUP(A3499, IMPORTRANGE(""https://docs.google.com/spreadsheets/d/1-3Vjw2Cyy-mry5gbC8ypIR3YVGFfEpyFESummAta6sg/edit"", ""Sheet1!B:D""), 3, FALSE), ""Not Found"")"),"s w ɛ r z ")</f>
        <v>s w ɛ r z </v>
      </c>
    </row>
    <row r="3500">
      <c r="A3500" s="1" t="s">
        <v>3501</v>
      </c>
      <c r="B3500" s="1" t="s">
        <v>5</v>
      </c>
      <c r="C3500" s="2">
        <f>IFERROR(__xludf.DUMMYFUNCTION("IFERROR(VLOOKUP(A3500, IMPORTRANGE(""https://docs.google.com/spreadsheets/d/1AVX9GT0dgogEBStecCXMMQ29tWz3gBrtNB8yIromXbY/edit?gid=741673867"", ""out1g!A:B""), 2, FALSE), 0)"),473.0)</f>
        <v>473</v>
      </c>
      <c r="D3500" s="2" t="str">
        <f>IFERROR(__xludf.DUMMYFUNCTION("IFERROR(VLOOKUP(A3500, IMPORTRANGE(""https://docs.google.com/spreadsheets/d/1-3Vjw2Cyy-mry5gbC8ypIR3YVGFfEpyFESummAta6sg/edit"", ""Sheet1!B:D""), 2, FALSE), ""Not Found"")"),"stɪŋkɪŋ")</f>
        <v>stɪŋkɪŋ</v>
      </c>
      <c r="E3500" s="2" t="str">
        <f>IFERROR(__xludf.DUMMYFUNCTION("IFERROR(VLOOKUP(A3500, IMPORTRANGE(""https://docs.google.com/spreadsheets/d/1-3Vjw2Cyy-mry5gbC8ypIR3YVGFfEpyFESummAta6sg/edit"", ""Sheet1!B:D""), 3, FALSE), ""Not Found"")"),"s t ɪ ŋ k ɪ ŋ ")</f>
        <v>s t ɪ ŋ k ɪ ŋ </v>
      </c>
    </row>
    <row r="3501">
      <c r="A3501" s="1" t="s">
        <v>3502</v>
      </c>
      <c r="B3501" s="1" t="s">
        <v>5</v>
      </c>
      <c r="C3501" s="2">
        <f>IFERROR(__xludf.DUMMYFUNCTION("IFERROR(VLOOKUP(A3501, IMPORTRANGE(""https://docs.google.com/spreadsheets/d/1AVX9GT0dgogEBStecCXMMQ29tWz3gBrtNB8yIromXbY/edit?gid=741673867"", ""out1g!A:B""), 2, FALSE), 0)"),72.0)</f>
        <v>72</v>
      </c>
      <c r="D3501" s="2" t="str">
        <f>IFERROR(__xludf.DUMMYFUNCTION("IFERROR(VLOOKUP(A3501, IMPORTRANGE(""https://docs.google.com/spreadsheets/d/1-3Vjw2Cyy-mry5gbC8ypIR3YVGFfEpyFESummAta6sg/edit"", ""Sheet1!B:D""), 2, FALSE), ""Not Found"")"),"flɛrz")</f>
        <v>flɛrz</v>
      </c>
      <c r="E3501" s="2" t="str">
        <f>IFERROR(__xludf.DUMMYFUNCTION("IFERROR(VLOOKUP(A3501, IMPORTRANGE(""https://docs.google.com/spreadsheets/d/1-3Vjw2Cyy-mry5gbC8ypIR3YVGFfEpyFESummAta6sg/edit"", ""Sheet1!B:D""), 3, FALSE), ""Not Found"")"),"f l ɛ r z ")</f>
        <v>f l ɛ r z </v>
      </c>
    </row>
    <row r="3502">
      <c r="A3502" s="1" t="s">
        <v>3503</v>
      </c>
      <c r="B3502" s="1" t="s">
        <v>5</v>
      </c>
      <c r="C3502" s="2">
        <f>IFERROR(__xludf.DUMMYFUNCTION("IFERROR(VLOOKUP(A3502, IMPORTRANGE(""https://docs.google.com/spreadsheets/d/1AVX9GT0dgogEBStecCXMMQ29tWz3gBrtNB8yIromXbY/edit?gid=741673867"", ""out1g!A:B""), 2, FALSE), 0)"),107.0)</f>
        <v>107</v>
      </c>
      <c r="D3502" s="2" t="str">
        <f>IFERROR(__xludf.DUMMYFUNCTION("IFERROR(VLOOKUP(A3502, IMPORTRANGE(""https://docs.google.com/spreadsheets/d/1-3Vjw2Cyy-mry5gbC8ypIR3YVGFfEpyFESummAta6sg/edit"", ""Sheet1!B:D""), 2, FALSE), ""Not Found"")"),"krɛst")</f>
        <v>krɛst</v>
      </c>
      <c r="E3502" s="2" t="str">
        <f>IFERROR(__xludf.DUMMYFUNCTION("IFERROR(VLOOKUP(A3502, IMPORTRANGE(""https://docs.google.com/spreadsheets/d/1-3Vjw2Cyy-mry5gbC8ypIR3YVGFfEpyFESummAta6sg/edit"", ""Sheet1!B:D""), 3, FALSE), ""Not Found"")"),"k r ɛ s t ")</f>
        <v>k r ɛ s t </v>
      </c>
    </row>
    <row r="3503">
      <c r="A3503" s="1" t="s">
        <v>3504</v>
      </c>
      <c r="B3503" s="1" t="s">
        <v>5</v>
      </c>
      <c r="C3503" s="2">
        <f>IFERROR(__xludf.DUMMYFUNCTION("IFERROR(VLOOKUP(A3503, IMPORTRANGE(""https://docs.google.com/spreadsheets/d/1AVX9GT0dgogEBStecCXMMQ29tWz3gBrtNB8yIromXbY/edit?gid=741673867"", ""out1g!A:B""), 2, FALSE), 0)"),2641.0)</f>
        <v>2641</v>
      </c>
      <c r="D3503" s="2" t="str">
        <f>IFERROR(__xludf.DUMMYFUNCTION("IFERROR(VLOOKUP(A3503, IMPORTRANGE(""https://docs.google.com/spreadsheets/d/1-3Vjw2Cyy-mry5gbC8ypIR3YVGFfEpyFESummAta6sg/edit"", ""Sheet1!B:D""), 2, FALSE), ""Not Found"")"),"væn")</f>
        <v>væn</v>
      </c>
      <c r="E3503" s="2" t="str">
        <f>IFERROR(__xludf.DUMMYFUNCTION("IFERROR(VLOOKUP(A3503, IMPORTRANGE(""https://docs.google.com/spreadsheets/d/1-3Vjw2Cyy-mry5gbC8ypIR3YVGFfEpyFESummAta6sg/edit"", ""Sheet1!B:D""), 3, FALSE), ""Not Found"")"),"v æ n ")</f>
        <v>v æ n </v>
      </c>
    </row>
    <row r="3504">
      <c r="A3504" s="1" t="s">
        <v>3505</v>
      </c>
      <c r="B3504" s="1" t="s">
        <v>5</v>
      </c>
      <c r="C3504" s="2">
        <f>IFERROR(__xludf.DUMMYFUNCTION("IFERROR(VLOOKUP(A3504, IMPORTRANGE(""https://docs.google.com/spreadsheets/d/1AVX9GT0dgogEBStecCXMMQ29tWz3gBrtNB8yIromXbY/edit?gid=741673867"", ""out1g!A:B""), 2, FALSE), 0)"),93.0)</f>
        <v>93</v>
      </c>
      <c r="D3504" s="2" t="str">
        <f>IFERROR(__xludf.DUMMYFUNCTION("IFERROR(VLOOKUP(A3504, IMPORTRANGE(""https://docs.google.com/spreadsheets/d/1-3Vjw2Cyy-mry5gbC8ypIR3YVGFfEpyFESummAta6sg/edit"", ""Sheet1!B:D""), 2, FALSE), ""Not Found"")"),"hoʊmi")</f>
        <v>hoʊmi</v>
      </c>
      <c r="E3504" s="2" t="str">
        <f>IFERROR(__xludf.DUMMYFUNCTION("IFERROR(VLOOKUP(A3504, IMPORTRANGE(""https://docs.google.com/spreadsheets/d/1-3Vjw2Cyy-mry5gbC8ypIR3YVGFfEpyFESummAta6sg/edit"", ""Sheet1!B:D""), 3, FALSE), ""Not Found"")"),"h o ʊ m i ")</f>
        <v>h o ʊ m i </v>
      </c>
    </row>
    <row r="3505">
      <c r="A3505" s="1" t="s">
        <v>3506</v>
      </c>
      <c r="B3505" s="1" t="s">
        <v>5</v>
      </c>
      <c r="C3505" s="2">
        <f>IFERROR(__xludf.DUMMYFUNCTION("IFERROR(VLOOKUP(A3505, IMPORTRANGE(""https://docs.google.com/spreadsheets/d/1AVX9GT0dgogEBStecCXMMQ29tWz3gBrtNB8yIromXbY/edit?gid=741673867"", ""out1g!A:B""), 2, FALSE), 0)"),85.0)</f>
        <v>85</v>
      </c>
      <c r="D3505" s="2" t="str">
        <f>IFERROR(__xludf.DUMMYFUNCTION("IFERROR(VLOOKUP(A3505, IMPORTRANGE(""https://docs.google.com/spreadsheets/d/1-3Vjw2Cyy-mry5gbC8ypIR3YVGFfEpyFESummAta6sg/edit"", ""Sheet1!B:D""), 2, FALSE), ""Not Found"")"),"rɪŋər")</f>
        <v>rɪŋər</v>
      </c>
      <c r="E3505" s="2" t="str">
        <f>IFERROR(__xludf.DUMMYFUNCTION("IFERROR(VLOOKUP(A3505, IMPORTRANGE(""https://docs.google.com/spreadsheets/d/1-3Vjw2Cyy-mry5gbC8ypIR3YVGFfEpyFESummAta6sg/edit"", ""Sheet1!B:D""), 3, FALSE), ""Not Found"")"),"r ɪ ŋ ə r ")</f>
        <v>r ɪ ŋ ə r </v>
      </c>
    </row>
    <row r="3506">
      <c r="A3506" s="1" t="s">
        <v>3507</v>
      </c>
      <c r="B3506" s="1" t="s">
        <v>5</v>
      </c>
      <c r="C3506" s="2">
        <f>IFERROR(__xludf.DUMMYFUNCTION("IFERROR(VLOOKUP(A3506, IMPORTRANGE(""https://docs.google.com/spreadsheets/d/1AVX9GT0dgogEBStecCXMMQ29tWz3gBrtNB8yIromXbY/edit?gid=741673867"", ""out1g!A:B""), 2, FALSE), 0)"),108288.0)</f>
        <v>108288</v>
      </c>
      <c r="D3506" s="2" t="str">
        <f>IFERROR(__xludf.DUMMYFUNCTION("IFERROR(VLOOKUP(A3506, IMPORTRANGE(""https://docs.google.com/spreadsheets/d/1-3Vjw2Cyy-mry5gbC8ypIR3YVGFfEpyFESummAta6sg/edit"", ""Sheet1!B:D""), 2, FALSE), ""Not Found"")"),"goʊɪŋ")</f>
        <v>goʊɪŋ</v>
      </c>
      <c r="E3506" s="2" t="str">
        <f>IFERROR(__xludf.DUMMYFUNCTION("IFERROR(VLOOKUP(A3506, IMPORTRANGE(""https://docs.google.com/spreadsheets/d/1-3Vjw2Cyy-mry5gbC8ypIR3YVGFfEpyFESummAta6sg/edit"", ""Sheet1!B:D""), 3, FALSE), ""Not Found"")"),"g o ʊ ɪ ŋ ")</f>
        <v>g o ʊ ɪ ŋ </v>
      </c>
    </row>
    <row r="3507">
      <c r="A3507" s="1" t="s">
        <v>3508</v>
      </c>
      <c r="B3507" s="1" t="s">
        <v>5</v>
      </c>
      <c r="C3507" s="2">
        <f>IFERROR(__xludf.DUMMYFUNCTION("IFERROR(VLOOKUP(A3507, IMPORTRANGE(""https://docs.google.com/spreadsheets/d/1AVX9GT0dgogEBStecCXMMQ29tWz3gBrtNB8yIromXbY/edit?gid=741673867"", ""out1g!A:B""), 2, FALSE), 0)"),160.0)</f>
        <v>160</v>
      </c>
      <c r="D3507" s="2" t="str">
        <f>IFERROR(__xludf.DUMMYFUNCTION("IFERROR(VLOOKUP(A3507, IMPORTRANGE(""https://docs.google.com/spreadsheets/d/1-3Vjw2Cyy-mry5gbC8ypIR3YVGFfEpyFESummAta6sg/edit"", ""Sheet1!B:D""), 2, FALSE), ""Not Found"")"),"haɪst")</f>
        <v>haɪst</v>
      </c>
      <c r="E3507" s="2" t="str">
        <f>IFERROR(__xludf.DUMMYFUNCTION("IFERROR(VLOOKUP(A3507, IMPORTRANGE(""https://docs.google.com/spreadsheets/d/1-3Vjw2Cyy-mry5gbC8ypIR3YVGFfEpyFESummAta6sg/edit"", ""Sheet1!B:D""), 3, FALSE), ""Not Found"")"),"h a ɪ s t ")</f>
        <v>h a ɪ s t </v>
      </c>
    </row>
    <row r="3508">
      <c r="A3508" s="1" t="s">
        <v>3509</v>
      </c>
      <c r="B3508" s="1" t="s">
        <v>5</v>
      </c>
      <c r="C3508" s="2">
        <f>IFERROR(__xludf.DUMMYFUNCTION("IFERROR(VLOOKUP(A3508, IMPORTRANGE(""https://docs.google.com/spreadsheets/d/1AVX9GT0dgogEBStecCXMMQ29tWz3gBrtNB8yIromXbY/edit?gid=741673867"", ""out1g!A:B""), 2, FALSE), 0)"),1675.0)</f>
        <v>1675</v>
      </c>
      <c r="D3508" s="2" t="str">
        <f>IFERROR(__xludf.DUMMYFUNCTION("IFERROR(VLOOKUP(A3508, IMPORTRANGE(""https://docs.google.com/spreadsheets/d/1-3Vjw2Cyy-mry5gbC8ypIR3YVGFfEpyFESummAta6sg/edit"", ""Sheet1!B:D""), 2, FALSE), ""Not Found"")"),"kræk")</f>
        <v>kræk</v>
      </c>
      <c r="E3508" s="2" t="str">
        <f>IFERROR(__xludf.DUMMYFUNCTION("IFERROR(VLOOKUP(A3508, IMPORTRANGE(""https://docs.google.com/spreadsheets/d/1-3Vjw2Cyy-mry5gbC8ypIR3YVGFfEpyFESummAta6sg/edit"", ""Sheet1!B:D""), 3, FALSE), ""Not Found"")"),"k r æ k ")</f>
        <v>k r æ k </v>
      </c>
    </row>
    <row r="3509">
      <c r="A3509" s="1" t="s">
        <v>3510</v>
      </c>
      <c r="B3509" s="1" t="s">
        <v>5</v>
      </c>
      <c r="C3509" s="2">
        <f>IFERROR(__xludf.DUMMYFUNCTION("IFERROR(VLOOKUP(A3509, IMPORTRANGE(""https://docs.google.com/spreadsheets/d/1AVX9GT0dgogEBStecCXMMQ29tWz3gBrtNB8yIromXbY/edit?gid=741673867"", ""out1g!A:B""), 2, FALSE), 0)"),1259.0)</f>
        <v>1259</v>
      </c>
      <c r="D3509" s="2" t="str">
        <f>IFERROR(__xludf.DUMMYFUNCTION("IFERROR(VLOOKUP(A3509, IMPORTRANGE(""https://docs.google.com/spreadsheets/d/1-3Vjw2Cyy-mry5gbC8ypIR3YVGFfEpyFESummAta6sg/edit"", ""Sheet1!B:D""), 2, FALSE), ""Not Found"")"),"stɛps")</f>
        <v>stɛps</v>
      </c>
      <c r="E3509" s="2" t="str">
        <f>IFERROR(__xludf.DUMMYFUNCTION("IFERROR(VLOOKUP(A3509, IMPORTRANGE(""https://docs.google.com/spreadsheets/d/1-3Vjw2Cyy-mry5gbC8ypIR3YVGFfEpyFESummAta6sg/edit"", ""Sheet1!B:D""), 3, FALSE), ""Not Found"")"),"s t ɛ p s ")</f>
        <v>s t ɛ p s </v>
      </c>
    </row>
    <row r="3510">
      <c r="A3510" s="1" t="s">
        <v>3511</v>
      </c>
      <c r="B3510" s="1" t="s">
        <v>5</v>
      </c>
      <c r="C3510" s="2">
        <f>IFERROR(__xludf.DUMMYFUNCTION("IFERROR(VLOOKUP(A3510, IMPORTRANGE(""https://docs.google.com/spreadsheets/d/1AVX9GT0dgogEBStecCXMMQ29tWz3gBrtNB8yIromXbY/edit?gid=741673867"", ""out1g!A:B""), 2, FALSE), 0)"),355.0)</f>
        <v>355</v>
      </c>
      <c r="D3510" s="2" t="str">
        <f>IFERROR(__xludf.DUMMYFUNCTION("IFERROR(VLOOKUP(A3510, IMPORTRANGE(""https://docs.google.com/spreadsheets/d/1-3Vjw2Cyy-mry5gbC8ypIR3YVGFfEpyFESummAta6sg/edit"", ""Sheet1!B:D""), 2, FALSE), ""Not Found"")"),"stɛpɪŋ")</f>
        <v>stɛpɪŋ</v>
      </c>
      <c r="E3510" s="2" t="str">
        <f>IFERROR(__xludf.DUMMYFUNCTION("IFERROR(VLOOKUP(A3510, IMPORTRANGE(""https://docs.google.com/spreadsheets/d/1-3Vjw2Cyy-mry5gbC8ypIR3YVGFfEpyFESummAta6sg/edit"", ""Sheet1!B:D""), 3, FALSE), ""Not Found"")"),"s t ɛ p ɪ ŋ ")</f>
        <v>s t ɛ p ɪ ŋ </v>
      </c>
    </row>
    <row r="3511">
      <c r="A3511" s="1" t="s">
        <v>3512</v>
      </c>
      <c r="B3511" s="1" t="s">
        <v>5</v>
      </c>
      <c r="C3511" s="2">
        <f>IFERROR(__xludf.DUMMYFUNCTION("IFERROR(VLOOKUP(A3511, IMPORTRANGE(""https://docs.google.com/spreadsheets/d/1AVX9GT0dgogEBStecCXMMQ29tWz3gBrtNB8yIromXbY/edit?gid=741673867"", ""out1g!A:B""), 2, FALSE), 0)"),604.0)</f>
        <v>604</v>
      </c>
      <c r="D3511" s="2" t="str">
        <f>IFERROR(__xludf.DUMMYFUNCTION("IFERROR(VLOOKUP(A3511, IMPORTRANGE(""https://docs.google.com/spreadsheets/d/1-3Vjw2Cyy-mry5gbC8ypIR3YVGFfEpyFESummAta6sg/edit"", ""Sheet1!B:D""), 2, FALSE), ""Not Found"")"),"ʧæptər")</f>
        <v>ʧæptər</v>
      </c>
      <c r="E3511" s="2" t="str">
        <f>IFERROR(__xludf.DUMMYFUNCTION("IFERROR(VLOOKUP(A3511, IMPORTRANGE(""https://docs.google.com/spreadsheets/d/1-3Vjw2Cyy-mry5gbC8ypIR3YVGFfEpyFESummAta6sg/edit"", ""Sheet1!B:D""), 3, FALSE), ""Not Found"")"),"ʧ æ p t ə r ")</f>
        <v>ʧ æ p t ə r </v>
      </c>
    </row>
    <row r="3512">
      <c r="A3512" s="1" t="s">
        <v>3513</v>
      </c>
      <c r="B3512" s="1" t="s">
        <v>5</v>
      </c>
      <c r="C3512" s="2">
        <f>IFERROR(__xludf.DUMMYFUNCTION("IFERROR(VLOOKUP(A3512, IMPORTRANGE(""https://docs.google.com/spreadsheets/d/1AVX9GT0dgogEBStecCXMMQ29tWz3gBrtNB8yIromXbY/edit?gid=741673867"", ""out1g!A:B""), 2, FALSE), 0)"),47.0)</f>
        <v>47</v>
      </c>
      <c r="D3512" s="2" t="str">
        <f>IFERROR(__xludf.DUMMYFUNCTION("IFERROR(VLOOKUP(A3512, IMPORTRANGE(""https://docs.google.com/spreadsheets/d/1-3Vjw2Cyy-mry5gbC8ypIR3YVGFfEpyFESummAta6sg/edit"", ""Sheet1!B:D""), 2, FALSE), ""Not Found"")"),"ʧaɪm")</f>
        <v>ʧaɪm</v>
      </c>
      <c r="E3512" s="2" t="str">
        <f>IFERROR(__xludf.DUMMYFUNCTION("IFERROR(VLOOKUP(A3512, IMPORTRANGE(""https://docs.google.com/spreadsheets/d/1-3Vjw2Cyy-mry5gbC8ypIR3YVGFfEpyFESummAta6sg/edit"", ""Sheet1!B:D""), 3, FALSE), ""Not Found"")"),"ʧ a ɪ m ")</f>
        <v>ʧ a ɪ m </v>
      </c>
    </row>
    <row r="3513">
      <c r="A3513" s="1" t="s">
        <v>3514</v>
      </c>
      <c r="B3513" s="1" t="s">
        <v>5</v>
      </c>
      <c r="C3513" s="2">
        <f>IFERROR(__xludf.DUMMYFUNCTION("IFERROR(VLOOKUP(A3513, IMPORTRANGE(""https://docs.google.com/spreadsheets/d/1AVX9GT0dgogEBStecCXMMQ29tWz3gBrtNB8yIromXbY/edit?gid=741673867"", ""out1g!A:B""), 2, FALSE), 0)"),1570.0)</f>
        <v>1570</v>
      </c>
      <c r="D3513" s="2" t="str">
        <f>IFERROR(__xludf.DUMMYFUNCTION("IFERROR(VLOOKUP(A3513, IMPORTRANGE(""https://docs.google.com/spreadsheets/d/1-3Vjw2Cyy-mry5gbC8ypIR3YVGFfEpyFESummAta6sg/edit"", ""Sheet1!B:D""), 2, FALSE), ""Not Found"")"),"hɛdɪd")</f>
        <v>hɛdɪd</v>
      </c>
      <c r="E3513" s="2" t="str">
        <f>IFERROR(__xludf.DUMMYFUNCTION("IFERROR(VLOOKUP(A3513, IMPORTRANGE(""https://docs.google.com/spreadsheets/d/1-3Vjw2Cyy-mry5gbC8ypIR3YVGFfEpyFESummAta6sg/edit"", ""Sheet1!B:D""), 3, FALSE), ""Not Found"")"),"h ɛ d ɪ d ")</f>
        <v>h ɛ d ɪ d </v>
      </c>
    </row>
    <row r="3514">
      <c r="A3514" s="1" t="s">
        <v>3515</v>
      </c>
      <c r="B3514" s="1" t="s">
        <v>5</v>
      </c>
      <c r="C3514" s="2">
        <f>IFERROR(__xludf.DUMMYFUNCTION("IFERROR(VLOOKUP(A3514, IMPORTRANGE(""https://docs.google.com/spreadsheets/d/1AVX9GT0dgogEBStecCXMMQ29tWz3gBrtNB8yIromXbY/edit?gid=741673867"", ""out1g!A:B""), 2, FALSE), 0)"),24781.0)</f>
        <v>24781</v>
      </c>
      <c r="D3514" s="2" t="str">
        <f>IFERROR(__xludf.DUMMYFUNCTION("IFERROR(VLOOKUP(A3514, IMPORTRANGE(""https://docs.google.com/spreadsheets/d/1-3Vjw2Cyy-mry5gbC8ypIR3YVGFfEpyFESummAta6sg/edit"", ""Sheet1!B:D""), 2, FALSE), ""Not Found"")"),"biɪŋ")</f>
        <v>biɪŋ</v>
      </c>
      <c r="E3514" s="2" t="str">
        <f>IFERROR(__xludf.DUMMYFUNCTION("IFERROR(VLOOKUP(A3514, IMPORTRANGE(""https://docs.google.com/spreadsheets/d/1-3Vjw2Cyy-mry5gbC8ypIR3YVGFfEpyFESummAta6sg/edit"", ""Sheet1!B:D""), 3, FALSE), ""Not Found"")"),"b i ɪ ŋ ")</f>
        <v>b i ɪ ŋ </v>
      </c>
    </row>
    <row r="3515">
      <c r="A3515" s="1" t="s">
        <v>3516</v>
      </c>
      <c r="B3515" s="1" t="s">
        <v>5</v>
      </c>
      <c r="C3515" s="2">
        <f>IFERROR(__xludf.DUMMYFUNCTION("IFERROR(VLOOKUP(A3515, IMPORTRANGE(""https://docs.google.com/spreadsheets/d/1AVX9GT0dgogEBStecCXMMQ29tWz3gBrtNB8yIromXbY/edit?gid=741673867"", ""out1g!A:B""), 2, FALSE), 0)"),68.0)</f>
        <v>68</v>
      </c>
      <c r="D3515" s="2" t="str">
        <f>IFERROR(__xludf.DUMMYFUNCTION("IFERROR(VLOOKUP(A3515, IMPORTRANGE(""https://docs.google.com/spreadsheets/d/1-3Vjw2Cyy-mry5gbC8ypIR3YVGFfEpyFESummAta6sg/edit"", ""Sheet1!B:D""), 2, FALSE), ""Not Found"")"),"spɛndər")</f>
        <v>spɛndər</v>
      </c>
      <c r="E3515" s="2" t="str">
        <f>IFERROR(__xludf.DUMMYFUNCTION("IFERROR(VLOOKUP(A3515, IMPORTRANGE(""https://docs.google.com/spreadsheets/d/1-3Vjw2Cyy-mry5gbC8ypIR3YVGFfEpyFESummAta6sg/edit"", ""Sheet1!B:D""), 3, FALSE), ""Not Found"")"),"s p ɛ n d ə r ")</f>
        <v>s p ɛ n d ə r </v>
      </c>
    </row>
    <row r="3516">
      <c r="A3516" s="1" t="s">
        <v>3517</v>
      </c>
      <c r="B3516" s="1" t="s">
        <v>5</v>
      </c>
      <c r="C3516" s="2">
        <f>IFERROR(__xludf.DUMMYFUNCTION("IFERROR(VLOOKUP(A3516, IMPORTRANGE(""https://docs.google.com/spreadsheets/d/1AVX9GT0dgogEBStecCXMMQ29tWz3gBrtNB8yIromXbY/edit?gid=741673867"", ""out1g!A:B""), 2, FALSE), 0)"),445.0)</f>
        <v>445</v>
      </c>
      <c r="D3516" s="2" t="str">
        <f>IFERROR(__xludf.DUMMYFUNCTION("IFERROR(VLOOKUP(A3516, IMPORTRANGE(""https://docs.google.com/spreadsheets/d/1-3Vjw2Cyy-mry5gbC8ypIR3YVGFfEpyFESummAta6sg/edit"", ""Sheet1!B:D""), 2, FALSE), ""Not Found"")"),"sis")</f>
        <v>sis</v>
      </c>
      <c r="E3516" s="2" t="str">
        <f>IFERROR(__xludf.DUMMYFUNCTION("IFERROR(VLOOKUP(A3516, IMPORTRANGE(""https://docs.google.com/spreadsheets/d/1-3Vjw2Cyy-mry5gbC8ypIR3YVGFfEpyFESummAta6sg/edit"", ""Sheet1!B:D""), 3, FALSE), ""Not Found"")"),"s i s ")</f>
        <v>s i s </v>
      </c>
    </row>
    <row r="3517">
      <c r="A3517" s="1" t="s">
        <v>3518</v>
      </c>
      <c r="B3517" s="1" t="s">
        <v>5</v>
      </c>
      <c r="C3517" s="2">
        <f>IFERROR(__xludf.DUMMYFUNCTION("IFERROR(VLOOKUP(A3517, IMPORTRANGE(""https://docs.google.com/spreadsheets/d/1AVX9GT0dgogEBStecCXMMQ29tWz3gBrtNB8yIromXbY/edit?gid=741673867"", ""out1g!A:B""), 2, FALSE), 0)"),9.0)</f>
        <v>9</v>
      </c>
      <c r="D3517" s="2" t="str">
        <f>IFERROR(__xludf.DUMMYFUNCTION("IFERROR(VLOOKUP(A3517, IMPORTRANGE(""https://docs.google.com/spreadsheets/d/1-3Vjw2Cyy-mry5gbC8ypIR3YVGFfEpyFESummAta6sg/edit"", ""Sheet1!B:D""), 2, FALSE), ""Not Found"")"),"ərez")</f>
        <v>ərez</v>
      </c>
      <c r="E3517" s="2" t="str">
        <f>IFERROR(__xludf.DUMMYFUNCTION("IFERROR(VLOOKUP(A3517, IMPORTRANGE(""https://docs.google.com/spreadsheets/d/1-3Vjw2Cyy-mry5gbC8ypIR3YVGFfEpyFESummAta6sg/edit"", ""Sheet1!B:D""), 3, FALSE), ""Not Found"")"),"ə r e z ")</f>
        <v>ə r e z </v>
      </c>
    </row>
    <row r="3518">
      <c r="A3518" s="1" t="s">
        <v>3519</v>
      </c>
      <c r="B3518" s="1" t="s">
        <v>5</v>
      </c>
      <c r="C3518" s="2">
        <f>IFERROR(__xludf.DUMMYFUNCTION("IFERROR(VLOOKUP(A3518, IMPORTRANGE(""https://docs.google.com/spreadsheets/d/1AVX9GT0dgogEBStecCXMMQ29tWz3gBrtNB8yIromXbY/edit?gid=741673867"", ""out1g!A:B""), 2, FALSE), 0)"),471339.0)</f>
        <v>471339</v>
      </c>
      <c r="D3518" s="2" t="str">
        <f>IFERROR(__xludf.DUMMYFUNCTION("IFERROR(VLOOKUP(A3518, IMPORTRANGE(""https://docs.google.com/spreadsheets/d/1-3Vjw2Cyy-mry5gbC8ypIR3YVGFfEpyFESummAta6sg/edit"", ""Sheet1!B:D""), 2, FALSE), ""Not Found"")"),"mi")</f>
        <v>mi</v>
      </c>
      <c r="E3518" s="2" t="str">
        <f>IFERROR(__xludf.DUMMYFUNCTION("IFERROR(VLOOKUP(A3518, IMPORTRANGE(""https://docs.google.com/spreadsheets/d/1-3Vjw2Cyy-mry5gbC8ypIR3YVGFfEpyFESummAta6sg/edit"", ""Sheet1!B:D""), 3, FALSE), ""Not Found"")"),"m i ")</f>
        <v>m i </v>
      </c>
    </row>
    <row r="3519">
      <c r="A3519" s="1" t="s">
        <v>3520</v>
      </c>
      <c r="B3519" s="1" t="s">
        <v>5</v>
      </c>
      <c r="C3519" s="2">
        <f>IFERROR(__xludf.DUMMYFUNCTION("IFERROR(VLOOKUP(A3519, IMPORTRANGE(""https://docs.google.com/spreadsheets/d/1AVX9GT0dgogEBStecCXMMQ29tWz3gBrtNB8yIromXbY/edit?gid=741673867"", ""out1g!A:B""), 2, FALSE), 0)"),235.0)</f>
        <v>235</v>
      </c>
      <c r="D3519" s="2" t="str">
        <f>IFERROR(__xludf.DUMMYFUNCTION("IFERROR(VLOOKUP(A3519, IMPORTRANGE(""https://docs.google.com/spreadsheets/d/1-3Vjw2Cyy-mry5gbC8ypIR3YVGFfEpyFESummAta6sg/edit"", ""Sheet1!B:D""), 2, FALSE), ""Not Found"")"),"kərv")</f>
        <v>kərv</v>
      </c>
      <c r="E3519" s="2" t="str">
        <f>IFERROR(__xludf.DUMMYFUNCTION("IFERROR(VLOOKUP(A3519, IMPORTRANGE(""https://docs.google.com/spreadsheets/d/1-3Vjw2Cyy-mry5gbC8ypIR3YVGFfEpyFESummAta6sg/edit"", ""Sheet1!B:D""), 3, FALSE), ""Not Found"")"),"k ə r v ")</f>
        <v>k ə r v </v>
      </c>
    </row>
    <row r="3520">
      <c r="A3520" s="1" t="s">
        <v>3521</v>
      </c>
      <c r="B3520" s="1" t="s">
        <v>5</v>
      </c>
      <c r="C3520" s="2">
        <f>IFERROR(__xludf.DUMMYFUNCTION("IFERROR(VLOOKUP(A3520, IMPORTRANGE(""https://docs.google.com/spreadsheets/d/1AVX9GT0dgogEBStecCXMMQ29tWz3gBrtNB8yIromXbY/edit?gid=741673867"", ""out1g!A:B""), 2, FALSE), 0)"),53.0)</f>
        <v>53</v>
      </c>
      <c r="D3520" s="2" t="str">
        <f>IFERROR(__xludf.DUMMYFUNCTION("IFERROR(VLOOKUP(A3520, IMPORTRANGE(""https://docs.google.com/spreadsheets/d/1-3Vjw2Cyy-mry5gbC8ypIR3YVGFfEpyFESummAta6sg/edit"", ""Sheet1!B:D""), 2, FALSE), ""Not Found"")"),"relz")</f>
        <v>relz</v>
      </c>
      <c r="E3520" s="2" t="str">
        <f>IFERROR(__xludf.DUMMYFUNCTION("IFERROR(VLOOKUP(A3520, IMPORTRANGE(""https://docs.google.com/spreadsheets/d/1-3Vjw2Cyy-mry5gbC8ypIR3YVGFfEpyFESummAta6sg/edit"", ""Sheet1!B:D""), 3, FALSE), ""Not Found"")"),"r e l z ")</f>
        <v>r e l z </v>
      </c>
    </row>
    <row r="3521">
      <c r="A3521" s="1" t="s">
        <v>3522</v>
      </c>
      <c r="B3521" s="1" t="s">
        <v>5</v>
      </c>
      <c r="C3521" s="2">
        <f>IFERROR(__xludf.DUMMYFUNCTION("IFERROR(VLOOKUP(A3521, IMPORTRANGE(""https://docs.google.com/spreadsheets/d/1AVX9GT0dgogEBStecCXMMQ29tWz3gBrtNB8yIromXbY/edit?gid=741673867"", ""out1g!A:B""), 2, FALSE), 0)"),20.0)</f>
        <v>20</v>
      </c>
      <c r="D3521" s="2" t="str">
        <f>IFERROR(__xludf.DUMMYFUNCTION("IFERROR(VLOOKUP(A3521, IMPORTRANGE(""https://docs.google.com/spreadsheets/d/1-3Vjw2Cyy-mry5gbC8ypIR3YVGFfEpyFESummAta6sg/edit"", ""Sheet1!B:D""), 2, FALSE), ""Not Found"")"),"bəzi")</f>
        <v>bəzi</v>
      </c>
      <c r="E3521" s="2" t="str">
        <f>IFERROR(__xludf.DUMMYFUNCTION("IFERROR(VLOOKUP(A3521, IMPORTRANGE(""https://docs.google.com/spreadsheets/d/1-3Vjw2Cyy-mry5gbC8ypIR3YVGFfEpyFESummAta6sg/edit"", ""Sheet1!B:D""), 3, FALSE), ""Not Found"")"),"b ə z i ")</f>
        <v>b ə z i </v>
      </c>
    </row>
    <row r="3522">
      <c r="A3522" s="1" t="s">
        <v>3523</v>
      </c>
      <c r="B3522" s="1" t="s">
        <v>5</v>
      </c>
      <c r="C3522" s="2">
        <f>IFERROR(__xludf.DUMMYFUNCTION("IFERROR(VLOOKUP(A3522, IMPORTRANGE(""https://docs.google.com/spreadsheets/d/1AVX9GT0dgogEBStecCXMMQ29tWz3gBrtNB8yIromXbY/edit?gid=741673867"", ""out1g!A:B""), 2, FALSE), 0)"),33413.0)</f>
        <v>33413</v>
      </c>
      <c r="D3522" s="2" t="str">
        <f>IFERROR(__xludf.DUMMYFUNCTION("IFERROR(VLOOKUP(A3522, IMPORTRANGE(""https://docs.google.com/spreadsheets/d/1-3Vjw2Cyy-mry5gbC8ypIR3YVGFfEpyFESummAta6sg/edit"", ""Sheet1!B:D""), 2, FALSE), ""Not Found"")"),"ðɛr")</f>
        <v>ðɛr</v>
      </c>
      <c r="E3522" s="2" t="str">
        <f>IFERROR(__xludf.DUMMYFUNCTION("IFERROR(VLOOKUP(A3522, IMPORTRANGE(""https://docs.google.com/spreadsheets/d/1-3Vjw2Cyy-mry5gbC8ypIR3YVGFfEpyFESummAta6sg/edit"", ""Sheet1!B:D""), 3, FALSE), ""Not Found"")"),"ð ɛ r ")</f>
        <v>ð ɛ r </v>
      </c>
    </row>
    <row r="3523">
      <c r="A3523" s="1" t="s">
        <v>3524</v>
      </c>
      <c r="B3523" s="1" t="s">
        <v>5</v>
      </c>
      <c r="C3523" s="2">
        <f>IFERROR(__xludf.DUMMYFUNCTION("IFERROR(VLOOKUP(A3523, IMPORTRANGE(""https://docs.google.com/spreadsheets/d/1AVX9GT0dgogEBStecCXMMQ29tWz3gBrtNB8yIromXbY/edit?gid=741673867"", ""out1g!A:B""), 2, FALSE), 0)"),1102.0)</f>
        <v>1102</v>
      </c>
      <c r="D3523" s="2" t="str">
        <f>IFERROR(__xludf.DUMMYFUNCTION("IFERROR(VLOOKUP(A3523, IMPORTRANGE(""https://docs.google.com/spreadsheets/d/1-3Vjw2Cyy-mry5gbC8ypIR3YVGFfEpyFESummAta6sg/edit"", ""Sheet1!B:D""), 2, FALSE), ""Not Found"")"),"luɪs")</f>
        <v>luɪs</v>
      </c>
      <c r="E3523" s="2" t="str">
        <f>IFERROR(__xludf.DUMMYFUNCTION("IFERROR(VLOOKUP(A3523, IMPORTRANGE(""https://docs.google.com/spreadsheets/d/1-3Vjw2Cyy-mry5gbC8ypIR3YVGFfEpyFESummAta6sg/edit"", ""Sheet1!B:D""), 3, FALSE), ""Not Found"")"),"l u ɪ s ")</f>
        <v>l u ɪ s </v>
      </c>
    </row>
    <row r="3524">
      <c r="A3524" s="1" t="s">
        <v>3525</v>
      </c>
      <c r="B3524" s="1" t="s">
        <v>5</v>
      </c>
      <c r="C3524" s="2">
        <f>IFERROR(__xludf.DUMMYFUNCTION("IFERROR(VLOOKUP(A3524, IMPORTRANGE(""https://docs.google.com/spreadsheets/d/1AVX9GT0dgogEBStecCXMMQ29tWz3gBrtNB8yIromXbY/edit?gid=741673867"", ""out1g!A:B""), 2, FALSE), 0)"),148.0)</f>
        <v>148</v>
      </c>
      <c r="D3524" s="2" t="str">
        <f>IFERROR(__xludf.DUMMYFUNCTION("IFERROR(VLOOKUP(A3524, IMPORTRANGE(""https://docs.google.com/spreadsheets/d/1-3Vjw2Cyy-mry5gbC8ypIR3YVGFfEpyFESummAta6sg/edit"", ""Sheet1!B:D""), 2, FALSE), ""Not Found"")"),"lərnz")</f>
        <v>lərnz</v>
      </c>
      <c r="E3524" s="2" t="str">
        <f>IFERROR(__xludf.DUMMYFUNCTION("IFERROR(VLOOKUP(A3524, IMPORTRANGE(""https://docs.google.com/spreadsheets/d/1-3Vjw2Cyy-mry5gbC8ypIR3YVGFfEpyFESummAta6sg/edit"", ""Sheet1!B:D""), 3, FALSE), ""Not Found"")"),"l ə r n z ")</f>
        <v>l ə r n z </v>
      </c>
    </row>
    <row r="3525">
      <c r="A3525" s="1" t="s">
        <v>3526</v>
      </c>
      <c r="B3525" s="1" t="s">
        <v>5</v>
      </c>
      <c r="C3525" s="2">
        <f>IFERROR(__xludf.DUMMYFUNCTION("IFERROR(VLOOKUP(A3525, IMPORTRANGE(""https://docs.google.com/spreadsheets/d/1AVX9GT0dgogEBStecCXMMQ29tWz3gBrtNB8yIromXbY/edit?gid=741673867"", ""out1g!A:B""), 2, FALSE), 0)"),429.0)</f>
        <v>429</v>
      </c>
      <c r="D3525" s="2" t="str">
        <f>IFERROR(__xludf.DUMMYFUNCTION("IFERROR(VLOOKUP(A3525, IMPORTRANGE(""https://docs.google.com/spreadsheets/d/1-3Vjw2Cyy-mry5gbC8ypIR3YVGFfEpyFESummAta6sg/edit"", ""Sheet1!B:D""), 2, FALSE), ""Not Found"")"),"θrɪl")</f>
        <v>θrɪl</v>
      </c>
      <c r="E3525" s="2" t="str">
        <f>IFERROR(__xludf.DUMMYFUNCTION("IFERROR(VLOOKUP(A3525, IMPORTRANGE(""https://docs.google.com/spreadsheets/d/1-3Vjw2Cyy-mry5gbC8ypIR3YVGFfEpyFESummAta6sg/edit"", ""Sheet1!B:D""), 3, FALSE), ""Not Found"")"),"θ r ɪ l ")</f>
        <v>θ r ɪ l </v>
      </c>
    </row>
    <row r="3526">
      <c r="A3526" s="1" t="s">
        <v>3527</v>
      </c>
      <c r="B3526" s="1" t="s">
        <v>5</v>
      </c>
      <c r="C3526" s="2">
        <f>IFERROR(__xludf.DUMMYFUNCTION("IFERROR(VLOOKUP(A3526, IMPORTRANGE(""https://docs.google.com/spreadsheets/d/1AVX9GT0dgogEBStecCXMMQ29tWz3gBrtNB8yIromXbY/edit?gid=741673867"", ""out1g!A:B""), 2, FALSE), 0)"),2141.0)</f>
        <v>2141</v>
      </c>
      <c r="D3526" s="2" t="str">
        <f>IFERROR(__xludf.DUMMYFUNCTION("IFERROR(VLOOKUP(A3526, IMPORTRANGE(""https://docs.google.com/spreadsheets/d/1-3Vjw2Cyy-mry5gbC8ypIR3YVGFfEpyFESummAta6sg/edit"", ""Sheet1!B:D""), 2, FALSE), ""Not Found"")"),"hoʊ")</f>
        <v>hoʊ</v>
      </c>
      <c r="E3526" s="2" t="str">
        <f>IFERROR(__xludf.DUMMYFUNCTION("IFERROR(VLOOKUP(A3526, IMPORTRANGE(""https://docs.google.com/spreadsheets/d/1-3Vjw2Cyy-mry5gbC8ypIR3YVGFfEpyFESummAta6sg/edit"", ""Sheet1!B:D""), 3, FALSE), ""Not Found"")"),"h o ʊ ")</f>
        <v>h o ʊ </v>
      </c>
    </row>
    <row r="3527">
      <c r="A3527" s="1" t="s">
        <v>3528</v>
      </c>
      <c r="B3527" s="1" t="s">
        <v>5</v>
      </c>
      <c r="C3527" s="2">
        <f>IFERROR(__xludf.DUMMYFUNCTION("IFERROR(VLOOKUP(A3527, IMPORTRANGE(""https://docs.google.com/spreadsheets/d/1AVX9GT0dgogEBStecCXMMQ29tWz3gBrtNB8yIromXbY/edit?gid=741673867"", ""out1g!A:B""), 2, FALSE), 0)"),25928.0)</f>
        <v>25928</v>
      </c>
      <c r="D3527" s="2" t="str">
        <f>IFERROR(__xludf.DUMMYFUNCTION("IFERROR(VLOOKUP(A3527, IMPORTRANGE(""https://docs.google.com/spreadsheets/d/1-3Vjw2Cyy-mry5gbC8ypIR3YVGFfEpyFESummAta6sg/edit"", ""Sheet1!B:D""), 2, FALSE), ""Not Found"")"),"oʊke")</f>
        <v>oʊke</v>
      </c>
      <c r="E3527" s="2" t="str">
        <f>IFERROR(__xludf.DUMMYFUNCTION("IFERROR(VLOOKUP(A3527, IMPORTRANGE(""https://docs.google.com/spreadsheets/d/1-3Vjw2Cyy-mry5gbC8ypIR3YVGFfEpyFESummAta6sg/edit"", ""Sheet1!B:D""), 3, FALSE), ""Not Found"")"),"o ʊ k e ")</f>
        <v>o ʊ k e </v>
      </c>
    </row>
    <row r="3528">
      <c r="A3528" s="1" t="s">
        <v>3529</v>
      </c>
      <c r="B3528" s="1" t="s">
        <v>5</v>
      </c>
      <c r="C3528" s="2">
        <f>IFERROR(__xludf.DUMMYFUNCTION("IFERROR(VLOOKUP(A3528, IMPORTRANGE(""https://docs.google.com/spreadsheets/d/1AVX9GT0dgogEBStecCXMMQ29tWz3gBrtNB8yIromXbY/edit?gid=741673867"", ""out1g!A:B""), 2, FALSE), 0)"),124.0)</f>
        <v>124</v>
      </c>
      <c r="D3528" s="2" t="str">
        <f>IFERROR(__xludf.DUMMYFUNCTION("IFERROR(VLOOKUP(A3528, IMPORTRANGE(""https://docs.google.com/spreadsheets/d/1-3Vjw2Cyy-mry5gbC8ypIR3YVGFfEpyFESummAta6sg/edit"", ""Sheet1!B:D""), 2, FALSE), ""Not Found"")"),"kəri")</f>
        <v>kəri</v>
      </c>
      <c r="E3528" s="2" t="str">
        <f>IFERROR(__xludf.DUMMYFUNCTION("IFERROR(VLOOKUP(A3528, IMPORTRANGE(""https://docs.google.com/spreadsheets/d/1-3Vjw2Cyy-mry5gbC8ypIR3YVGFfEpyFESummAta6sg/edit"", ""Sheet1!B:D""), 3, FALSE), ""Not Found"")"),"k ə r i ")</f>
        <v>k ə r i </v>
      </c>
    </row>
    <row r="3529">
      <c r="A3529" s="1" t="s">
        <v>3530</v>
      </c>
      <c r="B3529" s="1" t="s">
        <v>5</v>
      </c>
      <c r="C3529" s="2">
        <f>IFERROR(__xludf.DUMMYFUNCTION("IFERROR(VLOOKUP(A3529, IMPORTRANGE(""https://docs.google.com/spreadsheets/d/1AVX9GT0dgogEBStecCXMMQ29tWz3gBrtNB8yIromXbY/edit?gid=741673867"", ""out1g!A:B""), 2, FALSE), 0)"),231.0)</f>
        <v>231</v>
      </c>
      <c r="D3529" s="2" t="str">
        <f>IFERROR(__xludf.DUMMYFUNCTION("IFERROR(VLOOKUP(A3529, IMPORTRANGE(""https://docs.google.com/spreadsheets/d/1-3Vjw2Cyy-mry5gbC8ypIR3YVGFfEpyFESummAta6sg/edit"", ""Sheet1!B:D""), 2, FALSE), ""Not Found"")"),"frə")</f>
        <v>frə</v>
      </c>
      <c r="E3529" s="2" t="str">
        <f>IFERROR(__xludf.DUMMYFUNCTION("IFERROR(VLOOKUP(A3529, IMPORTRANGE(""https://docs.google.com/spreadsheets/d/1-3Vjw2Cyy-mry5gbC8ypIR3YVGFfEpyFESummAta6sg/edit"", ""Sheet1!B:D""), 3, FALSE), ""Not Found"")"),"f r ə ")</f>
        <v>f r ə </v>
      </c>
    </row>
    <row r="3530">
      <c r="A3530" s="1" t="s">
        <v>3531</v>
      </c>
      <c r="B3530" s="1" t="s">
        <v>5</v>
      </c>
      <c r="C3530" s="2">
        <f>IFERROR(__xludf.DUMMYFUNCTION("IFERROR(VLOOKUP(A3530, IMPORTRANGE(""https://docs.google.com/spreadsheets/d/1AVX9GT0dgogEBStecCXMMQ29tWz3gBrtNB8yIromXbY/edit?gid=741673867"", ""out1g!A:B""), 2, FALSE), 0)"),88.0)</f>
        <v>88</v>
      </c>
      <c r="D3530" s="2" t="str">
        <f>IFERROR(__xludf.DUMMYFUNCTION("IFERROR(VLOOKUP(A3530, IMPORTRANGE(""https://docs.google.com/spreadsheets/d/1-3Vjw2Cyy-mry5gbC8ypIR3YVGFfEpyFESummAta6sg/edit"", ""Sheet1!B:D""), 2, FALSE), ""Not Found"")"),"lɑk")</f>
        <v>lɑk</v>
      </c>
      <c r="E3530" s="2" t="str">
        <f>IFERROR(__xludf.DUMMYFUNCTION("IFERROR(VLOOKUP(A3530, IMPORTRANGE(""https://docs.google.com/spreadsheets/d/1-3Vjw2Cyy-mry5gbC8ypIR3YVGFfEpyFESummAta6sg/edit"", ""Sheet1!B:D""), 3, FALSE), ""Not Found"")"),"l ɑ k ")</f>
        <v>l ɑ k </v>
      </c>
    </row>
    <row r="3531">
      <c r="A3531" s="1" t="s">
        <v>3532</v>
      </c>
      <c r="B3531" s="1" t="s">
        <v>5</v>
      </c>
      <c r="C3531" s="2">
        <f>IFERROR(__xludf.DUMMYFUNCTION("IFERROR(VLOOKUP(A3531, IMPORTRANGE(""https://docs.google.com/spreadsheets/d/1AVX9GT0dgogEBStecCXMMQ29tWz3gBrtNB8yIromXbY/edit?gid=741673867"", ""out1g!A:B""), 2, FALSE), 0)"),280.0)</f>
        <v>280</v>
      </c>
      <c r="D3531" s="2" t="str">
        <f>IFERROR(__xludf.DUMMYFUNCTION("IFERROR(VLOOKUP(A3531, IMPORTRANGE(""https://docs.google.com/spreadsheets/d/1-3Vjw2Cyy-mry5gbC8ypIR3YVGFfEpyFESummAta6sg/edit"", ""Sheet1!B:D""), 2, FALSE), ""Not Found"")"),"wip")</f>
        <v>wip</v>
      </c>
      <c r="E3531" s="2" t="str">
        <f>IFERROR(__xludf.DUMMYFUNCTION("IFERROR(VLOOKUP(A3531, IMPORTRANGE(""https://docs.google.com/spreadsheets/d/1-3Vjw2Cyy-mry5gbC8ypIR3YVGFfEpyFESummAta6sg/edit"", ""Sheet1!B:D""), 3, FALSE), ""Not Found"")"),"w i p ")</f>
        <v>w i p </v>
      </c>
    </row>
    <row r="3532">
      <c r="A3532" s="1" t="s">
        <v>3533</v>
      </c>
      <c r="B3532" s="1" t="s">
        <v>5</v>
      </c>
      <c r="C3532" s="2">
        <f>IFERROR(__xludf.DUMMYFUNCTION("IFERROR(VLOOKUP(A3532, IMPORTRANGE(""https://docs.google.com/spreadsheets/d/1AVX9GT0dgogEBStecCXMMQ29tWz3gBrtNB8yIromXbY/edit?gid=741673867"", ""out1g!A:B""), 2, FALSE), 0)"),118.0)</f>
        <v>118</v>
      </c>
      <c r="D3532" s="2" t="str">
        <f>IFERROR(__xludf.DUMMYFUNCTION("IFERROR(VLOOKUP(A3532, IMPORTRANGE(""https://docs.google.com/spreadsheets/d/1-3Vjw2Cyy-mry5gbC8ypIR3YVGFfEpyFESummAta6sg/edit"", ""Sheet1!B:D""), 2, FALSE), ""Not Found"")"),"waɪrɪŋ")</f>
        <v>waɪrɪŋ</v>
      </c>
      <c r="E3532" s="2" t="str">
        <f>IFERROR(__xludf.DUMMYFUNCTION("IFERROR(VLOOKUP(A3532, IMPORTRANGE(""https://docs.google.com/spreadsheets/d/1-3Vjw2Cyy-mry5gbC8ypIR3YVGFfEpyFESummAta6sg/edit"", ""Sheet1!B:D""), 3, FALSE), ""Not Found"")"),"w a ɪ r ɪ ŋ ")</f>
        <v>w a ɪ r ɪ ŋ </v>
      </c>
    </row>
    <row r="3533">
      <c r="A3533" s="1" t="s">
        <v>3534</v>
      </c>
      <c r="B3533" s="1" t="s">
        <v>5</v>
      </c>
      <c r="C3533" s="2">
        <f>IFERROR(__xludf.DUMMYFUNCTION("IFERROR(VLOOKUP(A3533, IMPORTRANGE(""https://docs.google.com/spreadsheets/d/1AVX9GT0dgogEBStecCXMMQ29tWz3gBrtNB8yIromXbY/edit?gid=741673867"", ""out1g!A:B""), 2, FALSE), 0)"),136.0)</f>
        <v>136</v>
      </c>
      <c r="D3533" s="2" t="str">
        <f>IFERROR(__xludf.DUMMYFUNCTION("IFERROR(VLOOKUP(A3533, IMPORTRANGE(""https://docs.google.com/spreadsheets/d/1-3Vjw2Cyy-mry5gbC8ypIR3YVGFfEpyFESummAta6sg/edit"", ""Sheet1!B:D""), 2, FALSE), ""Not Found"")"),"blip")</f>
        <v>blip</v>
      </c>
      <c r="E3533" s="2" t="str">
        <f>IFERROR(__xludf.DUMMYFUNCTION("IFERROR(VLOOKUP(A3533, IMPORTRANGE(""https://docs.google.com/spreadsheets/d/1-3Vjw2Cyy-mry5gbC8ypIR3YVGFfEpyFESummAta6sg/edit"", ""Sheet1!B:D""), 3, FALSE), ""Not Found"")"),"b l i p ")</f>
        <v>b l i p </v>
      </c>
    </row>
    <row r="3534">
      <c r="A3534" s="1" t="s">
        <v>3535</v>
      </c>
      <c r="B3534" s="1" t="s">
        <v>5</v>
      </c>
      <c r="C3534" s="2">
        <f>IFERROR(__xludf.DUMMYFUNCTION("IFERROR(VLOOKUP(A3534, IMPORTRANGE(""https://docs.google.com/spreadsheets/d/1AVX9GT0dgogEBStecCXMMQ29tWz3gBrtNB8yIromXbY/edit?gid=741673867"", ""out1g!A:B""), 2, FALSE), 0)"),266.0)</f>
        <v>266</v>
      </c>
      <c r="D3534" s="2" t="str">
        <f>IFERROR(__xludf.DUMMYFUNCTION("IFERROR(VLOOKUP(A3534, IMPORTRANGE(""https://docs.google.com/spreadsheets/d/1-3Vjw2Cyy-mry5gbC8ypIR3YVGFfEpyFESummAta6sg/edit"", ""Sheet1!B:D""), 2, FALSE), ""Not Found"")"),"ɛr")</f>
        <v>ɛr</v>
      </c>
      <c r="E3534" s="2" t="str">
        <f>IFERROR(__xludf.DUMMYFUNCTION("IFERROR(VLOOKUP(A3534, IMPORTRANGE(""https://docs.google.com/spreadsheets/d/1-3Vjw2Cyy-mry5gbC8ypIR3YVGFfEpyFESummAta6sg/edit"", ""Sheet1!B:D""), 3, FALSE), ""Not Found"")"),"ɛ r ")</f>
        <v>ɛ r </v>
      </c>
    </row>
    <row r="3535">
      <c r="A3535" s="1" t="s">
        <v>3536</v>
      </c>
      <c r="B3535" s="1" t="s">
        <v>5</v>
      </c>
      <c r="C3535" s="2">
        <f>IFERROR(__xludf.DUMMYFUNCTION("IFERROR(VLOOKUP(A3535, IMPORTRANGE(""https://docs.google.com/spreadsheets/d/1AVX9GT0dgogEBStecCXMMQ29tWz3gBrtNB8yIromXbY/edit?gid=741673867"", ""out1g!A:B""), 2, FALSE), 0)"),150.0)</f>
        <v>150</v>
      </c>
      <c r="D3535" s="2" t="str">
        <f>IFERROR(__xludf.DUMMYFUNCTION("IFERROR(VLOOKUP(A3535, IMPORTRANGE(""https://docs.google.com/spreadsheets/d/1-3Vjw2Cyy-mry5gbC8ypIR3YVGFfEpyFESummAta6sg/edit"", ""Sheet1!B:D""), 2, FALSE), ""Not Found"")"),"miaʊ")</f>
        <v>miaʊ</v>
      </c>
      <c r="E3535" s="2" t="str">
        <f>IFERROR(__xludf.DUMMYFUNCTION("IFERROR(VLOOKUP(A3535, IMPORTRANGE(""https://docs.google.com/spreadsheets/d/1-3Vjw2Cyy-mry5gbC8ypIR3YVGFfEpyFESummAta6sg/edit"", ""Sheet1!B:D""), 3, FALSE), ""Not Found"")"),"m i a ʊ ")</f>
        <v>m i a ʊ </v>
      </c>
    </row>
    <row r="3536">
      <c r="A3536" s="1" t="s">
        <v>3537</v>
      </c>
      <c r="B3536" s="1" t="s">
        <v>5</v>
      </c>
      <c r="C3536" s="2">
        <f>IFERROR(__xludf.DUMMYFUNCTION("IFERROR(VLOOKUP(A3536, IMPORTRANGE(""https://docs.google.com/spreadsheets/d/1AVX9GT0dgogEBStecCXMMQ29tWz3gBrtNB8yIromXbY/edit?gid=741673867"", ""out1g!A:B""), 2, FALSE), 0)"),611.0)</f>
        <v>611</v>
      </c>
      <c r="D3536" s="2" t="str">
        <f>IFERROR(__xludf.DUMMYFUNCTION("IFERROR(VLOOKUP(A3536, IMPORTRANGE(""https://docs.google.com/spreadsheets/d/1-3Vjw2Cyy-mry5gbC8ypIR3YVGFfEpyFESummAta6sg/edit"", ""Sheet1!B:D""), 2, FALSE), ""Not Found"")"),"tests")</f>
        <v>tests</v>
      </c>
      <c r="E3536" s="2" t="str">
        <f>IFERROR(__xludf.DUMMYFUNCTION("IFERROR(VLOOKUP(A3536, IMPORTRANGE(""https://docs.google.com/spreadsheets/d/1-3Vjw2Cyy-mry5gbC8ypIR3YVGFfEpyFESummAta6sg/edit"", ""Sheet1!B:D""), 3, FALSE), ""Not Found"")"),"t e s t s ")</f>
        <v>t e s t s </v>
      </c>
    </row>
    <row r="3537">
      <c r="A3537" s="1" t="s">
        <v>3538</v>
      </c>
      <c r="B3537" s="1" t="s">
        <v>5</v>
      </c>
      <c r="C3537" s="2">
        <f>IFERROR(__xludf.DUMMYFUNCTION("IFERROR(VLOOKUP(A3537, IMPORTRANGE(""https://docs.google.com/spreadsheets/d/1AVX9GT0dgogEBStecCXMMQ29tWz3gBrtNB8yIromXbY/edit?gid=741673867"", ""out1g!A:B""), 2, FALSE), 0)"),141.0)</f>
        <v>141</v>
      </c>
      <c r="D3537" s="2" t="str">
        <f>IFERROR(__xludf.DUMMYFUNCTION("IFERROR(VLOOKUP(A3537, IMPORTRANGE(""https://docs.google.com/spreadsheets/d/1-3Vjw2Cyy-mry5gbC8ypIR3YVGFfEpyFESummAta6sg/edit"", ""Sheet1!B:D""), 2, FALSE), ""Not Found"")"),"slaɪm")</f>
        <v>slaɪm</v>
      </c>
      <c r="E3537" s="2" t="str">
        <f>IFERROR(__xludf.DUMMYFUNCTION("IFERROR(VLOOKUP(A3537, IMPORTRANGE(""https://docs.google.com/spreadsheets/d/1-3Vjw2Cyy-mry5gbC8ypIR3YVGFfEpyFESummAta6sg/edit"", ""Sheet1!B:D""), 3, FALSE), ""Not Found"")"),"s l a ɪ m ")</f>
        <v>s l a ɪ m </v>
      </c>
    </row>
    <row r="3538">
      <c r="A3538" s="1" t="s">
        <v>3539</v>
      </c>
      <c r="B3538" s="1" t="s">
        <v>5</v>
      </c>
      <c r="C3538" s="2">
        <f>IFERROR(__xludf.DUMMYFUNCTION("IFERROR(VLOOKUP(A3538, IMPORTRANGE(""https://docs.google.com/spreadsheets/d/1AVX9GT0dgogEBStecCXMMQ29tWz3gBrtNB8yIromXbY/edit?gid=741673867"", ""out1g!A:B""), 2, FALSE), 0)"),882.0)</f>
        <v>882</v>
      </c>
      <c r="D3538" s="2" t="str">
        <f>IFERROR(__xludf.DUMMYFUNCTION("IFERROR(VLOOKUP(A3538, IMPORTRANGE(""https://docs.google.com/spreadsheets/d/1-3Vjw2Cyy-mry5gbC8ypIR3YVGFfEpyFESummAta6sg/edit"", ""Sheet1!B:D""), 2, FALSE), ""Not Found"")"),"səni")</f>
        <v>səni</v>
      </c>
      <c r="E3538" s="2" t="str">
        <f>IFERROR(__xludf.DUMMYFUNCTION("IFERROR(VLOOKUP(A3538, IMPORTRANGE(""https://docs.google.com/spreadsheets/d/1-3Vjw2Cyy-mry5gbC8ypIR3YVGFfEpyFESummAta6sg/edit"", ""Sheet1!B:D""), 3, FALSE), ""Not Found"")"),"s ə n i ")</f>
        <v>s ə n i </v>
      </c>
    </row>
    <row r="3539">
      <c r="A3539" s="1" t="s">
        <v>3540</v>
      </c>
      <c r="B3539" s="1" t="s">
        <v>5</v>
      </c>
      <c r="C3539" s="2">
        <f>IFERROR(__xludf.DUMMYFUNCTION("IFERROR(VLOOKUP(A3539, IMPORTRANGE(""https://docs.google.com/spreadsheets/d/1AVX9GT0dgogEBStecCXMMQ29tWz3gBrtNB8yIromXbY/edit?gid=741673867"", ""out1g!A:B""), 2, FALSE), 0)"),91.0)</f>
        <v>91</v>
      </c>
      <c r="D3539" s="2" t="str">
        <f>IFERROR(__xludf.DUMMYFUNCTION("IFERROR(VLOOKUP(A3539, IMPORTRANGE(""https://docs.google.com/spreadsheets/d/1-3Vjw2Cyy-mry5gbC8ypIR3YVGFfEpyFESummAta6sg/edit"", ""Sheet1!B:D""), 2, FALSE), ""Not Found"")"),"lɪri")</f>
        <v>lɪri</v>
      </c>
      <c r="E3539" s="2" t="str">
        <f>IFERROR(__xludf.DUMMYFUNCTION("IFERROR(VLOOKUP(A3539, IMPORTRANGE(""https://docs.google.com/spreadsheets/d/1-3Vjw2Cyy-mry5gbC8ypIR3YVGFfEpyFESummAta6sg/edit"", ""Sheet1!B:D""), 3, FALSE), ""Not Found"")"),"l ɪ r i ")</f>
        <v>l ɪ r i </v>
      </c>
    </row>
    <row r="3540">
      <c r="A3540" s="1" t="s">
        <v>3541</v>
      </c>
      <c r="B3540" s="1" t="s">
        <v>5</v>
      </c>
      <c r="C3540" s="2">
        <f>IFERROR(__xludf.DUMMYFUNCTION("IFERROR(VLOOKUP(A3540, IMPORTRANGE(""https://docs.google.com/spreadsheets/d/1AVX9GT0dgogEBStecCXMMQ29tWz3gBrtNB8yIromXbY/edit?gid=741673867"", ""out1g!A:B""), 2, FALSE), 0)"),262.0)</f>
        <v>262</v>
      </c>
      <c r="D3540" s="2" t="str">
        <f>IFERROR(__xludf.DUMMYFUNCTION("IFERROR(VLOOKUP(A3540, IMPORTRANGE(""https://docs.google.com/spreadsheets/d/1-3Vjw2Cyy-mry5gbC8ypIR3YVGFfEpyFESummAta6sg/edit"", ""Sheet1!B:D""), 2, FALSE), ""Not Found"")"),"hæŋd")</f>
        <v>hæŋd</v>
      </c>
      <c r="E3540" s="2" t="str">
        <f>IFERROR(__xludf.DUMMYFUNCTION("IFERROR(VLOOKUP(A3540, IMPORTRANGE(""https://docs.google.com/spreadsheets/d/1-3Vjw2Cyy-mry5gbC8ypIR3YVGFfEpyFESummAta6sg/edit"", ""Sheet1!B:D""), 3, FALSE), ""Not Found"")"),"h æ ŋ d ")</f>
        <v>h æ ŋ d </v>
      </c>
    </row>
    <row r="3541">
      <c r="A3541" s="1" t="s">
        <v>3542</v>
      </c>
      <c r="B3541" s="1" t="s">
        <v>5</v>
      </c>
      <c r="C3541" s="2">
        <f>IFERROR(__xludf.DUMMYFUNCTION("IFERROR(VLOOKUP(A3541, IMPORTRANGE(""https://docs.google.com/spreadsheets/d/1AVX9GT0dgogEBStecCXMMQ29tWz3gBrtNB8yIromXbY/edit?gid=741673867"", ""out1g!A:B""), 2, FALSE), 0)"),294.0)</f>
        <v>294</v>
      </c>
      <c r="D3541" s="2" t="str">
        <f>IFERROR(__xludf.DUMMYFUNCTION("IFERROR(VLOOKUP(A3541, IMPORTRANGE(""https://docs.google.com/spreadsheets/d/1-3Vjw2Cyy-mry5gbC8ypIR3YVGFfEpyFESummAta6sg/edit"", ""Sheet1!B:D""), 2, FALSE), ""Not Found"")"),"kərli")</f>
        <v>kərli</v>
      </c>
      <c r="E3541" s="2" t="str">
        <f>IFERROR(__xludf.DUMMYFUNCTION("IFERROR(VLOOKUP(A3541, IMPORTRANGE(""https://docs.google.com/spreadsheets/d/1-3Vjw2Cyy-mry5gbC8ypIR3YVGFfEpyFESummAta6sg/edit"", ""Sheet1!B:D""), 3, FALSE), ""Not Found"")"),"k ə r l i ")</f>
        <v>k ə r l i </v>
      </c>
    </row>
    <row r="3542">
      <c r="A3542" s="1" t="s">
        <v>3543</v>
      </c>
      <c r="B3542" s="1" t="s">
        <v>5</v>
      </c>
      <c r="C3542" s="2">
        <f>IFERROR(__xludf.DUMMYFUNCTION("IFERROR(VLOOKUP(A3542, IMPORTRANGE(""https://docs.google.com/spreadsheets/d/1AVX9GT0dgogEBStecCXMMQ29tWz3gBrtNB8yIromXbY/edit?gid=741673867"", ""out1g!A:B""), 2, FALSE), 0)"),49.0)</f>
        <v>49</v>
      </c>
      <c r="D3542" s="2" t="str">
        <f>IFERROR(__xludf.DUMMYFUNCTION("IFERROR(VLOOKUP(A3542, IMPORTRANGE(""https://docs.google.com/spreadsheets/d/1-3Vjw2Cyy-mry5gbC8ypIR3YVGFfEpyFESummAta6sg/edit"", ""Sheet1!B:D""), 2, FALSE), ""Not Found"")"),"pænt")</f>
        <v>pænt</v>
      </c>
      <c r="E3542" s="2" t="str">
        <f>IFERROR(__xludf.DUMMYFUNCTION("IFERROR(VLOOKUP(A3542, IMPORTRANGE(""https://docs.google.com/spreadsheets/d/1-3Vjw2Cyy-mry5gbC8ypIR3YVGFfEpyFESummAta6sg/edit"", ""Sheet1!B:D""), 3, FALSE), ""Not Found"")"),"p æ n t ")</f>
        <v>p æ n t </v>
      </c>
    </row>
    <row r="3543">
      <c r="A3543" s="1" t="s">
        <v>3544</v>
      </c>
      <c r="B3543" s="1" t="s">
        <v>5</v>
      </c>
      <c r="C3543" s="2">
        <f>IFERROR(__xludf.DUMMYFUNCTION("IFERROR(VLOOKUP(A3543, IMPORTRANGE(""https://docs.google.com/spreadsheets/d/1AVX9GT0dgogEBStecCXMMQ29tWz3gBrtNB8yIromXbY/edit?gid=741673867"", ""out1g!A:B""), 2, FALSE), 0)"),931.0)</f>
        <v>931</v>
      </c>
      <c r="D3543" s="2" t="str">
        <f>IFERROR(__xludf.DUMMYFUNCTION("IFERROR(VLOOKUP(A3543, IMPORTRANGE(""https://docs.google.com/spreadsheets/d/1-3Vjw2Cyy-mry5gbC8ypIR3YVGFfEpyFESummAta6sg/edit"", ""Sheet1!B:D""), 2, FALSE), ""Not Found"")"),"dets")</f>
        <v>dets</v>
      </c>
      <c r="E3543" s="2" t="str">
        <f>IFERROR(__xludf.DUMMYFUNCTION("IFERROR(VLOOKUP(A3543, IMPORTRANGE(""https://docs.google.com/spreadsheets/d/1-3Vjw2Cyy-mry5gbC8ypIR3YVGFfEpyFESummAta6sg/edit"", ""Sheet1!B:D""), 3, FALSE), ""Not Found"")"),"d e t s ")</f>
        <v>d e t s </v>
      </c>
    </row>
    <row r="3544">
      <c r="A3544" s="1" t="s">
        <v>3545</v>
      </c>
      <c r="B3544" s="1" t="s">
        <v>5</v>
      </c>
      <c r="C3544" s="2">
        <f>IFERROR(__xludf.DUMMYFUNCTION("IFERROR(VLOOKUP(A3544, IMPORTRANGE(""https://docs.google.com/spreadsheets/d/1AVX9GT0dgogEBStecCXMMQ29tWz3gBrtNB8yIromXbY/edit?gid=741673867"", ""out1g!A:B""), 2, FALSE), 0)"),80.0)</f>
        <v>80</v>
      </c>
      <c r="D3544" s="2" t="str">
        <f>IFERROR(__xludf.DUMMYFUNCTION("IFERROR(VLOOKUP(A3544, IMPORTRANGE(""https://docs.google.com/spreadsheets/d/1-3Vjw2Cyy-mry5gbC8ypIR3YVGFfEpyFESummAta6sg/edit"", ""Sheet1!B:D""), 2, FALSE), ""Not Found"")"),"paʊloʊ")</f>
        <v>paʊloʊ</v>
      </c>
      <c r="E3544" s="2" t="str">
        <f>IFERROR(__xludf.DUMMYFUNCTION("IFERROR(VLOOKUP(A3544, IMPORTRANGE(""https://docs.google.com/spreadsheets/d/1-3Vjw2Cyy-mry5gbC8ypIR3YVGFfEpyFESummAta6sg/edit"", ""Sheet1!B:D""), 3, FALSE), ""Not Found"")"),"p a ʊ l o ʊ ")</f>
        <v>p a ʊ l o ʊ </v>
      </c>
    </row>
    <row r="3545">
      <c r="A3545" s="1" t="s">
        <v>3546</v>
      </c>
      <c r="B3545" s="1" t="s">
        <v>5</v>
      </c>
      <c r="C3545" s="2">
        <f>IFERROR(__xludf.DUMMYFUNCTION("IFERROR(VLOOKUP(A3545, IMPORTRANGE(""https://docs.google.com/spreadsheets/d/1AVX9GT0dgogEBStecCXMMQ29tWz3gBrtNB8yIromXbY/edit?gid=741673867"", ""out1g!A:B""), 2, FALSE), 0)"),628.0)</f>
        <v>628</v>
      </c>
      <c r="D3545" s="2" t="str">
        <f>IFERROR(__xludf.DUMMYFUNCTION("IFERROR(VLOOKUP(A3545, IMPORTRANGE(""https://docs.google.com/spreadsheets/d/1-3Vjw2Cyy-mry5gbC8ypIR3YVGFfEpyFESummAta6sg/edit"", ""Sheet1!B:D""), 2, FALSE), ""Not Found"")"),"ðəs")</f>
        <v>ðəs</v>
      </c>
      <c r="E3545" s="2" t="str">
        <f>IFERROR(__xludf.DUMMYFUNCTION("IFERROR(VLOOKUP(A3545, IMPORTRANGE(""https://docs.google.com/spreadsheets/d/1-3Vjw2Cyy-mry5gbC8ypIR3YVGFfEpyFESummAta6sg/edit"", ""Sheet1!B:D""), 3, FALSE), ""Not Found"")"),"ð ə s ")</f>
        <v>ð ə s </v>
      </c>
    </row>
    <row r="3546">
      <c r="A3546" s="1" t="s">
        <v>3547</v>
      </c>
      <c r="B3546" s="1" t="s">
        <v>5</v>
      </c>
      <c r="C3546" s="2">
        <f>IFERROR(__xludf.DUMMYFUNCTION("IFERROR(VLOOKUP(A3546, IMPORTRANGE(""https://docs.google.com/spreadsheets/d/1AVX9GT0dgogEBStecCXMMQ29tWz3gBrtNB8yIromXbY/edit?gid=741673867"", ""out1g!A:B""), 2, FALSE), 0)"),400.0)</f>
        <v>400</v>
      </c>
      <c r="D3546" s="2" t="str">
        <f>IFERROR(__xludf.DUMMYFUNCTION("IFERROR(VLOOKUP(A3546, IMPORTRANGE(""https://docs.google.com/spreadsheets/d/1-3Vjw2Cyy-mry5gbC8ypIR3YVGFfEpyFESummAta6sg/edit"", ""Sheet1!B:D""), 2, FALSE), ""Not Found"")"),"sæl")</f>
        <v>sæl</v>
      </c>
      <c r="E3546" s="2" t="str">
        <f>IFERROR(__xludf.DUMMYFUNCTION("IFERROR(VLOOKUP(A3546, IMPORTRANGE(""https://docs.google.com/spreadsheets/d/1-3Vjw2Cyy-mry5gbC8ypIR3YVGFfEpyFESummAta6sg/edit"", ""Sheet1!B:D""), 3, FALSE), ""Not Found"")"),"s æ l ")</f>
        <v>s æ l </v>
      </c>
    </row>
    <row r="3547">
      <c r="A3547" s="1" t="s">
        <v>3548</v>
      </c>
      <c r="B3547" s="1" t="s">
        <v>5</v>
      </c>
      <c r="C3547" s="2">
        <f>IFERROR(__xludf.DUMMYFUNCTION("IFERROR(VLOOKUP(A3547, IMPORTRANGE(""https://docs.google.com/spreadsheets/d/1AVX9GT0dgogEBStecCXMMQ29tWz3gBrtNB8yIromXbY/edit?gid=741673867"", ""out1g!A:B""), 2, FALSE), 0)"),29003.0)</f>
        <v>29003</v>
      </c>
      <c r="D3547" s="2" t="str">
        <f>IFERROR(__xludf.DUMMYFUNCTION("IFERROR(VLOOKUP(A3547, IMPORTRANGE(""https://docs.google.com/spreadsheets/d/1-3Vjw2Cyy-mry5gbC8ypIR3YVGFfEpyFESummAta6sg/edit"", ""Sheet1!B:D""), 2, FALSE), ""Not Found"")"),"jɪrz")</f>
        <v>jɪrz</v>
      </c>
      <c r="E3547" s="2" t="str">
        <f>IFERROR(__xludf.DUMMYFUNCTION("IFERROR(VLOOKUP(A3547, IMPORTRANGE(""https://docs.google.com/spreadsheets/d/1-3Vjw2Cyy-mry5gbC8ypIR3YVGFfEpyFESummAta6sg/edit"", ""Sheet1!B:D""), 3, FALSE), ""Not Found"")"),"j ɪ r z ")</f>
        <v>j ɪ r z </v>
      </c>
    </row>
    <row r="3548">
      <c r="A3548" s="1" t="s">
        <v>3549</v>
      </c>
      <c r="B3548" s="1" t="s">
        <v>5</v>
      </c>
      <c r="C3548" s="2">
        <f>IFERROR(__xludf.DUMMYFUNCTION("IFERROR(VLOOKUP(A3548, IMPORTRANGE(""https://docs.google.com/spreadsheets/d/1AVX9GT0dgogEBStecCXMMQ29tWz3gBrtNB8yIromXbY/edit?gid=741673867"", ""out1g!A:B""), 2, FALSE), 0)"),430.0)</f>
        <v>430</v>
      </c>
      <c r="D3548" s="2" t="str">
        <f>IFERROR(__xludf.DUMMYFUNCTION("IFERROR(VLOOKUP(A3548, IMPORTRANGE(""https://docs.google.com/spreadsheets/d/1-3Vjw2Cyy-mry5gbC8ypIR3YVGFfEpyFESummAta6sg/edit"", ""Sheet1!B:D""), 2, FALSE), ""Not Found"")"),"bɛtɪŋ")</f>
        <v>bɛtɪŋ</v>
      </c>
      <c r="E3548" s="2" t="str">
        <f>IFERROR(__xludf.DUMMYFUNCTION("IFERROR(VLOOKUP(A3548, IMPORTRANGE(""https://docs.google.com/spreadsheets/d/1-3Vjw2Cyy-mry5gbC8ypIR3YVGFfEpyFESummAta6sg/edit"", ""Sheet1!B:D""), 3, FALSE), ""Not Found"")"),"b ɛ t ɪ ŋ ")</f>
        <v>b ɛ t ɪ ŋ </v>
      </c>
    </row>
    <row r="3549">
      <c r="A3549" s="1" t="s">
        <v>3550</v>
      </c>
      <c r="B3549" s="1" t="s">
        <v>5</v>
      </c>
      <c r="C3549" s="2">
        <f>IFERROR(__xludf.DUMMYFUNCTION("IFERROR(VLOOKUP(A3549, IMPORTRANGE(""https://docs.google.com/spreadsheets/d/1AVX9GT0dgogEBStecCXMMQ29tWz3gBrtNB8yIromXbY/edit?gid=741673867"", ""out1g!A:B""), 2, FALSE), 0)"),258.0)</f>
        <v>258</v>
      </c>
      <c r="D3549" s="2" t="str">
        <f>IFERROR(__xludf.DUMMYFUNCTION("IFERROR(VLOOKUP(A3549, IMPORTRANGE(""https://docs.google.com/spreadsheets/d/1-3Vjw2Cyy-mry5gbC8ypIR3YVGFfEpyFESummAta6sg/edit"", ""Sheet1!B:D""), 2, FALSE), ""Not Found"")"),"ædz")</f>
        <v>ædz</v>
      </c>
      <c r="E3549" s="2" t="str">
        <f>IFERROR(__xludf.DUMMYFUNCTION("IFERROR(VLOOKUP(A3549, IMPORTRANGE(""https://docs.google.com/spreadsheets/d/1-3Vjw2Cyy-mry5gbC8ypIR3YVGFfEpyFESummAta6sg/edit"", ""Sheet1!B:D""), 3, FALSE), ""Not Found"")"),"æ d z ")</f>
        <v>æ d z </v>
      </c>
    </row>
    <row r="3550">
      <c r="A3550" s="1" t="s">
        <v>3551</v>
      </c>
      <c r="B3550" s="1" t="s">
        <v>5</v>
      </c>
      <c r="C3550" s="2">
        <f>IFERROR(__xludf.DUMMYFUNCTION("IFERROR(VLOOKUP(A3550, IMPORTRANGE(""https://docs.google.com/spreadsheets/d/1AVX9GT0dgogEBStecCXMMQ29tWz3gBrtNB8yIromXbY/edit?gid=741673867"", ""out1g!A:B""), 2, FALSE), 0)"),148.0)</f>
        <v>148</v>
      </c>
      <c r="D3550" s="2" t="str">
        <f>IFERROR(__xludf.DUMMYFUNCTION("IFERROR(VLOOKUP(A3550, IMPORTRANGE(""https://docs.google.com/spreadsheets/d/1-3Vjw2Cyy-mry5gbC8ypIR3YVGFfEpyFESummAta6sg/edit"", ""Sheet1!B:D""), 2, FALSE), ""Not Found"")"),"roʊlz")</f>
        <v>roʊlz</v>
      </c>
      <c r="E3550" s="2" t="str">
        <f>IFERROR(__xludf.DUMMYFUNCTION("IFERROR(VLOOKUP(A3550, IMPORTRANGE(""https://docs.google.com/spreadsheets/d/1-3Vjw2Cyy-mry5gbC8ypIR3YVGFfEpyFESummAta6sg/edit"", ""Sheet1!B:D""), 3, FALSE), ""Not Found"")"),"r o ʊ l z ")</f>
        <v>r o ʊ l z </v>
      </c>
    </row>
    <row r="3551">
      <c r="A3551" s="1" t="s">
        <v>3552</v>
      </c>
      <c r="B3551" s="1" t="s">
        <v>5</v>
      </c>
      <c r="C3551" s="2">
        <f>IFERROR(__xludf.DUMMYFUNCTION("IFERROR(VLOOKUP(A3551, IMPORTRANGE(""https://docs.google.com/spreadsheets/d/1AVX9GT0dgogEBStecCXMMQ29tWz3gBrtNB8yIromXbY/edit?gid=741673867"", ""out1g!A:B""), 2, FALSE), 0)"),73.0)</f>
        <v>73</v>
      </c>
      <c r="D3551" s="2" t="str">
        <f>IFERROR(__xludf.DUMMYFUNCTION("IFERROR(VLOOKUP(A3551, IMPORTRANGE(""https://docs.google.com/spreadsheets/d/1-3Vjw2Cyy-mry5gbC8ypIR3YVGFfEpyFESummAta6sg/edit"", ""Sheet1!B:D""), 2, FALSE), ""Not Found"")"),"pɛtɪŋ")</f>
        <v>pɛtɪŋ</v>
      </c>
      <c r="E3551" s="2" t="str">
        <f>IFERROR(__xludf.DUMMYFUNCTION("IFERROR(VLOOKUP(A3551, IMPORTRANGE(""https://docs.google.com/spreadsheets/d/1-3Vjw2Cyy-mry5gbC8ypIR3YVGFfEpyFESummAta6sg/edit"", ""Sheet1!B:D""), 3, FALSE), ""Not Found"")"),"p ɛ t ɪ ŋ ")</f>
        <v>p ɛ t ɪ ŋ </v>
      </c>
    </row>
    <row r="3552">
      <c r="A3552" s="1" t="s">
        <v>3553</v>
      </c>
      <c r="B3552" s="1" t="s">
        <v>5</v>
      </c>
      <c r="C3552" s="2">
        <f>IFERROR(__xludf.DUMMYFUNCTION("IFERROR(VLOOKUP(A3552, IMPORTRANGE(""https://docs.google.com/spreadsheets/d/1AVX9GT0dgogEBStecCXMMQ29tWz3gBrtNB8yIromXbY/edit?gid=741673867"", ""out1g!A:B""), 2, FALSE), 0)"),141.0)</f>
        <v>141</v>
      </c>
      <c r="D3552" s="2" t="str">
        <f>IFERROR(__xludf.DUMMYFUNCTION("IFERROR(VLOOKUP(A3552, IMPORTRANGE(""https://docs.google.com/spreadsheets/d/1-3Vjw2Cyy-mry5gbC8ypIR3YVGFfEpyFESummAta6sg/edit"", ""Sheet1!B:D""), 2, FALSE), ""Not Found"")"),"ərbz")</f>
        <v>ərbz</v>
      </c>
      <c r="E3552" s="2" t="str">
        <f>IFERROR(__xludf.DUMMYFUNCTION("IFERROR(VLOOKUP(A3552, IMPORTRANGE(""https://docs.google.com/spreadsheets/d/1-3Vjw2Cyy-mry5gbC8ypIR3YVGFfEpyFESummAta6sg/edit"", ""Sheet1!B:D""), 3, FALSE), ""Not Found"")"),"ə r b z ")</f>
        <v>ə r b z </v>
      </c>
    </row>
    <row r="3553">
      <c r="A3553" s="1" t="s">
        <v>3554</v>
      </c>
      <c r="B3553" s="1" t="s">
        <v>5</v>
      </c>
      <c r="C3553" s="2">
        <f>IFERROR(__xludf.DUMMYFUNCTION("IFERROR(VLOOKUP(A3553, IMPORTRANGE(""https://docs.google.com/spreadsheets/d/1AVX9GT0dgogEBStecCXMMQ29tWz3gBrtNB8yIromXbY/edit?gid=741673867"", ""out1g!A:B""), 2, FALSE), 0)"),220.0)</f>
        <v>220</v>
      </c>
      <c r="D3553" s="2" t="str">
        <f>IFERROR(__xludf.DUMMYFUNCTION("IFERROR(VLOOKUP(A3553, IMPORTRANGE(""https://docs.google.com/spreadsheets/d/1-3Vjw2Cyy-mry5gbC8ypIR3YVGFfEpyFESummAta6sg/edit"", ""Sheet1!B:D""), 2, FALSE), ""Not Found"")"),"ʃətɪŋ")</f>
        <v>ʃətɪŋ</v>
      </c>
      <c r="E3553" s="2" t="str">
        <f>IFERROR(__xludf.DUMMYFUNCTION("IFERROR(VLOOKUP(A3553, IMPORTRANGE(""https://docs.google.com/spreadsheets/d/1-3Vjw2Cyy-mry5gbC8ypIR3YVGFfEpyFESummAta6sg/edit"", ""Sheet1!B:D""), 3, FALSE), ""Not Found"")"),"ʃ ə t ɪ ŋ ")</f>
        <v>ʃ ə t ɪ ŋ </v>
      </c>
    </row>
    <row r="3554">
      <c r="A3554" s="1" t="s">
        <v>3555</v>
      </c>
      <c r="B3554" s="1" t="s">
        <v>5</v>
      </c>
      <c r="C3554" s="2">
        <f>IFERROR(__xludf.DUMMYFUNCTION("IFERROR(VLOOKUP(A3554, IMPORTRANGE(""https://docs.google.com/spreadsheets/d/1AVX9GT0dgogEBStecCXMMQ29tWz3gBrtNB8yIromXbY/edit?gid=741673867"", ""out1g!A:B""), 2, FALSE), 0)"),181.0)</f>
        <v>181</v>
      </c>
      <c r="D3554" s="2" t="str">
        <f>IFERROR(__xludf.DUMMYFUNCTION("IFERROR(VLOOKUP(A3554, IMPORTRANGE(""https://docs.google.com/spreadsheets/d/1-3Vjw2Cyy-mry5gbC8ypIR3YVGFfEpyFESummAta6sg/edit"", ""Sheet1!B:D""), 2, FALSE), ""Not Found"")"),"ʃept")</f>
        <v>ʃept</v>
      </c>
      <c r="E3554" s="2" t="str">
        <f>IFERROR(__xludf.DUMMYFUNCTION("IFERROR(VLOOKUP(A3554, IMPORTRANGE(""https://docs.google.com/spreadsheets/d/1-3Vjw2Cyy-mry5gbC8ypIR3YVGFfEpyFESummAta6sg/edit"", ""Sheet1!B:D""), 3, FALSE), ""Not Found"")"),"ʃ e p t ")</f>
        <v>ʃ e p t </v>
      </c>
    </row>
    <row r="3555">
      <c r="A3555" s="1" t="s">
        <v>3556</v>
      </c>
      <c r="B3555" s="1" t="s">
        <v>5</v>
      </c>
      <c r="C3555" s="2">
        <f>IFERROR(__xludf.DUMMYFUNCTION("IFERROR(VLOOKUP(A3555, IMPORTRANGE(""https://docs.google.com/spreadsheets/d/1AVX9GT0dgogEBStecCXMMQ29tWz3gBrtNB8yIromXbY/edit?gid=741673867"", ""out1g!A:B""), 2, FALSE), 0)"),190.0)</f>
        <v>190</v>
      </c>
      <c r="D3555" s="2" t="str">
        <f>IFERROR(__xludf.DUMMYFUNCTION("IFERROR(VLOOKUP(A3555, IMPORTRANGE(""https://docs.google.com/spreadsheets/d/1-3Vjw2Cyy-mry5gbC8ypIR3YVGFfEpyFESummAta6sg/edit"", ""Sheet1!B:D""), 2, FALSE), ""Not Found"")"),"θərst")</f>
        <v>θərst</v>
      </c>
      <c r="E3555" s="2" t="str">
        <f>IFERROR(__xludf.DUMMYFUNCTION("IFERROR(VLOOKUP(A3555, IMPORTRANGE(""https://docs.google.com/spreadsheets/d/1-3Vjw2Cyy-mry5gbC8ypIR3YVGFfEpyFESummAta6sg/edit"", ""Sheet1!B:D""), 3, FALSE), ""Not Found"")"),"θ ə r s t ")</f>
        <v>θ ə r s t </v>
      </c>
    </row>
    <row r="3556">
      <c r="A3556" s="1" t="s">
        <v>3557</v>
      </c>
      <c r="B3556" s="1" t="s">
        <v>5</v>
      </c>
      <c r="C3556" s="2">
        <f>IFERROR(__xludf.DUMMYFUNCTION("IFERROR(VLOOKUP(A3556, IMPORTRANGE(""https://docs.google.com/spreadsheets/d/1AVX9GT0dgogEBStecCXMMQ29tWz3gBrtNB8yIromXbY/edit?gid=741673867"", ""out1g!A:B""), 2, FALSE), 0)"),144.0)</f>
        <v>144</v>
      </c>
      <c r="D3556" s="2" t="str">
        <f>IFERROR(__xludf.DUMMYFUNCTION("IFERROR(VLOOKUP(A3556, IMPORTRANGE(""https://docs.google.com/spreadsheets/d/1-3Vjw2Cyy-mry5gbC8ypIR3YVGFfEpyFESummAta6sg/edit"", ""Sheet1!B:D""), 2, FALSE), ""Not Found"")"),"beld")</f>
        <v>beld</v>
      </c>
      <c r="E3556" s="2" t="str">
        <f>IFERROR(__xludf.DUMMYFUNCTION("IFERROR(VLOOKUP(A3556, IMPORTRANGE(""https://docs.google.com/spreadsheets/d/1-3Vjw2Cyy-mry5gbC8ypIR3YVGFfEpyFESummAta6sg/edit"", ""Sheet1!B:D""), 3, FALSE), ""Not Found"")"),"b e l d ")</f>
        <v>b e l d </v>
      </c>
    </row>
    <row r="3557">
      <c r="A3557" s="1" t="s">
        <v>3558</v>
      </c>
      <c r="B3557" s="1" t="s">
        <v>5</v>
      </c>
      <c r="C3557" s="2">
        <f>IFERROR(__xludf.DUMMYFUNCTION("IFERROR(VLOOKUP(A3557, IMPORTRANGE(""https://docs.google.com/spreadsheets/d/1AVX9GT0dgogEBStecCXMMQ29tWz3gBrtNB8yIromXbY/edit?gid=741673867"", ""out1g!A:B""), 2, FALSE), 0)"),47.0)</f>
        <v>47</v>
      </c>
      <c r="D3557" s="2" t="str">
        <f>IFERROR(__xludf.DUMMYFUNCTION("IFERROR(VLOOKUP(A3557, IMPORTRANGE(""https://docs.google.com/spreadsheets/d/1-3Vjw2Cyy-mry5gbC8ypIR3YVGFfEpyFESummAta6sg/edit"", ""Sheet1!B:D""), 2, FALSE), ""Not Found"")"),"raʊz")</f>
        <v>raʊz</v>
      </c>
      <c r="E3557" s="2" t="str">
        <f>IFERROR(__xludf.DUMMYFUNCTION("IFERROR(VLOOKUP(A3557, IMPORTRANGE(""https://docs.google.com/spreadsheets/d/1-3Vjw2Cyy-mry5gbC8ypIR3YVGFfEpyFESummAta6sg/edit"", ""Sheet1!B:D""), 3, FALSE), ""Not Found"")"),"r a ʊ z ")</f>
        <v>r a ʊ z </v>
      </c>
    </row>
    <row r="3558">
      <c r="A3558" s="1" t="s">
        <v>3559</v>
      </c>
      <c r="B3558" s="1" t="s">
        <v>5</v>
      </c>
      <c r="C3558" s="2">
        <f>IFERROR(__xludf.DUMMYFUNCTION("IFERROR(VLOOKUP(A3558, IMPORTRANGE(""https://docs.google.com/spreadsheets/d/1AVX9GT0dgogEBStecCXMMQ29tWz3gBrtNB8yIromXbY/edit?gid=741673867"", ""out1g!A:B""), 2, FALSE), 0)"),43074.0)</f>
        <v>43074</v>
      </c>
      <c r="D3558" s="2" t="str">
        <f>IFERROR(__xludf.DUMMYFUNCTION("IFERROR(VLOOKUP(A3558, IMPORTRANGE(""https://docs.google.com/spreadsheets/d/1-3Vjw2Cyy-mry5gbC8ypIR3YVGFfEpyFESummAta6sg/edit"", ""Sheet1!B:D""), 2, FALSE), ""Not Found"")"),"ɪntu")</f>
        <v>ɪntu</v>
      </c>
      <c r="E3558" s="2" t="str">
        <f>IFERROR(__xludf.DUMMYFUNCTION("IFERROR(VLOOKUP(A3558, IMPORTRANGE(""https://docs.google.com/spreadsheets/d/1-3Vjw2Cyy-mry5gbC8ypIR3YVGFfEpyFESummAta6sg/edit"", ""Sheet1!B:D""), 3, FALSE), ""Not Found"")"),"ɪ n t u ")</f>
        <v>ɪ n t u </v>
      </c>
    </row>
    <row r="3559">
      <c r="A3559" s="1" t="s">
        <v>3560</v>
      </c>
      <c r="B3559" s="1" t="s">
        <v>5</v>
      </c>
      <c r="C3559" s="2">
        <f>IFERROR(__xludf.DUMMYFUNCTION("IFERROR(VLOOKUP(A3559, IMPORTRANGE(""https://docs.google.com/spreadsheets/d/1AVX9GT0dgogEBStecCXMMQ29tWz3gBrtNB8yIromXbY/edit?gid=741673867"", ""out1g!A:B""), 2, FALSE), 0)"),109.0)</f>
        <v>109</v>
      </c>
      <c r="D3559" s="2" t="str">
        <f>IFERROR(__xludf.DUMMYFUNCTION("IFERROR(VLOOKUP(A3559, IMPORTRANGE(""https://docs.google.com/spreadsheets/d/1-3Vjw2Cyy-mry5gbC8ypIR3YVGFfEpyFESummAta6sg/edit"", ""Sheet1!B:D""), 2, FALSE), ""Not Found"")"),"ʧits")</f>
        <v>ʧits</v>
      </c>
      <c r="E3559" s="2" t="str">
        <f>IFERROR(__xludf.DUMMYFUNCTION("IFERROR(VLOOKUP(A3559, IMPORTRANGE(""https://docs.google.com/spreadsheets/d/1-3Vjw2Cyy-mry5gbC8ypIR3YVGFfEpyFESummAta6sg/edit"", ""Sheet1!B:D""), 3, FALSE), ""Not Found"")"),"ʧ i t s ")</f>
        <v>ʧ i t s </v>
      </c>
    </row>
    <row r="3560">
      <c r="A3560" s="1" t="s">
        <v>3561</v>
      </c>
      <c r="B3560" s="1" t="s">
        <v>5</v>
      </c>
      <c r="C3560" s="2">
        <f>IFERROR(__xludf.DUMMYFUNCTION("IFERROR(VLOOKUP(A3560, IMPORTRANGE(""https://docs.google.com/spreadsheets/d/1AVX9GT0dgogEBStecCXMMQ29tWz3gBrtNB8yIromXbY/edit?gid=741673867"", ""out1g!A:B""), 2, FALSE), 0)"),170.0)</f>
        <v>170</v>
      </c>
      <c r="D3560" s="2" t="str">
        <f>IFERROR(__xludf.DUMMYFUNCTION("IFERROR(VLOOKUP(A3560, IMPORTRANGE(""https://docs.google.com/spreadsheets/d/1-3Vjw2Cyy-mry5gbC8ypIR3YVGFfEpyFESummAta6sg/edit"", ""Sheet1!B:D""), 2, FALSE), ""Not Found"")"),"nɔrm")</f>
        <v>nɔrm</v>
      </c>
      <c r="E3560" s="2" t="str">
        <f>IFERROR(__xludf.DUMMYFUNCTION("IFERROR(VLOOKUP(A3560, IMPORTRANGE(""https://docs.google.com/spreadsheets/d/1-3Vjw2Cyy-mry5gbC8ypIR3YVGFfEpyFESummAta6sg/edit"", ""Sheet1!B:D""), 3, FALSE), ""Not Found"")"),"n ɔ r m ")</f>
        <v>n ɔ r m </v>
      </c>
    </row>
    <row r="3561">
      <c r="A3561" s="1" t="s">
        <v>3562</v>
      </c>
      <c r="B3561" s="1" t="s">
        <v>5</v>
      </c>
      <c r="C3561" s="2">
        <f>IFERROR(__xludf.DUMMYFUNCTION("IFERROR(VLOOKUP(A3561, IMPORTRANGE(""https://docs.google.com/spreadsheets/d/1AVX9GT0dgogEBStecCXMMQ29tWz3gBrtNB8yIromXbY/edit?gid=741673867"", ""out1g!A:B""), 2, FALSE), 0)"),2634.0)</f>
        <v>2634</v>
      </c>
      <c r="D3561" s="2" t="str">
        <f>IFERROR(__xludf.DUMMYFUNCTION("IFERROR(VLOOKUP(A3561, IMPORTRANGE(""https://docs.google.com/spreadsheets/d/1-3Vjw2Cyy-mry5gbC8ypIR3YVGFfEpyFESummAta6sg/edit"", ""Sheet1!B:D""), 2, FALSE), ""Not Found"")"),"kəp")</f>
        <v>kəp</v>
      </c>
      <c r="E3561" s="2" t="str">
        <f>IFERROR(__xludf.DUMMYFUNCTION("IFERROR(VLOOKUP(A3561, IMPORTRANGE(""https://docs.google.com/spreadsheets/d/1-3Vjw2Cyy-mry5gbC8ypIR3YVGFfEpyFESummAta6sg/edit"", ""Sheet1!B:D""), 3, FALSE), ""Not Found"")"),"k ə p ")</f>
        <v>k ə p </v>
      </c>
    </row>
    <row r="3562">
      <c r="A3562" s="1" t="s">
        <v>3563</v>
      </c>
      <c r="B3562" s="1" t="s">
        <v>5</v>
      </c>
      <c r="C3562" s="2">
        <f>IFERROR(__xludf.DUMMYFUNCTION("IFERROR(VLOOKUP(A3562, IMPORTRANGE(""https://docs.google.com/spreadsheets/d/1AVX9GT0dgogEBStecCXMMQ29tWz3gBrtNB8yIromXbY/edit?gid=741673867"", ""out1g!A:B""), 2, FALSE), 0)"),156.0)</f>
        <v>156</v>
      </c>
      <c r="D3562" s="2" t="str">
        <f>IFERROR(__xludf.DUMMYFUNCTION("IFERROR(VLOOKUP(A3562, IMPORTRANGE(""https://docs.google.com/spreadsheets/d/1-3Vjw2Cyy-mry5gbC8ypIR3YVGFfEpyFESummAta6sg/edit"", ""Sheet1!B:D""), 2, FALSE), ""Not Found"")"),"ʧəm")</f>
        <v>ʧəm</v>
      </c>
      <c r="E3562" s="2" t="str">
        <f>IFERROR(__xludf.DUMMYFUNCTION("IFERROR(VLOOKUP(A3562, IMPORTRANGE(""https://docs.google.com/spreadsheets/d/1-3Vjw2Cyy-mry5gbC8ypIR3YVGFfEpyFESummAta6sg/edit"", ""Sheet1!B:D""), 3, FALSE), ""Not Found"")"),"ʧ ə m ")</f>
        <v>ʧ ə m </v>
      </c>
    </row>
    <row r="3563">
      <c r="A3563" s="1" t="s">
        <v>3564</v>
      </c>
      <c r="B3563" s="1" t="s">
        <v>5</v>
      </c>
      <c r="C3563" s="2">
        <f>IFERROR(__xludf.DUMMYFUNCTION("IFERROR(VLOOKUP(A3563, IMPORTRANGE(""https://docs.google.com/spreadsheets/d/1AVX9GT0dgogEBStecCXMMQ29tWz3gBrtNB8yIromXbY/edit?gid=741673867"", ""out1g!A:B""), 2, FALSE), 0)"),77.0)</f>
        <v>77</v>
      </c>
      <c r="D3563" s="2" t="str">
        <f>IFERROR(__xludf.DUMMYFUNCTION("IFERROR(VLOOKUP(A3563, IMPORTRANGE(""https://docs.google.com/spreadsheets/d/1-3Vjw2Cyy-mry5gbC8ypIR3YVGFfEpyFESummAta6sg/edit"", ""Sheet1!B:D""), 2, FALSE), ""Not Found"")"),"duoʊ")</f>
        <v>duoʊ</v>
      </c>
      <c r="E3563" s="2" t="str">
        <f>IFERROR(__xludf.DUMMYFUNCTION("IFERROR(VLOOKUP(A3563, IMPORTRANGE(""https://docs.google.com/spreadsheets/d/1-3Vjw2Cyy-mry5gbC8ypIR3YVGFfEpyFESummAta6sg/edit"", ""Sheet1!B:D""), 3, FALSE), ""Not Found"")"),"d u o ʊ ")</f>
        <v>d u o ʊ </v>
      </c>
    </row>
    <row r="3564">
      <c r="A3564" s="1" t="s">
        <v>3565</v>
      </c>
      <c r="B3564" s="1" t="s">
        <v>5</v>
      </c>
      <c r="C3564" s="2">
        <f>IFERROR(__xludf.DUMMYFUNCTION("IFERROR(VLOOKUP(A3564, IMPORTRANGE(""https://docs.google.com/spreadsheets/d/1AVX9GT0dgogEBStecCXMMQ29tWz3gBrtNB8yIromXbY/edit?gid=741673867"", ""out1g!A:B""), 2, FALSE), 0)"),1623.0)</f>
        <v>1623</v>
      </c>
      <c r="D3564" s="2" t="str">
        <f>IFERROR(__xludf.DUMMYFUNCTION("IFERROR(VLOOKUP(A3564, IMPORTRANGE(""https://docs.google.com/spreadsheets/d/1-3Vjw2Cyy-mry5gbC8ypIR3YVGFfEpyFESummAta6sg/edit"", ""Sheet1!B:D""), 2, FALSE), ""Not Found"")"),"mæp")</f>
        <v>mæp</v>
      </c>
      <c r="E3564" s="2" t="str">
        <f>IFERROR(__xludf.DUMMYFUNCTION("IFERROR(VLOOKUP(A3564, IMPORTRANGE(""https://docs.google.com/spreadsheets/d/1-3Vjw2Cyy-mry5gbC8ypIR3YVGFfEpyFESummAta6sg/edit"", ""Sheet1!B:D""), 3, FALSE), ""Not Found"")"),"m æ p ")</f>
        <v>m æ p </v>
      </c>
    </row>
    <row r="3565">
      <c r="A3565" s="1" t="s">
        <v>3566</v>
      </c>
      <c r="B3565" s="1" t="s">
        <v>5</v>
      </c>
      <c r="C3565" s="2">
        <f>IFERROR(__xludf.DUMMYFUNCTION("IFERROR(VLOOKUP(A3565, IMPORTRANGE(""https://docs.google.com/spreadsheets/d/1AVX9GT0dgogEBStecCXMMQ29tWz3gBrtNB8yIromXbY/edit?gid=741673867"", ""out1g!A:B""), 2, FALSE), 0)"),147.0)</f>
        <v>147</v>
      </c>
      <c r="D3565" s="2" t="str">
        <f>IFERROR(__xludf.DUMMYFUNCTION("IFERROR(VLOOKUP(A3565, IMPORTRANGE(""https://docs.google.com/spreadsheets/d/1-3Vjw2Cyy-mry5gbC8ypIR3YVGFfEpyFESummAta6sg/edit"", ""Sheet1!B:D""), 2, FALSE), ""Not Found"")"),"plesɪŋ")</f>
        <v>plesɪŋ</v>
      </c>
      <c r="E3565" s="2" t="str">
        <f>IFERROR(__xludf.DUMMYFUNCTION("IFERROR(VLOOKUP(A3565, IMPORTRANGE(""https://docs.google.com/spreadsheets/d/1-3Vjw2Cyy-mry5gbC8ypIR3YVGFfEpyFESummAta6sg/edit"", ""Sheet1!B:D""), 3, FALSE), ""Not Found"")"),"p l e s ɪ ŋ ")</f>
        <v>p l e s ɪ ŋ </v>
      </c>
    </row>
    <row r="3566">
      <c r="A3566" s="1" t="s">
        <v>3567</v>
      </c>
      <c r="B3566" s="1" t="s">
        <v>5</v>
      </c>
      <c r="C3566" s="2">
        <f>IFERROR(__xludf.DUMMYFUNCTION("IFERROR(VLOOKUP(A3566, IMPORTRANGE(""https://docs.google.com/spreadsheets/d/1AVX9GT0dgogEBStecCXMMQ29tWz3gBrtNB8yIromXbY/edit?gid=741673867"", ""out1g!A:B""), 2, FALSE), 0)"),59566.0)</f>
        <v>59566</v>
      </c>
      <c r="D3566" s="2" t="str">
        <f>IFERROR(__xludf.DUMMYFUNCTION("IFERROR(VLOOKUP(A3566, IMPORTRANGE(""https://docs.google.com/spreadsheets/d/1-3Vjw2Cyy-mry5gbC8ypIR3YVGFfEpyFESummAta6sg/edit"", ""Sheet1!B:D""), 2, FALSE), ""Not Found"")"),"sɑri")</f>
        <v>sɑri</v>
      </c>
      <c r="E3566" s="2" t="str">
        <f>IFERROR(__xludf.DUMMYFUNCTION("IFERROR(VLOOKUP(A3566, IMPORTRANGE(""https://docs.google.com/spreadsheets/d/1-3Vjw2Cyy-mry5gbC8ypIR3YVGFfEpyFESummAta6sg/edit"", ""Sheet1!B:D""), 3, FALSE), ""Not Found"")"),"s ɑ r i ")</f>
        <v>s ɑ r i </v>
      </c>
    </row>
    <row r="3567">
      <c r="A3567" s="1" t="s">
        <v>3568</v>
      </c>
      <c r="B3567" s="1" t="s">
        <v>5</v>
      </c>
      <c r="C3567" s="2">
        <f>IFERROR(__xludf.DUMMYFUNCTION("IFERROR(VLOOKUP(A3567, IMPORTRANGE(""https://docs.google.com/spreadsheets/d/1AVX9GT0dgogEBStecCXMMQ29tWz3gBrtNB8yIromXbY/edit?gid=741673867"", ""out1g!A:B""), 2, FALSE), 0)"),1255.0)</f>
        <v>1255</v>
      </c>
      <c r="D3567" s="2" t="str">
        <f>IFERROR(__xludf.DUMMYFUNCTION("IFERROR(VLOOKUP(A3567, IMPORTRANGE(""https://docs.google.com/spreadsheets/d/1-3Vjw2Cyy-mry5gbC8ypIR3YVGFfEpyFESummAta6sg/edit"", ""Sheet1!B:D""), 2, FALSE), ""Not Found"")"),"noʊts")</f>
        <v>noʊts</v>
      </c>
      <c r="E3567" s="2" t="str">
        <f>IFERROR(__xludf.DUMMYFUNCTION("IFERROR(VLOOKUP(A3567, IMPORTRANGE(""https://docs.google.com/spreadsheets/d/1-3Vjw2Cyy-mry5gbC8ypIR3YVGFfEpyFESummAta6sg/edit"", ""Sheet1!B:D""), 3, FALSE), ""Not Found"")"),"n o ʊ t s ")</f>
        <v>n o ʊ t s </v>
      </c>
    </row>
    <row r="3568">
      <c r="A3568" s="1" t="s">
        <v>3569</v>
      </c>
      <c r="B3568" s="1" t="s">
        <v>5</v>
      </c>
      <c r="C3568" s="2">
        <f>IFERROR(__xludf.DUMMYFUNCTION("IFERROR(VLOOKUP(A3568, IMPORTRANGE(""https://docs.google.com/spreadsheets/d/1AVX9GT0dgogEBStecCXMMQ29tWz3gBrtNB8yIromXbY/edit?gid=741673867"", ""out1g!A:B""), 2, FALSE), 0)"),75.0)</f>
        <v>75</v>
      </c>
      <c r="D3568" s="2" t="str">
        <f>IFERROR(__xludf.DUMMYFUNCTION("IFERROR(VLOOKUP(A3568, IMPORTRANGE(""https://docs.google.com/spreadsheets/d/1-3Vjw2Cyy-mry5gbC8ypIR3YVGFfEpyFESummAta6sg/edit"", ""Sheet1!B:D""), 2, FALSE), ""Not Found"")"),"sæʧəl")</f>
        <v>sæʧəl</v>
      </c>
      <c r="E3568" s="2" t="str">
        <f>IFERROR(__xludf.DUMMYFUNCTION("IFERROR(VLOOKUP(A3568, IMPORTRANGE(""https://docs.google.com/spreadsheets/d/1-3Vjw2Cyy-mry5gbC8ypIR3YVGFfEpyFESummAta6sg/edit"", ""Sheet1!B:D""), 3, FALSE), ""Not Found"")"),"s æ ʧ ə l ")</f>
        <v>s æ ʧ ə l </v>
      </c>
    </row>
    <row r="3569">
      <c r="A3569" s="1" t="s">
        <v>3570</v>
      </c>
      <c r="B3569" s="1" t="s">
        <v>5</v>
      </c>
      <c r="C3569" s="2">
        <f>IFERROR(__xludf.DUMMYFUNCTION("IFERROR(VLOOKUP(A3569, IMPORTRANGE(""https://docs.google.com/spreadsheets/d/1AVX9GT0dgogEBStecCXMMQ29tWz3gBrtNB8yIromXbY/edit?gid=741673867"", ""out1g!A:B""), 2, FALSE), 0)"),1377.0)</f>
        <v>1377</v>
      </c>
      <c r="D3569" s="2" t="str">
        <f>IFERROR(__xludf.DUMMYFUNCTION("IFERROR(VLOOKUP(A3569, IMPORTRANGE(""https://docs.google.com/spreadsheets/d/1-3Vjw2Cyy-mry5gbC8ypIR3YVGFfEpyFESummAta6sg/edit"", ""Sheet1!B:D""), 2, FALSE), ""Not Found"")"),"tɪr")</f>
        <v>tɪr</v>
      </c>
      <c r="E3569" s="2" t="str">
        <f>IFERROR(__xludf.DUMMYFUNCTION("IFERROR(VLOOKUP(A3569, IMPORTRANGE(""https://docs.google.com/spreadsheets/d/1-3Vjw2Cyy-mry5gbC8ypIR3YVGFfEpyFESummAta6sg/edit"", ""Sheet1!B:D""), 3, FALSE), ""Not Found"")"),"t ɪ r ")</f>
        <v>t ɪ r </v>
      </c>
    </row>
    <row r="3570">
      <c r="A3570" s="1" t="s">
        <v>3571</v>
      </c>
      <c r="B3570" s="1" t="s">
        <v>5</v>
      </c>
      <c r="C3570" s="2">
        <f>IFERROR(__xludf.DUMMYFUNCTION("IFERROR(VLOOKUP(A3570, IMPORTRANGE(""https://docs.google.com/spreadsheets/d/1AVX9GT0dgogEBStecCXMMQ29tWz3gBrtNB8yIromXbY/edit?gid=741673867"", ""out1g!A:B""), 2, FALSE), 0)"),556.0)</f>
        <v>556</v>
      </c>
      <c r="D3570" s="2" t="str">
        <f>IFERROR(__xludf.DUMMYFUNCTION("IFERROR(VLOOKUP(A3570, IMPORTRANGE(""https://docs.google.com/spreadsheets/d/1-3Vjw2Cyy-mry5gbC8ypIR3YVGFfEpyFESummAta6sg/edit"", ""Sheet1!B:D""), 2, FALSE), ""Not Found"")"),"ups")</f>
        <v>ups</v>
      </c>
      <c r="E3570" s="2" t="str">
        <f>IFERROR(__xludf.DUMMYFUNCTION("IFERROR(VLOOKUP(A3570, IMPORTRANGE(""https://docs.google.com/spreadsheets/d/1-3Vjw2Cyy-mry5gbC8ypIR3YVGFfEpyFESummAta6sg/edit"", ""Sheet1!B:D""), 3, FALSE), ""Not Found"")"),"u p s ")</f>
        <v>u p s </v>
      </c>
    </row>
    <row r="3571">
      <c r="A3571" s="1" t="s">
        <v>3572</v>
      </c>
      <c r="B3571" s="1" t="s">
        <v>5</v>
      </c>
      <c r="C3571" s="2">
        <f>IFERROR(__xludf.DUMMYFUNCTION("IFERROR(VLOOKUP(A3571, IMPORTRANGE(""https://docs.google.com/spreadsheets/d/1AVX9GT0dgogEBStecCXMMQ29tWz3gBrtNB8yIromXbY/edit?gid=741673867"", ""out1g!A:B""), 2, FALSE), 0)"),6260.0)</f>
        <v>6260</v>
      </c>
      <c r="D3571" s="2" t="str">
        <f>IFERROR(__xludf.DUMMYFUNCTION("IFERROR(VLOOKUP(A3571, IMPORTRANGE(""https://docs.google.com/spreadsheets/d/1-3Vjw2Cyy-mry5gbC8ypIR3YVGFfEpyFESummAta6sg/edit"", ""Sheet1!B:D""), 2, FALSE), ""Not Found"")"),"hɑ")</f>
        <v>hɑ</v>
      </c>
      <c r="E3571" s="2" t="str">
        <f>IFERROR(__xludf.DUMMYFUNCTION("IFERROR(VLOOKUP(A3571, IMPORTRANGE(""https://docs.google.com/spreadsheets/d/1-3Vjw2Cyy-mry5gbC8ypIR3YVGFfEpyFESummAta6sg/edit"", ""Sheet1!B:D""), 3, FALSE), ""Not Found"")"),"h ɑ ")</f>
        <v>h ɑ </v>
      </c>
    </row>
    <row r="3572">
      <c r="A3572" s="1" t="s">
        <v>3573</v>
      </c>
      <c r="B3572" s="1" t="s">
        <v>5</v>
      </c>
      <c r="C3572" s="2">
        <f>IFERROR(__xludf.DUMMYFUNCTION("IFERROR(VLOOKUP(A3572, IMPORTRANGE(""https://docs.google.com/spreadsheets/d/1AVX9GT0dgogEBStecCXMMQ29tWz3gBrtNB8yIromXbY/edit?gid=741673867"", ""out1g!A:B""), 2, FALSE), 0)"),57.0)</f>
        <v>57</v>
      </c>
      <c r="D3572" s="2" t="str">
        <f>IFERROR(__xludf.DUMMYFUNCTION("IFERROR(VLOOKUP(A3572, IMPORTRANGE(""https://docs.google.com/spreadsheets/d/1-3Vjw2Cyy-mry5gbC8ypIR3YVGFfEpyFESummAta6sg/edit"", ""Sheet1!B:D""), 2, FALSE), ""Not Found"")"),"blum")</f>
        <v>blum</v>
      </c>
      <c r="E3572" s="2" t="str">
        <f>IFERROR(__xludf.DUMMYFUNCTION("IFERROR(VLOOKUP(A3572, IMPORTRANGE(""https://docs.google.com/spreadsheets/d/1-3Vjw2Cyy-mry5gbC8ypIR3YVGFfEpyFESummAta6sg/edit"", ""Sheet1!B:D""), 3, FALSE), ""Not Found"")"),"b l u m ")</f>
        <v>b l u m </v>
      </c>
    </row>
    <row r="3573">
      <c r="A3573" s="1" t="s">
        <v>3574</v>
      </c>
      <c r="B3573" s="1" t="s">
        <v>5</v>
      </c>
      <c r="C3573" s="2">
        <f>IFERROR(__xludf.DUMMYFUNCTION("IFERROR(VLOOKUP(A3573, IMPORTRANGE(""https://docs.google.com/spreadsheets/d/1AVX9GT0dgogEBStecCXMMQ29tWz3gBrtNB8yIromXbY/edit?gid=741673867"", ""out1g!A:B""), 2, FALSE), 0)"),194.0)</f>
        <v>194</v>
      </c>
      <c r="D3573" s="2" t="str">
        <f>IFERROR(__xludf.DUMMYFUNCTION("IFERROR(VLOOKUP(A3573, IMPORTRANGE(""https://docs.google.com/spreadsheets/d/1-3Vjw2Cyy-mry5gbC8ypIR3YVGFfEpyFESummAta6sg/edit"", ""Sheet1!B:D""), 2, FALSE), ""Not Found"")"),"ədrɛst")</f>
        <v>ədrɛst</v>
      </c>
      <c r="E3573" s="2" t="str">
        <f>IFERROR(__xludf.DUMMYFUNCTION("IFERROR(VLOOKUP(A3573, IMPORTRANGE(""https://docs.google.com/spreadsheets/d/1-3Vjw2Cyy-mry5gbC8ypIR3YVGFfEpyFESummAta6sg/edit"", ""Sheet1!B:D""), 3, FALSE), ""Not Found"")"),"ə d r ɛ s t ")</f>
        <v>ə d r ɛ s t </v>
      </c>
    </row>
    <row r="3574">
      <c r="A3574" s="1" t="s">
        <v>3575</v>
      </c>
      <c r="B3574" s="1" t="s">
        <v>5</v>
      </c>
      <c r="C3574" s="2">
        <f>IFERROR(__xludf.DUMMYFUNCTION("IFERROR(VLOOKUP(A3574, IMPORTRANGE(""https://docs.google.com/spreadsheets/d/1AVX9GT0dgogEBStecCXMMQ29tWz3gBrtNB8yIromXbY/edit?gid=741673867"", ""out1g!A:B""), 2, FALSE), 0)"),144.0)</f>
        <v>144</v>
      </c>
      <c r="D3574" s="2" t="str">
        <f>IFERROR(__xludf.DUMMYFUNCTION("IFERROR(VLOOKUP(A3574, IMPORTRANGE(""https://docs.google.com/spreadsheets/d/1-3Vjw2Cyy-mry5gbC8ypIR3YVGFfEpyFESummAta6sg/edit"", ""Sheet1!B:D""), 2, FALSE), ""Not Found"")"),"snæps")</f>
        <v>snæps</v>
      </c>
      <c r="E3574" s="2" t="str">
        <f>IFERROR(__xludf.DUMMYFUNCTION("IFERROR(VLOOKUP(A3574, IMPORTRANGE(""https://docs.google.com/spreadsheets/d/1-3Vjw2Cyy-mry5gbC8ypIR3YVGFfEpyFESummAta6sg/edit"", ""Sheet1!B:D""), 3, FALSE), ""Not Found"")"),"s n æ p s ")</f>
        <v>s n æ p s </v>
      </c>
    </row>
    <row r="3575">
      <c r="A3575" s="1" t="s">
        <v>3576</v>
      </c>
      <c r="B3575" s="1" t="s">
        <v>5</v>
      </c>
      <c r="C3575" s="2">
        <f>IFERROR(__xludf.DUMMYFUNCTION("IFERROR(VLOOKUP(A3575, IMPORTRANGE(""https://docs.google.com/spreadsheets/d/1AVX9GT0dgogEBStecCXMMQ29tWz3gBrtNB8yIromXbY/edit?gid=741673867"", ""out1g!A:B""), 2, FALSE), 0)"),143.0)</f>
        <v>143</v>
      </c>
      <c r="D3575" s="2" t="str">
        <f>IFERROR(__xludf.DUMMYFUNCTION("IFERROR(VLOOKUP(A3575, IMPORTRANGE(""https://docs.google.com/spreadsheets/d/1-3Vjw2Cyy-mry5gbC8ypIR3YVGFfEpyFESummAta6sg/edit"", ""Sheet1!B:D""), 2, FALSE), ""Not Found"")"),"kɛtəl")</f>
        <v>kɛtəl</v>
      </c>
      <c r="E3575" s="2" t="str">
        <f>IFERROR(__xludf.DUMMYFUNCTION("IFERROR(VLOOKUP(A3575, IMPORTRANGE(""https://docs.google.com/spreadsheets/d/1-3Vjw2Cyy-mry5gbC8ypIR3YVGFfEpyFESummAta6sg/edit"", ""Sheet1!B:D""), 3, FALSE), ""Not Found"")"),"k ɛ t ə l ")</f>
        <v>k ɛ t ə l </v>
      </c>
    </row>
    <row r="3576">
      <c r="A3576" s="1" t="s">
        <v>3577</v>
      </c>
      <c r="B3576" s="1" t="s">
        <v>5</v>
      </c>
      <c r="C3576" s="2">
        <f>IFERROR(__xludf.DUMMYFUNCTION("IFERROR(VLOOKUP(A3576, IMPORTRANGE(""https://docs.google.com/spreadsheets/d/1AVX9GT0dgogEBStecCXMMQ29tWz3gBrtNB8yIromXbY/edit?gid=741673867"", ""out1g!A:B""), 2, FALSE), 0)"),65.0)</f>
        <v>65</v>
      </c>
      <c r="D3576" s="2" t="str">
        <f>IFERROR(__xludf.DUMMYFUNCTION("IFERROR(VLOOKUP(A3576, IMPORTRANGE(""https://docs.google.com/spreadsheets/d/1-3Vjw2Cyy-mry5gbC8ypIR3YVGFfEpyFESummAta6sg/edit"", ""Sheet1!B:D""), 2, FALSE), ""Not Found"")"),"mæsə")</f>
        <v>mæsə</v>
      </c>
      <c r="E3576" s="2" t="str">
        <f>IFERROR(__xludf.DUMMYFUNCTION("IFERROR(VLOOKUP(A3576, IMPORTRANGE(""https://docs.google.com/spreadsheets/d/1-3Vjw2Cyy-mry5gbC8ypIR3YVGFfEpyFESummAta6sg/edit"", ""Sheet1!B:D""), 3, FALSE), ""Not Found"")"),"m æ s ə ")</f>
        <v>m æ s ə </v>
      </c>
    </row>
    <row r="3577">
      <c r="A3577" s="1" t="s">
        <v>3578</v>
      </c>
      <c r="B3577" s="1" t="s">
        <v>5</v>
      </c>
      <c r="C3577" s="2">
        <f>IFERROR(__xludf.DUMMYFUNCTION("IFERROR(VLOOKUP(A3577, IMPORTRANGE(""https://docs.google.com/spreadsheets/d/1AVX9GT0dgogEBStecCXMMQ29tWz3gBrtNB8yIromXbY/edit?gid=741673867"", ""out1g!A:B""), 2, FALSE), 0)"),51.0)</f>
        <v>51</v>
      </c>
      <c r="D3577" s="2" t="str">
        <f>IFERROR(__xludf.DUMMYFUNCTION("IFERROR(VLOOKUP(A3577, IMPORTRANGE(""https://docs.google.com/spreadsheets/d/1-3Vjw2Cyy-mry5gbC8ypIR3YVGFfEpyFESummAta6sg/edit"", ""Sheet1!B:D""), 2, FALSE), ""Not Found"")"),"pərli")</f>
        <v>pərli</v>
      </c>
      <c r="E3577" s="2" t="str">
        <f>IFERROR(__xludf.DUMMYFUNCTION("IFERROR(VLOOKUP(A3577, IMPORTRANGE(""https://docs.google.com/spreadsheets/d/1-3Vjw2Cyy-mry5gbC8ypIR3YVGFfEpyFESummAta6sg/edit"", ""Sheet1!B:D""), 3, FALSE), ""Not Found"")"),"p ə r l i ")</f>
        <v>p ə r l i </v>
      </c>
    </row>
    <row r="3578">
      <c r="A3578" s="1" t="s">
        <v>3579</v>
      </c>
      <c r="B3578" s="1" t="s">
        <v>5</v>
      </c>
      <c r="C3578" s="2">
        <f>IFERROR(__xludf.DUMMYFUNCTION("IFERROR(VLOOKUP(A3578, IMPORTRANGE(""https://docs.google.com/spreadsheets/d/1AVX9GT0dgogEBStecCXMMQ29tWz3gBrtNB8yIromXbY/edit?gid=741673867"", ""out1g!A:B""), 2, FALSE), 0)"),18.0)</f>
        <v>18</v>
      </c>
      <c r="D3578" s="2" t="str">
        <f>IFERROR(__xludf.DUMMYFUNCTION("IFERROR(VLOOKUP(A3578, IMPORTRANGE(""https://docs.google.com/spreadsheets/d/1-3Vjw2Cyy-mry5gbC8ypIR3YVGFfEpyFESummAta6sg/edit"", ""Sheet1!B:D""), 2, FALSE), ""Not Found"")"),"wɪri")</f>
        <v>wɪri</v>
      </c>
      <c r="E3578" s="2" t="str">
        <f>IFERROR(__xludf.DUMMYFUNCTION("IFERROR(VLOOKUP(A3578, IMPORTRANGE(""https://docs.google.com/spreadsheets/d/1-3Vjw2Cyy-mry5gbC8ypIR3YVGFfEpyFESummAta6sg/edit"", ""Sheet1!B:D""), 3, FALSE), ""Not Found"")"),"w ɪ r i ")</f>
        <v>w ɪ r i </v>
      </c>
    </row>
    <row r="3579">
      <c r="A3579" s="1" t="s">
        <v>3580</v>
      </c>
      <c r="B3579" s="1" t="s">
        <v>5</v>
      </c>
      <c r="C3579" s="2">
        <f>IFERROR(__xludf.DUMMYFUNCTION("IFERROR(VLOOKUP(A3579, IMPORTRANGE(""https://docs.google.com/spreadsheets/d/1AVX9GT0dgogEBStecCXMMQ29tWz3gBrtNB8yIromXbY/edit?gid=741673867"", ""out1g!A:B""), 2, FALSE), 0)"),15592.0)</f>
        <v>15592</v>
      </c>
      <c r="D3579" s="2" t="str">
        <f>IFERROR(__xludf.DUMMYFUNCTION("IFERROR(VLOOKUP(A3579, IMPORTRANGE(""https://docs.google.com/spreadsheets/d/1-3Vjw2Cyy-mry5gbC8ypIR3YVGFfEpyFESummAta6sg/edit"", ""Sheet1!B:D""), 2, FALSE), ""Not Found"")"),"dez")</f>
        <v>dez</v>
      </c>
      <c r="E3579" s="2" t="str">
        <f>IFERROR(__xludf.DUMMYFUNCTION("IFERROR(VLOOKUP(A3579, IMPORTRANGE(""https://docs.google.com/spreadsheets/d/1-3Vjw2Cyy-mry5gbC8ypIR3YVGFfEpyFESummAta6sg/edit"", ""Sheet1!B:D""), 3, FALSE), ""Not Found"")"),"d e z ")</f>
        <v>d e z </v>
      </c>
    </row>
    <row r="3580">
      <c r="A3580" s="1" t="s">
        <v>3581</v>
      </c>
      <c r="B3580" s="1" t="s">
        <v>5</v>
      </c>
      <c r="C3580" s="2">
        <f>IFERROR(__xludf.DUMMYFUNCTION("IFERROR(VLOOKUP(A3580, IMPORTRANGE(""https://docs.google.com/spreadsheets/d/1AVX9GT0dgogEBStecCXMMQ29tWz3gBrtNB8yIromXbY/edit?gid=741673867"", ""out1g!A:B""), 2, FALSE), 0)"),551.0)</f>
        <v>551</v>
      </c>
      <c r="D3580" s="2" t="str">
        <f>IFERROR(__xludf.DUMMYFUNCTION("IFERROR(VLOOKUP(A3580, IMPORTRANGE(""https://docs.google.com/spreadsheets/d/1-3Vjw2Cyy-mry5gbC8ypIR3YVGFfEpyFESummAta6sg/edit"", ""Sheet1!B:D""), 2, FALSE), ""Not Found"")"),"sɪksθ")</f>
        <v>sɪksθ</v>
      </c>
      <c r="E3580" s="2" t="str">
        <f>IFERROR(__xludf.DUMMYFUNCTION("IFERROR(VLOOKUP(A3580, IMPORTRANGE(""https://docs.google.com/spreadsheets/d/1-3Vjw2Cyy-mry5gbC8ypIR3YVGFfEpyFESummAta6sg/edit"", ""Sheet1!B:D""), 3, FALSE), ""Not Found"")"),"s ɪ k s θ ")</f>
        <v>s ɪ k s θ </v>
      </c>
    </row>
    <row r="3581">
      <c r="A3581" s="1" t="s">
        <v>3582</v>
      </c>
      <c r="B3581" s="1" t="s">
        <v>5</v>
      </c>
      <c r="C3581" s="2">
        <f>IFERROR(__xludf.DUMMYFUNCTION("IFERROR(VLOOKUP(A3581, IMPORTRANGE(""https://docs.google.com/spreadsheets/d/1AVX9GT0dgogEBStecCXMMQ29tWz3gBrtNB8yIromXbY/edit?gid=741673867"", ""out1g!A:B""), 2, FALSE), 0)"),126.0)</f>
        <v>126</v>
      </c>
      <c r="D3581" s="2" t="str">
        <f>IFERROR(__xludf.DUMMYFUNCTION("IFERROR(VLOOKUP(A3581, IMPORTRANGE(""https://docs.google.com/spreadsheets/d/1-3Vjw2Cyy-mry5gbC8ypIR3YVGFfEpyFESummAta6sg/edit"", ""Sheet1!B:D""), 2, FALSE), ""Not Found"")"),"aɪdilz")</f>
        <v>aɪdilz</v>
      </c>
      <c r="E3581" s="2" t="str">
        <f>IFERROR(__xludf.DUMMYFUNCTION("IFERROR(VLOOKUP(A3581, IMPORTRANGE(""https://docs.google.com/spreadsheets/d/1-3Vjw2Cyy-mry5gbC8ypIR3YVGFfEpyFESummAta6sg/edit"", ""Sheet1!B:D""), 3, FALSE), ""Not Found"")"),"a ɪ d i l z ")</f>
        <v>a ɪ d i l z </v>
      </c>
    </row>
    <row r="3582">
      <c r="A3582" s="1" t="s">
        <v>3583</v>
      </c>
      <c r="B3582" s="1" t="s">
        <v>5</v>
      </c>
      <c r="C3582" s="2">
        <f>IFERROR(__xludf.DUMMYFUNCTION("IFERROR(VLOOKUP(A3582, IMPORTRANGE(""https://docs.google.com/spreadsheets/d/1AVX9GT0dgogEBStecCXMMQ29tWz3gBrtNB8yIromXbY/edit?gid=741673867"", ""out1g!A:B""), 2, FALSE), 0)"),70.0)</f>
        <v>70</v>
      </c>
      <c r="D3582" s="2" t="str">
        <f>IFERROR(__xludf.DUMMYFUNCTION("IFERROR(VLOOKUP(A3582, IMPORTRANGE(""https://docs.google.com/spreadsheets/d/1-3Vjw2Cyy-mry5gbC8ypIR3YVGFfEpyFESummAta6sg/edit"", ""Sheet1!B:D""), 2, FALSE), ""Not Found"")"),"spunər")</f>
        <v>spunər</v>
      </c>
      <c r="E3582" s="2" t="str">
        <f>IFERROR(__xludf.DUMMYFUNCTION("IFERROR(VLOOKUP(A3582, IMPORTRANGE(""https://docs.google.com/spreadsheets/d/1-3Vjw2Cyy-mry5gbC8ypIR3YVGFfEpyFESummAta6sg/edit"", ""Sheet1!B:D""), 3, FALSE), ""Not Found"")"),"s p u n ə r ")</f>
        <v>s p u n ə r </v>
      </c>
    </row>
    <row r="3583">
      <c r="A3583" s="1" t="s">
        <v>3584</v>
      </c>
      <c r="B3583" s="1" t="s">
        <v>5</v>
      </c>
      <c r="C3583" s="2">
        <f>IFERROR(__xludf.DUMMYFUNCTION("IFERROR(VLOOKUP(A3583, IMPORTRANGE(""https://docs.google.com/spreadsheets/d/1AVX9GT0dgogEBStecCXMMQ29tWz3gBrtNB8yIromXbY/edit?gid=741673867"", ""out1g!A:B""), 2, FALSE), 0)"),228.0)</f>
        <v>228</v>
      </c>
      <c r="D3583" s="2" t="str">
        <f>IFERROR(__xludf.DUMMYFUNCTION("IFERROR(VLOOKUP(A3583, IMPORTRANGE(""https://docs.google.com/spreadsheets/d/1-3Vjw2Cyy-mry5gbC8ypIR3YVGFfEpyFESummAta6sg/edit"", ""Sheet1!B:D""), 2, FALSE), ""Not Found"")"),"jəmi")</f>
        <v>jəmi</v>
      </c>
      <c r="E3583" s="2" t="str">
        <f>IFERROR(__xludf.DUMMYFUNCTION("IFERROR(VLOOKUP(A3583, IMPORTRANGE(""https://docs.google.com/spreadsheets/d/1-3Vjw2Cyy-mry5gbC8ypIR3YVGFfEpyFESummAta6sg/edit"", ""Sheet1!B:D""), 3, FALSE), ""Not Found"")"),"j ə m i ")</f>
        <v>j ə m i </v>
      </c>
    </row>
    <row r="3584">
      <c r="A3584" s="1" t="s">
        <v>3585</v>
      </c>
      <c r="B3584" s="1" t="s">
        <v>5</v>
      </c>
      <c r="C3584" s="2">
        <f>IFERROR(__xludf.DUMMYFUNCTION("IFERROR(VLOOKUP(A3584, IMPORTRANGE(""https://docs.google.com/spreadsheets/d/1AVX9GT0dgogEBStecCXMMQ29tWz3gBrtNB8yIromXbY/edit?gid=741673867"", ""out1g!A:B""), 2, FALSE), 0)"),70.0)</f>
        <v>70</v>
      </c>
      <c r="D3584" s="2" t="str">
        <f>IFERROR(__xludf.DUMMYFUNCTION("IFERROR(VLOOKUP(A3584, IMPORTRANGE(""https://docs.google.com/spreadsheets/d/1-3Vjw2Cyy-mry5gbC8ypIR3YVGFfEpyFESummAta6sg/edit"", ""Sheet1!B:D""), 2, FALSE), ""Not Found"")"),"flætəri")</f>
        <v>flætəri</v>
      </c>
      <c r="E3584" s="2" t="str">
        <f>IFERROR(__xludf.DUMMYFUNCTION("IFERROR(VLOOKUP(A3584, IMPORTRANGE(""https://docs.google.com/spreadsheets/d/1-3Vjw2Cyy-mry5gbC8ypIR3YVGFfEpyFESummAta6sg/edit"", ""Sheet1!B:D""), 3, FALSE), ""Not Found"")"),"f l æ t ə r i ")</f>
        <v>f l æ t ə r i </v>
      </c>
    </row>
    <row r="3585">
      <c r="A3585" s="1" t="s">
        <v>3586</v>
      </c>
      <c r="B3585" s="1" t="s">
        <v>5</v>
      </c>
      <c r="C3585" s="2">
        <f>IFERROR(__xludf.DUMMYFUNCTION("IFERROR(VLOOKUP(A3585, IMPORTRANGE(""https://docs.google.com/spreadsheets/d/1AVX9GT0dgogEBStecCXMMQ29tWz3gBrtNB8yIromXbY/edit?gid=741673867"", ""out1g!A:B""), 2, FALSE), 0)"),1607.0)</f>
        <v>1607</v>
      </c>
      <c r="D3585" s="2" t="str">
        <f>IFERROR(__xludf.DUMMYFUNCTION("IFERROR(VLOOKUP(A3585, IMPORTRANGE(""https://docs.google.com/spreadsheets/d/1-3Vjw2Cyy-mry5gbC8ypIR3YVGFfEpyFESummAta6sg/edit"", ""Sheet1!B:D""), 2, FALSE), ""Not Found"")"),"wik")</f>
        <v>wik</v>
      </c>
      <c r="E3585" s="2" t="str">
        <f>IFERROR(__xludf.DUMMYFUNCTION("IFERROR(VLOOKUP(A3585, IMPORTRANGE(""https://docs.google.com/spreadsheets/d/1-3Vjw2Cyy-mry5gbC8ypIR3YVGFfEpyFESummAta6sg/edit"", ""Sheet1!B:D""), 3, FALSE), ""Not Found"")"),"w i k ")</f>
        <v>w i k </v>
      </c>
    </row>
    <row r="3586">
      <c r="A3586" s="1" t="s">
        <v>3587</v>
      </c>
      <c r="B3586" s="1" t="s">
        <v>5</v>
      </c>
      <c r="C3586" s="2">
        <f>IFERROR(__xludf.DUMMYFUNCTION("IFERROR(VLOOKUP(A3586, IMPORTRANGE(""https://docs.google.com/spreadsheets/d/1AVX9GT0dgogEBStecCXMMQ29tWz3gBrtNB8yIromXbY/edit?gid=741673867"", ""out1g!A:B""), 2, FALSE), 0)"),2731.0)</f>
        <v>2731</v>
      </c>
      <c r="D3586" s="2" t="str">
        <f>IFERROR(__xludf.DUMMYFUNCTION("IFERROR(VLOOKUP(A3586, IMPORTRANGE(""https://docs.google.com/spreadsheets/d/1-3Vjw2Cyy-mry5gbC8ypIR3YVGFfEpyFESummAta6sg/edit"", ""Sheet1!B:D""), 2, FALSE), ""Not Found"")"),"ʃɑp")</f>
        <v>ʃɑp</v>
      </c>
      <c r="E3586" s="2" t="str">
        <f>IFERROR(__xludf.DUMMYFUNCTION("IFERROR(VLOOKUP(A3586, IMPORTRANGE(""https://docs.google.com/spreadsheets/d/1-3Vjw2Cyy-mry5gbC8ypIR3YVGFfEpyFESummAta6sg/edit"", ""Sheet1!B:D""), 3, FALSE), ""Not Found"")"),"ʃ ɑ p ")</f>
        <v>ʃ ɑ p </v>
      </c>
    </row>
    <row r="3587">
      <c r="A3587" s="1" t="s">
        <v>3588</v>
      </c>
      <c r="B3587" s="1" t="s">
        <v>5</v>
      </c>
      <c r="C3587" s="2">
        <f>IFERROR(__xludf.DUMMYFUNCTION("IFERROR(VLOOKUP(A3587, IMPORTRANGE(""https://docs.google.com/spreadsheets/d/1AVX9GT0dgogEBStecCXMMQ29tWz3gBrtNB8yIromXbY/edit?gid=741673867"", ""out1g!A:B""), 2, FALSE), 0)"),65.0)</f>
        <v>65</v>
      </c>
      <c r="D3587" s="2" t="str">
        <f>IFERROR(__xludf.DUMMYFUNCTION("IFERROR(VLOOKUP(A3587, IMPORTRANGE(""https://docs.google.com/spreadsheets/d/1-3Vjw2Cyy-mry5gbC8ypIR3YVGFfEpyFESummAta6sg/edit"", ""Sheet1!B:D""), 2, FALSE), ""Not Found"")"),"mɛrəl")</f>
        <v>mɛrəl</v>
      </c>
      <c r="E3587" s="2" t="str">
        <f>IFERROR(__xludf.DUMMYFUNCTION("IFERROR(VLOOKUP(A3587, IMPORTRANGE(""https://docs.google.com/spreadsheets/d/1-3Vjw2Cyy-mry5gbC8ypIR3YVGFfEpyFESummAta6sg/edit"", ""Sheet1!B:D""), 3, FALSE), ""Not Found"")"),"m ɛ r ə l ")</f>
        <v>m ɛ r ə l </v>
      </c>
    </row>
    <row r="3588">
      <c r="A3588" s="1" t="s">
        <v>3589</v>
      </c>
      <c r="B3588" s="1" t="s">
        <v>5</v>
      </c>
      <c r="C3588" s="2">
        <f>IFERROR(__xludf.DUMMYFUNCTION("IFERROR(VLOOKUP(A3588, IMPORTRANGE(""https://docs.google.com/spreadsheets/d/1AVX9GT0dgogEBStecCXMMQ29tWz3gBrtNB8yIromXbY/edit?gid=741673867"", ""out1g!A:B""), 2, FALSE), 0)"),1587.0)</f>
        <v>1587</v>
      </c>
      <c r="D3588" s="2" t="str">
        <f>IFERROR(__xludf.DUMMYFUNCTION("IFERROR(VLOOKUP(A3588, IMPORTRANGE(""https://docs.google.com/spreadsheets/d/1-3Vjw2Cyy-mry5gbC8ypIR3YVGFfEpyFESummAta6sg/edit"", ""Sheet1!B:D""), 2, FALSE), ""Not Found"")"),"bæθ")</f>
        <v>bæθ</v>
      </c>
      <c r="E3588" s="2" t="str">
        <f>IFERROR(__xludf.DUMMYFUNCTION("IFERROR(VLOOKUP(A3588, IMPORTRANGE(""https://docs.google.com/spreadsheets/d/1-3Vjw2Cyy-mry5gbC8ypIR3YVGFfEpyFESummAta6sg/edit"", ""Sheet1!B:D""), 3, FALSE), ""Not Found"")"),"b æ θ ")</f>
        <v>b æ θ </v>
      </c>
    </row>
    <row r="3589">
      <c r="A3589" s="1" t="s">
        <v>3590</v>
      </c>
      <c r="B3589" s="1" t="s">
        <v>5</v>
      </c>
      <c r="C3589" s="2">
        <f>IFERROR(__xludf.DUMMYFUNCTION("IFERROR(VLOOKUP(A3589, IMPORTRANGE(""https://docs.google.com/spreadsheets/d/1AVX9GT0dgogEBStecCXMMQ29tWz3gBrtNB8yIromXbY/edit?gid=741673867"", ""out1g!A:B""), 2, FALSE), 0)"),160.0)</f>
        <v>160</v>
      </c>
      <c r="D3589" s="2" t="str">
        <f>IFERROR(__xludf.DUMMYFUNCTION("IFERROR(VLOOKUP(A3589, IMPORTRANGE(""https://docs.google.com/spreadsheets/d/1-3Vjw2Cyy-mry5gbC8ypIR3YVGFfEpyFESummAta6sg/edit"", ""Sheet1!B:D""), 2, FALSE), ""Not Found"")"),"bæn")</f>
        <v>bæn</v>
      </c>
      <c r="E3589" s="2" t="str">
        <f>IFERROR(__xludf.DUMMYFUNCTION("IFERROR(VLOOKUP(A3589, IMPORTRANGE(""https://docs.google.com/spreadsheets/d/1-3Vjw2Cyy-mry5gbC8ypIR3YVGFfEpyFESummAta6sg/edit"", ""Sheet1!B:D""), 3, FALSE), ""Not Found"")"),"b æ n ")</f>
        <v>b æ n </v>
      </c>
    </row>
    <row r="3590">
      <c r="A3590" s="1" t="s">
        <v>3591</v>
      </c>
      <c r="B3590" s="1" t="s">
        <v>5</v>
      </c>
      <c r="C3590" s="2">
        <f>IFERROR(__xludf.DUMMYFUNCTION("IFERROR(VLOOKUP(A3590, IMPORTRANGE(""https://docs.google.com/spreadsheets/d/1AVX9GT0dgogEBStecCXMMQ29tWz3gBrtNB8yIromXbY/edit?gid=741673867"", ""out1g!A:B""), 2, FALSE), 0)"),1482.0)</f>
        <v>1482</v>
      </c>
      <c r="D3590" s="2" t="str">
        <f>IFERROR(__xludf.DUMMYFUNCTION("IFERROR(VLOOKUP(A3590, IMPORTRANGE(""https://docs.google.com/spreadsheets/d/1-3Vjw2Cyy-mry5gbC8ypIR3YVGFfEpyFESummAta6sg/edit"", ""Sheet1!B:D""), 2, FALSE), ""Not Found"")"),"bɛrli")</f>
        <v>bɛrli</v>
      </c>
      <c r="E3590" s="2" t="str">
        <f>IFERROR(__xludf.DUMMYFUNCTION("IFERROR(VLOOKUP(A3590, IMPORTRANGE(""https://docs.google.com/spreadsheets/d/1-3Vjw2Cyy-mry5gbC8ypIR3YVGFfEpyFESummAta6sg/edit"", ""Sheet1!B:D""), 3, FALSE), ""Not Found"")"),"b ɛ r l i ")</f>
        <v>b ɛ r l i </v>
      </c>
    </row>
    <row r="3591">
      <c r="A3591" s="1" t="s">
        <v>3592</v>
      </c>
      <c r="B3591" s="1" t="s">
        <v>5</v>
      </c>
      <c r="C3591" s="2">
        <f>IFERROR(__xludf.DUMMYFUNCTION("IFERROR(VLOOKUP(A3591, IMPORTRANGE(""https://docs.google.com/spreadsheets/d/1AVX9GT0dgogEBStecCXMMQ29tWz3gBrtNB8yIromXbY/edit?gid=741673867"", ""out1g!A:B""), 2, FALSE), 0)"),185.0)</f>
        <v>185</v>
      </c>
      <c r="D3591" s="2" t="str">
        <f>IFERROR(__xludf.DUMMYFUNCTION("IFERROR(VLOOKUP(A3591, IMPORTRANGE(""https://docs.google.com/spreadsheets/d/1-3Vjw2Cyy-mry5gbC8ypIR3YVGFfEpyFESummAta6sg/edit"", ""Sheet1!B:D""), 2, FALSE), ""Not Found"")"),"fləfi")</f>
        <v>fləfi</v>
      </c>
      <c r="E3591" s="2" t="str">
        <f>IFERROR(__xludf.DUMMYFUNCTION("IFERROR(VLOOKUP(A3591, IMPORTRANGE(""https://docs.google.com/spreadsheets/d/1-3Vjw2Cyy-mry5gbC8ypIR3YVGFfEpyFESummAta6sg/edit"", ""Sheet1!B:D""), 3, FALSE), ""Not Found"")"),"f l ə f i ")</f>
        <v>f l ə f i </v>
      </c>
    </row>
    <row r="3592">
      <c r="A3592" s="1" t="s">
        <v>3593</v>
      </c>
      <c r="B3592" s="1" t="s">
        <v>5</v>
      </c>
      <c r="C3592" s="2">
        <f>IFERROR(__xludf.DUMMYFUNCTION("IFERROR(VLOOKUP(A3592, IMPORTRANGE(""https://docs.google.com/spreadsheets/d/1AVX9GT0dgogEBStecCXMMQ29tWz3gBrtNB8yIromXbY/edit?gid=741673867"", ""out1g!A:B""), 2, FALSE), 0)"),524.0)</f>
        <v>524</v>
      </c>
      <c r="D3592" s="2" t="str">
        <f>IFERROR(__xludf.DUMMYFUNCTION("IFERROR(VLOOKUP(A3592, IMPORTRANGE(""https://docs.google.com/spreadsheets/d/1-3Vjw2Cyy-mry5gbC8ypIR3YVGFfEpyFESummAta6sg/edit"", ""Sheet1!B:D""), 2, FALSE), ""Not Found"")"),"ʃɛrən")</f>
        <v>ʃɛrən</v>
      </c>
      <c r="E3592" s="2" t="str">
        <f>IFERROR(__xludf.DUMMYFUNCTION("IFERROR(VLOOKUP(A3592, IMPORTRANGE(""https://docs.google.com/spreadsheets/d/1-3Vjw2Cyy-mry5gbC8ypIR3YVGFfEpyFESummAta6sg/edit"", ""Sheet1!B:D""), 3, FALSE), ""Not Found"")"),"ʃ ɛ r ə n ")</f>
        <v>ʃ ɛ r ə n </v>
      </c>
    </row>
    <row r="3593">
      <c r="A3593" s="1" t="s">
        <v>3594</v>
      </c>
      <c r="B3593" s="1" t="s">
        <v>5</v>
      </c>
      <c r="C3593" s="2">
        <f>IFERROR(__xludf.DUMMYFUNCTION("IFERROR(VLOOKUP(A3593, IMPORTRANGE(""https://docs.google.com/spreadsheets/d/1AVX9GT0dgogEBStecCXMMQ29tWz3gBrtNB8yIromXbY/edit?gid=741673867"", ""out1g!A:B""), 2, FALSE), 0)"),1248.0)</f>
        <v>1248</v>
      </c>
      <c r="D3593" s="2" t="str">
        <f>IFERROR(__xludf.DUMMYFUNCTION("IFERROR(VLOOKUP(A3593, IMPORTRANGE(""https://docs.google.com/spreadsheets/d/1-3Vjw2Cyy-mry5gbC8ypIR3YVGFfEpyFESummAta6sg/edit"", ""Sheet1!B:D""), 2, FALSE), ""Not Found"")"),"səks")</f>
        <v>səks</v>
      </c>
      <c r="E3593" s="2" t="str">
        <f>IFERROR(__xludf.DUMMYFUNCTION("IFERROR(VLOOKUP(A3593, IMPORTRANGE(""https://docs.google.com/spreadsheets/d/1-3Vjw2Cyy-mry5gbC8ypIR3YVGFfEpyFESummAta6sg/edit"", ""Sheet1!B:D""), 3, FALSE), ""Not Found"")"),"s ə k s ")</f>
        <v>s ə k s </v>
      </c>
    </row>
    <row r="3594">
      <c r="A3594" s="1" t="s">
        <v>3595</v>
      </c>
      <c r="B3594" s="1" t="s">
        <v>5</v>
      </c>
      <c r="C3594" s="2">
        <f>IFERROR(__xludf.DUMMYFUNCTION("IFERROR(VLOOKUP(A3594, IMPORTRANGE(""https://docs.google.com/spreadsheets/d/1AVX9GT0dgogEBStecCXMMQ29tWz3gBrtNB8yIromXbY/edit?gid=741673867"", ""out1g!A:B""), 2, FALSE), 0)"),81.0)</f>
        <v>81</v>
      </c>
      <c r="D3594" s="2" t="str">
        <f>IFERROR(__xludf.DUMMYFUNCTION("IFERROR(VLOOKUP(A3594, IMPORTRANGE(""https://docs.google.com/spreadsheets/d/1-3Vjw2Cyy-mry5gbC8ypIR3YVGFfEpyFESummAta6sg/edit"", ""Sheet1!B:D""), 2, FALSE), ""Not Found"")"),"woʊnt")</f>
        <v>woʊnt</v>
      </c>
      <c r="E3594" s="2" t="str">
        <f>IFERROR(__xludf.DUMMYFUNCTION("IFERROR(VLOOKUP(A3594, IMPORTRANGE(""https://docs.google.com/spreadsheets/d/1-3Vjw2Cyy-mry5gbC8ypIR3YVGFfEpyFESummAta6sg/edit"", ""Sheet1!B:D""), 3, FALSE), ""Not Found"")"),"w o ʊ n t ")</f>
        <v>w o ʊ n t </v>
      </c>
    </row>
    <row r="3595">
      <c r="A3595" s="1" t="s">
        <v>3596</v>
      </c>
      <c r="B3595" s="1" t="s">
        <v>5</v>
      </c>
      <c r="C3595" s="2">
        <f>IFERROR(__xludf.DUMMYFUNCTION("IFERROR(VLOOKUP(A3595, IMPORTRANGE(""https://docs.google.com/spreadsheets/d/1AVX9GT0dgogEBStecCXMMQ29tWz3gBrtNB8yIromXbY/edit?gid=741673867"", ""out1g!A:B""), 2, FALSE), 0)"),66.0)</f>
        <v>66</v>
      </c>
      <c r="D3595" s="2" t="str">
        <f>IFERROR(__xludf.DUMMYFUNCTION("IFERROR(VLOOKUP(A3595, IMPORTRANGE(""https://docs.google.com/spreadsheets/d/1-3Vjw2Cyy-mry5gbC8ypIR3YVGFfEpyFESummAta6sg/edit"", ""Sheet1!B:D""), 2, FALSE), ""Not Found"")"),"suərz")</f>
        <v>suərz</v>
      </c>
      <c r="E3595" s="2" t="str">
        <f>IFERROR(__xludf.DUMMYFUNCTION("IFERROR(VLOOKUP(A3595, IMPORTRANGE(""https://docs.google.com/spreadsheets/d/1-3Vjw2Cyy-mry5gbC8ypIR3YVGFfEpyFESummAta6sg/edit"", ""Sheet1!B:D""), 3, FALSE), ""Not Found"")"),"s u ə r z ")</f>
        <v>s u ə r z </v>
      </c>
    </row>
    <row r="3596">
      <c r="A3596" s="1" t="s">
        <v>3597</v>
      </c>
      <c r="B3596" s="1" t="s">
        <v>5</v>
      </c>
      <c r="C3596" s="2">
        <f>IFERROR(__xludf.DUMMYFUNCTION("IFERROR(VLOOKUP(A3596, IMPORTRANGE(""https://docs.google.com/spreadsheets/d/1AVX9GT0dgogEBStecCXMMQ29tWz3gBrtNB8yIromXbY/edit?gid=741673867"", ""out1g!A:B""), 2, FALSE), 0)"),494.0)</f>
        <v>494</v>
      </c>
      <c r="D3596" s="2" t="str">
        <f>IFERROR(__xludf.DUMMYFUNCTION("IFERROR(VLOOKUP(A3596, IMPORTRANGE(""https://docs.google.com/spreadsheets/d/1-3Vjw2Cyy-mry5gbC8ypIR3YVGFfEpyFESummAta6sg/edit"", ""Sheet1!B:D""), 2, FALSE), ""Not Found"")"),"swɔrn")</f>
        <v>swɔrn</v>
      </c>
      <c r="E3596" s="2" t="str">
        <f>IFERROR(__xludf.DUMMYFUNCTION("IFERROR(VLOOKUP(A3596, IMPORTRANGE(""https://docs.google.com/spreadsheets/d/1-3Vjw2Cyy-mry5gbC8ypIR3YVGFfEpyFESummAta6sg/edit"", ""Sheet1!B:D""), 3, FALSE), ""Not Found"")"),"s w ɔ r n ")</f>
        <v>s w ɔ r n </v>
      </c>
    </row>
    <row r="3597">
      <c r="A3597" s="1" t="s">
        <v>3598</v>
      </c>
      <c r="B3597" s="1" t="s">
        <v>5</v>
      </c>
      <c r="C3597" s="2">
        <f>IFERROR(__xludf.DUMMYFUNCTION("IFERROR(VLOOKUP(A3597, IMPORTRANGE(""https://docs.google.com/spreadsheets/d/1AVX9GT0dgogEBStecCXMMQ29tWz3gBrtNB8yIromXbY/edit?gid=741673867"", ""out1g!A:B""), 2, FALSE), 0)"),47.0)</f>
        <v>47</v>
      </c>
      <c r="D3597" s="2" t="str">
        <f>IFERROR(__xludf.DUMMYFUNCTION("IFERROR(VLOOKUP(A3597, IMPORTRANGE(""https://docs.google.com/spreadsheets/d/1-3Vjw2Cyy-mry5gbC8ypIR3YVGFfEpyFESummAta6sg/edit"", ""Sheet1!B:D""), 2, FALSE), ""Not Found"")"),"uzɪŋ")</f>
        <v>uzɪŋ</v>
      </c>
      <c r="E3597" s="2" t="str">
        <f>IFERROR(__xludf.DUMMYFUNCTION("IFERROR(VLOOKUP(A3597, IMPORTRANGE(""https://docs.google.com/spreadsheets/d/1-3Vjw2Cyy-mry5gbC8ypIR3YVGFfEpyFESummAta6sg/edit"", ""Sheet1!B:D""), 3, FALSE), ""Not Found"")"),"u z ɪ ŋ ")</f>
        <v>u z ɪ ŋ </v>
      </c>
    </row>
    <row r="3598">
      <c r="A3598" s="1" t="s">
        <v>3599</v>
      </c>
      <c r="B3598" s="1" t="s">
        <v>5</v>
      </c>
      <c r="C3598" s="2">
        <f>IFERROR(__xludf.DUMMYFUNCTION("IFERROR(VLOOKUP(A3598, IMPORTRANGE(""https://docs.google.com/spreadsheets/d/1AVX9GT0dgogEBStecCXMMQ29tWz3gBrtNB8yIromXbY/edit?gid=741673867"", ""out1g!A:B""), 2, FALSE), 0)"),2099.0)</f>
        <v>2099</v>
      </c>
      <c r="D3598" s="2" t="str">
        <f>IFERROR(__xludf.DUMMYFUNCTION("IFERROR(VLOOKUP(A3598, IMPORTRANGE(""https://docs.google.com/spreadsheets/d/1-3Vjw2Cyy-mry5gbC8ypIR3YVGFfEpyFESummAta6sg/edit"", ""Sheet1!B:D""), 2, FALSE), ""Not Found"")"),"bɪlt")</f>
        <v>bɪlt</v>
      </c>
      <c r="E3598" s="2" t="str">
        <f>IFERROR(__xludf.DUMMYFUNCTION("IFERROR(VLOOKUP(A3598, IMPORTRANGE(""https://docs.google.com/spreadsheets/d/1-3Vjw2Cyy-mry5gbC8ypIR3YVGFfEpyFESummAta6sg/edit"", ""Sheet1!B:D""), 3, FALSE), ""Not Found"")"),"b ɪ l t ")</f>
        <v>b ɪ l t </v>
      </c>
    </row>
    <row r="3599">
      <c r="A3599" s="1" t="s">
        <v>3600</v>
      </c>
      <c r="B3599" s="1" t="s">
        <v>5</v>
      </c>
      <c r="C3599" s="2">
        <f>IFERROR(__xludf.DUMMYFUNCTION("IFERROR(VLOOKUP(A3599, IMPORTRANGE(""https://docs.google.com/spreadsheets/d/1AVX9GT0dgogEBStecCXMMQ29tWz3gBrtNB8yIromXbY/edit?gid=741673867"", ""out1g!A:B""), 2, FALSE), 0)"),539.0)</f>
        <v>539</v>
      </c>
      <c r="D3599" s="2" t="str">
        <f>IFERROR(__xludf.DUMMYFUNCTION("IFERROR(VLOOKUP(A3599, IMPORTRANGE(""https://docs.google.com/spreadsheets/d/1-3Vjw2Cyy-mry5gbC8ypIR3YVGFfEpyFESummAta6sg/edit"", ""Sheet1!B:D""), 2, FALSE), ""Not Found"")"),"fɔrti")</f>
        <v>fɔrti</v>
      </c>
      <c r="E3599" s="2" t="str">
        <f>IFERROR(__xludf.DUMMYFUNCTION("IFERROR(VLOOKUP(A3599, IMPORTRANGE(""https://docs.google.com/spreadsheets/d/1-3Vjw2Cyy-mry5gbC8ypIR3YVGFfEpyFESummAta6sg/edit"", ""Sheet1!B:D""), 3, FALSE), ""Not Found"")"),"f ɔ r t i ")</f>
        <v>f ɔ r t i </v>
      </c>
    </row>
    <row r="3600">
      <c r="A3600" s="1" t="s">
        <v>3601</v>
      </c>
      <c r="B3600" s="1" t="s">
        <v>5</v>
      </c>
      <c r="C3600" s="2">
        <f>IFERROR(__xludf.DUMMYFUNCTION("IFERROR(VLOOKUP(A3600, IMPORTRANGE(""https://docs.google.com/spreadsheets/d/1AVX9GT0dgogEBStecCXMMQ29tWz3gBrtNB8yIromXbY/edit?gid=741673867"", ""out1g!A:B""), 2, FALSE), 0)"),119.0)</f>
        <v>119</v>
      </c>
      <c r="D3600" s="2" t="str">
        <f>IFERROR(__xludf.DUMMYFUNCTION("IFERROR(VLOOKUP(A3600, IMPORTRANGE(""https://docs.google.com/spreadsheets/d/1-3Vjw2Cyy-mry5gbC8ypIR3YVGFfEpyFESummAta6sg/edit"", ""Sheet1!B:D""), 2, FALSE), ""Not Found"")"),"kɑblər")</f>
        <v>kɑblər</v>
      </c>
      <c r="E3600" s="2" t="str">
        <f>IFERROR(__xludf.DUMMYFUNCTION("IFERROR(VLOOKUP(A3600, IMPORTRANGE(""https://docs.google.com/spreadsheets/d/1-3Vjw2Cyy-mry5gbC8ypIR3YVGFfEpyFESummAta6sg/edit"", ""Sheet1!B:D""), 3, FALSE), ""Not Found"")"),"k ɑ b l ə r ")</f>
        <v>k ɑ b l ə r </v>
      </c>
    </row>
    <row r="3601">
      <c r="A3601" s="1" t="s">
        <v>3602</v>
      </c>
      <c r="B3601" s="1" t="s">
        <v>5</v>
      </c>
      <c r="C3601" s="2">
        <f>IFERROR(__xludf.DUMMYFUNCTION("IFERROR(VLOOKUP(A3601, IMPORTRANGE(""https://docs.google.com/spreadsheets/d/1AVX9GT0dgogEBStecCXMMQ29tWz3gBrtNB8yIromXbY/edit?gid=741673867"", ""out1g!A:B""), 2, FALSE), 0)"),1690.0)</f>
        <v>1690</v>
      </c>
      <c r="D3601" s="2" t="str">
        <f>IFERROR(__xludf.DUMMYFUNCTION("IFERROR(VLOOKUP(A3601, IMPORTRANGE(""https://docs.google.com/spreadsheets/d/1-3Vjw2Cyy-mry5gbC8ypIR3YVGFfEpyFESummAta6sg/edit"", ""Sheet1!B:D""), 2, FALSE), ""Not Found"")"),"ʤərk")</f>
        <v>ʤərk</v>
      </c>
      <c r="E3601" s="2" t="str">
        <f>IFERROR(__xludf.DUMMYFUNCTION("IFERROR(VLOOKUP(A3601, IMPORTRANGE(""https://docs.google.com/spreadsheets/d/1-3Vjw2Cyy-mry5gbC8ypIR3YVGFfEpyFESummAta6sg/edit"", ""Sheet1!B:D""), 3, FALSE), ""Not Found"")"),"ʤ ə r k ")</f>
        <v>ʤ ə r k </v>
      </c>
    </row>
    <row r="3602">
      <c r="A3602" s="1" t="s">
        <v>3603</v>
      </c>
      <c r="B3602" s="1" t="s">
        <v>5</v>
      </c>
      <c r="C3602" s="2">
        <f>IFERROR(__xludf.DUMMYFUNCTION("IFERROR(VLOOKUP(A3602, IMPORTRANGE(""https://docs.google.com/spreadsheets/d/1AVX9GT0dgogEBStecCXMMQ29tWz3gBrtNB8yIromXbY/edit?gid=741673867"", ""out1g!A:B""), 2, FALSE), 0)"),209250.0)</f>
        <v>209250</v>
      </c>
      <c r="D3602" s="2" t="str">
        <f>IFERROR(__xludf.DUMMYFUNCTION("IFERROR(VLOOKUP(A3602, IMPORTRANGE(""https://docs.google.com/spreadsheets/d/1-3Vjw2Cyy-mry5gbC8ypIR3YVGFfEpyFESummAta6sg/edit"", ""Sheet1!B:D""), 2, FALSE), ""Not Found"")"),"ðe")</f>
        <v>ðe</v>
      </c>
      <c r="E3602" s="2" t="str">
        <f>IFERROR(__xludf.DUMMYFUNCTION("IFERROR(VLOOKUP(A3602, IMPORTRANGE(""https://docs.google.com/spreadsheets/d/1-3Vjw2Cyy-mry5gbC8ypIR3YVGFfEpyFESummAta6sg/edit"", ""Sheet1!B:D""), 3, FALSE), ""Not Found"")"),"ð e ")</f>
        <v>ð e </v>
      </c>
    </row>
    <row r="3603">
      <c r="A3603" s="1" t="s">
        <v>3604</v>
      </c>
      <c r="B3603" s="1" t="s">
        <v>5</v>
      </c>
      <c r="C3603" s="2">
        <f>IFERROR(__xludf.DUMMYFUNCTION("IFERROR(VLOOKUP(A3603, IMPORTRANGE(""https://docs.google.com/spreadsheets/d/1AVX9GT0dgogEBStecCXMMQ29tWz3gBrtNB8yIromXbY/edit?gid=741673867"", ""out1g!A:B""), 2, FALSE), 0)"),562.0)</f>
        <v>562</v>
      </c>
      <c r="D3603" s="2" t="str">
        <f>IFERROR(__xludf.DUMMYFUNCTION("IFERROR(VLOOKUP(A3603, IMPORTRANGE(""https://docs.google.com/spreadsheets/d/1-3Vjw2Cyy-mry5gbC8ypIR3YVGFfEpyFESummAta6sg/edit"", ""Sheet1!B:D""), 2, FALSE), ""Not Found"")"),"dɪle")</f>
        <v>dɪle</v>
      </c>
      <c r="E3603" s="2" t="str">
        <f>IFERROR(__xludf.DUMMYFUNCTION("IFERROR(VLOOKUP(A3603, IMPORTRANGE(""https://docs.google.com/spreadsheets/d/1-3Vjw2Cyy-mry5gbC8ypIR3YVGFfEpyFESummAta6sg/edit"", ""Sheet1!B:D""), 3, FALSE), ""Not Found"")"),"d ɪ l e ")</f>
        <v>d ɪ l e </v>
      </c>
    </row>
    <row r="3604">
      <c r="A3604" s="1" t="s">
        <v>3605</v>
      </c>
      <c r="B3604" s="1" t="s">
        <v>5</v>
      </c>
      <c r="C3604" s="2">
        <f>IFERROR(__xludf.DUMMYFUNCTION("IFERROR(VLOOKUP(A3604, IMPORTRANGE(""https://docs.google.com/spreadsheets/d/1AVX9GT0dgogEBStecCXMMQ29tWz3gBrtNB8yIromXbY/edit?gid=741673867"", ""out1g!A:B""), 2, FALSE), 0)"),7840.0)</f>
        <v>7840</v>
      </c>
      <c r="D3604" s="2" t="str">
        <f>IFERROR(__xludf.DUMMYFUNCTION("IFERROR(VLOOKUP(A3604, IMPORTRANGE(""https://docs.google.com/spreadsheets/d/1-3Vjw2Cyy-mry5gbC8ypIR3YVGFfEpyFESummAta6sg/edit"", ""Sheet1!B:D""), 2, FALSE), ""Not Found"")"),"lək")</f>
        <v>lək</v>
      </c>
      <c r="E3604" s="2" t="str">
        <f>IFERROR(__xludf.DUMMYFUNCTION("IFERROR(VLOOKUP(A3604, IMPORTRANGE(""https://docs.google.com/spreadsheets/d/1-3Vjw2Cyy-mry5gbC8ypIR3YVGFfEpyFESummAta6sg/edit"", ""Sheet1!B:D""), 3, FALSE), ""Not Found"")"),"l ə k ")</f>
        <v>l ə k </v>
      </c>
    </row>
    <row r="3605">
      <c r="A3605" s="1" t="s">
        <v>3606</v>
      </c>
      <c r="B3605" s="1" t="s">
        <v>5</v>
      </c>
      <c r="C3605" s="2">
        <f>IFERROR(__xludf.DUMMYFUNCTION("IFERROR(VLOOKUP(A3605, IMPORTRANGE(""https://docs.google.com/spreadsheets/d/1AVX9GT0dgogEBStecCXMMQ29tWz3gBrtNB8yIromXbY/edit?gid=741673867"", ""out1g!A:B""), 2, FALSE), 0)"),4737.0)</f>
        <v>4737</v>
      </c>
      <c r="D3605" s="2" t="str">
        <f>IFERROR(__xludf.DUMMYFUNCTION("IFERROR(VLOOKUP(A3605, IMPORTRANGE(""https://docs.google.com/spreadsheets/d/1-3Vjw2Cyy-mry5gbC8ypIR3YVGFfEpyFESummAta6sg/edit"", ""Sheet1!B:D""), 2, FALSE), ""Not Found"")"),"hɔrs")</f>
        <v>hɔrs</v>
      </c>
      <c r="E3605" s="2" t="str">
        <f>IFERROR(__xludf.DUMMYFUNCTION("IFERROR(VLOOKUP(A3605, IMPORTRANGE(""https://docs.google.com/spreadsheets/d/1-3Vjw2Cyy-mry5gbC8ypIR3YVGFfEpyFESummAta6sg/edit"", ""Sheet1!B:D""), 3, FALSE), ""Not Found"")"),"h ɔ r s ")</f>
        <v>h ɔ r s </v>
      </c>
    </row>
    <row r="3606">
      <c r="A3606" s="1" t="s">
        <v>3607</v>
      </c>
      <c r="B3606" s="1" t="s">
        <v>5</v>
      </c>
      <c r="C3606" s="2">
        <f>IFERROR(__xludf.DUMMYFUNCTION("IFERROR(VLOOKUP(A3606, IMPORTRANGE(""https://docs.google.com/spreadsheets/d/1AVX9GT0dgogEBStecCXMMQ29tWz3gBrtNB8yIromXbY/edit?gid=741673867"", ""out1g!A:B""), 2, FALSE), 0)"),127.0)</f>
        <v>127</v>
      </c>
      <c r="D3606" s="2" t="str">
        <f>IFERROR(__xludf.DUMMYFUNCTION("IFERROR(VLOOKUP(A3606, IMPORTRANGE(""https://docs.google.com/spreadsheets/d/1-3Vjw2Cyy-mry5gbC8ypIR3YVGFfEpyFESummAta6sg/edit"", ""Sheet1!B:D""), 2, FALSE), ""Not Found"")"),"spɪrz")</f>
        <v>spɪrz</v>
      </c>
      <c r="E3606" s="2" t="str">
        <f>IFERROR(__xludf.DUMMYFUNCTION("IFERROR(VLOOKUP(A3606, IMPORTRANGE(""https://docs.google.com/spreadsheets/d/1-3Vjw2Cyy-mry5gbC8ypIR3YVGFfEpyFESummAta6sg/edit"", ""Sheet1!B:D""), 3, FALSE), ""Not Found"")"),"s p ɪ r z ")</f>
        <v>s p ɪ r z </v>
      </c>
    </row>
    <row r="3607">
      <c r="A3607" s="1" t="s">
        <v>3608</v>
      </c>
      <c r="B3607" s="1" t="s">
        <v>5</v>
      </c>
      <c r="C3607" s="2">
        <f>IFERROR(__xludf.DUMMYFUNCTION("IFERROR(VLOOKUP(A3607, IMPORTRANGE(""https://docs.google.com/spreadsheets/d/1AVX9GT0dgogEBStecCXMMQ29tWz3gBrtNB8yIromXbY/edit?gid=741673867"", ""out1g!A:B""), 2, FALSE), 0)"),127.0)</f>
        <v>127</v>
      </c>
      <c r="D3607" s="2" t="str">
        <f>IFERROR(__xludf.DUMMYFUNCTION("IFERROR(VLOOKUP(A3607, IMPORTRANGE(""https://docs.google.com/spreadsheets/d/1-3Vjw2Cyy-mry5gbC8ypIR3YVGFfEpyFESummAta6sg/edit"", ""Sheet1!B:D""), 2, FALSE), ""Not Found"")"),"sidər")</f>
        <v>sidər</v>
      </c>
      <c r="E3607" s="2" t="str">
        <f>IFERROR(__xludf.DUMMYFUNCTION("IFERROR(VLOOKUP(A3607, IMPORTRANGE(""https://docs.google.com/spreadsheets/d/1-3Vjw2Cyy-mry5gbC8ypIR3YVGFfEpyFESummAta6sg/edit"", ""Sheet1!B:D""), 3, FALSE), ""Not Found"")"),"s i d ə r ")</f>
        <v>s i d ə r </v>
      </c>
    </row>
    <row r="3608">
      <c r="A3608" s="1" t="s">
        <v>3609</v>
      </c>
      <c r="B3608" s="1" t="s">
        <v>5</v>
      </c>
      <c r="C3608" s="2">
        <f>IFERROR(__xludf.DUMMYFUNCTION("IFERROR(VLOOKUP(A3608, IMPORTRANGE(""https://docs.google.com/spreadsheets/d/1AVX9GT0dgogEBStecCXMMQ29tWz3gBrtNB8yIromXbY/edit?gid=741673867"", ""out1g!A:B""), 2, FALSE), 0)"),7535.0)</f>
        <v>7535</v>
      </c>
      <c r="D3608" s="2" t="str">
        <f>IFERROR(__xludf.DUMMYFUNCTION("IFERROR(VLOOKUP(A3608, IMPORTRANGE(""https://docs.google.com/spreadsheets/d/1-3Vjw2Cyy-mry5gbC8ypIR3YVGFfEpyFESummAta6sg/edit"", ""Sheet1!B:D""), 2, FALSE), ""Not Found"")"),"hæŋ")</f>
        <v>hæŋ</v>
      </c>
      <c r="E3608" s="2" t="str">
        <f>IFERROR(__xludf.DUMMYFUNCTION("IFERROR(VLOOKUP(A3608, IMPORTRANGE(""https://docs.google.com/spreadsheets/d/1-3Vjw2Cyy-mry5gbC8ypIR3YVGFfEpyFESummAta6sg/edit"", ""Sheet1!B:D""), 3, FALSE), ""Not Found"")"),"h æ ŋ ")</f>
        <v>h æ ŋ </v>
      </c>
    </row>
    <row r="3609">
      <c r="A3609" s="1" t="s">
        <v>3610</v>
      </c>
      <c r="B3609" s="1" t="s">
        <v>5</v>
      </c>
      <c r="C3609" s="2">
        <f>IFERROR(__xludf.DUMMYFUNCTION("IFERROR(VLOOKUP(A3609, IMPORTRANGE(""https://docs.google.com/spreadsheets/d/1AVX9GT0dgogEBStecCXMMQ29tWz3gBrtNB8yIromXbY/edit?gid=741673867"", ""out1g!A:B""), 2, FALSE), 0)"),3614.0)</f>
        <v>3614</v>
      </c>
      <c r="D3609" s="2" t="str">
        <f>IFERROR(__xludf.DUMMYFUNCTION("IFERROR(VLOOKUP(A3609, IMPORTRANGE(""https://docs.google.com/spreadsheets/d/1-3Vjw2Cyy-mry5gbC8ypIR3YVGFfEpyFESummAta6sg/edit"", ""Sheet1!B:D""), 2, FALSE), ""Not Found"")"),"græb")</f>
        <v>græb</v>
      </c>
      <c r="E3609" s="2" t="str">
        <f>IFERROR(__xludf.DUMMYFUNCTION("IFERROR(VLOOKUP(A3609, IMPORTRANGE(""https://docs.google.com/spreadsheets/d/1-3Vjw2Cyy-mry5gbC8ypIR3YVGFfEpyFESummAta6sg/edit"", ""Sheet1!B:D""), 3, FALSE), ""Not Found"")"),"g r æ b ")</f>
        <v>g r æ b </v>
      </c>
    </row>
    <row r="3610">
      <c r="A3610" s="1" t="s">
        <v>3611</v>
      </c>
      <c r="B3610" s="1" t="s">
        <v>5</v>
      </c>
      <c r="C3610" s="2">
        <f>IFERROR(__xludf.DUMMYFUNCTION("IFERROR(VLOOKUP(A3610, IMPORTRANGE(""https://docs.google.com/spreadsheets/d/1AVX9GT0dgogEBStecCXMMQ29tWz3gBrtNB8yIromXbY/edit?gid=741673867"", ""out1g!A:B""), 2, FALSE), 0)"),113.0)</f>
        <v>113</v>
      </c>
      <c r="D3610" s="2" t="str">
        <f>IFERROR(__xludf.DUMMYFUNCTION("IFERROR(VLOOKUP(A3610, IMPORTRANGE(""https://docs.google.com/spreadsheets/d/1-3Vjw2Cyy-mry5gbC8ypIR3YVGFfEpyFESummAta6sg/edit"", ""Sheet1!B:D""), 2, FALSE), ""Not Found"")"),"fɔrks")</f>
        <v>fɔrks</v>
      </c>
      <c r="E3610" s="2" t="str">
        <f>IFERROR(__xludf.DUMMYFUNCTION("IFERROR(VLOOKUP(A3610, IMPORTRANGE(""https://docs.google.com/spreadsheets/d/1-3Vjw2Cyy-mry5gbC8ypIR3YVGFfEpyFESummAta6sg/edit"", ""Sheet1!B:D""), 3, FALSE), ""Not Found"")"),"f ɔ r k s ")</f>
        <v>f ɔ r k s </v>
      </c>
    </row>
    <row r="3611">
      <c r="A3611" s="1" t="s">
        <v>3612</v>
      </c>
      <c r="B3611" s="1" t="s">
        <v>5</v>
      </c>
      <c r="C3611" s="2">
        <f>IFERROR(__xludf.DUMMYFUNCTION("IFERROR(VLOOKUP(A3611, IMPORTRANGE(""https://docs.google.com/spreadsheets/d/1AVX9GT0dgogEBStecCXMMQ29tWz3gBrtNB8yIromXbY/edit?gid=741673867"", ""out1g!A:B""), 2, FALSE), 0)"),153.0)</f>
        <v>153</v>
      </c>
      <c r="D3611" s="2" t="str">
        <f>IFERROR(__xludf.DUMMYFUNCTION("IFERROR(VLOOKUP(A3611, IMPORTRANGE(""https://docs.google.com/spreadsheets/d/1-3Vjw2Cyy-mry5gbC8ypIR3YVGFfEpyFESummAta6sg/edit"", ""Sheet1!B:D""), 2, FALSE), ""Not Found"")"),"səbz")</f>
        <v>səbz</v>
      </c>
      <c r="E3611" s="2" t="str">
        <f>IFERROR(__xludf.DUMMYFUNCTION("IFERROR(VLOOKUP(A3611, IMPORTRANGE(""https://docs.google.com/spreadsheets/d/1-3Vjw2Cyy-mry5gbC8ypIR3YVGFfEpyFESummAta6sg/edit"", ""Sheet1!B:D""), 3, FALSE), ""Not Found"")"),"s ə b z ")</f>
        <v>s ə b z </v>
      </c>
    </row>
    <row r="3612">
      <c r="A3612" s="1" t="s">
        <v>3613</v>
      </c>
      <c r="B3612" s="1" t="s">
        <v>5</v>
      </c>
      <c r="C3612" s="2">
        <f>IFERROR(__xludf.DUMMYFUNCTION("IFERROR(VLOOKUP(A3612, IMPORTRANGE(""https://docs.google.com/spreadsheets/d/1AVX9GT0dgogEBStecCXMMQ29tWz3gBrtNB8yIromXbY/edit?gid=741673867"", ""out1g!A:B""), 2, FALSE), 0)"),367.0)</f>
        <v>367</v>
      </c>
      <c r="D3612" s="2" t="str">
        <f>IFERROR(__xludf.DUMMYFUNCTION("IFERROR(VLOOKUP(A3612, IMPORTRANGE(""https://docs.google.com/spreadsheets/d/1-3Vjw2Cyy-mry5gbC8ypIR3YVGFfEpyFESummAta6sg/edit"", ""Sheet1!B:D""), 2, FALSE), ""Not Found"")"),"poʊstɪd")</f>
        <v>poʊstɪd</v>
      </c>
      <c r="E3612" s="2" t="str">
        <f>IFERROR(__xludf.DUMMYFUNCTION("IFERROR(VLOOKUP(A3612, IMPORTRANGE(""https://docs.google.com/spreadsheets/d/1-3Vjw2Cyy-mry5gbC8ypIR3YVGFfEpyFESummAta6sg/edit"", ""Sheet1!B:D""), 3, FALSE), ""Not Found"")"),"p o ʊ s t ɪ d ")</f>
        <v>p o ʊ s t ɪ d </v>
      </c>
    </row>
    <row r="3613">
      <c r="A3613" s="1" t="s">
        <v>3614</v>
      </c>
      <c r="B3613" s="1" t="s">
        <v>5</v>
      </c>
      <c r="C3613" s="2">
        <f>IFERROR(__xludf.DUMMYFUNCTION("IFERROR(VLOOKUP(A3613, IMPORTRANGE(""https://docs.google.com/spreadsheets/d/1AVX9GT0dgogEBStecCXMMQ29tWz3gBrtNB8yIromXbY/edit?gid=741673867"", ""out1g!A:B""), 2, FALSE), 0)"),449.0)</f>
        <v>449</v>
      </c>
      <c r="D3613" s="2" t="str">
        <f>IFERROR(__xludf.DUMMYFUNCTION("IFERROR(VLOOKUP(A3613, IMPORTRANGE(""https://docs.google.com/spreadsheets/d/1-3Vjw2Cyy-mry5gbC8ypIR3YVGFfEpyFESummAta6sg/edit"", ""Sheet1!B:D""), 2, FALSE), ""Not Found"")"),"faɪld")</f>
        <v>faɪld</v>
      </c>
      <c r="E3613" s="2" t="str">
        <f>IFERROR(__xludf.DUMMYFUNCTION("IFERROR(VLOOKUP(A3613, IMPORTRANGE(""https://docs.google.com/spreadsheets/d/1-3Vjw2Cyy-mry5gbC8ypIR3YVGFfEpyFESummAta6sg/edit"", ""Sheet1!B:D""), 3, FALSE), ""Not Found"")"),"f a ɪ l d ")</f>
        <v>f a ɪ l d </v>
      </c>
    </row>
    <row r="3614">
      <c r="A3614" s="1" t="s">
        <v>3615</v>
      </c>
      <c r="B3614" s="1" t="s">
        <v>5</v>
      </c>
      <c r="C3614" s="2">
        <f>IFERROR(__xludf.DUMMYFUNCTION("IFERROR(VLOOKUP(A3614, IMPORTRANGE(""https://docs.google.com/spreadsheets/d/1AVX9GT0dgogEBStecCXMMQ29tWz3gBrtNB8yIromXbY/edit?gid=741673867"", ""out1g!A:B""), 2, FALSE), 0)"),562.0)</f>
        <v>562</v>
      </c>
      <c r="D3614" s="2" t="str">
        <f>IFERROR(__xludf.DUMMYFUNCTION("IFERROR(VLOOKUP(A3614, IMPORTRANGE(""https://docs.google.com/spreadsheets/d/1-3Vjw2Cyy-mry5gbC8ypIR3YVGFfEpyFESummAta6sg/edit"", ""Sheet1!B:D""), 2, FALSE), ""Not Found"")"),"saɪkoʊ")</f>
        <v>saɪkoʊ</v>
      </c>
      <c r="E3614" s="2" t="str">
        <f>IFERROR(__xludf.DUMMYFUNCTION("IFERROR(VLOOKUP(A3614, IMPORTRANGE(""https://docs.google.com/spreadsheets/d/1-3Vjw2Cyy-mry5gbC8ypIR3YVGFfEpyFESummAta6sg/edit"", ""Sheet1!B:D""), 3, FALSE), ""Not Found"")"),"s a ɪ k o ʊ ")</f>
        <v>s a ɪ k o ʊ </v>
      </c>
    </row>
    <row r="3615">
      <c r="A3615" s="1" t="s">
        <v>3616</v>
      </c>
      <c r="B3615" s="1" t="s">
        <v>5</v>
      </c>
      <c r="C3615" s="2">
        <f>IFERROR(__xludf.DUMMYFUNCTION("IFERROR(VLOOKUP(A3615, IMPORTRANGE(""https://docs.google.com/spreadsheets/d/1AVX9GT0dgogEBStecCXMMQ29tWz3gBrtNB8yIromXbY/edit?gid=741673867"", ""out1g!A:B""), 2, FALSE), 0)"),1029.0)</f>
        <v>1029</v>
      </c>
      <c r="D3615" s="2" t="str">
        <f>IFERROR(__xludf.DUMMYFUNCTION("IFERROR(VLOOKUP(A3615, IMPORTRANGE(""https://docs.google.com/spreadsheets/d/1-3Vjw2Cyy-mry5gbC8ypIR3YVGFfEpyFESummAta6sg/edit"", ""Sheet1!B:D""), 2, FALSE), ""Not Found"")"),"pɛt")</f>
        <v>pɛt</v>
      </c>
      <c r="E3615" s="2" t="str">
        <f>IFERROR(__xludf.DUMMYFUNCTION("IFERROR(VLOOKUP(A3615, IMPORTRANGE(""https://docs.google.com/spreadsheets/d/1-3Vjw2Cyy-mry5gbC8ypIR3YVGFfEpyFESummAta6sg/edit"", ""Sheet1!B:D""), 3, FALSE), ""Not Found"")"),"p ɛ t ")</f>
        <v>p ɛ t </v>
      </c>
    </row>
    <row r="3616">
      <c r="A3616" s="1" t="s">
        <v>3617</v>
      </c>
      <c r="B3616" s="1" t="s">
        <v>5</v>
      </c>
      <c r="C3616" s="2">
        <f>IFERROR(__xludf.DUMMYFUNCTION("IFERROR(VLOOKUP(A3616, IMPORTRANGE(""https://docs.google.com/spreadsheets/d/1AVX9GT0dgogEBStecCXMMQ29tWz3gBrtNB8yIromXbY/edit?gid=741673867"", ""out1g!A:B""), 2, FALSE), 0)"),3071.0)</f>
        <v>3071</v>
      </c>
      <c r="D3616" s="2" t="str">
        <f>IFERROR(__xludf.DUMMYFUNCTION("IFERROR(VLOOKUP(A3616, IMPORTRANGE(""https://docs.google.com/spreadsheets/d/1-3Vjw2Cyy-mry5gbC8ypIR3YVGFfEpyFESummAta6sg/edit"", ""Sheet1!B:D""), 2, FALSE), ""Not Found"")"),"luk")</f>
        <v>luk</v>
      </c>
      <c r="E3616" s="2" t="str">
        <f>IFERROR(__xludf.DUMMYFUNCTION("IFERROR(VLOOKUP(A3616, IMPORTRANGE(""https://docs.google.com/spreadsheets/d/1-3Vjw2Cyy-mry5gbC8ypIR3YVGFfEpyFESummAta6sg/edit"", ""Sheet1!B:D""), 3, FALSE), ""Not Found"")"),"l u k ")</f>
        <v>l u k </v>
      </c>
    </row>
    <row r="3617">
      <c r="A3617" s="1" t="s">
        <v>3618</v>
      </c>
      <c r="B3617" s="1" t="s">
        <v>5</v>
      </c>
      <c r="C3617" s="2">
        <f>IFERROR(__xludf.DUMMYFUNCTION("IFERROR(VLOOKUP(A3617, IMPORTRANGE(""https://docs.google.com/spreadsheets/d/1AVX9GT0dgogEBStecCXMMQ29tWz3gBrtNB8yIromXbY/edit?gid=741673867"", ""out1g!A:B""), 2, FALSE), 0)"),98.0)</f>
        <v>98</v>
      </c>
      <c r="D3617" s="2" t="str">
        <f>IFERROR(__xludf.DUMMYFUNCTION("IFERROR(VLOOKUP(A3617, IMPORTRANGE(""https://docs.google.com/spreadsheets/d/1-3Vjw2Cyy-mry5gbC8ypIR3YVGFfEpyFESummAta6sg/edit"", ""Sheet1!B:D""), 2, FALSE), ""Not Found"")"),"pərdi")</f>
        <v>pərdi</v>
      </c>
      <c r="E3617" s="2" t="str">
        <f>IFERROR(__xludf.DUMMYFUNCTION("IFERROR(VLOOKUP(A3617, IMPORTRANGE(""https://docs.google.com/spreadsheets/d/1-3Vjw2Cyy-mry5gbC8ypIR3YVGFfEpyFESummAta6sg/edit"", ""Sheet1!B:D""), 3, FALSE), ""Not Found"")"),"p ə r d i ")</f>
        <v>p ə r d i </v>
      </c>
    </row>
    <row r="3618">
      <c r="A3618" s="1" t="s">
        <v>3619</v>
      </c>
      <c r="B3618" s="1" t="s">
        <v>5</v>
      </c>
      <c r="C3618" s="2">
        <f>IFERROR(__xludf.DUMMYFUNCTION("IFERROR(VLOOKUP(A3618, IMPORTRANGE(""https://docs.google.com/spreadsheets/d/1AVX9GT0dgogEBStecCXMMQ29tWz3gBrtNB8yIromXbY/edit?gid=741673867"", ""out1g!A:B""), 2, FALSE), 0)"),256.0)</f>
        <v>256</v>
      </c>
      <c r="D3618" s="2" t="str">
        <f>IFERROR(__xludf.DUMMYFUNCTION("IFERROR(VLOOKUP(A3618, IMPORTRANGE(""https://docs.google.com/spreadsheets/d/1-3Vjw2Cyy-mry5gbC8ypIR3YVGFfEpyFESummAta6sg/edit"", ""Sheet1!B:D""), 2, FALSE), ""Not Found"")"),"koʊkoʊ")</f>
        <v>koʊkoʊ</v>
      </c>
      <c r="E3618" s="2" t="str">
        <f>IFERROR(__xludf.DUMMYFUNCTION("IFERROR(VLOOKUP(A3618, IMPORTRANGE(""https://docs.google.com/spreadsheets/d/1-3Vjw2Cyy-mry5gbC8ypIR3YVGFfEpyFESummAta6sg/edit"", ""Sheet1!B:D""), 3, FALSE), ""Not Found"")"),"k o ʊ k o ʊ ")</f>
        <v>k o ʊ k o ʊ </v>
      </c>
    </row>
    <row r="3619">
      <c r="A3619" s="1" t="s">
        <v>3620</v>
      </c>
      <c r="B3619" s="1" t="s">
        <v>5</v>
      </c>
      <c r="C3619" s="2">
        <f>IFERROR(__xludf.DUMMYFUNCTION("IFERROR(VLOOKUP(A3619, IMPORTRANGE(""https://docs.google.com/spreadsheets/d/1AVX9GT0dgogEBStecCXMMQ29tWz3gBrtNB8yIromXbY/edit?gid=741673867"", ""out1g!A:B""), 2, FALSE), 0)"),1275.0)</f>
        <v>1275</v>
      </c>
      <c r="D3619" s="2" t="str">
        <f>IFERROR(__xludf.DUMMYFUNCTION("IFERROR(VLOOKUP(A3619, IMPORTRANGE(""https://docs.google.com/spreadsheets/d/1-3Vjw2Cyy-mry5gbC8ypIR3YVGFfEpyFESummAta6sg/edit"", ""Sheet1!B:D""), 2, FALSE), ""Not Found"")"),"væli")</f>
        <v>væli</v>
      </c>
      <c r="E3619" s="2" t="str">
        <f>IFERROR(__xludf.DUMMYFUNCTION("IFERROR(VLOOKUP(A3619, IMPORTRANGE(""https://docs.google.com/spreadsheets/d/1-3Vjw2Cyy-mry5gbC8ypIR3YVGFfEpyFESummAta6sg/edit"", ""Sheet1!B:D""), 3, FALSE), ""Not Found"")"),"v æ l i ")</f>
        <v>v æ l i </v>
      </c>
    </row>
    <row r="3620">
      <c r="A3620" s="1" t="s">
        <v>3621</v>
      </c>
      <c r="B3620" s="1" t="s">
        <v>5</v>
      </c>
      <c r="C3620" s="2">
        <f>IFERROR(__xludf.DUMMYFUNCTION("IFERROR(VLOOKUP(A3620, IMPORTRANGE(""https://docs.google.com/spreadsheets/d/1AVX9GT0dgogEBStecCXMMQ29tWz3gBrtNB8yIromXbY/edit?gid=741673867"", ""out1g!A:B""), 2, FALSE), 0)"),85.0)</f>
        <v>85</v>
      </c>
      <c r="D3620" s="2" t="str">
        <f>IFERROR(__xludf.DUMMYFUNCTION("IFERROR(VLOOKUP(A3620, IMPORTRANGE(""https://docs.google.com/spreadsheets/d/1-3Vjw2Cyy-mry5gbC8ypIR3YVGFfEpyFESummAta6sg/edit"", ""Sheet1!B:D""), 2, FALSE), ""Not Found"")"),"əfloʊt")</f>
        <v>əfloʊt</v>
      </c>
      <c r="E3620" s="2" t="str">
        <f>IFERROR(__xludf.DUMMYFUNCTION("IFERROR(VLOOKUP(A3620, IMPORTRANGE(""https://docs.google.com/spreadsheets/d/1-3Vjw2Cyy-mry5gbC8ypIR3YVGFfEpyFESummAta6sg/edit"", ""Sheet1!B:D""), 3, FALSE), ""Not Found"")"),"ə f l o ʊ t ")</f>
        <v>ə f l o ʊ t </v>
      </c>
    </row>
    <row r="3621">
      <c r="A3621" s="1" t="s">
        <v>3622</v>
      </c>
      <c r="B3621" s="1" t="s">
        <v>5</v>
      </c>
      <c r="C3621" s="2">
        <f>IFERROR(__xludf.DUMMYFUNCTION("IFERROR(VLOOKUP(A3621, IMPORTRANGE(""https://docs.google.com/spreadsheets/d/1AVX9GT0dgogEBStecCXMMQ29tWz3gBrtNB8yIromXbY/edit?gid=741673867"", ""out1g!A:B""), 2, FALSE), 0)"),143.0)</f>
        <v>143</v>
      </c>
      <c r="D3621" s="2" t="str">
        <f>IFERROR(__xludf.DUMMYFUNCTION("IFERROR(VLOOKUP(A3621, IMPORTRANGE(""https://docs.google.com/spreadsheets/d/1-3Vjw2Cyy-mry5gbC8ypIR3YVGFfEpyFESummAta6sg/edit"", ""Sheet1!B:D""), 2, FALSE), ""Not Found"")"),"fɪʃi")</f>
        <v>fɪʃi</v>
      </c>
      <c r="E3621" s="2" t="str">
        <f>IFERROR(__xludf.DUMMYFUNCTION("IFERROR(VLOOKUP(A3621, IMPORTRANGE(""https://docs.google.com/spreadsheets/d/1-3Vjw2Cyy-mry5gbC8ypIR3YVGFfEpyFESummAta6sg/edit"", ""Sheet1!B:D""), 3, FALSE), ""Not Found"")"),"f ɪ ʃ i ")</f>
        <v>f ɪ ʃ i </v>
      </c>
    </row>
    <row r="3622">
      <c r="A3622" s="1" t="s">
        <v>3623</v>
      </c>
      <c r="B3622" s="1" t="s">
        <v>5</v>
      </c>
      <c r="C3622" s="2">
        <f>IFERROR(__xludf.DUMMYFUNCTION("IFERROR(VLOOKUP(A3622, IMPORTRANGE(""https://docs.google.com/spreadsheets/d/1AVX9GT0dgogEBStecCXMMQ29tWz3gBrtNB8yIromXbY/edit?gid=741673867"", ""out1g!A:B""), 2, FALSE), 0)"),171.0)</f>
        <v>171</v>
      </c>
      <c r="D3622" s="2" t="str">
        <f>IFERROR(__xludf.DUMMYFUNCTION("IFERROR(VLOOKUP(A3622, IMPORTRANGE(""https://docs.google.com/spreadsheets/d/1-3Vjw2Cyy-mry5gbC8ypIR3YVGFfEpyFESummAta6sg/edit"", ""Sheet1!B:D""), 2, FALSE), ""Not Found"")"),"hoʊmi")</f>
        <v>hoʊmi</v>
      </c>
      <c r="E3622" s="2" t="str">
        <f>IFERROR(__xludf.DUMMYFUNCTION("IFERROR(VLOOKUP(A3622, IMPORTRANGE(""https://docs.google.com/spreadsheets/d/1-3Vjw2Cyy-mry5gbC8ypIR3YVGFfEpyFESummAta6sg/edit"", ""Sheet1!B:D""), 3, FALSE), ""Not Found"")"),"h o ʊ m i ")</f>
        <v>h o ʊ m i </v>
      </c>
    </row>
    <row r="3623">
      <c r="A3623" s="1" t="s">
        <v>3624</v>
      </c>
      <c r="B3623" s="1" t="s">
        <v>5</v>
      </c>
      <c r="C3623" s="2">
        <f>IFERROR(__xludf.DUMMYFUNCTION("IFERROR(VLOOKUP(A3623, IMPORTRANGE(""https://docs.google.com/spreadsheets/d/1AVX9GT0dgogEBStecCXMMQ29tWz3gBrtNB8yIromXbY/edit?gid=741673867"", ""out1g!A:B""), 2, FALSE), 0)"),106.0)</f>
        <v>106</v>
      </c>
      <c r="D3623" s="2" t="str">
        <f>IFERROR(__xludf.DUMMYFUNCTION("IFERROR(VLOOKUP(A3623, IMPORTRANGE(""https://docs.google.com/spreadsheets/d/1-3Vjw2Cyy-mry5gbC8ypIR3YVGFfEpyFESummAta6sg/edit"", ""Sheet1!B:D""), 2, FALSE), ""Not Found"")"),"spɛks")</f>
        <v>spɛks</v>
      </c>
      <c r="E3623" s="2" t="str">
        <f>IFERROR(__xludf.DUMMYFUNCTION("IFERROR(VLOOKUP(A3623, IMPORTRANGE(""https://docs.google.com/spreadsheets/d/1-3Vjw2Cyy-mry5gbC8ypIR3YVGFfEpyFESummAta6sg/edit"", ""Sheet1!B:D""), 3, FALSE), ""Not Found"")"),"s p ɛ k s ")</f>
        <v>s p ɛ k s </v>
      </c>
    </row>
    <row r="3624">
      <c r="A3624" s="1" t="s">
        <v>3625</v>
      </c>
      <c r="B3624" s="1" t="s">
        <v>5</v>
      </c>
      <c r="C3624" s="2">
        <f>IFERROR(__xludf.DUMMYFUNCTION("IFERROR(VLOOKUP(A3624, IMPORTRANGE(""https://docs.google.com/spreadsheets/d/1AVX9GT0dgogEBStecCXMMQ29tWz3gBrtNB8yIromXbY/edit?gid=741673867"", ""out1g!A:B""), 2, FALSE), 0)"),6722.0)</f>
        <v>6722</v>
      </c>
      <c r="D3624" s="2" t="str">
        <f>IFERROR(__xludf.DUMMYFUNCTION("IFERROR(VLOOKUP(A3624, IMPORTRANGE(""https://docs.google.com/spreadsheets/d/1-3Vjw2Cyy-mry5gbC8ypIR3YVGFfEpyFESummAta6sg/edit"", ""Sheet1!B:D""), 2, FALSE), ""Not Found"")"),"sɛns")</f>
        <v>sɛns</v>
      </c>
      <c r="E3624" s="2" t="str">
        <f>IFERROR(__xludf.DUMMYFUNCTION("IFERROR(VLOOKUP(A3624, IMPORTRANGE(""https://docs.google.com/spreadsheets/d/1-3Vjw2Cyy-mry5gbC8ypIR3YVGFfEpyFESummAta6sg/edit"", ""Sheet1!B:D""), 3, FALSE), ""Not Found"")"),"s ɛ n s ")</f>
        <v>s ɛ n s </v>
      </c>
    </row>
    <row r="3625">
      <c r="A3625" s="1" t="s">
        <v>3626</v>
      </c>
      <c r="B3625" s="1" t="s">
        <v>5</v>
      </c>
      <c r="C3625" s="2">
        <f>IFERROR(__xludf.DUMMYFUNCTION("IFERROR(VLOOKUP(A3625, IMPORTRANGE(""https://docs.google.com/spreadsheets/d/1AVX9GT0dgogEBStecCXMMQ29tWz3gBrtNB8yIromXbY/edit?gid=741673867"", ""out1g!A:B""), 2, FALSE), 0)"),379.0)</f>
        <v>379</v>
      </c>
      <c r="D3625" s="2" t="str">
        <f>IFERROR(__xludf.DUMMYFUNCTION("IFERROR(VLOOKUP(A3625, IMPORTRANGE(""https://docs.google.com/spreadsheets/d/1-3Vjw2Cyy-mry5gbC8ypIR3YVGFfEpyFESummAta6sg/edit"", ""Sheet1!B:D""), 2, FALSE), ""Not Found"")"),"gɛst")</f>
        <v>gɛst</v>
      </c>
      <c r="E3625" s="2" t="str">
        <f>IFERROR(__xludf.DUMMYFUNCTION("IFERROR(VLOOKUP(A3625, IMPORTRANGE(""https://docs.google.com/spreadsheets/d/1-3Vjw2Cyy-mry5gbC8ypIR3YVGFfEpyFESummAta6sg/edit"", ""Sheet1!B:D""), 3, FALSE), ""Not Found"")"),"g ɛ s t ")</f>
        <v>g ɛ s t </v>
      </c>
    </row>
    <row r="3626">
      <c r="A3626" s="1" t="s">
        <v>3627</v>
      </c>
      <c r="B3626" s="1" t="s">
        <v>5</v>
      </c>
      <c r="C3626" s="2">
        <f>IFERROR(__xludf.DUMMYFUNCTION("IFERROR(VLOOKUP(A3626, IMPORTRANGE(""https://docs.google.com/spreadsheets/d/1AVX9GT0dgogEBStecCXMMQ29tWz3gBrtNB8yIromXbY/edit?gid=741673867"", ""out1g!A:B""), 2, FALSE), 0)"),744.0)</f>
        <v>744</v>
      </c>
      <c r="D3626" s="2" t="str">
        <f>IFERROR(__xludf.DUMMYFUNCTION("IFERROR(VLOOKUP(A3626, IMPORTRANGE(""https://docs.google.com/spreadsheets/d/1-3Vjw2Cyy-mry5gbC8ypIR3YVGFfEpyFESummAta6sg/edit"", ""Sheet1!B:D""), 2, FALSE), ""Not Found"")"),"noʊbəl")</f>
        <v>noʊbəl</v>
      </c>
      <c r="E3626" s="2" t="str">
        <f>IFERROR(__xludf.DUMMYFUNCTION("IFERROR(VLOOKUP(A3626, IMPORTRANGE(""https://docs.google.com/spreadsheets/d/1-3Vjw2Cyy-mry5gbC8ypIR3YVGFfEpyFESummAta6sg/edit"", ""Sheet1!B:D""), 3, FALSE), ""Not Found"")"),"n o ʊ b ə l ")</f>
        <v>n o ʊ b ə l </v>
      </c>
    </row>
    <row r="3627">
      <c r="A3627" s="1" t="s">
        <v>3628</v>
      </c>
      <c r="B3627" s="1" t="s">
        <v>5</v>
      </c>
      <c r="C3627" s="2">
        <f>IFERROR(__xludf.DUMMYFUNCTION("IFERROR(VLOOKUP(A3627, IMPORTRANGE(""https://docs.google.com/spreadsheets/d/1AVX9GT0dgogEBStecCXMMQ29tWz3gBrtNB8yIromXbY/edit?gid=741673867"", ""out1g!A:B""), 2, FALSE), 0)"),1658.0)</f>
        <v>1658</v>
      </c>
      <c r="D3627" s="2" t="str">
        <f>IFERROR(__xludf.DUMMYFUNCTION("IFERROR(VLOOKUP(A3627, IMPORTRANGE(""https://docs.google.com/spreadsheets/d/1-3Vjw2Cyy-mry5gbC8ypIR3YVGFfEpyFESummAta6sg/edit"", ""Sheet1!B:D""), 2, FALSE), ""Not Found"")"),"pɪkɪŋ")</f>
        <v>pɪkɪŋ</v>
      </c>
      <c r="E3627" s="2" t="str">
        <f>IFERROR(__xludf.DUMMYFUNCTION("IFERROR(VLOOKUP(A3627, IMPORTRANGE(""https://docs.google.com/spreadsheets/d/1-3Vjw2Cyy-mry5gbC8ypIR3YVGFfEpyFESummAta6sg/edit"", ""Sheet1!B:D""), 3, FALSE), ""Not Found"")"),"p ɪ k ɪ ŋ ")</f>
        <v>p ɪ k ɪ ŋ </v>
      </c>
    </row>
    <row r="3628">
      <c r="A3628" s="1" t="s">
        <v>3629</v>
      </c>
      <c r="B3628" s="1" t="s">
        <v>5</v>
      </c>
      <c r="C3628" s="2">
        <f>IFERROR(__xludf.DUMMYFUNCTION("IFERROR(VLOOKUP(A3628, IMPORTRANGE(""https://docs.google.com/spreadsheets/d/1AVX9GT0dgogEBStecCXMMQ29tWz3gBrtNB8yIromXbY/edit?gid=741673867"", ""out1g!A:B""), 2, FALSE), 0)"),272.0)</f>
        <v>272</v>
      </c>
      <c r="D3628" s="2" t="str">
        <f>IFERROR(__xludf.DUMMYFUNCTION("IFERROR(VLOOKUP(A3628, IMPORTRANGE(""https://docs.google.com/spreadsheets/d/1-3Vjw2Cyy-mry5gbC8ypIR3YVGFfEpyFESummAta6sg/edit"", ""Sheet1!B:D""), 2, FALSE), ""Not Found"")"),"stre")</f>
        <v>stre</v>
      </c>
      <c r="E3628" s="2" t="str">
        <f>IFERROR(__xludf.DUMMYFUNCTION("IFERROR(VLOOKUP(A3628, IMPORTRANGE(""https://docs.google.com/spreadsheets/d/1-3Vjw2Cyy-mry5gbC8ypIR3YVGFfEpyFESummAta6sg/edit"", ""Sheet1!B:D""), 3, FALSE), ""Not Found"")"),"s t r e ")</f>
        <v>s t r e </v>
      </c>
    </row>
    <row r="3629">
      <c r="A3629" s="1" t="s">
        <v>3630</v>
      </c>
      <c r="B3629" s="1" t="s">
        <v>5</v>
      </c>
      <c r="C3629" s="2">
        <f>IFERROR(__xludf.DUMMYFUNCTION("IFERROR(VLOOKUP(A3629, IMPORTRANGE(""https://docs.google.com/spreadsheets/d/1AVX9GT0dgogEBStecCXMMQ29tWz3gBrtNB8yIromXbY/edit?gid=741673867"", ""out1g!A:B""), 2, FALSE), 0)"),128.0)</f>
        <v>128</v>
      </c>
      <c r="D3629" s="2" t="str">
        <f>IFERROR(__xludf.DUMMYFUNCTION("IFERROR(VLOOKUP(A3629, IMPORTRANGE(""https://docs.google.com/spreadsheets/d/1-3Vjw2Cyy-mry5gbC8ypIR3YVGFfEpyFESummAta6sg/edit"", ""Sheet1!B:D""), 2, FALSE), ""Not Found"")"),"ənɔɪ")</f>
        <v>ənɔɪ</v>
      </c>
      <c r="E3629" s="2" t="str">
        <f>IFERROR(__xludf.DUMMYFUNCTION("IFERROR(VLOOKUP(A3629, IMPORTRANGE(""https://docs.google.com/spreadsheets/d/1-3Vjw2Cyy-mry5gbC8ypIR3YVGFfEpyFESummAta6sg/edit"", ""Sheet1!B:D""), 3, FALSE), ""Not Found"")"),"ə n ɔ ɪ ")</f>
        <v>ə n ɔ ɪ </v>
      </c>
    </row>
    <row r="3630">
      <c r="A3630" s="1" t="s">
        <v>3631</v>
      </c>
      <c r="B3630" s="1" t="s">
        <v>5</v>
      </c>
      <c r="C3630" s="2">
        <f>IFERROR(__xludf.DUMMYFUNCTION("IFERROR(VLOOKUP(A3630, IMPORTRANGE(""https://docs.google.com/spreadsheets/d/1AVX9GT0dgogEBStecCXMMQ29tWz3gBrtNB8yIromXbY/edit?gid=741673867"", ""out1g!A:B""), 2, FALSE), 0)"),257.0)</f>
        <v>257</v>
      </c>
      <c r="D3630" s="2" t="str">
        <f>IFERROR(__xludf.DUMMYFUNCTION("IFERROR(VLOOKUP(A3630, IMPORTRANGE(""https://docs.google.com/spreadsheets/d/1-3Vjw2Cyy-mry5gbC8ypIR3YVGFfEpyFESummAta6sg/edit"", ""Sheet1!B:D""), 2, FALSE), ""Not Found"")"),"bləfɪŋ")</f>
        <v>bləfɪŋ</v>
      </c>
      <c r="E3630" s="2" t="str">
        <f>IFERROR(__xludf.DUMMYFUNCTION("IFERROR(VLOOKUP(A3630, IMPORTRANGE(""https://docs.google.com/spreadsheets/d/1-3Vjw2Cyy-mry5gbC8ypIR3YVGFfEpyFESummAta6sg/edit"", ""Sheet1!B:D""), 3, FALSE), ""Not Found"")"),"b l ə f ɪ ŋ ")</f>
        <v>b l ə f ɪ ŋ </v>
      </c>
    </row>
    <row r="3631">
      <c r="A3631" s="1" t="s">
        <v>3632</v>
      </c>
      <c r="B3631" s="1" t="s">
        <v>5</v>
      </c>
      <c r="C3631" s="2">
        <f>IFERROR(__xludf.DUMMYFUNCTION("IFERROR(VLOOKUP(A3631, IMPORTRANGE(""https://docs.google.com/spreadsheets/d/1AVX9GT0dgogEBStecCXMMQ29tWz3gBrtNB8yIromXbY/edit?gid=741673867"", ""out1g!A:B""), 2, FALSE), 0)"),204.0)</f>
        <v>204</v>
      </c>
      <c r="D3631" s="2" t="str">
        <f>IFERROR(__xludf.DUMMYFUNCTION("IFERROR(VLOOKUP(A3631, IMPORTRANGE(""https://docs.google.com/spreadsheets/d/1-3Vjw2Cyy-mry5gbC8ypIR3YVGFfEpyFESummAta6sg/edit"", ""Sheet1!B:D""), 2, FALSE), ""Not Found"")"),"steks")</f>
        <v>steks</v>
      </c>
      <c r="E3631" s="2" t="str">
        <f>IFERROR(__xludf.DUMMYFUNCTION("IFERROR(VLOOKUP(A3631, IMPORTRANGE(""https://docs.google.com/spreadsheets/d/1-3Vjw2Cyy-mry5gbC8ypIR3YVGFfEpyFESummAta6sg/edit"", ""Sheet1!B:D""), 3, FALSE), ""Not Found"")"),"s t e k s ")</f>
        <v>s t e k s </v>
      </c>
    </row>
    <row r="3632">
      <c r="A3632" s="1" t="s">
        <v>3633</v>
      </c>
      <c r="B3632" s="1" t="s">
        <v>5</v>
      </c>
      <c r="C3632" s="2">
        <f>IFERROR(__xludf.DUMMYFUNCTION("IFERROR(VLOOKUP(A3632, IMPORTRANGE(""https://docs.google.com/spreadsheets/d/1AVX9GT0dgogEBStecCXMMQ29tWz3gBrtNB8yIromXbY/edit?gid=741673867"", ""out1g!A:B""), 2, FALSE), 0)"),2244.0)</f>
        <v>2244</v>
      </c>
      <c r="D3632" s="2" t="str">
        <f>IFERROR(__xludf.DUMMYFUNCTION("IFERROR(VLOOKUP(A3632, IMPORTRANGE(""https://docs.google.com/spreadsheets/d/1-3Vjw2Cyy-mry5gbC8ypIR3YVGFfEpyFESummAta6sg/edit"", ""Sheet1!B:D""), 2, FALSE), ""Not Found"")"),"mædəm")</f>
        <v>mædəm</v>
      </c>
      <c r="E3632" s="2" t="str">
        <f>IFERROR(__xludf.DUMMYFUNCTION("IFERROR(VLOOKUP(A3632, IMPORTRANGE(""https://docs.google.com/spreadsheets/d/1-3Vjw2Cyy-mry5gbC8ypIR3YVGFfEpyFESummAta6sg/edit"", ""Sheet1!B:D""), 3, FALSE), ""Not Found"")"),"m æ d ə m ")</f>
        <v>m æ d ə m </v>
      </c>
    </row>
    <row r="3633">
      <c r="A3633" s="1" t="s">
        <v>3634</v>
      </c>
      <c r="B3633" s="1" t="s">
        <v>5</v>
      </c>
      <c r="C3633" s="2">
        <f>IFERROR(__xludf.DUMMYFUNCTION("IFERROR(VLOOKUP(A3633, IMPORTRANGE(""https://docs.google.com/spreadsheets/d/1AVX9GT0dgogEBStecCXMMQ29tWz3gBrtNB8yIromXbY/edit?gid=741673867"", ""out1g!A:B""), 2, FALSE), 0)"),49.0)</f>
        <v>49</v>
      </c>
      <c r="D3633" s="2" t="str">
        <f>IFERROR(__xludf.DUMMYFUNCTION("IFERROR(VLOOKUP(A3633, IMPORTRANGE(""https://docs.google.com/spreadsheets/d/1-3Vjw2Cyy-mry5gbC8ypIR3YVGFfEpyFESummAta6sg/edit"", ""Sheet1!B:D""), 2, FALSE), ""Not Found"")"),"aɪərnd")</f>
        <v>aɪərnd</v>
      </c>
      <c r="E3633" s="2" t="str">
        <f>IFERROR(__xludf.DUMMYFUNCTION("IFERROR(VLOOKUP(A3633, IMPORTRANGE(""https://docs.google.com/spreadsheets/d/1-3Vjw2Cyy-mry5gbC8ypIR3YVGFfEpyFESummAta6sg/edit"", ""Sheet1!B:D""), 3, FALSE), ""Not Found"")"),"a ɪ ə r n d ")</f>
        <v>a ɪ ə r n d </v>
      </c>
    </row>
    <row r="3634">
      <c r="A3634" s="1" t="s">
        <v>3635</v>
      </c>
      <c r="B3634" s="1" t="s">
        <v>5</v>
      </c>
      <c r="C3634" s="2">
        <f>IFERROR(__xludf.DUMMYFUNCTION("IFERROR(VLOOKUP(A3634, IMPORTRANGE(""https://docs.google.com/spreadsheets/d/1AVX9GT0dgogEBStecCXMMQ29tWz3gBrtNB8yIromXbY/edit?gid=741673867"", ""out1g!A:B""), 2, FALSE), 0)"),859.0)</f>
        <v>859</v>
      </c>
      <c r="D3634" s="2" t="str">
        <f>IFERROR(__xludf.DUMMYFUNCTION("IFERROR(VLOOKUP(A3634, IMPORTRANGE(""https://docs.google.com/spreadsheets/d/1-3Vjw2Cyy-mry5gbC8ypIR3YVGFfEpyFESummAta6sg/edit"", ""Sheet1!B:D""), 2, FALSE), ""Not Found"")"),"mɛg")</f>
        <v>mɛg</v>
      </c>
      <c r="E3634" s="2" t="str">
        <f>IFERROR(__xludf.DUMMYFUNCTION("IFERROR(VLOOKUP(A3634, IMPORTRANGE(""https://docs.google.com/spreadsheets/d/1-3Vjw2Cyy-mry5gbC8ypIR3YVGFfEpyFESummAta6sg/edit"", ""Sheet1!B:D""), 3, FALSE), ""Not Found"")"),"m ɛ g ")</f>
        <v>m ɛ g </v>
      </c>
    </row>
    <row r="3635">
      <c r="A3635" s="1" t="s">
        <v>3636</v>
      </c>
      <c r="B3635" s="1" t="s">
        <v>5</v>
      </c>
      <c r="C3635" s="2">
        <f>IFERROR(__xludf.DUMMYFUNCTION("IFERROR(VLOOKUP(A3635, IMPORTRANGE(""https://docs.google.com/spreadsheets/d/1AVX9GT0dgogEBStecCXMMQ29tWz3gBrtNB8yIromXbY/edit?gid=741673867"", ""out1g!A:B""), 2, FALSE), 0)"),56.0)</f>
        <v>56</v>
      </c>
      <c r="D3635" s="2" t="str">
        <f>IFERROR(__xludf.DUMMYFUNCTION("IFERROR(VLOOKUP(A3635, IMPORTRANGE(""https://docs.google.com/spreadsheets/d/1-3Vjw2Cyy-mry5gbC8ypIR3YVGFfEpyFESummAta6sg/edit"", ""Sheet1!B:D""), 2, FALSE), ""Not Found"")"),"sɪm")</f>
        <v>sɪm</v>
      </c>
      <c r="E3635" s="2" t="str">
        <f>IFERROR(__xludf.DUMMYFUNCTION("IFERROR(VLOOKUP(A3635, IMPORTRANGE(""https://docs.google.com/spreadsheets/d/1-3Vjw2Cyy-mry5gbC8ypIR3YVGFfEpyFESummAta6sg/edit"", ""Sheet1!B:D""), 3, FALSE), ""Not Found"")"),"s ɪ m ")</f>
        <v>s ɪ m </v>
      </c>
    </row>
    <row r="3636">
      <c r="A3636" s="1" t="s">
        <v>3637</v>
      </c>
      <c r="B3636" s="1" t="s">
        <v>5</v>
      </c>
      <c r="C3636" s="2">
        <f>IFERROR(__xludf.DUMMYFUNCTION("IFERROR(VLOOKUP(A3636, IMPORTRANGE(""https://docs.google.com/spreadsheets/d/1AVX9GT0dgogEBStecCXMMQ29tWz3gBrtNB8yIromXbY/edit?gid=741673867"", ""out1g!A:B""), 2, FALSE), 0)"),21.0)</f>
        <v>21</v>
      </c>
      <c r="D3636" s="2" t="str">
        <f>IFERROR(__xludf.DUMMYFUNCTION("IFERROR(VLOOKUP(A3636, IMPORTRANGE(""https://docs.google.com/spreadsheets/d/1-3Vjw2Cyy-mry5gbC8ypIR3YVGFfEpyFESummAta6sg/edit"", ""Sheet1!B:D""), 2, FALSE), ""Not Found"")"),"noʊl")</f>
        <v>noʊl</v>
      </c>
      <c r="E3636" s="2" t="str">
        <f>IFERROR(__xludf.DUMMYFUNCTION("IFERROR(VLOOKUP(A3636, IMPORTRANGE(""https://docs.google.com/spreadsheets/d/1-3Vjw2Cyy-mry5gbC8ypIR3YVGFfEpyFESummAta6sg/edit"", ""Sheet1!B:D""), 3, FALSE), ""Not Found"")"),"n o ʊ l ")</f>
        <v>n o ʊ l </v>
      </c>
    </row>
    <row r="3637">
      <c r="A3637" s="1" t="s">
        <v>3638</v>
      </c>
      <c r="B3637" s="1" t="s">
        <v>5</v>
      </c>
      <c r="C3637" s="2">
        <f>IFERROR(__xludf.DUMMYFUNCTION("IFERROR(VLOOKUP(A3637, IMPORTRANGE(""https://docs.google.com/spreadsheets/d/1AVX9GT0dgogEBStecCXMMQ29tWz3gBrtNB8yIromXbY/edit?gid=741673867"", ""out1g!A:B""), 2, FALSE), 0)"),379.0)</f>
        <v>379</v>
      </c>
      <c r="D3637" s="2" t="str">
        <f>IFERROR(__xludf.DUMMYFUNCTION("IFERROR(VLOOKUP(A3637, IMPORTRANGE(""https://docs.google.com/spreadsheets/d/1-3Vjw2Cyy-mry5gbC8ypIR3YVGFfEpyFESummAta6sg/edit"", ""Sheet1!B:D""), 2, FALSE), ""Not Found"")"),"aɪəl")</f>
        <v>aɪəl</v>
      </c>
      <c r="E3637" s="2" t="str">
        <f>IFERROR(__xludf.DUMMYFUNCTION("IFERROR(VLOOKUP(A3637, IMPORTRANGE(""https://docs.google.com/spreadsheets/d/1-3Vjw2Cyy-mry5gbC8ypIR3YVGFfEpyFESummAta6sg/edit"", ""Sheet1!B:D""), 3, FALSE), ""Not Found"")"),"a ɪ ə l ")</f>
        <v>a ɪ ə l </v>
      </c>
    </row>
    <row r="3638">
      <c r="A3638" s="1" t="s">
        <v>3639</v>
      </c>
      <c r="B3638" s="1" t="s">
        <v>5</v>
      </c>
      <c r="C3638" s="2">
        <f>IFERROR(__xludf.DUMMYFUNCTION("IFERROR(VLOOKUP(A3638, IMPORTRANGE(""https://docs.google.com/spreadsheets/d/1AVX9GT0dgogEBStecCXMMQ29tWz3gBrtNB8yIromXbY/edit?gid=741673867"", ""out1g!A:B""), 2, FALSE), 0)"),54.0)</f>
        <v>54</v>
      </c>
      <c r="D3638" s="2" t="str">
        <f>IFERROR(__xludf.DUMMYFUNCTION("IFERROR(VLOOKUP(A3638, IMPORTRANGE(""https://docs.google.com/spreadsheets/d/1-3Vjw2Cyy-mry5gbC8ypIR3YVGFfEpyFESummAta6sg/edit"", ""Sheet1!B:D""), 2, FALSE), ""Not Found"")"),"nɑrli")</f>
        <v>nɑrli</v>
      </c>
      <c r="E3638" s="2" t="str">
        <f>IFERROR(__xludf.DUMMYFUNCTION("IFERROR(VLOOKUP(A3638, IMPORTRANGE(""https://docs.google.com/spreadsheets/d/1-3Vjw2Cyy-mry5gbC8ypIR3YVGFfEpyFESummAta6sg/edit"", ""Sheet1!B:D""), 3, FALSE), ""Not Found"")"),"n ɑ r l i ")</f>
        <v>n ɑ r l i </v>
      </c>
    </row>
    <row r="3639">
      <c r="A3639" s="1" t="s">
        <v>3640</v>
      </c>
      <c r="B3639" s="1" t="s">
        <v>5</v>
      </c>
      <c r="C3639" s="2">
        <f>IFERROR(__xludf.DUMMYFUNCTION("IFERROR(VLOOKUP(A3639, IMPORTRANGE(""https://docs.google.com/spreadsheets/d/1AVX9GT0dgogEBStecCXMMQ29tWz3gBrtNB8yIromXbY/edit?gid=741673867"", ""out1g!A:B""), 2, FALSE), 0)"),157.0)</f>
        <v>157</v>
      </c>
      <c r="D3639" s="2" t="str">
        <f>IFERROR(__xludf.DUMMYFUNCTION("IFERROR(VLOOKUP(A3639, IMPORTRANGE(""https://docs.google.com/spreadsheets/d/1-3Vjw2Cyy-mry5gbC8ypIR3YVGFfEpyFESummAta6sg/edit"", ""Sheet1!B:D""), 2, FALSE), ""Not Found"")"),"skwaɪr")</f>
        <v>skwaɪr</v>
      </c>
      <c r="E3639" s="2" t="str">
        <f>IFERROR(__xludf.DUMMYFUNCTION("IFERROR(VLOOKUP(A3639, IMPORTRANGE(""https://docs.google.com/spreadsheets/d/1-3Vjw2Cyy-mry5gbC8ypIR3YVGFfEpyFESummAta6sg/edit"", ""Sheet1!B:D""), 3, FALSE), ""Not Found"")"),"s k w a ɪ r ")</f>
        <v>s k w a ɪ r </v>
      </c>
    </row>
    <row r="3640">
      <c r="A3640" s="1" t="s">
        <v>3641</v>
      </c>
      <c r="B3640" s="1" t="s">
        <v>5</v>
      </c>
      <c r="C3640" s="2">
        <f>IFERROR(__xludf.DUMMYFUNCTION("IFERROR(VLOOKUP(A3640, IMPORTRANGE(""https://docs.google.com/spreadsheets/d/1AVX9GT0dgogEBStecCXMMQ29tWz3gBrtNB8yIromXbY/edit?gid=741673867"", ""out1g!A:B""), 2, FALSE), 0)"),133.0)</f>
        <v>133</v>
      </c>
      <c r="D3640" s="2" t="str">
        <f>IFERROR(__xludf.DUMMYFUNCTION("IFERROR(VLOOKUP(A3640, IMPORTRANGE(""https://docs.google.com/spreadsheets/d/1-3Vjw2Cyy-mry5gbC8ypIR3YVGFfEpyFESummAta6sg/edit"", ""Sheet1!B:D""), 2, FALSE), ""Not Found"")"),"ʤɔz")</f>
        <v>ʤɔz</v>
      </c>
      <c r="E3640" s="2" t="str">
        <f>IFERROR(__xludf.DUMMYFUNCTION("IFERROR(VLOOKUP(A3640, IMPORTRANGE(""https://docs.google.com/spreadsheets/d/1-3Vjw2Cyy-mry5gbC8ypIR3YVGFfEpyFESummAta6sg/edit"", ""Sheet1!B:D""), 3, FALSE), ""Not Found"")"),"ʤ ɔ z ")</f>
        <v>ʤ ɔ z </v>
      </c>
    </row>
    <row r="3641">
      <c r="A3641" s="1" t="s">
        <v>3642</v>
      </c>
      <c r="B3641" s="1" t="s">
        <v>5</v>
      </c>
      <c r="C3641" s="2">
        <f>IFERROR(__xludf.DUMMYFUNCTION("IFERROR(VLOOKUP(A3641, IMPORTRANGE(""https://docs.google.com/spreadsheets/d/1AVX9GT0dgogEBStecCXMMQ29tWz3gBrtNB8yIromXbY/edit?gid=741673867"", ""out1g!A:B""), 2, FALSE), 0)"),67.0)</f>
        <v>67</v>
      </c>
      <c r="D3641" s="2" t="str">
        <f>IFERROR(__xludf.DUMMYFUNCTION("IFERROR(VLOOKUP(A3641, IMPORTRANGE(""https://docs.google.com/spreadsheets/d/1-3Vjw2Cyy-mry5gbC8ypIR3YVGFfEpyFESummAta6sg/edit"", ""Sheet1!B:D""), 2, FALSE), ""Not Found"")"),"əwoʊk")</f>
        <v>əwoʊk</v>
      </c>
      <c r="E3641" s="2" t="str">
        <f>IFERROR(__xludf.DUMMYFUNCTION("IFERROR(VLOOKUP(A3641, IMPORTRANGE(""https://docs.google.com/spreadsheets/d/1-3Vjw2Cyy-mry5gbC8ypIR3YVGFfEpyFESummAta6sg/edit"", ""Sheet1!B:D""), 3, FALSE), ""Not Found"")"),"ə w o ʊ k ")</f>
        <v>ə w o ʊ k </v>
      </c>
    </row>
    <row r="3642">
      <c r="A3642" s="1" t="s">
        <v>3643</v>
      </c>
      <c r="B3642" s="1" t="s">
        <v>5</v>
      </c>
      <c r="C3642" s="2">
        <f>IFERROR(__xludf.DUMMYFUNCTION("IFERROR(VLOOKUP(A3642, IMPORTRANGE(""https://docs.google.com/spreadsheets/d/1AVX9GT0dgogEBStecCXMMQ29tWz3gBrtNB8yIromXbY/edit?gid=741673867"", ""out1g!A:B""), 2, FALSE), 0)"),159.0)</f>
        <v>159</v>
      </c>
      <c r="D3642" s="2" t="str">
        <f>IFERROR(__xludf.DUMMYFUNCTION("IFERROR(VLOOKUP(A3642, IMPORTRANGE(""https://docs.google.com/spreadsheets/d/1-3Vjw2Cyy-mry5gbC8ypIR3YVGFfEpyFESummAta6sg/edit"", ""Sheet1!B:D""), 2, FALSE), ""Not Found"")"),"soʊkt")</f>
        <v>soʊkt</v>
      </c>
      <c r="E3642" s="2" t="str">
        <f>IFERROR(__xludf.DUMMYFUNCTION("IFERROR(VLOOKUP(A3642, IMPORTRANGE(""https://docs.google.com/spreadsheets/d/1-3Vjw2Cyy-mry5gbC8ypIR3YVGFfEpyFESummAta6sg/edit"", ""Sheet1!B:D""), 3, FALSE), ""Not Found"")"),"s o ʊ k t ")</f>
        <v>s o ʊ k t </v>
      </c>
    </row>
    <row r="3643">
      <c r="A3643" s="1" t="s">
        <v>3644</v>
      </c>
      <c r="B3643" s="1" t="s">
        <v>5</v>
      </c>
      <c r="C3643" s="2">
        <f>IFERROR(__xludf.DUMMYFUNCTION("IFERROR(VLOOKUP(A3643, IMPORTRANGE(""https://docs.google.com/spreadsheets/d/1AVX9GT0dgogEBStecCXMMQ29tWz3gBrtNB8yIromXbY/edit?gid=741673867"", ""out1g!A:B""), 2, FALSE), 0)"),86.0)</f>
        <v>86</v>
      </c>
      <c r="D3643" s="2" t="str">
        <f>IFERROR(__xludf.DUMMYFUNCTION("IFERROR(VLOOKUP(A3643, IMPORTRANGE(""https://docs.google.com/spreadsheets/d/1-3Vjw2Cyy-mry5gbC8ypIR3YVGFfEpyFESummAta6sg/edit"", ""Sheet1!B:D""), 2, FALSE), ""Not Found"")"),"spən")</f>
        <v>spən</v>
      </c>
      <c r="E3643" s="2" t="str">
        <f>IFERROR(__xludf.DUMMYFUNCTION("IFERROR(VLOOKUP(A3643, IMPORTRANGE(""https://docs.google.com/spreadsheets/d/1-3Vjw2Cyy-mry5gbC8ypIR3YVGFfEpyFESummAta6sg/edit"", ""Sheet1!B:D""), 3, FALSE), ""Not Found"")"),"s p ə n ")</f>
        <v>s p ə n </v>
      </c>
    </row>
    <row r="3644">
      <c r="A3644" s="1" t="s">
        <v>3645</v>
      </c>
      <c r="B3644" s="1" t="s">
        <v>5</v>
      </c>
      <c r="C3644" s="2">
        <f>IFERROR(__xludf.DUMMYFUNCTION("IFERROR(VLOOKUP(A3644, IMPORTRANGE(""https://docs.google.com/spreadsheets/d/1AVX9GT0dgogEBStecCXMMQ29tWz3gBrtNB8yIromXbY/edit?gid=741673867"", ""out1g!A:B""), 2, FALSE), 0)"),50.0)</f>
        <v>50</v>
      </c>
      <c r="D3644" s="2" t="str">
        <f>IFERROR(__xludf.DUMMYFUNCTION("IFERROR(VLOOKUP(A3644, IMPORTRANGE(""https://docs.google.com/spreadsheets/d/1-3Vjw2Cyy-mry5gbC8ypIR3YVGFfEpyFESummAta6sg/edit"", ""Sheet1!B:D""), 2, FALSE), ""Not Found"")"),"ɛskwaɪr")</f>
        <v>ɛskwaɪr</v>
      </c>
      <c r="E3644" s="2" t="str">
        <f>IFERROR(__xludf.DUMMYFUNCTION("IFERROR(VLOOKUP(A3644, IMPORTRANGE(""https://docs.google.com/spreadsheets/d/1-3Vjw2Cyy-mry5gbC8ypIR3YVGFfEpyFESummAta6sg/edit"", ""Sheet1!B:D""), 3, FALSE), ""Not Found"")"),"ɛ s k w a ɪ r ")</f>
        <v>ɛ s k w a ɪ r </v>
      </c>
    </row>
    <row r="3645">
      <c r="A3645" s="1" t="s">
        <v>3646</v>
      </c>
      <c r="B3645" s="1" t="s">
        <v>5</v>
      </c>
      <c r="C3645" s="2">
        <f>IFERROR(__xludf.DUMMYFUNCTION("IFERROR(VLOOKUP(A3645, IMPORTRANGE(""https://docs.google.com/spreadsheets/d/1AVX9GT0dgogEBStecCXMMQ29tWz3gBrtNB8yIromXbY/edit?gid=741673867"", ""out1g!A:B""), 2, FALSE), 0)"),107.0)</f>
        <v>107</v>
      </c>
      <c r="D3645" s="2" t="str">
        <f>IFERROR(__xludf.DUMMYFUNCTION("IFERROR(VLOOKUP(A3645, IMPORTRANGE(""https://docs.google.com/spreadsheets/d/1-3Vjw2Cyy-mry5gbC8ypIR3YVGFfEpyFESummAta6sg/edit"", ""Sheet1!B:D""), 2, FALSE), ""Not Found"")"),"bərglərz")</f>
        <v>bərglərz</v>
      </c>
      <c r="E3645" s="2" t="str">
        <f>IFERROR(__xludf.DUMMYFUNCTION("IFERROR(VLOOKUP(A3645, IMPORTRANGE(""https://docs.google.com/spreadsheets/d/1-3Vjw2Cyy-mry5gbC8ypIR3YVGFfEpyFESummAta6sg/edit"", ""Sheet1!B:D""), 3, FALSE), ""Not Found"")"),"b ə r g l ə r z ")</f>
        <v>b ə r g l ə r z </v>
      </c>
    </row>
    <row r="3646">
      <c r="A3646" s="1" t="s">
        <v>3647</v>
      </c>
      <c r="B3646" s="1" t="s">
        <v>5</v>
      </c>
      <c r="C3646" s="2">
        <f>IFERROR(__xludf.DUMMYFUNCTION("IFERROR(VLOOKUP(A3646, IMPORTRANGE(""https://docs.google.com/spreadsheets/d/1AVX9GT0dgogEBStecCXMMQ29tWz3gBrtNB8yIromXbY/edit?gid=741673867"", ""out1g!A:B""), 2, FALSE), 0)"),17341.0)</f>
        <v>17341</v>
      </c>
      <c r="D3646" s="2" t="str">
        <f>IFERROR(__xludf.DUMMYFUNCTION("IFERROR(VLOOKUP(A3646, IMPORTRANGE(""https://docs.google.com/spreadsheets/d/1-3Vjw2Cyy-mry5gbC8ypIR3YVGFfEpyFESummAta6sg/edit"", ""Sheet1!B:D""), 2, FALSE), ""Not Found"")"),"kɔld")</f>
        <v>kɔld</v>
      </c>
      <c r="E3646" s="2" t="str">
        <f>IFERROR(__xludf.DUMMYFUNCTION("IFERROR(VLOOKUP(A3646, IMPORTRANGE(""https://docs.google.com/spreadsheets/d/1-3Vjw2Cyy-mry5gbC8ypIR3YVGFfEpyFESummAta6sg/edit"", ""Sheet1!B:D""), 3, FALSE), ""Not Found"")"),"k ɔ l d ")</f>
        <v>k ɔ l d </v>
      </c>
    </row>
    <row r="3647">
      <c r="A3647" s="1" t="s">
        <v>3648</v>
      </c>
      <c r="B3647" s="1" t="s">
        <v>5</v>
      </c>
      <c r="C3647" s="2">
        <f>IFERROR(__xludf.DUMMYFUNCTION("IFERROR(VLOOKUP(A3647, IMPORTRANGE(""https://docs.google.com/spreadsheets/d/1AVX9GT0dgogEBStecCXMMQ29tWz3gBrtNB8yIromXbY/edit?gid=741673867"", ""out1g!A:B""), 2, FALSE), 0)"),291.0)</f>
        <v>291</v>
      </c>
      <c r="D3647" s="2" t="str">
        <f>IFERROR(__xludf.DUMMYFUNCTION("IFERROR(VLOOKUP(A3647, IMPORTRANGE(""https://docs.google.com/spreadsheets/d/1-3Vjw2Cyy-mry5gbC8ypIR3YVGFfEpyFESummAta6sg/edit"", ""Sheet1!B:D""), 2, FALSE), ""Not Found"")"),"brɛt")</f>
        <v>brɛt</v>
      </c>
      <c r="E3647" s="2" t="str">
        <f>IFERROR(__xludf.DUMMYFUNCTION("IFERROR(VLOOKUP(A3647, IMPORTRANGE(""https://docs.google.com/spreadsheets/d/1-3Vjw2Cyy-mry5gbC8ypIR3YVGFfEpyFESummAta6sg/edit"", ""Sheet1!B:D""), 3, FALSE), ""Not Found"")"),"b r ɛ t ")</f>
        <v>b r ɛ t </v>
      </c>
    </row>
    <row r="3648">
      <c r="A3648" s="1" t="s">
        <v>3649</v>
      </c>
      <c r="B3648" s="1" t="s">
        <v>5</v>
      </c>
      <c r="C3648" s="2">
        <f>IFERROR(__xludf.DUMMYFUNCTION("IFERROR(VLOOKUP(A3648, IMPORTRANGE(""https://docs.google.com/spreadsheets/d/1AVX9GT0dgogEBStecCXMMQ29tWz3gBrtNB8yIromXbY/edit?gid=741673867"", ""out1g!A:B""), 2, FALSE), 0)"),1679.0)</f>
        <v>1679</v>
      </c>
      <c r="D3648" s="2" t="str">
        <f>IFERROR(__xludf.DUMMYFUNCTION("IFERROR(VLOOKUP(A3648, IMPORTRANGE(""https://docs.google.com/spreadsheets/d/1-3Vjw2Cyy-mry5gbC8ypIR3YVGFfEpyFESummAta6sg/edit"", ""Sheet1!B:D""), 2, FALSE), ""Not Found"")"),"prɪfər")</f>
        <v>prɪfər</v>
      </c>
      <c r="E3648" s="2" t="str">
        <f>IFERROR(__xludf.DUMMYFUNCTION("IFERROR(VLOOKUP(A3648, IMPORTRANGE(""https://docs.google.com/spreadsheets/d/1-3Vjw2Cyy-mry5gbC8ypIR3YVGFfEpyFESummAta6sg/edit"", ""Sheet1!B:D""), 3, FALSE), ""Not Found"")"),"p r ɪ f ə r ")</f>
        <v>p r ɪ f ə r </v>
      </c>
    </row>
    <row r="3649">
      <c r="A3649" s="1" t="s">
        <v>3650</v>
      </c>
      <c r="B3649" s="1" t="s">
        <v>5</v>
      </c>
      <c r="C3649" s="2">
        <f>IFERROR(__xludf.DUMMYFUNCTION("IFERROR(VLOOKUP(A3649, IMPORTRANGE(""https://docs.google.com/spreadsheets/d/1AVX9GT0dgogEBStecCXMMQ29tWz3gBrtNB8yIromXbY/edit?gid=741673867"", ""out1g!A:B""), 2, FALSE), 0)"),112.0)</f>
        <v>112</v>
      </c>
      <c r="D3649" s="2" t="str">
        <f>IFERROR(__xludf.DUMMYFUNCTION("IFERROR(VLOOKUP(A3649, IMPORTRANGE(""https://docs.google.com/spreadsheets/d/1-3Vjw2Cyy-mry5gbC8ypIR3YVGFfEpyFESummAta6sg/edit"", ""Sheet1!B:D""), 2, FALSE), ""Not Found"")"),"siɛrə")</f>
        <v>siɛrə</v>
      </c>
      <c r="E3649" s="2" t="str">
        <f>IFERROR(__xludf.DUMMYFUNCTION("IFERROR(VLOOKUP(A3649, IMPORTRANGE(""https://docs.google.com/spreadsheets/d/1-3Vjw2Cyy-mry5gbC8ypIR3YVGFfEpyFESummAta6sg/edit"", ""Sheet1!B:D""), 3, FALSE), ""Not Found"")"),"s i ɛ r ə ")</f>
        <v>s i ɛ r ə </v>
      </c>
    </row>
    <row r="3650">
      <c r="A3650" s="1" t="s">
        <v>3651</v>
      </c>
      <c r="B3650" s="1" t="s">
        <v>5</v>
      </c>
      <c r="C3650" s="2">
        <f>IFERROR(__xludf.DUMMYFUNCTION("IFERROR(VLOOKUP(A3650, IMPORTRANGE(""https://docs.google.com/spreadsheets/d/1AVX9GT0dgogEBStecCXMMQ29tWz3gBrtNB8yIromXbY/edit?gid=741673867"", ""out1g!A:B""), 2, FALSE), 0)"),408.0)</f>
        <v>408</v>
      </c>
      <c r="D3650" s="2" t="str">
        <f>IFERROR(__xludf.DUMMYFUNCTION("IFERROR(VLOOKUP(A3650, IMPORTRANGE(""https://docs.google.com/spreadsheets/d/1-3Vjw2Cyy-mry5gbC8ypIR3YVGFfEpyFESummAta6sg/edit"", ""Sheet1!B:D""), 2, FALSE), ""Not Found"")"),"ətækɪŋ")</f>
        <v>ətækɪŋ</v>
      </c>
      <c r="E3650" s="2" t="str">
        <f>IFERROR(__xludf.DUMMYFUNCTION("IFERROR(VLOOKUP(A3650, IMPORTRANGE(""https://docs.google.com/spreadsheets/d/1-3Vjw2Cyy-mry5gbC8ypIR3YVGFfEpyFESummAta6sg/edit"", ""Sheet1!B:D""), 3, FALSE), ""Not Found"")"),"ə t æ k ɪ ŋ ")</f>
        <v>ə t æ k ɪ ŋ </v>
      </c>
    </row>
    <row r="3651">
      <c r="A3651" s="1" t="s">
        <v>3652</v>
      </c>
      <c r="B3651" s="1" t="s">
        <v>5</v>
      </c>
      <c r="C3651" s="2">
        <f>IFERROR(__xludf.DUMMYFUNCTION("IFERROR(VLOOKUP(A3651, IMPORTRANGE(""https://docs.google.com/spreadsheets/d/1AVX9GT0dgogEBStecCXMMQ29tWz3gBrtNB8yIromXbY/edit?gid=741673867"", ""out1g!A:B""), 2, FALSE), 0)"),179.0)</f>
        <v>179</v>
      </c>
      <c r="D3651" s="2" t="str">
        <f>IFERROR(__xludf.DUMMYFUNCTION("IFERROR(VLOOKUP(A3651, IMPORTRANGE(""https://docs.google.com/spreadsheets/d/1-3Vjw2Cyy-mry5gbC8ypIR3YVGFfEpyFESummAta6sg/edit"", ""Sheet1!B:D""), 2, FALSE), ""Not Found"")"),"gæmə")</f>
        <v>gæmə</v>
      </c>
      <c r="E3651" s="2" t="str">
        <f>IFERROR(__xludf.DUMMYFUNCTION("IFERROR(VLOOKUP(A3651, IMPORTRANGE(""https://docs.google.com/spreadsheets/d/1-3Vjw2Cyy-mry5gbC8ypIR3YVGFfEpyFESummAta6sg/edit"", ""Sheet1!B:D""), 3, FALSE), ""Not Found"")"),"g æ m ə ")</f>
        <v>g æ m ə </v>
      </c>
    </row>
    <row r="3652">
      <c r="A3652" s="1" t="s">
        <v>3653</v>
      </c>
      <c r="B3652" s="1" t="s">
        <v>5</v>
      </c>
      <c r="C3652" s="2">
        <f>IFERROR(__xludf.DUMMYFUNCTION("IFERROR(VLOOKUP(A3652, IMPORTRANGE(""https://docs.google.com/spreadsheets/d/1AVX9GT0dgogEBStecCXMMQ29tWz3gBrtNB8yIromXbY/edit?gid=741673867"", ""out1g!A:B""), 2, FALSE), 0)"),223.0)</f>
        <v>223</v>
      </c>
      <c r="D3652" s="2" t="str">
        <f>IFERROR(__xludf.DUMMYFUNCTION("IFERROR(VLOOKUP(A3652, IMPORTRANGE(""https://docs.google.com/spreadsheets/d/1-3Vjw2Cyy-mry5gbC8ypIR3YVGFfEpyFESummAta6sg/edit"", ""Sheet1!B:D""), 2, FALSE), ""Not Found"")"),"tɪkɪŋ")</f>
        <v>tɪkɪŋ</v>
      </c>
      <c r="E3652" s="2" t="str">
        <f>IFERROR(__xludf.DUMMYFUNCTION("IFERROR(VLOOKUP(A3652, IMPORTRANGE(""https://docs.google.com/spreadsheets/d/1-3Vjw2Cyy-mry5gbC8ypIR3YVGFfEpyFESummAta6sg/edit"", ""Sheet1!B:D""), 3, FALSE), ""Not Found"")"),"t ɪ k ɪ ŋ ")</f>
        <v>t ɪ k ɪ ŋ </v>
      </c>
    </row>
    <row r="3653">
      <c r="A3653" s="1" t="s">
        <v>3654</v>
      </c>
      <c r="B3653" s="1" t="s">
        <v>5</v>
      </c>
      <c r="C3653" s="2">
        <f>IFERROR(__xludf.DUMMYFUNCTION("IFERROR(VLOOKUP(A3653, IMPORTRANGE(""https://docs.google.com/spreadsheets/d/1AVX9GT0dgogEBStecCXMMQ29tWz3gBrtNB8yIromXbY/edit?gid=741673867"", ""out1g!A:B""), 2, FALSE), 0)"),1277.0)</f>
        <v>1277</v>
      </c>
      <c r="D3653" s="2" t="str">
        <f>IFERROR(__xludf.DUMMYFUNCTION("IFERROR(VLOOKUP(A3653, IMPORTRANGE(""https://docs.google.com/spreadsheets/d/1-3Vjw2Cyy-mry5gbC8ypIR3YVGFfEpyFESummAta6sg/edit"", ""Sheet1!B:D""), 2, FALSE), ""Not Found"")"),"duk")</f>
        <v>duk</v>
      </c>
      <c r="E3653" s="2" t="str">
        <f>IFERROR(__xludf.DUMMYFUNCTION("IFERROR(VLOOKUP(A3653, IMPORTRANGE(""https://docs.google.com/spreadsheets/d/1-3Vjw2Cyy-mry5gbC8ypIR3YVGFfEpyFESummAta6sg/edit"", ""Sheet1!B:D""), 3, FALSE), ""Not Found"")"),"d u k ")</f>
        <v>d u k </v>
      </c>
    </row>
    <row r="3654">
      <c r="A3654" s="1" t="s">
        <v>3655</v>
      </c>
      <c r="B3654" s="1" t="s">
        <v>5</v>
      </c>
      <c r="C3654" s="2">
        <f>IFERROR(__xludf.DUMMYFUNCTION("IFERROR(VLOOKUP(A3654, IMPORTRANGE(""https://docs.google.com/spreadsheets/d/1AVX9GT0dgogEBStecCXMMQ29tWz3gBrtNB8yIromXbY/edit?gid=741673867"", ""out1g!A:B""), 2, FALSE), 0)"),12044.0)</f>
        <v>12044</v>
      </c>
      <c r="D3654" s="2" t="str">
        <f>IFERROR(__xludf.DUMMYFUNCTION("IFERROR(VLOOKUP(A3654, IMPORTRANGE(""https://docs.google.com/spreadsheets/d/1-3Vjw2Cyy-mry5gbC8ypIR3YVGFfEpyFESummAta6sg/edit"", ""Sheet1!B:D""), 2, FALSE), ""Not Found"")"),"pəlis")</f>
        <v>pəlis</v>
      </c>
      <c r="E3654" s="2" t="str">
        <f>IFERROR(__xludf.DUMMYFUNCTION("IFERROR(VLOOKUP(A3654, IMPORTRANGE(""https://docs.google.com/spreadsheets/d/1-3Vjw2Cyy-mry5gbC8ypIR3YVGFfEpyFESummAta6sg/edit"", ""Sheet1!B:D""), 3, FALSE), ""Not Found"")"),"p ə l i s ")</f>
        <v>p ə l i s </v>
      </c>
    </row>
    <row r="3655">
      <c r="A3655" s="1" t="s">
        <v>3656</v>
      </c>
      <c r="B3655" s="1" t="s">
        <v>5</v>
      </c>
      <c r="C3655" s="2">
        <f>IFERROR(__xludf.DUMMYFUNCTION("IFERROR(VLOOKUP(A3655, IMPORTRANGE(""https://docs.google.com/spreadsheets/d/1AVX9GT0dgogEBStecCXMMQ29tWz3gBrtNB8yIromXbY/edit?gid=741673867"", ""out1g!A:B""), 2, FALSE), 0)"),1510.0)</f>
        <v>1510</v>
      </c>
      <c r="D3655" s="2" t="str">
        <f>IFERROR(__xludf.DUMMYFUNCTION("IFERROR(VLOOKUP(A3655, IMPORTRANGE(""https://docs.google.com/spreadsheets/d/1-3Vjw2Cyy-mry5gbC8ypIR3YVGFfEpyFESummAta6sg/edit"", ""Sheet1!B:D""), 2, FALSE), ""Not Found"")"),"raɪts")</f>
        <v>raɪts</v>
      </c>
      <c r="E3655" s="2" t="str">
        <f>IFERROR(__xludf.DUMMYFUNCTION("IFERROR(VLOOKUP(A3655, IMPORTRANGE(""https://docs.google.com/spreadsheets/d/1-3Vjw2Cyy-mry5gbC8ypIR3YVGFfEpyFESummAta6sg/edit"", ""Sheet1!B:D""), 3, FALSE), ""Not Found"")"),"r a ɪ t s ")</f>
        <v>r a ɪ t s </v>
      </c>
    </row>
    <row r="3656">
      <c r="A3656" s="1" t="s">
        <v>3657</v>
      </c>
      <c r="B3656" s="1" t="s">
        <v>5</v>
      </c>
      <c r="C3656" s="2">
        <f>IFERROR(__xludf.DUMMYFUNCTION("IFERROR(VLOOKUP(A3656, IMPORTRANGE(""https://docs.google.com/spreadsheets/d/1AVX9GT0dgogEBStecCXMMQ29tWz3gBrtNB8yIromXbY/edit?gid=741673867"", ""out1g!A:B""), 2, FALSE), 0)"),647.0)</f>
        <v>647</v>
      </c>
      <c r="D3656" s="2" t="str">
        <f>IFERROR(__xludf.DUMMYFUNCTION("IFERROR(VLOOKUP(A3656, IMPORTRANGE(""https://docs.google.com/spreadsheets/d/1-3Vjw2Cyy-mry5gbC8ypIR3YVGFfEpyFESummAta6sg/edit"", ""Sheet1!B:D""), 2, FALSE), ""Not Found"")"),"ɛt")</f>
        <v>ɛt</v>
      </c>
      <c r="E3656" s="2" t="str">
        <f>IFERROR(__xludf.DUMMYFUNCTION("IFERROR(VLOOKUP(A3656, IMPORTRANGE(""https://docs.google.com/spreadsheets/d/1-3Vjw2Cyy-mry5gbC8ypIR3YVGFfEpyFESummAta6sg/edit"", ""Sheet1!B:D""), 3, FALSE), ""Not Found"")"),"ɛ t ")</f>
        <v>ɛ t </v>
      </c>
    </row>
    <row r="3657">
      <c r="A3657" s="1" t="s">
        <v>3658</v>
      </c>
      <c r="B3657" s="1" t="s">
        <v>5</v>
      </c>
      <c r="C3657" s="2">
        <f>IFERROR(__xludf.DUMMYFUNCTION("IFERROR(VLOOKUP(A3657, IMPORTRANGE(""https://docs.google.com/spreadsheets/d/1AVX9GT0dgogEBStecCXMMQ29tWz3gBrtNB8yIromXbY/edit?gid=741673867"", ""out1g!A:B""), 2, FALSE), 0)"),167.0)</f>
        <v>167</v>
      </c>
      <c r="D3657" s="2" t="str">
        <f>IFERROR(__xludf.DUMMYFUNCTION("IFERROR(VLOOKUP(A3657, IMPORTRANGE(""https://docs.google.com/spreadsheets/d/1-3Vjw2Cyy-mry5gbC8ypIR3YVGFfEpyFESummAta6sg/edit"", ""Sheet1!B:D""), 2, FALSE), ""Not Found"")"),"vəlgər")</f>
        <v>vəlgər</v>
      </c>
      <c r="E3657" s="2" t="str">
        <f>IFERROR(__xludf.DUMMYFUNCTION("IFERROR(VLOOKUP(A3657, IMPORTRANGE(""https://docs.google.com/spreadsheets/d/1-3Vjw2Cyy-mry5gbC8ypIR3YVGFfEpyFESummAta6sg/edit"", ""Sheet1!B:D""), 3, FALSE), ""Not Found"")"),"v ə l g ə r ")</f>
        <v>v ə l g ə r </v>
      </c>
    </row>
    <row r="3658">
      <c r="A3658" s="1" t="s">
        <v>3659</v>
      </c>
      <c r="B3658" s="1" t="s">
        <v>5</v>
      </c>
      <c r="C3658" s="2">
        <f>IFERROR(__xludf.DUMMYFUNCTION("IFERROR(VLOOKUP(A3658, IMPORTRANGE(""https://docs.google.com/spreadsheets/d/1AVX9GT0dgogEBStecCXMMQ29tWz3gBrtNB8yIromXbY/edit?gid=741673867"", ""out1g!A:B""), 2, FALSE), 0)"),17428.0)</f>
        <v>17428</v>
      </c>
      <c r="D3658" s="2" t="str">
        <f>IFERROR(__xludf.DUMMYFUNCTION("IFERROR(VLOOKUP(A3658, IMPORTRANGE(""https://docs.google.com/spreadsheets/d/1-3Vjw2Cyy-mry5gbC8ypIR3YVGFfEpyFESummAta6sg/edit"", ""Sheet1!B:D""), 2, FALSE), ""Not Found"")"),"jɛt")</f>
        <v>jɛt</v>
      </c>
      <c r="E3658" s="2" t="str">
        <f>IFERROR(__xludf.DUMMYFUNCTION("IFERROR(VLOOKUP(A3658, IMPORTRANGE(""https://docs.google.com/spreadsheets/d/1-3Vjw2Cyy-mry5gbC8ypIR3YVGFfEpyFESummAta6sg/edit"", ""Sheet1!B:D""), 3, FALSE), ""Not Found"")"),"j ɛ t ")</f>
        <v>j ɛ t </v>
      </c>
    </row>
    <row r="3659">
      <c r="A3659" s="1" t="s">
        <v>3660</v>
      </c>
      <c r="B3659" s="1" t="s">
        <v>5</v>
      </c>
      <c r="C3659" s="2">
        <f>IFERROR(__xludf.DUMMYFUNCTION("IFERROR(VLOOKUP(A3659, IMPORTRANGE(""https://docs.google.com/spreadsheets/d/1AVX9GT0dgogEBStecCXMMQ29tWz3gBrtNB8yIromXbY/edit?gid=741673867"", ""out1g!A:B""), 2, FALSE), 0)"),13.0)</f>
        <v>13</v>
      </c>
      <c r="D3659" s="2" t="str">
        <f>IFERROR(__xludf.DUMMYFUNCTION("IFERROR(VLOOKUP(A3659, IMPORTRANGE(""https://docs.google.com/spreadsheets/d/1-3Vjw2Cyy-mry5gbC8ypIR3YVGFfEpyFESummAta6sg/edit"", ""Sheet1!B:D""), 2, FALSE), ""Not Found"")"),"dən")</f>
        <v>dən</v>
      </c>
      <c r="E3659" s="2" t="str">
        <f>IFERROR(__xludf.DUMMYFUNCTION("IFERROR(VLOOKUP(A3659, IMPORTRANGE(""https://docs.google.com/spreadsheets/d/1-3Vjw2Cyy-mry5gbC8ypIR3YVGFfEpyFESummAta6sg/edit"", ""Sheet1!B:D""), 3, FALSE), ""Not Found"")"),"d ə n ")</f>
        <v>d ə n </v>
      </c>
    </row>
    <row r="3660">
      <c r="A3660" s="1" t="s">
        <v>3661</v>
      </c>
      <c r="B3660" s="1" t="s">
        <v>5</v>
      </c>
      <c r="C3660" s="2">
        <f>IFERROR(__xludf.DUMMYFUNCTION("IFERROR(VLOOKUP(A3660, IMPORTRANGE(""https://docs.google.com/spreadsheets/d/1AVX9GT0dgogEBStecCXMMQ29tWz3gBrtNB8yIromXbY/edit?gid=741673867"", ""out1g!A:B""), 2, FALSE), 0)"),74.0)</f>
        <v>74</v>
      </c>
      <c r="D3660" s="2" t="str">
        <f>IFERROR(__xludf.DUMMYFUNCTION("IFERROR(VLOOKUP(A3660, IMPORTRANGE(""https://docs.google.com/spreadsheets/d/1-3Vjw2Cyy-mry5gbC8ypIR3YVGFfEpyFESummAta6sg/edit"", ""Sheet1!B:D""), 2, FALSE), ""Not Found"")"),"lʊrd")</f>
        <v>lʊrd</v>
      </c>
      <c r="E3660" s="2" t="str">
        <f>IFERROR(__xludf.DUMMYFUNCTION("IFERROR(VLOOKUP(A3660, IMPORTRANGE(""https://docs.google.com/spreadsheets/d/1-3Vjw2Cyy-mry5gbC8ypIR3YVGFfEpyFESummAta6sg/edit"", ""Sheet1!B:D""), 3, FALSE), ""Not Found"")"),"l ʊ r d ")</f>
        <v>l ʊ r d </v>
      </c>
    </row>
    <row r="3661">
      <c r="A3661" s="1" t="s">
        <v>3662</v>
      </c>
      <c r="B3661" s="1" t="s">
        <v>5</v>
      </c>
      <c r="C3661" s="2">
        <f>IFERROR(__xludf.DUMMYFUNCTION("IFERROR(VLOOKUP(A3661, IMPORTRANGE(""https://docs.google.com/spreadsheets/d/1AVX9GT0dgogEBStecCXMMQ29tWz3gBrtNB8yIromXbY/edit?gid=741673867"", ""out1g!A:B""), 2, FALSE), 0)"),6300.0)</f>
        <v>6300</v>
      </c>
      <c r="D3661" s="2" t="str">
        <f>IFERROR(__xludf.DUMMYFUNCTION("IFERROR(VLOOKUP(A3661, IMPORTRANGE(""https://docs.google.com/spreadsheets/d/1-3Vjw2Cyy-mry5gbC8ypIR3YVGFfEpyFESummAta6sg/edit"", ""Sheet1!B:D""), 2, FALSE), ""Not Found"")"),"noʊn")</f>
        <v>noʊn</v>
      </c>
      <c r="E3661" s="2" t="str">
        <f>IFERROR(__xludf.DUMMYFUNCTION("IFERROR(VLOOKUP(A3661, IMPORTRANGE(""https://docs.google.com/spreadsheets/d/1-3Vjw2Cyy-mry5gbC8ypIR3YVGFfEpyFESummAta6sg/edit"", ""Sheet1!B:D""), 3, FALSE), ""Not Found"")"),"n o ʊ n ")</f>
        <v>n o ʊ n </v>
      </c>
    </row>
    <row r="3662">
      <c r="A3662" s="1" t="s">
        <v>3663</v>
      </c>
      <c r="B3662" s="1" t="s">
        <v>5</v>
      </c>
      <c r="C3662" s="2">
        <f>IFERROR(__xludf.DUMMYFUNCTION("IFERROR(VLOOKUP(A3662, IMPORTRANGE(""https://docs.google.com/spreadsheets/d/1AVX9GT0dgogEBStecCXMMQ29tWz3gBrtNB8yIromXbY/edit?gid=741673867"", ""out1g!A:B""), 2, FALSE), 0)"),53.0)</f>
        <v>53</v>
      </c>
      <c r="D3662" s="2" t="str">
        <f>IFERROR(__xludf.DUMMYFUNCTION("IFERROR(VLOOKUP(A3662, IMPORTRANGE(""https://docs.google.com/spreadsheets/d/1-3Vjw2Cyy-mry5gbC8ypIR3YVGFfEpyFESummAta6sg/edit"", ""Sheet1!B:D""), 2, FALSE), ""Not Found"")"),"kɑli")</f>
        <v>kɑli</v>
      </c>
      <c r="E3662" s="2" t="str">
        <f>IFERROR(__xludf.DUMMYFUNCTION("IFERROR(VLOOKUP(A3662, IMPORTRANGE(""https://docs.google.com/spreadsheets/d/1-3Vjw2Cyy-mry5gbC8ypIR3YVGFfEpyFESummAta6sg/edit"", ""Sheet1!B:D""), 3, FALSE), ""Not Found"")"),"k ɑ l i ")</f>
        <v>k ɑ l i </v>
      </c>
    </row>
    <row r="3663">
      <c r="A3663" s="1" t="s">
        <v>3664</v>
      </c>
      <c r="B3663" s="1" t="s">
        <v>5</v>
      </c>
      <c r="C3663" s="2">
        <f>IFERROR(__xludf.DUMMYFUNCTION("IFERROR(VLOOKUP(A3663, IMPORTRANGE(""https://docs.google.com/spreadsheets/d/1AVX9GT0dgogEBStecCXMMQ29tWz3gBrtNB8yIromXbY/edit?gid=741673867"", ""out1g!A:B""), 2, FALSE), 0)"),168.0)</f>
        <v>168</v>
      </c>
      <c r="D3663" s="2" t="str">
        <f>IFERROR(__xludf.DUMMYFUNCTION("IFERROR(VLOOKUP(A3663, IMPORTRANGE(""https://docs.google.com/spreadsheets/d/1-3Vjw2Cyy-mry5gbC8ypIR3YVGFfEpyFESummAta6sg/edit"", ""Sheet1!B:D""), 2, FALSE), ""Not Found"")"),"nərd")</f>
        <v>nərd</v>
      </c>
      <c r="E3663" s="2" t="str">
        <f>IFERROR(__xludf.DUMMYFUNCTION("IFERROR(VLOOKUP(A3663, IMPORTRANGE(""https://docs.google.com/spreadsheets/d/1-3Vjw2Cyy-mry5gbC8ypIR3YVGFfEpyFESummAta6sg/edit"", ""Sheet1!B:D""), 3, FALSE), ""Not Found"")"),"n ə r d ")</f>
        <v>n ə r d </v>
      </c>
    </row>
    <row r="3664">
      <c r="A3664" s="1" t="s">
        <v>3665</v>
      </c>
      <c r="B3664" s="1" t="s">
        <v>5</v>
      </c>
      <c r="C3664" s="2">
        <f>IFERROR(__xludf.DUMMYFUNCTION("IFERROR(VLOOKUP(A3664, IMPORTRANGE(""https://docs.google.com/spreadsheets/d/1AVX9GT0dgogEBStecCXMMQ29tWz3gBrtNB8yIromXbY/edit?gid=741673867"", ""out1g!A:B""), 2, FALSE), 0)"),49.0)</f>
        <v>49</v>
      </c>
      <c r="D3664" s="2" t="str">
        <f>IFERROR(__xludf.DUMMYFUNCTION("IFERROR(VLOOKUP(A3664, IMPORTRANGE(""https://docs.google.com/spreadsheets/d/1-3Vjw2Cyy-mry5gbC8ypIR3YVGFfEpyFESummAta6sg/edit"", ""Sheet1!B:D""), 2, FALSE), ""Not Found"")"),"ɔɪli")</f>
        <v>ɔɪli</v>
      </c>
      <c r="E3664" s="2" t="str">
        <f>IFERROR(__xludf.DUMMYFUNCTION("IFERROR(VLOOKUP(A3664, IMPORTRANGE(""https://docs.google.com/spreadsheets/d/1-3Vjw2Cyy-mry5gbC8ypIR3YVGFfEpyFESummAta6sg/edit"", ""Sheet1!B:D""), 3, FALSE), ""Not Found"")"),"ɔ ɪ l i ")</f>
        <v>ɔ ɪ l i </v>
      </c>
    </row>
    <row r="3665">
      <c r="A3665" s="1" t="s">
        <v>3666</v>
      </c>
      <c r="B3665" s="1" t="s">
        <v>5</v>
      </c>
      <c r="C3665" s="2">
        <f>IFERROR(__xludf.DUMMYFUNCTION("IFERROR(VLOOKUP(A3665, IMPORTRANGE(""https://docs.google.com/spreadsheets/d/1AVX9GT0dgogEBStecCXMMQ29tWz3gBrtNB8yIromXbY/edit?gid=741673867"", ""out1g!A:B""), 2, FALSE), 0)"),72.0)</f>
        <v>72</v>
      </c>
      <c r="D3665" s="2" t="str">
        <f>IFERROR(__xludf.DUMMYFUNCTION("IFERROR(VLOOKUP(A3665, IMPORTRANGE(""https://docs.google.com/spreadsheets/d/1-3Vjw2Cyy-mry5gbC8ypIR3YVGFfEpyFESummAta6sg/edit"", ""Sheet1!B:D""), 2, FALSE), ""Not Found"")"),"jɪpi")</f>
        <v>jɪpi</v>
      </c>
      <c r="E3665" s="2" t="str">
        <f>IFERROR(__xludf.DUMMYFUNCTION("IFERROR(VLOOKUP(A3665, IMPORTRANGE(""https://docs.google.com/spreadsheets/d/1-3Vjw2Cyy-mry5gbC8ypIR3YVGFfEpyFESummAta6sg/edit"", ""Sheet1!B:D""), 3, FALSE), ""Not Found"")"),"j ɪ p i ")</f>
        <v>j ɪ p i </v>
      </c>
    </row>
    <row r="3666">
      <c r="A3666" s="1" t="s">
        <v>3667</v>
      </c>
      <c r="B3666" s="1" t="s">
        <v>5</v>
      </c>
      <c r="C3666" s="2">
        <f>IFERROR(__xludf.DUMMYFUNCTION("IFERROR(VLOOKUP(A3666, IMPORTRANGE(""https://docs.google.com/spreadsheets/d/1AVX9GT0dgogEBStecCXMMQ29tWz3gBrtNB8yIromXbY/edit?gid=741673867"", ""out1g!A:B""), 2, FALSE), 0)"),81.0)</f>
        <v>81</v>
      </c>
      <c r="D3666" s="2" t="str">
        <f>IFERROR(__xludf.DUMMYFUNCTION("IFERROR(VLOOKUP(A3666, IMPORTRANGE(""https://docs.google.com/spreadsheets/d/1-3Vjw2Cyy-mry5gbC8ypIR3YVGFfEpyFESummAta6sg/edit"", ""Sheet1!B:D""), 2, FALSE), ""Not Found"")"),"grænɪt")</f>
        <v>grænɪt</v>
      </c>
      <c r="E3666" s="2" t="str">
        <f>IFERROR(__xludf.DUMMYFUNCTION("IFERROR(VLOOKUP(A3666, IMPORTRANGE(""https://docs.google.com/spreadsheets/d/1-3Vjw2Cyy-mry5gbC8ypIR3YVGFfEpyFESummAta6sg/edit"", ""Sheet1!B:D""), 3, FALSE), ""Not Found"")"),"g r æ n ɪ t ")</f>
        <v>g r æ n ɪ t </v>
      </c>
    </row>
    <row r="3667">
      <c r="A3667" s="1" t="s">
        <v>3668</v>
      </c>
      <c r="B3667" s="1" t="s">
        <v>5</v>
      </c>
      <c r="C3667" s="2">
        <f>IFERROR(__xludf.DUMMYFUNCTION("IFERROR(VLOOKUP(A3667, IMPORTRANGE(""https://docs.google.com/spreadsheets/d/1AVX9GT0dgogEBStecCXMMQ29tWz3gBrtNB8yIromXbY/edit?gid=741673867"", ""out1g!A:B""), 2, FALSE), 0)"),109.0)</f>
        <v>109</v>
      </c>
      <c r="D3667" s="2" t="str">
        <f>IFERROR(__xludf.DUMMYFUNCTION("IFERROR(VLOOKUP(A3667, IMPORTRANGE(""https://docs.google.com/spreadsheets/d/1-3Vjw2Cyy-mry5gbC8ypIR3YVGFfEpyFESummAta6sg/edit"", ""Sheet1!B:D""), 2, FALSE), ""Not Found"")"),"hɔlɪŋ")</f>
        <v>hɔlɪŋ</v>
      </c>
      <c r="E3667" s="2" t="str">
        <f>IFERROR(__xludf.DUMMYFUNCTION("IFERROR(VLOOKUP(A3667, IMPORTRANGE(""https://docs.google.com/spreadsheets/d/1-3Vjw2Cyy-mry5gbC8ypIR3YVGFfEpyFESummAta6sg/edit"", ""Sheet1!B:D""), 3, FALSE), ""Not Found"")"),"h ɔ l ɪ ŋ ")</f>
        <v>h ɔ l ɪ ŋ </v>
      </c>
    </row>
    <row r="3668">
      <c r="A3668" s="1" t="s">
        <v>3669</v>
      </c>
      <c r="B3668" s="1" t="s">
        <v>5</v>
      </c>
      <c r="C3668" s="2">
        <f>IFERROR(__xludf.DUMMYFUNCTION("IFERROR(VLOOKUP(A3668, IMPORTRANGE(""https://docs.google.com/spreadsheets/d/1AVX9GT0dgogEBStecCXMMQ29tWz3gBrtNB8yIromXbY/edit?gid=741673867"", ""out1g!A:B""), 2, FALSE), 0)"),2281.0)</f>
        <v>2281</v>
      </c>
      <c r="D3668" s="2" t="str">
        <f>IFERROR(__xludf.DUMMYFUNCTION("IFERROR(VLOOKUP(A3668, IMPORTRANGE(""https://docs.google.com/spreadsheets/d/1-3Vjw2Cyy-mry5gbC8ypIR3YVGFfEpyFESummAta6sg/edit"", ""Sheet1!B:D""), 2, FALSE), ""Not Found"")"),"sɪŋɪŋ")</f>
        <v>sɪŋɪŋ</v>
      </c>
      <c r="E3668" s="2" t="str">
        <f>IFERROR(__xludf.DUMMYFUNCTION("IFERROR(VLOOKUP(A3668, IMPORTRANGE(""https://docs.google.com/spreadsheets/d/1-3Vjw2Cyy-mry5gbC8ypIR3YVGFfEpyFESummAta6sg/edit"", ""Sheet1!B:D""), 3, FALSE), ""Not Found"")"),"s ɪ ŋ ɪ ŋ ")</f>
        <v>s ɪ ŋ ɪ ŋ </v>
      </c>
    </row>
    <row r="3669">
      <c r="A3669" s="1" t="s">
        <v>3670</v>
      </c>
      <c r="B3669" s="1" t="s">
        <v>5</v>
      </c>
      <c r="C3669" s="2">
        <f>IFERROR(__xludf.DUMMYFUNCTION("IFERROR(VLOOKUP(A3669, IMPORTRANGE(""https://docs.google.com/spreadsheets/d/1AVX9GT0dgogEBStecCXMMQ29tWz3gBrtNB8yIromXbY/edit?gid=741673867"", ""out1g!A:B""), 2, FALSE), 0)"),23.0)</f>
        <v>23</v>
      </c>
      <c r="D3669" s="2" t="str">
        <f>IFERROR(__xludf.DUMMYFUNCTION("IFERROR(VLOOKUP(A3669, IMPORTRANGE(""https://docs.google.com/spreadsheets/d/1-3Vjw2Cyy-mry5gbC8ypIR3YVGFfEpyFESummAta6sg/edit"", ""Sheet1!B:D""), 2, FALSE), ""Not Found"")"),"gruɪl")</f>
        <v>gruɪl</v>
      </c>
      <c r="E3669" s="2" t="str">
        <f>IFERROR(__xludf.DUMMYFUNCTION("IFERROR(VLOOKUP(A3669, IMPORTRANGE(""https://docs.google.com/spreadsheets/d/1-3Vjw2Cyy-mry5gbC8ypIR3YVGFfEpyFESummAta6sg/edit"", ""Sheet1!B:D""), 3, FALSE), ""Not Found"")"),"g r u ɪ l ")</f>
        <v>g r u ɪ l </v>
      </c>
    </row>
    <row r="3670">
      <c r="A3670" s="1" t="s">
        <v>3671</v>
      </c>
      <c r="B3670" s="1" t="s">
        <v>5</v>
      </c>
      <c r="C3670" s="2">
        <f>IFERROR(__xludf.DUMMYFUNCTION("IFERROR(VLOOKUP(A3670, IMPORTRANGE(""https://docs.google.com/spreadsheets/d/1AVX9GT0dgogEBStecCXMMQ29tWz3gBrtNB8yIromXbY/edit?gid=741673867"", ""out1g!A:B""), 2, FALSE), 0)"),88089.0)</f>
        <v>88089</v>
      </c>
      <c r="D3670" s="2" t="str">
        <f>IFERROR(__xludf.DUMMYFUNCTION("IFERROR(VLOOKUP(A3670, IMPORTRANGE(""https://docs.google.com/spreadsheets/d/1-3Vjw2Cyy-mry5gbC8ypIR3YVGFfEpyFESummAta6sg/edit"", ""Sheet1!B:D""), 2, FALSE), ""Not Found"")"),"səm")</f>
        <v>səm</v>
      </c>
      <c r="E3670" s="2" t="str">
        <f>IFERROR(__xludf.DUMMYFUNCTION("IFERROR(VLOOKUP(A3670, IMPORTRANGE(""https://docs.google.com/spreadsheets/d/1-3Vjw2Cyy-mry5gbC8ypIR3YVGFfEpyFESummAta6sg/edit"", ""Sheet1!B:D""), 3, FALSE), ""Not Found"")"),"s ə m ")</f>
        <v>s ə m </v>
      </c>
    </row>
    <row r="3671">
      <c r="A3671" s="1" t="s">
        <v>3672</v>
      </c>
      <c r="B3671" s="1" t="s">
        <v>5</v>
      </c>
      <c r="C3671" s="2">
        <f>IFERROR(__xludf.DUMMYFUNCTION("IFERROR(VLOOKUP(A3671, IMPORTRANGE(""https://docs.google.com/spreadsheets/d/1AVX9GT0dgogEBStecCXMMQ29tWz3gBrtNB8yIromXbY/edit?gid=741673867"", ""out1g!A:B""), 2, FALSE), 0)"),662.0)</f>
        <v>662</v>
      </c>
      <c r="D3671" s="2" t="str">
        <f>IFERROR(__xludf.DUMMYFUNCTION("IFERROR(VLOOKUP(A3671, IMPORTRANGE(""https://docs.google.com/spreadsheets/d/1-3Vjw2Cyy-mry5gbC8ypIR3YVGFfEpyFESummAta6sg/edit"", ""Sheet1!B:D""), 2, FALSE), ""Not Found"")"),"bərnərd")</f>
        <v>bərnərd</v>
      </c>
      <c r="E3671" s="2" t="str">
        <f>IFERROR(__xludf.DUMMYFUNCTION("IFERROR(VLOOKUP(A3671, IMPORTRANGE(""https://docs.google.com/spreadsheets/d/1-3Vjw2Cyy-mry5gbC8ypIR3YVGFfEpyFESummAta6sg/edit"", ""Sheet1!B:D""), 3, FALSE), ""Not Found"")"),"b ə r n ə r d ")</f>
        <v>b ə r n ə r d </v>
      </c>
    </row>
    <row r="3672">
      <c r="A3672" s="1" t="s">
        <v>3673</v>
      </c>
      <c r="B3672" s="1" t="s">
        <v>5</v>
      </c>
      <c r="C3672" s="2">
        <f>IFERROR(__xludf.DUMMYFUNCTION("IFERROR(VLOOKUP(A3672, IMPORTRANGE(""https://docs.google.com/spreadsheets/d/1AVX9GT0dgogEBStecCXMMQ29tWz3gBrtNB8yIromXbY/edit?gid=741673867"", ""out1g!A:B""), 2, FALSE), 0)"),3290.0)</f>
        <v>3290</v>
      </c>
      <c r="D3672" s="2" t="str">
        <f>IFERROR(__xludf.DUMMYFUNCTION("IFERROR(VLOOKUP(A3672, IMPORTRANGE(""https://docs.google.com/spreadsheets/d/1-3Vjw2Cyy-mry5gbC8ypIR3YVGFfEpyFESummAta6sg/edit"", ""Sheet1!B:D""), 2, FALSE), ""Not Found"")"),"gɪft")</f>
        <v>gɪft</v>
      </c>
      <c r="E3672" s="2" t="str">
        <f>IFERROR(__xludf.DUMMYFUNCTION("IFERROR(VLOOKUP(A3672, IMPORTRANGE(""https://docs.google.com/spreadsheets/d/1-3Vjw2Cyy-mry5gbC8ypIR3YVGFfEpyFESummAta6sg/edit"", ""Sheet1!B:D""), 3, FALSE), ""Not Found"")"),"g ɪ f t ")</f>
        <v>g ɪ f t </v>
      </c>
    </row>
    <row r="3673">
      <c r="A3673" s="1" t="s">
        <v>3674</v>
      </c>
      <c r="B3673" s="1" t="s">
        <v>5</v>
      </c>
      <c r="C3673" s="2">
        <f>IFERROR(__xludf.DUMMYFUNCTION("IFERROR(VLOOKUP(A3673, IMPORTRANGE(""https://docs.google.com/spreadsheets/d/1AVX9GT0dgogEBStecCXMMQ29tWz3gBrtNB8yIromXbY/edit?gid=741673867"", ""out1g!A:B""), 2, FALSE), 0)"),50.0)</f>
        <v>50</v>
      </c>
      <c r="D3673" s="2" t="str">
        <f>IFERROR(__xludf.DUMMYFUNCTION("IFERROR(VLOOKUP(A3673, IMPORTRANGE(""https://docs.google.com/spreadsheets/d/1-3Vjw2Cyy-mry5gbC8ypIR3YVGFfEpyFESummAta6sg/edit"", ""Sheet1!B:D""), 2, FALSE), ""Not Found"")"),"pərʧ")</f>
        <v>pərʧ</v>
      </c>
      <c r="E3673" s="2" t="str">
        <f>IFERROR(__xludf.DUMMYFUNCTION("IFERROR(VLOOKUP(A3673, IMPORTRANGE(""https://docs.google.com/spreadsheets/d/1-3Vjw2Cyy-mry5gbC8ypIR3YVGFfEpyFESummAta6sg/edit"", ""Sheet1!B:D""), 3, FALSE), ""Not Found"")"),"p ə r ʧ ")</f>
        <v>p ə r ʧ </v>
      </c>
    </row>
    <row r="3674">
      <c r="A3674" s="1" t="s">
        <v>3675</v>
      </c>
      <c r="B3674" s="1" t="s">
        <v>5</v>
      </c>
      <c r="C3674" s="2">
        <f>IFERROR(__xludf.DUMMYFUNCTION("IFERROR(VLOOKUP(A3674, IMPORTRANGE(""https://docs.google.com/spreadsheets/d/1AVX9GT0dgogEBStecCXMMQ29tWz3gBrtNB8yIromXbY/edit?gid=741673867"", ""out1g!A:B""), 2, FALSE), 0)"),81.0)</f>
        <v>81</v>
      </c>
      <c r="D3674" s="2" t="str">
        <f>IFERROR(__xludf.DUMMYFUNCTION("IFERROR(VLOOKUP(A3674, IMPORTRANGE(""https://docs.google.com/spreadsheets/d/1-3Vjw2Cyy-mry5gbC8ypIR3YVGFfEpyFESummAta6sg/edit"", ""Sheet1!B:D""), 2, FALSE), ""Not Found"")"),"pɪlər")</f>
        <v>pɪlər</v>
      </c>
      <c r="E3674" s="2" t="str">
        <f>IFERROR(__xludf.DUMMYFUNCTION("IFERROR(VLOOKUP(A3674, IMPORTRANGE(""https://docs.google.com/spreadsheets/d/1-3Vjw2Cyy-mry5gbC8ypIR3YVGFfEpyFESummAta6sg/edit"", ""Sheet1!B:D""), 3, FALSE), ""Not Found"")"),"p ɪ l ə r ")</f>
        <v>p ɪ l ə r </v>
      </c>
    </row>
    <row r="3675">
      <c r="A3675" s="1" t="s">
        <v>3676</v>
      </c>
      <c r="B3675" s="1" t="s">
        <v>5</v>
      </c>
      <c r="C3675" s="2">
        <f>IFERROR(__xludf.DUMMYFUNCTION("IFERROR(VLOOKUP(A3675, IMPORTRANGE(""https://docs.google.com/spreadsheets/d/1AVX9GT0dgogEBStecCXMMQ29tWz3gBrtNB8yIromXbY/edit?gid=741673867"", ""out1g!A:B""), 2, FALSE), 0)"),238.0)</f>
        <v>238</v>
      </c>
      <c r="D3675" s="2" t="str">
        <f>IFERROR(__xludf.DUMMYFUNCTION("IFERROR(VLOOKUP(A3675, IMPORTRANGE(""https://docs.google.com/spreadsheets/d/1-3Vjw2Cyy-mry5gbC8ypIR3YVGFfEpyFESummAta6sg/edit"", ""Sheet1!B:D""), 2, FALSE), ""Not Found"")"),"bloʊk")</f>
        <v>bloʊk</v>
      </c>
      <c r="E3675" s="2" t="str">
        <f>IFERROR(__xludf.DUMMYFUNCTION("IFERROR(VLOOKUP(A3675, IMPORTRANGE(""https://docs.google.com/spreadsheets/d/1-3Vjw2Cyy-mry5gbC8ypIR3YVGFfEpyFESummAta6sg/edit"", ""Sheet1!B:D""), 3, FALSE), ""Not Found"")"),"b l o ʊ k ")</f>
        <v>b l o ʊ k </v>
      </c>
    </row>
    <row r="3676">
      <c r="A3676" s="1" t="s">
        <v>3677</v>
      </c>
      <c r="B3676" s="1" t="s">
        <v>5</v>
      </c>
      <c r="C3676" s="2">
        <f>IFERROR(__xludf.DUMMYFUNCTION("IFERROR(VLOOKUP(A3676, IMPORTRANGE(""https://docs.google.com/spreadsheets/d/1AVX9GT0dgogEBStecCXMMQ29tWz3gBrtNB8yIromXbY/edit?gid=741673867"", ""out1g!A:B""), 2, FALSE), 0)"),57.0)</f>
        <v>57</v>
      </c>
      <c r="D3676" s="2" t="str">
        <f>IFERROR(__xludf.DUMMYFUNCTION("IFERROR(VLOOKUP(A3676, IMPORTRANGE(""https://docs.google.com/spreadsheets/d/1-3Vjw2Cyy-mry5gbC8ypIR3YVGFfEpyFESummAta6sg/edit"", ""Sheet1!B:D""), 2, FALSE), ""Not Found"")"),"aɪ")</f>
        <v>aɪ</v>
      </c>
      <c r="E3676" s="2" t="str">
        <f>IFERROR(__xludf.DUMMYFUNCTION("IFERROR(VLOOKUP(A3676, IMPORTRANGE(""https://docs.google.com/spreadsheets/d/1-3Vjw2Cyy-mry5gbC8ypIR3YVGFfEpyFESummAta6sg/edit"", ""Sheet1!B:D""), 3, FALSE), ""Not Found"")"),"a ɪ ")</f>
        <v>a ɪ </v>
      </c>
    </row>
    <row r="3677">
      <c r="A3677" s="1" t="s">
        <v>3678</v>
      </c>
      <c r="B3677" s="1" t="s">
        <v>5</v>
      </c>
      <c r="C3677" s="2">
        <f>IFERROR(__xludf.DUMMYFUNCTION("IFERROR(VLOOKUP(A3677, IMPORTRANGE(""https://docs.google.com/spreadsheets/d/1AVX9GT0dgogEBStecCXMMQ29tWz3gBrtNB8yIromXbY/edit?gid=741673867"", ""out1g!A:B""), 2, FALSE), 0)"),22415.0)</f>
        <v>22415</v>
      </c>
      <c r="D3677" s="2" t="str">
        <f>IFERROR(__xludf.DUMMYFUNCTION("IFERROR(VLOOKUP(A3677, IMPORTRANGE(""https://docs.google.com/spreadsheets/d/1-3Vjw2Cyy-mry5gbC8ypIR3YVGFfEpyFESummAta6sg/edit"", ""Sheet1!B:D""), 2, FALSE), ""Not Found"")"),"rum")</f>
        <v>rum</v>
      </c>
      <c r="E3677" s="2" t="str">
        <f>IFERROR(__xludf.DUMMYFUNCTION("IFERROR(VLOOKUP(A3677, IMPORTRANGE(""https://docs.google.com/spreadsheets/d/1-3Vjw2Cyy-mry5gbC8ypIR3YVGFfEpyFESummAta6sg/edit"", ""Sheet1!B:D""), 3, FALSE), ""Not Found"")"),"r u m ")</f>
        <v>r u m </v>
      </c>
    </row>
    <row r="3678">
      <c r="A3678" s="1" t="s">
        <v>3679</v>
      </c>
      <c r="B3678" s="1" t="s">
        <v>5</v>
      </c>
      <c r="C3678" s="2">
        <f>IFERROR(__xludf.DUMMYFUNCTION("IFERROR(VLOOKUP(A3678, IMPORTRANGE(""https://docs.google.com/spreadsheets/d/1AVX9GT0dgogEBStecCXMMQ29tWz3gBrtNB8yIromXbY/edit?gid=741673867"", ""out1g!A:B""), 2, FALSE), 0)"),708.0)</f>
        <v>708</v>
      </c>
      <c r="D3678" s="2" t="str">
        <f>IFERROR(__xludf.DUMMYFUNCTION("IFERROR(VLOOKUP(A3678, IMPORTRANGE(""https://docs.google.com/spreadsheets/d/1-3Vjw2Cyy-mry5gbC8ypIR3YVGFfEpyFESummAta6sg/edit"", ""Sheet1!B:D""), 2, FALSE), ""Not Found"")"),"tæg")</f>
        <v>tæg</v>
      </c>
      <c r="E3678" s="2" t="str">
        <f>IFERROR(__xludf.DUMMYFUNCTION("IFERROR(VLOOKUP(A3678, IMPORTRANGE(""https://docs.google.com/spreadsheets/d/1-3Vjw2Cyy-mry5gbC8ypIR3YVGFfEpyFESummAta6sg/edit"", ""Sheet1!B:D""), 3, FALSE), ""Not Found"")"),"t æ g ")</f>
        <v>t æ g </v>
      </c>
    </row>
    <row r="3679">
      <c r="A3679" s="1" t="s">
        <v>3680</v>
      </c>
      <c r="B3679" s="1" t="s">
        <v>5</v>
      </c>
      <c r="C3679" s="2">
        <f>IFERROR(__xludf.DUMMYFUNCTION("IFERROR(VLOOKUP(A3679, IMPORTRANGE(""https://docs.google.com/spreadsheets/d/1AVX9GT0dgogEBStecCXMMQ29tWz3gBrtNB8yIromXbY/edit?gid=741673867"", ""out1g!A:B""), 2, FALSE), 0)"),64.0)</f>
        <v>64</v>
      </c>
      <c r="D3679" s="2" t="str">
        <f>IFERROR(__xludf.DUMMYFUNCTION("IFERROR(VLOOKUP(A3679, IMPORTRANGE(""https://docs.google.com/spreadsheets/d/1-3Vjw2Cyy-mry5gbC8ypIR3YVGFfEpyFESummAta6sg/edit"", ""Sheet1!B:D""), 2, FALSE), ""Not Found"")"),"krim")</f>
        <v>krim</v>
      </c>
      <c r="E3679" s="2" t="str">
        <f>IFERROR(__xludf.DUMMYFUNCTION("IFERROR(VLOOKUP(A3679, IMPORTRANGE(""https://docs.google.com/spreadsheets/d/1-3Vjw2Cyy-mry5gbC8ypIR3YVGFfEpyFESummAta6sg/edit"", ""Sheet1!B:D""), 3, FALSE), ""Not Found"")"),"k r i m ")</f>
        <v>k r i m </v>
      </c>
    </row>
    <row r="3680">
      <c r="A3680" s="1" t="s">
        <v>3681</v>
      </c>
      <c r="B3680" s="1" t="s">
        <v>5</v>
      </c>
      <c r="C3680" s="2">
        <f>IFERROR(__xludf.DUMMYFUNCTION("IFERROR(VLOOKUP(A3680, IMPORTRANGE(""https://docs.google.com/spreadsheets/d/1AVX9GT0dgogEBStecCXMMQ29tWz3gBrtNB8yIromXbY/edit?gid=741673867"", ""out1g!A:B""), 2, FALSE), 0)"),56.0)</f>
        <v>56</v>
      </c>
      <c r="D3680" s="2" t="str">
        <f>IFERROR(__xludf.DUMMYFUNCTION("IFERROR(VLOOKUP(A3680, IMPORTRANGE(""https://docs.google.com/spreadsheets/d/1-3Vjw2Cyy-mry5gbC8ypIR3YVGFfEpyFESummAta6sg/edit"", ""Sheet1!B:D""), 2, FALSE), ""Not Found"")"),"rɪzaɪd")</f>
        <v>rɪzaɪd</v>
      </c>
      <c r="E3680" s="2" t="str">
        <f>IFERROR(__xludf.DUMMYFUNCTION("IFERROR(VLOOKUP(A3680, IMPORTRANGE(""https://docs.google.com/spreadsheets/d/1-3Vjw2Cyy-mry5gbC8ypIR3YVGFfEpyFESummAta6sg/edit"", ""Sheet1!B:D""), 3, FALSE), ""Not Found"")"),"r ɪ z a ɪ d ")</f>
        <v>r ɪ z a ɪ d </v>
      </c>
    </row>
    <row r="3681">
      <c r="A3681" s="1" t="s">
        <v>3682</v>
      </c>
      <c r="B3681" s="1" t="s">
        <v>5</v>
      </c>
      <c r="C3681" s="2">
        <f>IFERROR(__xludf.DUMMYFUNCTION("IFERROR(VLOOKUP(A3681, IMPORTRANGE(""https://docs.google.com/spreadsheets/d/1AVX9GT0dgogEBStecCXMMQ29tWz3gBrtNB8yIromXbY/edit?gid=741673867"", ""out1g!A:B""), 2, FALSE), 0)"),209.0)</f>
        <v>209</v>
      </c>
      <c r="D3681" s="2" t="str">
        <f>IFERROR(__xludf.DUMMYFUNCTION("IFERROR(VLOOKUP(A3681, IMPORTRANGE(""https://docs.google.com/spreadsheets/d/1-3Vjw2Cyy-mry5gbC8ypIR3YVGFfEpyFESummAta6sg/edit"", ""Sheet1!B:D""), 2, FALSE), ""Not Found"")"),"rets")</f>
        <v>rets</v>
      </c>
      <c r="E3681" s="2" t="str">
        <f>IFERROR(__xludf.DUMMYFUNCTION("IFERROR(VLOOKUP(A3681, IMPORTRANGE(""https://docs.google.com/spreadsheets/d/1-3Vjw2Cyy-mry5gbC8ypIR3YVGFfEpyFESummAta6sg/edit"", ""Sheet1!B:D""), 3, FALSE), ""Not Found"")"),"r e t s ")</f>
        <v>r e t s </v>
      </c>
    </row>
    <row r="3682">
      <c r="A3682" s="1" t="s">
        <v>3683</v>
      </c>
      <c r="B3682" s="1" t="s">
        <v>5</v>
      </c>
      <c r="C3682" s="2">
        <f>IFERROR(__xludf.DUMMYFUNCTION("IFERROR(VLOOKUP(A3682, IMPORTRANGE(""https://docs.google.com/spreadsheets/d/1AVX9GT0dgogEBStecCXMMQ29tWz3gBrtNB8yIromXbY/edit?gid=741673867"", ""out1g!A:B""), 2, FALSE), 0)"),70.0)</f>
        <v>70</v>
      </c>
      <c r="D3682" s="2" t="str">
        <f>IFERROR(__xludf.DUMMYFUNCTION("IFERROR(VLOOKUP(A3682, IMPORTRANGE(""https://docs.google.com/spreadsheets/d/1-3Vjw2Cyy-mry5gbC8ypIR3YVGFfEpyFESummAta6sg/edit"", ""Sheet1!B:D""), 2, FALSE), ""Not Found"")"),"berut")</f>
        <v>berut</v>
      </c>
      <c r="E3682" s="2" t="str">
        <f>IFERROR(__xludf.DUMMYFUNCTION("IFERROR(VLOOKUP(A3682, IMPORTRANGE(""https://docs.google.com/spreadsheets/d/1-3Vjw2Cyy-mry5gbC8ypIR3YVGFfEpyFESummAta6sg/edit"", ""Sheet1!B:D""), 3, FALSE), ""Not Found"")"),"b e r u t ")</f>
        <v>b e r u t </v>
      </c>
    </row>
    <row r="3683">
      <c r="A3683" s="1" t="s">
        <v>3684</v>
      </c>
      <c r="B3683" s="1" t="s">
        <v>5</v>
      </c>
      <c r="C3683" s="2">
        <f>IFERROR(__xludf.DUMMYFUNCTION("IFERROR(VLOOKUP(A3683, IMPORTRANGE(""https://docs.google.com/spreadsheets/d/1AVX9GT0dgogEBStecCXMMQ29tWz3gBrtNB8yIromXbY/edit?gid=741673867"", ""out1g!A:B""), 2, FALSE), 0)"),67.0)</f>
        <v>67</v>
      </c>
      <c r="D3683" s="2" t="str">
        <f>IFERROR(__xludf.DUMMYFUNCTION("IFERROR(VLOOKUP(A3683, IMPORTRANGE(""https://docs.google.com/spreadsheets/d/1-3Vjw2Cyy-mry5gbC8ypIR3YVGFfEpyFESummAta6sg/edit"", ""Sheet1!B:D""), 2, FALSE), ""Not Found"")"),"twɑt")</f>
        <v>twɑt</v>
      </c>
      <c r="E3683" s="2" t="str">
        <f>IFERROR(__xludf.DUMMYFUNCTION("IFERROR(VLOOKUP(A3683, IMPORTRANGE(""https://docs.google.com/spreadsheets/d/1-3Vjw2Cyy-mry5gbC8ypIR3YVGFfEpyFESummAta6sg/edit"", ""Sheet1!B:D""), 3, FALSE), ""Not Found"")"),"t w ɑ t ")</f>
        <v>t w ɑ t </v>
      </c>
    </row>
    <row r="3684">
      <c r="A3684" s="1" t="s">
        <v>3685</v>
      </c>
      <c r="B3684" s="1" t="s">
        <v>5</v>
      </c>
      <c r="C3684" s="2">
        <f>IFERROR(__xludf.DUMMYFUNCTION("IFERROR(VLOOKUP(A3684, IMPORTRANGE(""https://docs.google.com/spreadsheets/d/1AVX9GT0dgogEBStecCXMMQ29tWz3gBrtNB8yIromXbY/edit?gid=741673867"", ""out1g!A:B""), 2, FALSE), 0)"),5078.0)</f>
        <v>5078</v>
      </c>
      <c r="D3684" s="2" t="str">
        <f>IFERROR(__xludf.DUMMYFUNCTION("IFERROR(VLOOKUP(A3684, IMPORTRANGE(""https://docs.google.com/spreadsheets/d/1-3Vjw2Cyy-mry5gbC8ypIR3YVGFfEpyFESummAta6sg/edit"", ""Sheet1!B:D""), 2, FALSE), ""Not Found"")"),"bɪldɪŋ")</f>
        <v>bɪldɪŋ</v>
      </c>
      <c r="E3684" s="2" t="str">
        <f>IFERROR(__xludf.DUMMYFUNCTION("IFERROR(VLOOKUP(A3684, IMPORTRANGE(""https://docs.google.com/spreadsheets/d/1-3Vjw2Cyy-mry5gbC8ypIR3YVGFfEpyFESummAta6sg/edit"", ""Sheet1!B:D""), 3, FALSE), ""Not Found"")"),"b ɪ l d ɪ ŋ ")</f>
        <v>b ɪ l d ɪ ŋ </v>
      </c>
    </row>
    <row r="3685">
      <c r="A3685" s="1" t="s">
        <v>3686</v>
      </c>
      <c r="B3685" s="1" t="s">
        <v>5</v>
      </c>
      <c r="C3685" s="2">
        <f>IFERROR(__xludf.DUMMYFUNCTION("IFERROR(VLOOKUP(A3685, IMPORTRANGE(""https://docs.google.com/spreadsheets/d/1AVX9GT0dgogEBStecCXMMQ29tWz3gBrtNB8yIromXbY/edit?gid=741673867"", ""out1g!A:B""), 2, FALSE), 0)"),350.0)</f>
        <v>350</v>
      </c>
      <c r="D3685" s="2" t="str">
        <f>IFERROR(__xludf.DUMMYFUNCTION("IFERROR(VLOOKUP(A3685, IMPORTRANGE(""https://docs.google.com/spreadsheets/d/1-3Vjw2Cyy-mry5gbC8ypIR3YVGFfEpyFESummAta6sg/edit"", ""Sheet1!B:D""), 2, FALSE), ""Not Found"")"),"ʧaʊ")</f>
        <v>ʧaʊ</v>
      </c>
      <c r="E3685" s="2" t="str">
        <f>IFERROR(__xludf.DUMMYFUNCTION("IFERROR(VLOOKUP(A3685, IMPORTRANGE(""https://docs.google.com/spreadsheets/d/1-3Vjw2Cyy-mry5gbC8ypIR3YVGFfEpyFESummAta6sg/edit"", ""Sheet1!B:D""), 3, FALSE), ""Not Found"")"),"ʧ a ʊ ")</f>
        <v>ʧ a ʊ </v>
      </c>
    </row>
    <row r="3686">
      <c r="A3686" s="1" t="s">
        <v>3687</v>
      </c>
      <c r="B3686" s="1" t="s">
        <v>5</v>
      </c>
      <c r="C3686" s="2">
        <f>IFERROR(__xludf.DUMMYFUNCTION("IFERROR(VLOOKUP(A3686, IMPORTRANGE(""https://docs.google.com/spreadsheets/d/1AVX9GT0dgogEBStecCXMMQ29tWz3gBrtNB8yIromXbY/edit?gid=741673867"", ""out1g!A:B""), 2, FALSE), 0)"),75.0)</f>
        <v>75</v>
      </c>
      <c r="D3686" s="2" t="str">
        <f>IFERROR(__xludf.DUMMYFUNCTION("IFERROR(VLOOKUP(A3686, IMPORTRANGE(""https://docs.google.com/spreadsheets/d/1-3Vjw2Cyy-mry5gbC8ypIR3YVGFfEpyFESummAta6sg/edit"", ""Sheet1!B:D""), 2, FALSE), ""Not Found"")"),"blidz")</f>
        <v>blidz</v>
      </c>
      <c r="E3686" s="2" t="str">
        <f>IFERROR(__xludf.DUMMYFUNCTION("IFERROR(VLOOKUP(A3686, IMPORTRANGE(""https://docs.google.com/spreadsheets/d/1-3Vjw2Cyy-mry5gbC8ypIR3YVGFfEpyFESummAta6sg/edit"", ""Sheet1!B:D""), 3, FALSE), ""Not Found"")"),"b l i d z ")</f>
        <v>b l i d z </v>
      </c>
    </row>
    <row r="3687">
      <c r="A3687" s="1" t="s">
        <v>3688</v>
      </c>
      <c r="B3687" s="1" t="s">
        <v>5</v>
      </c>
      <c r="C3687" s="2">
        <f>IFERROR(__xludf.DUMMYFUNCTION("IFERROR(VLOOKUP(A3687, IMPORTRANGE(""https://docs.google.com/spreadsheets/d/1AVX9GT0dgogEBStecCXMMQ29tWz3gBrtNB8yIromXbY/edit?gid=741673867"", ""out1g!A:B""), 2, FALSE), 0)"),2866.0)</f>
        <v>2866</v>
      </c>
      <c r="D3687" s="2" t="str">
        <f>IFERROR(__xludf.DUMMYFUNCTION("IFERROR(VLOOKUP(A3687, IMPORTRANGE(""https://docs.google.com/spreadsheets/d/1-3Vjw2Cyy-mry5gbC8ypIR3YVGFfEpyFESummAta6sg/edit"", ""Sheet1!B:D""), 2, FALSE), ""Not Found"")"),"bəks")</f>
        <v>bəks</v>
      </c>
      <c r="E3687" s="2" t="str">
        <f>IFERROR(__xludf.DUMMYFUNCTION("IFERROR(VLOOKUP(A3687, IMPORTRANGE(""https://docs.google.com/spreadsheets/d/1-3Vjw2Cyy-mry5gbC8ypIR3YVGFfEpyFESummAta6sg/edit"", ""Sheet1!B:D""), 3, FALSE), ""Not Found"")"),"b ə k s ")</f>
        <v>b ə k s </v>
      </c>
    </row>
    <row r="3688">
      <c r="A3688" s="1" t="s">
        <v>3689</v>
      </c>
      <c r="B3688" s="1" t="s">
        <v>5</v>
      </c>
      <c r="C3688" s="2">
        <f>IFERROR(__xludf.DUMMYFUNCTION("IFERROR(VLOOKUP(A3688, IMPORTRANGE(""https://docs.google.com/spreadsheets/d/1AVX9GT0dgogEBStecCXMMQ29tWz3gBrtNB8yIromXbY/edit?gid=741673867"", ""out1g!A:B""), 2, FALSE), 0)"),598.0)</f>
        <v>598</v>
      </c>
      <c r="D3688" s="2" t="str">
        <f>IFERROR(__xludf.DUMMYFUNCTION("IFERROR(VLOOKUP(A3688, IMPORTRANGE(""https://docs.google.com/spreadsheets/d/1-3Vjw2Cyy-mry5gbC8ypIR3YVGFfEpyFESummAta6sg/edit"", ""Sheet1!B:D""), 2, FALSE), ""Not Found"")"),"ʃɑkt")</f>
        <v>ʃɑkt</v>
      </c>
      <c r="E3688" s="2" t="str">
        <f>IFERROR(__xludf.DUMMYFUNCTION("IFERROR(VLOOKUP(A3688, IMPORTRANGE(""https://docs.google.com/spreadsheets/d/1-3Vjw2Cyy-mry5gbC8ypIR3YVGFfEpyFESummAta6sg/edit"", ""Sheet1!B:D""), 3, FALSE), ""Not Found"")"),"ʃ ɑ k t ")</f>
        <v>ʃ ɑ k t </v>
      </c>
    </row>
    <row r="3689">
      <c r="A3689" s="1" t="s">
        <v>3690</v>
      </c>
      <c r="B3689" s="1" t="s">
        <v>5</v>
      </c>
      <c r="C3689" s="2">
        <f>IFERROR(__xludf.DUMMYFUNCTION("IFERROR(VLOOKUP(A3689, IMPORTRANGE(""https://docs.google.com/spreadsheets/d/1AVX9GT0dgogEBStecCXMMQ29tWz3gBrtNB8yIromXbY/edit?gid=741673867"", ""out1g!A:B""), 2, FALSE), 0)"),167.0)</f>
        <v>167</v>
      </c>
      <c r="D3689" s="2" t="str">
        <f>IFERROR(__xludf.DUMMYFUNCTION("IFERROR(VLOOKUP(A3689, IMPORTRANGE(""https://docs.google.com/spreadsheets/d/1-3Vjw2Cyy-mry5gbC8ypIR3YVGFfEpyFESummAta6sg/edit"", ""Sheet1!B:D""), 2, FALSE), ""Not Found"")"),"kruz")</f>
        <v>kruz</v>
      </c>
      <c r="E3689" s="2" t="str">
        <f>IFERROR(__xludf.DUMMYFUNCTION("IFERROR(VLOOKUP(A3689, IMPORTRANGE(""https://docs.google.com/spreadsheets/d/1-3Vjw2Cyy-mry5gbC8ypIR3YVGFfEpyFESummAta6sg/edit"", ""Sheet1!B:D""), 3, FALSE), ""Not Found"")"),"k r u z ")</f>
        <v>k r u z </v>
      </c>
    </row>
    <row r="3690">
      <c r="A3690" s="1" t="s">
        <v>3691</v>
      </c>
      <c r="B3690" s="1" t="s">
        <v>5</v>
      </c>
      <c r="C3690" s="2">
        <f>IFERROR(__xludf.DUMMYFUNCTION("IFERROR(VLOOKUP(A3690, IMPORTRANGE(""https://docs.google.com/spreadsheets/d/1AVX9GT0dgogEBStecCXMMQ29tWz3gBrtNB8yIromXbY/edit?gid=741673867"", ""out1g!A:B""), 2, FALSE), 0)"),80.0)</f>
        <v>80</v>
      </c>
      <c r="D3690" s="2" t="str">
        <f>IFERROR(__xludf.DUMMYFUNCTION("IFERROR(VLOOKUP(A3690, IMPORTRANGE(""https://docs.google.com/spreadsheets/d/1-3Vjw2Cyy-mry5gbC8ypIR3YVGFfEpyFESummAta6sg/edit"", ""Sheet1!B:D""), 2, FALSE), ""Not Found"")"),"dɪrz")</f>
        <v>dɪrz</v>
      </c>
      <c r="E3690" s="2" t="str">
        <f>IFERROR(__xludf.DUMMYFUNCTION("IFERROR(VLOOKUP(A3690, IMPORTRANGE(""https://docs.google.com/spreadsheets/d/1-3Vjw2Cyy-mry5gbC8ypIR3YVGFfEpyFESummAta6sg/edit"", ""Sheet1!B:D""), 3, FALSE), ""Not Found"")"),"d ɪ r z ")</f>
        <v>d ɪ r z </v>
      </c>
    </row>
    <row r="3691">
      <c r="A3691" s="1" t="s">
        <v>3692</v>
      </c>
      <c r="B3691" s="1" t="s">
        <v>5</v>
      </c>
      <c r="C3691" s="2">
        <f>IFERROR(__xludf.DUMMYFUNCTION("IFERROR(VLOOKUP(A3691, IMPORTRANGE(""https://docs.google.com/spreadsheets/d/1AVX9GT0dgogEBStecCXMMQ29tWz3gBrtNB8yIromXbY/edit?gid=741673867"", ""out1g!A:B""), 2, FALSE), 0)"),213.0)</f>
        <v>213</v>
      </c>
      <c r="D3691" s="2" t="str">
        <f>IFERROR(__xludf.DUMMYFUNCTION("IFERROR(VLOOKUP(A3691, IMPORTRANGE(""https://docs.google.com/spreadsheets/d/1-3Vjw2Cyy-mry5gbC8ypIR3YVGFfEpyFESummAta6sg/edit"", ""Sheet1!B:D""), 2, FALSE), ""Not Found"")"),"raɪp")</f>
        <v>raɪp</v>
      </c>
      <c r="E3691" s="2" t="str">
        <f>IFERROR(__xludf.DUMMYFUNCTION("IFERROR(VLOOKUP(A3691, IMPORTRANGE(""https://docs.google.com/spreadsheets/d/1-3Vjw2Cyy-mry5gbC8ypIR3YVGFfEpyFESummAta6sg/edit"", ""Sheet1!B:D""), 3, FALSE), ""Not Found"")"),"r a ɪ p ")</f>
        <v>r a ɪ p </v>
      </c>
    </row>
    <row r="3692">
      <c r="A3692" s="1" t="s">
        <v>3693</v>
      </c>
      <c r="B3692" s="1" t="s">
        <v>5</v>
      </c>
      <c r="C3692" s="2">
        <f>IFERROR(__xludf.DUMMYFUNCTION("IFERROR(VLOOKUP(A3692, IMPORTRANGE(""https://docs.google.com/spreadsheets/d/1AVX9GT0dgogEBStecCXMMQ29tWz3gBrtNB8yIromXbY/edit?gid=741673867"", ""out1g!A:B""), 2, FALSE), 0)"),161.0)</f>
        <v>161</v>
      </c>
      <c r="D3692" s="2" t="str">
        <f>IFERROR(__xludf.DUMMYFUNCTION("IFERROR(VLOOKUP(A3692, IMPORTRANGE(""https://docs.google.com/spreadsheets/d/1-3Vjw2Cyy-mry5gbC8ypIR3YVGFfEpyFESummAta6sg/edit"", ""Sheet1!B:D""), 2, FALSE), ""Not Found"")"),"flaʊər")</f>
        <v>flaʊər</v>
      </c>
      <c r="E3692" s="2" t="str">
        <f>IFERROR(__xludf.DUMMYFUNCTION("IFERROR(VLOOKUP(A3692, IMPORTRANGE(""https://docs.google.com/spreadsheets/d/1-3Vjw2Cyy-mry5gbC8ypIR3YVGFfEpyFESummAta6sg/edit"", ""Sheet1!B:D""), 3, FALSE), ""Not Found"")"),"f l a ʊ ə r ")</f>
        <v>f l a ʊ ə r </v>
      </c>
    </row>
    <row r="3693">
      <c r="A3693" s="1" t="s">
        <v>3694</v>
      </c>
      <c r="B3693" s="1" t="s">
        <v>5</v>
      </c>
      <c r="C3693" s="2">
        <f>IFERROR(__xludf.DUMMYFUNCTION("IFERROR(VLOOKUP(A3693, IMPORTRANGE(""https://docs.google.com/spreadsheets/d/1AVX9GT0dgogEBStecCXMMQ29tWz3gBrtNB8yIromXbY/edit?gid=741673867"", ""out1g!A:B""), 2, FALSE), 0)"),78.0)</f>
        <v>78</v>
      </c>
      <c r="D3693" s="2" t="str">
        <f>IFERROR(__xludf.DUMMYFUNCTION("IFERROR(VLOOKUP(A3693, IMPORTRANGE(""https://docs.google.com/spreadsheets/d/1-3Vjw2Cyy-mry5gbC8ypIR3YVGFfEpyFESummAta6sg/edit"", ""Sheet1!B:D""), 2, FALSE), ""Not Found"")"),"eɔrtə")</f>
        <v>eɔrtə</v>
      </c>
      <c r="E3693" s="2" t="str">
        <f>IFERROR(__xludf.DUMMYFUNCTION("IFERROR(VLOOKUP(A3693, IMPORTRANGE(""https://docs.google.com/spreadsheets/d/1-3Vjw2Cyy-mry5gbC8ypIR3YVGFfEpyFESummAta6sg/edit"", ""Sheet1!B:D""), 3, FALSE), ""Not Found"")"),"e ɔ r t ə ")</f>
        <v>e ɔ r t ə </v>
      </c>
    </row>
    <row r="3694">
      <c r="A3694" s="1" t="s">
        <v>3695</v>
      </c>
      <c r="B3694" s="1" t="s">
        <v>5</v>
      </c>
      <c r="C3694" s="2">
        <f>IFERROR(__xludf.DUMMYFUNCTION("IFERROR(VLOOKUP(A3694, IMPORTRANGE(""https://docs.google.com/spreadsheets/d/1AVX9GT0dgogEBStecCXMMQ29tWz3gBrtNB8yIromXbY/edit?gid=741673867"", ""out1g!A:B""), 2, FALSE), 0)"),190.0)</f>
        <v>190</v>
      </c>
      <c r="D3694" s="2" t="str">
        <f>IFERROR(__xludf.DUMMYFUNCTION("IFERROR(VLOOKUP(A3694, IMPORTRANGE(""https://docs.google.com/spreadsheets/d/1-3Vjw2Cyy-mry5gbC8ypIR3YVGFfEpyFESummAta6sg/edit"", ""Sheet1!B:D""), 2, FALSE), ""Not Found"")"),"stɑkɪŋz")</f>
        <v>stɑkɪŋz</v>
      </c>
      <c r="E3694" s="2" t="str">
        <f>IFERROR(__xludf.DUMMYFUNCTION("IFERROR(VLOOKUP(A3694, IMPORTRANGE(""https://docs.google.com/spreadsheets/d/1-3Vjw2Cyy-mry5gbC8ypIR3YVGFfEpyFESummAta6sg/edit"", ""Sheet1!B:D""), 3, FALSE), ""Not Found"")"),"s t ɑ k ɪ ŋ z ")</f>
        <v>s t ɑ k ɪ ŋ z </v>
      </c>
    </row>
    <row r="3695">
      <c r="A3695" s="1" t="s">
        <v>3696</v>
      </c>
      <c r="B3695" s="1" t="s">
        <v>5</v>
      </c>
      <c r="C3695" s="2">
        <f>IFERROR(__xludf.DUMMYFUNCTION("IFERROR(VLOOKUP(A3695, IMPORTRANGE(""https://docs.google.com/spreadsheets/d/1AVX9GT0dgogEBStecCXMMQ29tWz3gBrtNB8yIromXbY/edit?gid=741673867"", ""out1g!A:B""), 2, FALSE), 0)"),647.0)</f>
        <v>647</v>
      </c>
      <c r="D3695" s="2" t="str">
        <f>IFERROR(__xludf.DUMMYFUNCTION("IFERROR(VLOOKUP(A3695, IMPORTRANGE(""https://docs.google.com/spreadsheets/d/1-3Vjw2Cyy-mry5gbC8ypIR3YVGFfEpyFESummAta6sg/edit"", ""Sheet1!B:D""), 2, FALSE), ""Not Found"")"),"lɑbi")</f>
        <v>lɑbi</v>
      </c>
      <c r="E3695" s="2" t="str">
        <f>IFERROR(__xludf.DUMMYFUNCTION("IFERROR(VLOOKUP(A3695, IMPORTRANGE(""https://docs.google.com/spreadsheets/d/1-3Vjw2Cyy-mry5gbC8ypIR3YVGFfEpyFESummAta6sg/edit"", ""Sheet1!B:D""), 3, FALSE), ""Not Found"")"),"l ɑ b i ")</f>
        <v>l ɑ b i </v>
      </c>
    </row>
    <row r="3696">
      <c r="A3696" s="1" t="s">
        <v>3697</v>
      </c>
      <c r="B3696" s="1" t="s">
        <v>5</v>
      </c>
      <c r="C3696" s="2">
        <f>IFERROR(__xludf.DUMMYFUNCTION("IFERROR(VLOOKUP(A3696, IMPORTRANGE(""https://docs.google.com/spreadsheets/d/1AVX9GT0dgogEBStecCXMMQ29tWz3gBrtNB8yIromXbY/edit?gid=741673867"", ""out1g!A:B""), 2, FALSE), 0)"),26334.0)</f>
        <v>26334</v>
      </c>
      <c r="D3696" s="2" t="str">
        <f>IFERROR(__xludf.DUMMYFUNCTION("IFERROR(VLOOKUP(A3696, IMPORTRANGE(""https://docs.google.com/spreadsheets/d/1-3Vjw2Cyy-mry5gbC8ypIR3YVGFfEpyFESummAta6sg/edit"", ""Sheet1!B:D""), 2, FALSE), ""Not Found"")"),"maɪt")</f>
        <v>maɪt</v>
      </c>
      <c r="E3696" s="2" t="str">
        <f>IFERROR(__xludf.DUMMYFUNCTION("IFERROR(VLOOKUP(A3696, IMPORTRANGE(""https://docs.google.com/spreadsheets/d/1-3Vjw2Cyy-mry5gbC8ypIR3YVGFfEpyFESummAta6sg/edit"", ""Sheet1!B:D""), 3, FALSE), ""Not Found"")"),"m a ɪ t ")</f>
        <v>m a ɪ t </v>
      </c>
    </row>
    <row r="3697">
      <c r="A3697" s="1" t="s">
        <v>3698</v>
      </c>
      <c r="B3697" s="1" t="s">
        <v>5</v>
      </c>
      <c r="C3697" s="2">
        <f>IFERROR(__xludf.DUMMYFUNCTION("IFERROR(VLOOKUP(A3697, IMPORTRANGE(""https://docs.google.com/spreadsheets/d/1AVX9GT0dgogEBStecCXMMQ29tWz3gBrtNB8yIromXbY/edit?gid=741673867"", ""out1g!A:B""), 2, FALSE), 0)"),73.0)</f>
        <v>73</v>
      </c>
      <c r="D3697" s="2" t="str">
        <f>IFERROR(__xludf.DUMMYFUNCTION("IFERROR(VLOOKUP(A3697, IMPORTRANGE(""https://docs.google.com/spreadsheets/d/1-3Vjw2Cyy-mry5gbC8ypIR3YVGFfEpyFESummAta6sg/edit"", ""Sheet1!B:D""), 2, FALSE), ""Not Found"")"),"hɪsɪŋ")</f>
        <v>hɪsɪŋ</v>
      </c>
      <c r="E3697" s="2" t="str">
        <f>IFERROR(__xludf.DUMMYFUNCTION("IFERROR(VLOOKUP(A3697, IMPORTRANGE(""https://docs.google.com/spreadsheets/d/1-3Vjw2Cyy-mry5gbC8ypIR3YVGFfEpyFESummAta6sg/edit"", ""Sheet1!B:D""), 3, FALSE), ""Not Found"")"),"h ɪ s ɪ ŋ ")</f>
        <v>h ɪ s ɪ ŋ </v>
      </c>
    </row>
    <row r="3698">
      <c r="A3698" s="1" t="s">
        <v>3699</v>
      </c>
      <c r="B3698" s="1" t="s">
        <v>5</v>
      </c>
      <c r="C3698" s="2">
        <f>IFERROR(__xludf.DUMMYFUNCTION("IFERROR(VLOOKUP(A3698, IMPORTRANGE(""https://docs.google.com/spreadsheets/d/1AVX9GT0dgogEBStecCXMMQ29tWz3gBrtNB8yIromXbY/edit?gid=741673867"", ""out1g!A:B""), 2, FALSE), 0)"),74.0)</f>
        <v>74</v>
      </c>
      <c r="D3698" s="2" t="str">
        <f>IFERROR(__xludf.DUMMYFUNCTION("IFERROR(VLOOKUP(A3698, IMPORTRANGE(""https://docs.google.com/spreadsheets/d/1-3Vjw2Cyy-mry5gbC8ypIR3YVGFfEpyFESummAta6sg/edit"", ""Sheet1!B:D""), 2, FALSE), ""Not Found"")"),"rk")</f>
        <v>rk</v>
      </c>
      <c r="E3698" s="2" t="str">
        <f>IFERROR(__xludf.DUMMYFUNCTION("IFERROR(VLOOKUP(A3698, IMPORTRANGE(""https://docs.google.com/spreadsheets/d/1-3Vjw2Cyy-mry5gbC8ypIR3YVGFfEpyFESummAta6sg/edit"", ""Sheet1!B:D""), 3, FALSE), ""Not Found"")"),"r k ")</f>
        <v>r k </v>
      </c>
    </row>
    <row r="3699">
      <c r="A3699" s="1" t="s">
        <v>3700</v>
      </c>
      <c r="B3699" s="1" t="s">
        <v>5</v>
      </c>
      <c r="C3699" s="2">
        <f>IFERROR(__xludf.DUMMYFUNCTION("IFERROR(VLOOKUP(A3699, IMPORTRANGE(""https://docs.google.com/spreadsheets/d/1AVX9GT0dgogEBStecCXMMQ29tWz3gBrtNB8yIromXbY/edit?gid=741673867"", ""out1g!A:B""), 2, FALSE), 0)"),49.0)</f>
        <v>49</v>
      </c>
      <c r="D3699" s="2" t="str">
        <f>IFERROR(__xludf.DUMMYFUNCTION("IFERROR(VLOOKUP(A3699, IMPORTRANGE(""https://docs.google.com/spreadsheets/d/1-3Vjw2Cyy-mry5gbC8ypIR3YVGFfEpyFESummAta6sg/edit"", ""Sheet1!B:D""), 2, FALSE), ""Not Found"")"),"ɛfɛm")</f>
        <v>ɛfɛm</v>
      </c>
      <c r="E3699" s="2" t="str">
        <f>IFERROR(__xludf.DUMMYFUNCTION("IFERROR(VLOOKUP(A3699, IMPORTRANGE(""https://docs.google.com/spreadsheets/d/1-3Vjw2Cyy-mry5gbC8ypIR3YVGFfEpyFESummAta6sg/edit"", ""Sheet1!B:D""), 3, FALSE), ""Not Found"")"),"ɛ f ɛ m ")</f>
        <v>ɛ f ɛ m </v>
      </c>
    </row>
    <row r="3700">
      <c r="A3700" s="1" t="s">
        <v>3701</v>
      </c>
      <c r="B3700" s="1" t="s">
        <v>5</v>
      </c>
      <c r="C3700" s="2">
        <f>IFERROR(__xludf.DUMMYFUNCTION("IFERROR(VLOOKUP(A3700, IMPORTRANGE(""https://docs.google.com/spreadsheets/d/1AVX9GT0dgogEBStecCXMMQ29tWz3gBrtNB8yIromXbY/edit?gid=741673867"", ""out1g!A:B""), 2, FALSE), 0)"),48.0)</f>
        <v>48</v>
      </c>
      <c r="D3700" s="2" t="str">
        <f>IFERROR(__xludf.DUMMYFUNCTION("IFERROR(VLOOKUP(A3700, IMPORTRANGE(""https://docs.google.com/spreadsheets/d/1-3Vjw2Cyy-mry5gbC8ypIR3YVGFfEpyFESummAta6sg/edit"", ""Sheet1!B:D""), 2, FALSE), ""Not Found"")"),"bɪldər")</f>
        <v>bɪldər</v>
      </c>
      <c r="E3700" s="2" t="str">
        <f>IFERROR(__xludf.DUMMYFUNCTION("IFERROR(VLOOKUP(A3700, IMPORTRANGE(""https://docs.google.com/spreadsheets/d/1-3Vjw2Cyy-mry5gbC8ypIR3YVGFfEpyFESummAta6sg/edit"", ""Sheet1!B:D""), 3, FALSE), ""Not Found"")"),"b ɪ l d ə r ")</f>
        <v>b ɪ l d ə r </v>
      </c>
    </row>
    <row r="3701">
      <c r="A3701" s="1" t="s">
        <v>3702</v>
      </c>
      <c r="B3701" s="1" t="s">
        <v>5</v>
      </c>
      <c r="C3701" s="2">
        <f>IFERROR(__xludf.DUMMYFUNCTION("IFERROR(VLOOKUP(A3701, IMPORTRANGE(""https://docs.google.com/spreadsheets/d/1AVX9GT0dgogEBStecCXMMQ29tWz3gBrtNB8yIromXbY/edit?gid=741673867"", ""out1g!A:B""), 2, FALSE), 0)"),91.0)</f>
        <v>91</v>
      </c>
      <c r="D3701" s="2" t="str">
        <f>IFERROR(__xludf.DUMMYFUNCTION("IFERROR(VLOOKUP(A3701, IMPORTRANGE(""https://docs.google.com/spreadsheets/d/1-3Vjw2Cyy-mry5gbC8ypIR3YVGFfEpyFESummAta6sg/edit"", ""Sheet1!B:D""), 2, FALSE), ""Not Found"")"),"flɔz")</f>
        <v>flɔz</v>
      </c>
      <c r="E3701" s="2" t="str">
        <f>IFERROR(__xludf.DUMMYFUNCTION("IFERROR(VLOOKUP(A3701, IMPORTRANGE(""https://docs.google.com/spreadsheets/d/1-3Vjw2Cyy-mry5gbC8ypIR3YVGFfEpyFESummAta6sg/edit"", ""Sheet1!B:D""), 3, FALSE), ""Not Found"")"),"f l ɔ z ")</f>
        <v>f l ɔ z </v>
      </c>
    </row>
    <row r="3702">
      <c r="A3702" s="1" t="s">
        <v>3703</v>
      </c>
      <c r="B3702" s="1" t="s">
        <v>5</v>
      </c>
      <c r="C3702" s="2">
        <f>IFERROR(__xludf.DUMMYFUNCTION("IFERROR(VLOOKUP(A3702, IMPORTRANGE(""https://docs.google.com/spreadsheets/d/1AVX9GT0dgogEBStecCXMMQ29tWz3gBrtNB8yIromXbY/edit?gid=741673867"", ""out1g!A:B""), 2, FALSE), 0)"),121.0)</f>
        <v>121</v>
      </c>
      <c r="D3702" s="2" t="str">
        <f>IFERROR(__xludf.DUMMYFUNCTION("IFERROR(VLOOKUP(A3702, IMPORTRANGE(""https://docs.google.com/spreadsheets/d/1-3Vjw2Cyy-mry5gbC8ypIR3YVGFfEpyFESummAta6sg/edit"", ""Sheet1!B:D""), 2, FALSE), ""Not Found"")"),"kwɪts")</f>
        <v>kwɪts</v>
      </c>
      <c r="E3702" s="2" t="str">
        <f>IFERROR(__xludf.DUMMYFUNCTION("IFERROR(VLOOKUP(A3702, IMPORTRANGE(""https://docs.google.com/spreadsheets/d/1-3Vjw2Cyy-mry5gbC8ypIR3YVGFfEpyFESummAta6sg/edit"", ""Sheet1!B:D""), 3, FALSE), ""Not Found"")"),"k w ɪ t s ")</f>
        <v>k w ɪ t s </v>
      </c>
    </row>
    <row r="3703">
      <c r="A3703" s="1" t="s">
        <v>3704</v>
      </c>
      <c r="B3703" s="1" t="s">
        <v>5</v>
      </c>
      <c r="C3703" s="2">
        <f>IFERROR(__xludf.DUMMYFUNCTION("IFERROR(VLOOKUP(A3703, IMPORTRANGE(""https://docs.google.com/spreadsheets/d/1AVX9GT0dgogEBStecCXMMQ29tWz3gBrtNB8yIromXbY/edit?gid=741673867"", ""out1g!A:B""), 2, FALSE), 0)"),195.0)</f>
        <v>195</v>
      </c>
      <c r="D3703" s="2" t="str">
        <f>IFERROR(__xludf.DUMMYFUNCTION("IFERROR(VLOOKUP(A3703, IMPORTRANGE(""https://docs.google.com/spreadsheets/d/1-3Vjw2Cyy-mry5gbC8ypIR3YVGFfEpyFESummAta6sg/edit"", ""Sheet1!B:D""), 2, FALSE), ""Not Found"")"),"kɛrət")</f>
        <v>kɛrət</v>
      </c>
      <c r="E3703" s="2" t="str">
        <f>IFERROR(__xludf.DUMMYFUNCTION("IFERROR(VLOOKUP(A3703, IMPORTRANGE(""https://docs.google.com/spreadsheets/d/1-3Vjw2Cyy-mry5gbC8ypIR3YVGFfEpyFESummAta6sg/edit"", ""Sheet1!B:D""), 3, FALSE), ""Not Found"")"),"k ɛ r ə t ")</f>
        <v>k ɛ r ə t </v>
      </c>
    </row>
    <row r="3704">
      <c r="A3704" s="1" t="s">
        <v>3705</v>
      </c>
      <c r="B3704" s="1" t="s">
        <v>5</v>
      </c>
      <c r="C3704" s="2">
        <f>IFERROR(__xludf.DUMMYFUNCTION("IFERROR(VLOOKUP(A3704, IMPORTRANGE(""https://docs.google.com/spreadsheets/d/1AVX9GT0dgogEBStecCXMMQ29tWz3gBrtNB8yIromXbY/edit?gid=741673867"", ""out1g!A:B""), 2, FALSE), 0)"),830.0)</f>
        <v>830</v>
      </c>
      <c r="D3704" s="2" t="str">
        <f>IFERROR(__xludf.DUMMYFUNCTION("IFERROR(VLOOKUP(A3704, IMPORTRANGE(""https://docs.google.com/spreadsheets/d/1-3Vjw2Cyy-mry5gbC8ypIR3YVGFfEpyFESummAta6sg/edit"", ""Sheet1!B:D""), 2, FALSE), ""Not Found"")"),"ʧæt")</f>
        <v>ʧæt</v>
      </c>
      <c r="E3704" s="2" t="str">
        <f>IFERROR(__xludf.DUMMYFUNCTION("IFERROR(VLOOKUP(A3704, IMPORTRANGE(""https://docs.google.com/spreadsheets/d/1-3Vjw2Cyy-mry5gbC8ypIR3YVGFfEpyFESummAta6sg/edit"", ""Sheet1!B:D""), 3, FALSE), ""Not Found"")"),"ʧ æ t ")</f>
        <v>ʧ æ t </v>
      </c>
    </row>
    <row r="3705">
      <c r="A3705" s="1" t="s">
        <v>3706</v>
      </c>
      <c r="B3705" s="1" t="s">
        <v>5</v>
      </c>
      <c r="C3705" s="2">
        <f>IFERROR(__xludf.DUMMYFUNCTION("IFERROR(VLOOKUP(A3705, IMPORTRANGE(""https://docs.google.com/spreadsheets/d/1AVX9GT0dgogEBStecCXMMQ29tWz3gBrtNB8yIromXbY/edit?gid=741673867"", ""out1g!A:B""), 2, FALSE), 0)"),239.0)</f>
        <v>239</v>
      </c>
      <c r="D3705" s="2" t="str">
        <f>IFERROR(__xludf.DUMMYFUNCTION("IFERROR(VLOOKUP(A3705, IMPORTRANGE(""https://docs.google.com/spreadsheets/d/1-3Vjw2Cyy-mry5gbC8ypIR3YVGFfEpyFESummAta6sg/edit"", ""Sheet1!B:D""), 2, FALSE), ""Not Found"")"),"kətər")</f>
        <v>kətər</v>
      </c>
      <c r="E3705" s="2" t="str">
        <f>IFERROR(__xludf.DUMMYFUNCTION("IFERROR(VLOOKUP(A3705, IMPORTRANGE(""https://docs.google.com/spreadsheets/d/1-3Vjw2Cyy-mry5gbC8ypIR3YVGFfEpyFESummAta6sg/edit"", ""Sheet1!B:D""), 3, FALSE), ""Not Found"")"),"k ə t ə r ")</f>
        <v>k ə t ə r </v>
      </c>
    </row>
    <row r="3706">
      <c r="A3706" s="1" t="s">
        <v>3707</v>
      </c>
      <c r="B3706" s="1" t="s">
        <v>5</v>
      </c>
      <c r="C3706" s="2">
        <f>IFERROR(__xludf.DUMMYFUNCTION("IFERROR(VLOOKUP(A3706, IMPORTRANGE(""https://docs.google.com/spreadsheets/d/1AVX9GT0dgogEBStecCXMMQ29tWz3gBrtNB8yIromXbY/edit?gid=741673867"", ""out1g!A:B""), 2, FALSE), 0)"),51.0)</f>
        <v>51</v>
      </c>
      <c r="D3706" s="2" t="str">
        <f>IFERROR(__xludf.DUMMYFUNCTION("IFERROR(VLOOKUP(A3706, IMPORTRANGE(""https://docs.google.com/spreadsheets/d/1-3Vjw2Cyy-mry5gbC8ypIR3YVGFfEpyFESummAta6sg/edit"", ""Sheet1!B:D""), 2, FALSE), ""Not Found"")"),"ənk")</f>
        <v>ənk</v>
      </c>
      <c r="E3706" s="2" t="str">
        <f>IFERROR(__xludf.DUMMYFUNCTION("IFERROR(VLOOKUP(A3706, IMPORTRANGE(""https://docs.google.com/spreadsheets/d/1-3Vjw2Cyy-mry5gbC8ypIR3YVGFfEpyFESummAta6sg/edit"", ""Sheet1!B:D""), 3, FALSE), ""Not Found"")"),"ə n k ")</f>
        <v>ə n k </v>
      </c>
    </row>
    <row r="3707">
      <c r="A3707" s="1" t="s">
        <v>3708</v>
      </c>
      <c r="B3707" s="1" t="s">
        <v>5</v>
      </c>
      <c r="C3707" s="2">
        <f>IFERROR(__xludf.DUMMYFUNCTION("IFERROR(VLOOKUP(A3707, IMPORTRANGE(""https://docs.google.com/spreadsheets/d/1AVX9GT0dgogEBStecCXMMQ29tWz3gBrtNB8yIromXbY/edit?gid=741673867"", ""out1g!A:B""), 2, FALSE), 0)"),76004.0)</f>
        <v>76004</v>
      </c>
      <c r="D3707" s="2" t="str">
        <f>IFERROR(__xludf.DUMMYFUNCTION("IFERROR(VLOOKUP(A3707, IMPORTRANGE(""https://docs.google.com/spreadsheets/d/1-3Vjw2Cyy-mry5gbC8ypIR3YVGFfEpyFESummAta6sg/edit"", ""Sheet1!B:D""), 2, FALSE), ""Not Found"")"),"daʊn")</f>
        <v>daʊn</v>
      </c>
      <c r="E3707" s="2" t="str">
        <f>IFERROR(__xludf.DUMMYFUNCTION("IFERROR(VLOOKUP(A3707, IMPORTRANGE(""https://docs.google.com/spreadsheets/d/1-3Vjw2Cyy-mry5gbC8ypIR3YVGFfEpyFESummAta6sg/edit"", ""Sheet1!B:D""), 3, FALSE), ""Not Found"")"),"d a ʊ n ")</f>
        <v>d a ʊ n </v>
      </c>
    </row>
    <row r="3708">
      <c r="A3708" s="1" t="s">
        <v>3709</v>
      </c>
      <c r="B3708" s="1" t="s">
        <v>5</v>
      </c>
      <c r="C3708" s="2">
        <f>IFERROR(__xludf.DUMMYFUNCTION("IFERROR(VLOOKUP(A3708, IMPORTRANGE(""https://docs.google.com/spreadsheets/d/1AVX9GT0dgogEBStecCXMMQ29tWz3gBrtNB8yIromXbY/edit?gid=741673867"", ""out1g!A:B""), 2, FALSE), 0)"),355.0)</f>
        <v>355</v>
      </c>
      <c r="D3708" s="2" t="str">
        <f>IFERROR(__xludf.DUMMYFUNCTION("IFERROR(VLOOKUP(A3708, IMPORTRANGE(""https://docs.google.com/spreadsheets/d/1-3Vjw2Cyy-mry5gbC8ypIR3YVGFfEpyFESummAta6sg/edit"", ""Sheet1!B:D""), 2, FALSE), ""Not Found"")"),"nən")</f>
        <v>nən</v>
      </c>
      <c r="E3708" s="2" t="str">
        <f>IFERROR(__xludf.DUMMYFUNCTION("IFERROR(VLOOKUP(A3708, IMPORTRANGE(""https://docs.google.com/spreadsheets/d/1-3Vjw2Cyy-mry5gbC8ypIR3YVGFfEpyFESummAta6sg/edit"", ""Sheet1!B:D""), 3, FALSE), ""Not Found"")"),"n ə n ")</f>
        <v>n ə n </v>
      </c>
    </row>
    <row r="3709">
      <c r="A3709" s="1" t="s">
        <v>3710</v>
      </c>
      <c r="B3709" s="1" t="s">
        <v>5</v>
      </c>
      <c r="C3709" s="2">
        <f>IFERROR(__xludf.DUMMYFUNCTION("IFERROR(VLOOKUP(A3709, IMPORTRANGE(""https://docs.google.com/spreadsheets/d/1AVX9GT0dgogEBStecCXMMQ29tWz3gBrtNB8yIromXbY/edit?gid=741673867"", ""out1g!A:B""), 2, FALSE), 0)"),415.0)</f>
        <v>415</v>
      </c>
      <c r="D3709" s="2" t="str">
        <f>IFERROR(__xludf.DUMMYFUNCTION("IFERROR(VLOOKUP(A3709, IMPORTRANGE(""https://docs.google.com/spreadsheets/d/1-3Vjw2Cyy-mry5gbC8ypIR3YVGFfEpyFESummAta6sg/edit"", ""Sheet1!B:D""), 2, FALSE), ""Not Found"")"),"dumd")</f>
        <v>dumd</v>
      </c>
      <c r="E3709" s="2" t="str">
        <f>IFERROR(__xludf.DUMMYFUNCTION("IFERROR(VLOOKUP(A3709, IMPORTRANGE(""https://docs.google.com/spreadsheets/d/1-3Vjw2Cyy-mry5gbC8ypIR3YVGFfEpyFESummAta6sg/edit"", ""Sheet1!B:D""), 3, FALSE), ""Not Found"")"),"d u m d ")</f>
        <v>d u m d </v>
      </c>
    </row>
    <row r="3710">
      <c r="A3710" s="1" t="s">
        <v>3711</v>
      </c>
      <c r="B3710" s="1" t="s">
        <v>5</v>
      </c>
      <c r="C3710" s="2">
        <f>IFERROR(__xludf.DUMMYFUNCTION("IFERROR(VLOOKUP(A3710, IMPORTRANGE(""https://docs.google.com/spreadsheets/d/1AVX9GT0dgogEBStecCXMMQ29tWz3gBrtNB8yIromXbY/edit?gid=741673867"", ""out1g!A:B""), 2, FALSE), 0)"),34.0)</f>
        <v>34</v>
      </c>
      <c r="D3710" s="2" t="str">
        <f>IFERROR(__xludf.DUMMYFUNCTION("IFERROR(VLOOKUP(A3710, IMPORTRANGE(""https://docs.google.com/spreadsheets/d/1-3Vjw2Cyy-mry5gbC8ypIR3YVGFfEpyFESummAta6sg/edit"", ""Sheet1!B:D""), 2, FALSE), ""Not Found"")"),"hæmi")</f>
        <v>hæmi</v>
      </c>
      <c r="E3710" s="2" t="str">
        <f>IFERROR(__xludf.DUMMYFUNCTION("IFERROR(VLOOKUP(A3710, IMPORTRANGE(""https://docs.google.com/spreadsheets/d/1-3Vjw2Cyy-mry5gbC8ypIR3YVGFfEpyFESummAta6sg/edit"", ""Sheet1!B:D""), 3, FALSE), ""Not Found"")"),"h æ m i ")</f>
        <v>h æ m i </v>
      </c>
    </row>
    <row r="3711">
      <c r="A3711" s="1" t="s">
        <v>3712</v>
      </c>
      <c r="B3711" s="1" t="s">
        <v>5</v>
      </c>
      <c r="C3711" s="2">
        <f>IFERROR(__xludf.DUMMYFUNCTION("IFERROR(VLOOKUP(A3711, IMPORTRANGE(""https://docs.google.com/spreadsheets/d/1AVX9GT0dgogEBStecCXMMQ29tWz3gBrtNB8yIromXbY/edit?gid=741673867"", ""out1g!A:B""), 2, FALSE), 0)"),497.0)</f>
        <v>497</v>
      </c>
      <c r="D3711" s="2" t="str">
        <f>IFERROR(__xludf.DUMMYFUNCTION("IFERROR(VLOOKUP(A3711, IMPORTRANGE(""https://docs.google.com/spreadsheets/d/1-3Vjw2Cyy-mry5gbC8ypIR3YVGFfEpyFESummAta6sg/edit"", ""Sheet1!B:D""), 2, FALSE), ""Not Found"")"),"dɑk")</f>
        <v>dɑk</v>
      </c>
      <c r="E3711" s="2" t="str">
        <f>IFERROR(__xludf.DUMMYFUNCTION("IFERROR(VLOOKUP(A3711, IMPORTRANGE(""https://docs.google.com/spreadsheets/d/1-3Vjw2Cyy-mry5gbC8ypIR3YVGFfEpyFESummAta6sg/edit"", ""Sheet1!B:D""), 3, FALSE), ""Not Found"")"),"d ɑ k ")</f>
        <v>d ɑ k </v>
      </c>
    </row>
    <row r="3712">
      <c r="A3712" s="1" t="s">
        <v>3713</v>
      </c>
      <c r="B3712" s="1" t="s">
        <v>5</v>
      </c>
      <c r="C3712" s="2">
        <f>IFERROR(__xludf.DUMMYFUNCTION("IFERROR(VLOOKUP(A3712, IMPORTRANGE(""https://docs.google.com/spreadsheets/d/1AVX9GT0dgogEBStecCXMMQ29tWz3gBrtNB8yIromXbY/edit?gid=741673867"", ""out1g!A:B""), 2, FALSE), 0)"),363.0)</f>
        <v>363</v>
      </c>
      <c r="D3712" s="2" t="str">
        <f>IFERROR(__xludf.DUMMYFUNCTION("IFERROR(VLOOKUP(A3712, IMPORTRANGE(""https://docs.google.com/spreadsheets/d/1-3Vjw2Cyy-mry5gbC8ypIR3YVGFfEpyFESummAta6sg/edit"", ""Sheet1!B:D""), 2, FALSE), ""Not Found"")"),"sɛlz")</f>
        <v>sɛlz</v>
      </c>
      <c r="E3712" s="2" t="str">
        <f>IFERROR(__xludf.DUMMYFUNCTION("IFERROR(VLOOKUP(A3712, IMPORTRANGE(""https://docs.google.com/spreadsheets/d/1-3Vjw2Cyy-mry5gbC8ypIR3YVGFfEpyFESummAta6sg/edit"", ""Sheet1!B:D""), 3, FALSE), ""Not Found"")"),"s ɛ l z ")</f>
        <v>s ɛ l z </v>
      </c>
    </row>
    <row r="3713">
      <c r="A3713" s="1" t="s">
        <v>3714</v>
      </c>
      <c r="B3713" s="1" t="s">
        <v>5</v>
      </c>
      <c r="C3713" s="2">
        <f>IFERROR(__xludf.DUMMYFUNCTION("IFERROR(VLOOKUP(A3713, IMPORTRANGE(""https://docs.google.com/spreadsheets/d/1AVX9GT0dgogEBStecCXMMQ29tWz3gBrtNB8yIromXbY/edit?gid=741673867"", ""out1g!A:B""), 2, FALSE), 0)"),8740.0)</f>
        <v>8740</v>
      </c>
      <c r="D3713" s="2" t="str">
        <f>IFERROR(__xludf.DUMMYFUNCTION("IFERROR(VLOOKUP(A3713, IMPORTRANGE(""https://docs.google.com/spreadsheets/d/1-3Vjw2Cyy-mry5gbC8ypIR3YVGFfEpyFESummAta6sg/edit"", ""Sheet1!B:D""), 2, FALSE), ""Not Found"")"),"glæd")</f>
        <v>glæd</v>
      </c>
      <c r="E3713" s="2" t="str">
        <f>IFERROR(__xludf.DUMMYFUNCTION("IFERROR(VLOOKUP(A3713, IMPORTRANGE(""https://docs.google.com/spreadsheets/d/1-3Vjw2Cyy-mry5gbC8ypIR3YVGFfEpyFESummAta6sg/edit"", ""Sheet1!B:D""), 3, FALSE), ""Not Found"")"),"g l æ d ")</f>
        <v>g l æ d </v>
      </c>
    </row>
    <row r="3714">
      <c r="A3714" s="1" t="s">
        <v>3715</v>
      </c>
      <c r="B3714" s="1" t="s">
        <v>5</v>
      </c>
      <c r="C3714" s="2">
        <f>IFERROR(__xludf.DUMMYFUNCTION("IFERROR(VLOOKUP(A3714, IMPORTRANGE(""https://docs.google.com/spreadsheets/d/1AVX9GT0dgogEBStecCXMMQ29tWz3gBrtNB8yIromXbY/edit?gid=741673867"", ""out1g!A:B""), 2, FALSE), 0)"),28413.0)</f>
        <v>28413</v>
      </c>
      <c r="D3714" s="2" t="str">
        <f>IFERROR(__xludf.DUMMYFUNCTION("IFERROR(VLOOKUP(A3714, IMPORTRANGE(""https://docs.google.com/spreadsheets/d/1-3Vjw2Cyy-mry5gbC8ypIR3YVGFfEpyFESummAta6sg/edit"", ""Sheet1!B:D""), 2, FALSE), ""Not Found"")"),"gərl")</f>
        <v>gərl</v>
      </c>
      <c r="E3714" s="2" t="str">
        <f>IFERROR(__xludf.DUMMYFUNCTION("IFERROR(VLOOKUP(A3714, IMPORTRANGE(""https://docs.google.com/spreadsheets/d/1-3Vjw2Cyy-mry5gbC8ypIR3YVGFfEpyFESummAta6sg/edit"", ""Sheet1!B:D""), 3, FALSE), ""Not Found"")"),"g ə r l ")</f>
        <v>g ə r l </v>
      </c>
    </row>
    <row r="3715">
      <c r="A3715" s="1" t="s">
        <v>3716</v>
      </c>
      <c r="B3715" s="1" t="s">
        <v>5</v>
      </c>
      <c r="C3715" s="2">
        <f>IFERROR(__xludf.DUMMYFUNCTION("IFERROR(VLOOKUP(A3715, IMPORTRANGE(""https://docs.google.com/spreadsheets/d/1AVX9GT0dgogEBStecCXMMQ29tWz3gBrtNB8yIromXbY/edit?gid=741673867"", ""out1g!A:B""), 2, FALSE), 0)"),47.0)</f>
        <v>47</v>
      </c>
      <c r="D3715" s="2" t="str">
        <f>IFERROR(__xludf.DUMMYFUNCTION("IFERROR(VLOOKUP(A3715, IMPORTRANGE(""https://docs.google.com/spreadsheets/d/1-3Vjw2Cyy-mry5gbC8ypIR3YVGFfEpyFESummAta6sg/edit"", ""Sheet1!B:D""), 2, FALSE), ""Not Found"")"),"ɪʧ")</f>
        <v>ɪʧ</v>
      </c>
      <c r="E3715" s="2" t="str">
        <f>IFERROR(__xludf.DUMMYFUNCTION("IFERROR(VLOOKUP(A3715, IMPORTRANGE(""https://docs.google.com/spreadsheets/d/1-3Vjw2Cyy-mry5gbC8ypIR3YVGFfEpyFESummAta6sg/edit"", ""Sheet1!B:D""), 3, FALSE), ""Not Found"")"),"ɪ ʧ ")</f>
        <v>ɪ ʧ </v>
      </c>
    </row>
    <row r="3716">
      <c r="A3716" s="1" t="s">
        <v>3717</v>
      </c>
      <c r="B3716" s="1" t="s">
        <v>5</v>
      </c>
      <c r="C3716" s="2">
        <f>IFERROR(__xludf.DUMMYFUNCTION("IFERROR(VLOOKUP(A3716, IMPORTRANGE(""https://docs.google.com/spreadsheets/d/1AVX9GT0dgogEBStecCXMMQ29tWz3gBrtNB8yIromXbY/edit?gid=741673867"", ""out1g!A:B""), 2, FALSE), 0)"),327.0)</f>
        <v>327</v>
      </c>
      <c r="D3716" s="2" t="str">
        <f>IFERROR(__xludf.DUMMYFUNCTION("IFERROR(VLOOKUP(A3716, IMPORTRANGE(""https://docs.google.com/spreadsheets/d/1-3Vjw2Cyy-mry5gbC8ypIR3YVGFfEpyFESummAta6sg/edit"", ""Sheet1!B:D""), 2, FALSE), ""Not Found"")"),"stərn")</f>
        <v>stərn</v>
      </c>
      <c r="E3716" s="2" t="str">
        <f>IFERROR(__xludf.DUMMYFUNCTION("IFERROR(VLOOKUP(A3716, IMPORTRANGE(""https://docs.google.com/spreadsheets/d/1-3Vjw2Cyy-mry5gbC8ypIR3YVGFfEpyFESummAta6sg/edit"", ""Sheet1!B:D""), 3, FALSE), ""Not Found"")"),"s t ə r n ")</f>
        <v>s t ə r n </v>
      </c>
    </row>
    <row r="3717">
      <c r="A3717" s="1" t="s">
        <v>3718</v>
      </c>
      <c r="B3717" s="1" t="s">
        <v>5</v>
      </c>
      <c r="C3717" s="2">
        <f>IFERROR(__xludf.DUMMYFUNCTION("IFERROR(VLOOKUP(A3717, IMPORTRANGE(""https://docs.google.com/spreadsheets/d/1AVX9GT0dgogEBStecCXMMQ29tWz3gBrtNB8yIromXbY/edit?gid=741673867"", ""out1g!A:B""), 2, FALSE), 0)"),47.0)</f>
        <v>47</v>
      </c>
      <c r="D3717" s="2" t="str">
        <f>IFERROR(__xludf.DUMMYFUNCTION("IFERROR(VLOOKUP(A3717, IMPORTRANGE(""https://docs.google.com/spreadsheets/d/1-3Vjw2Cyy-mry5gbC8ypIR3YVGFfEpyFESummAta6sg/edit"", ""Sheet1!B:D""), 2, FALSE), ""Not Found"")"),"gəli")</f>
        <v>gəli</v>
      </c>
      <c r="E3717" s="2" t="str">
        <f>IFERROR(__xludf.DUMMYFUNCTION("IFERROR(VLOOKUP(A3717, IMPORTRANGE(""https://docs.google.com/spreadsheets/d/1-3Vjw2Cyy-mry5gbC8ypIR3YVGFfEpyFESummAta6sg/edit"", ""Sheet1!B:D""), 3, FALSE), ""Not Found"")"),"g ə l i ")</f>
        <v>g ə l i </v>
      </c>
    </row>
    <row r="3718">
      <c r="A3718" s="1" t="s">
        <v>3719</v>
      </c>
      <c r="B3718" s="1" t="s">
        <v>5</v>
      </c>
      <c r="C3718" s="2">
        <f>IFERROR(__xludf.DUMMYFUNCTION("IFERROR(VLOOKUP(A3718, IMPORTRANGE(""https://docs.google.com/spreadsheets/d/1AVX9GT0dgogEBStecCXMMQ29tWz3gBrtNB8yIromXbY/edit?gid=741673867"", ""out1g!A:B""), 2, FALSE), 0)"),37679.0)</f>
        <v>37679</v>
      </c>
      <c r="D3718" s="2" t="str">
        <f>IFERROR(__xludf.DUMMYFUNCTION("IFERROR(VLOOKUP(A3718, IMPORTRANGE(""https://docs.google.com/spreadsheets/d/1-3Vjw2Cyy-mry5gbC8ypIR3YVGFfEpyFESummAta6sg/edit"", ""Sheet1!B:D""), 2, FALSE), ""Not Found"")"),"ðən")</f>
        <v>ðən</v>
      </c>
      <c r="E3718" s="2" t="str">
        <f>IFERROR(__xludf.DUMMYFUNCTION("IFERROR(VLOOKUP(A3718, IMPORTRANGE(""https://docs.google.com/spreadsheets/d/1-3Vjw2Cyy-mry5gbC8ypIR3YVGFfEpyFESummAta6sg/edit"", ""Sheet1!B:D""), 3, FALSE), ""Not Found"")"),"ð ə n ")</f>
        <v>ð ə n </v>
      </c>
    </row>
    <row r="3719">
      <c r="A3719" s="1" t="s">
        <v>3720</v>
      </c>
      <c r="B3719" s="1" t="s">
        <v>5</v>
      </c>
      <c r="C3719" s="2">
        <f>IFERROR(__xludf.DUMMYFUNCTION("IFERROR(VLOOKUP(A3719, IMPORTRANGE(""https://docs.google.com/spreadsheets/d/1AVX9GT0dgogEBStecCXMMQ29tWz3gBrtNB8yIromXbY/edit?gid=741673867"", ""out1g!A:B""), 2, FALSE), 0)"),500.0)</f>
        <v>500</v>
      </c>
      <c r="D3719" s="2" t="str">
        <f>IFERROR(__xludf.DUMMYFUNCTION("IFERROR(VLOOKUP(A3719, IMPORTRANGE(""https://docs.google.com/spreadsheets/d/1-3Vjw2Cyy-mry5gbC8ypIR3YVGFfEpyFESummAta6sg/edit"", ""Sheet1!B:D""), 2, FALSE), ""Not Found"")"),"məmi")</f>
        <v>məmi</v>
      </c>
      <c r="E3719" s="2" t="str">
        <f>IFERROR(__xludf.DUMMYFUNCTION("IFERROR(VLOOKUP(A3719, IMPORTRANGE(""https://docs.google.com/spreadsheets/d/1-3Vjw2Cyy-mry5gbC8ypIR3YVGFfEpyFESummAta6sg/edit"", ""Sheet1!B:D""), 3, FALSE), ""Not Found"")"),"m ə m i ")</f>
        <v>m ə m i </v>
      </c>
    </row>
    <row r="3720">
      <c r="A3720" s="1" t="s">
        <v>3721</v>
      </c>
      <c r="B3720" s="1" t="s">
        <v>5</v>
      </c>
      <c r="C3720" s="2">
        <f>IFERROR(__xludf.DUMMYFUNCTION("IFERROR(VLOOKUP(A3720, IMPORTRANGE(""https://docs.google.com/spreadsheets/d/1AVX9GT0dgogEBStecCXMMQ29tWz3gBrtNB8yIromXbY/edit?gid=741673867"", ""out1g!A:B""), 2, FALSE), 0)"),707.0)</f>
        <v>707</v>
      </c>
      <c r="D3720" s="2" t="str">
        <f>IFERROR(__xludf.DUMMYFUNCTION("IFERROR(VLOOKUP(A3720, IMPORTRANGE(""https://docs.google.com/spreadsheets/d/1-3Vjw2Cyy-mry5gbC8ypIR3YVGFfEpyFESummAta6sg/edit"", ""Sheet1!B:D""), 2, FALSE), ""Not Found"")"),"klɔz")</f>
        <v>klɔz</v>
      </c>
      <c r="E3720" s="2" t="str">
        <f>IFERROR(__xludf.DUMMYFUNCTION("IFERROR(VLOOKUP(A3720, IMPORTRANGE(""https://docs.google.com/spreadsheets/d/1-3Vjw2Cyy-mry5gbC8ypIR3YVGFfEpyFESummAta6sg/edit"", ""Sheet1!B:D""), 3, FALSE), ""Not Found"")"),"k l ɔ z ")</f>
        <v>k l ɔ z </v>
      </c>
    </row>
    <row r="3721">
      <c r="A3721" s="1" t="s">
        <v>3722</v>
      </c>
      <c r="B3721" s="1" t="s">
        <v>5</v>
      </c>
      <c r="C3721" s="2">
        <f>IFERROR(__xludf.DUMMYFUNCTION("IFERROR(VLOOKUP(A3721, IMPORTRANGE(""https://docs.google.com/spreadsheets/d/1AVX9GT0dgogEBStecCXMMQ29tWz3gBrtNB8yIromXbY/edit?gid=741673867"", ""out1g!A:B""), 2, FALSE), 0)"),2353.0)</f>
        <v>2353</v>
      </c>
      <c r="D3721" s="2" t="str">
        <f>IFERROR(__xludf.DUMMYFUNCTION("IFERROR(VLOOKUP(A3721, IMPORTRANGE(""https://docs.google.com/spreadsheets/d/1-3Vjw2Cyy-mry5gbC8ypIR3YVGFfEpyFESummAta6sg/edit"", ""Sheet1!B:D""), 2, FALSE), ""Not Found"")"),"saɪz")</f>
        <v>saɪz</v>
      </c>
      <c r="E3721" s="2" t="str">
        <f>IFERROR(__xludf.DUMMYFUNCTION("IFERROR(VLOOKUP(A3721, IMPORTRANGE(""https://docs.google.com/spreadsheets/d/1-3Vjw2Cyy-mry5gbC8ypIR3YVGFfEpyFESummAta6sg/edit"", ""Sheet1!B:D""), 3, FALSE), ""Not Found"")"),"s a ɪ z ")</f>
        <v>s a ɪ z </v>
      </c>
    </row>
    <row r="3722">
      <c r="A3722" s="1" t="s">
        <v>3723</v>
      </c>
      <c r="B3722" s="1" t="s">
        <v>5</v>
      </c>
      <c r="C3722" s="2">
        <f>IFERROR(__xludf.DUMMYFUNCTION("IFERROR(VLOOKUP(A3722, IMPORTRANGE(""https://docs.google.com/spreadsheets/d/1AVX9GT0dgogEBStecCXMMQ29tWz3gBrtNB8yIromXbY/edit?gid=741673867"", ""out1g!A:B""), 2, FALSE), 0)"),5291.0)</f>
        <v>5291</v>
      </c>
      <c r="D3722" s="2" t="str">
        <f>IFERROR(__xludf.DUMMYFUNCTION("IFERROR(VLOOKUP(A3722, IMPORTRANGE(""https://docs.google.com/spreadsheets/d/1-3Vjw2Cyy-mry5gbC8ypIR3YVGFfEpyFESummAta6sg/edit"", ""Sheet1!B:D""), 2, FALSE), ""Not Found"")"),"həm")</f>
        <v>həm</v>
      </c>
      <c r="E3722" s="2" t="str">
        <f>IFERROR(__xludf.DUMMYFUNCTION("IFERROR(VLOOKUP(A3722, IMPORTRANGE(""https://docs.google.com/spreadsheets/d/1-3Vjw2Cyy-mry5gbC8ypIR3YVGFfEpyFESummAta6sg/edit"", ""Sheet1!B:D""), 3, FALSE), ""Not Found"")"),"h ə m ")</f>
        <v>h ə m </v>
      </c>
    </row>
    <row r="3723">
      <c r="A3723" s="1" t="s">
        <v>3724</v>
      </c>
      <c r="B3723" s="1" t="s">
        <v>5</v>
      </c>
      <c r="C3723" s="2">
        <f>IFERROR(__xludf.DUMMYFUNCTION("IFERROR(VLOOKUP(A3723, IMPORTRANGE(""https://docs.google.com/spreadsheets/d/1AVX9GT0dgogEBStecCXMMQ29tWz3gBrtNB8yIromXbY/edit?gid=741673867"", ""out1g!A:B""), 2, FALSE), 0)"),473.0)</f>
        <v>473</v>
      </c>
      <c r="D3723" s="2" t="str">
        <f>IFERROR(__xludf.DUMMYFUNCTION("IFERROR(VLOOKUP(A3723, IMPORTRANGE(""https://docs.google.com/spreadsheets/d/1-3Vjw2Cyy-mry5gbC8ypIR3YVGFfEpyFESummAta6sg/edit"", ""Sheet1!B:D""), 2, FALSE), ""Not Found"")"),"ɛrər")</f>
        <v>ɛrər</v>
      </c>
      <c r="E3723" s="2" t="str">
        <f>IFERROR(__xludf.DUMMYFUNCTION("IFERROR(VLOOKUP(A3723, IMPORTRANGE(""https://docs.google.com/spreadsheets/d/1-3Vjw2Cyy-mry5gbC8ypIR3YVGFfEpyFESummAta6sg/edit"", ""Sheet1!B:D""), 3, FALSE), ""Not Found"")"),"ɛ r ə r ")</f>
        <v>ɛ r ə r </v>
      </c>
    </row>
    <row r="3724">
      <c r="A3724" s="1" t="s">
        <v>3725</v>
      </c>
      <c r="B3724" s="1" t="s">
        <v>5</v>
      </c>
      <c r="C3724" s="2">
        <f>IFERROR(__xludf.DUMMYFUNCTION("IFERROR(VLOOKUP(A3724, IMPORTRANGE(""https://docs.google.com/spreadsheets/d/1AVX9GT0dgogEBStecCXMMQ29tWz3gBrtNB8yIromXbY/edit?gid=741673867"", ""out1g!A:B""), 2, FALSE), 0)"),48.0)</f>
        <v>48</v>
      </c>
      <c r="D3724" s="2" t="str">
        <f>IFERROR(__xludf.DUMMYFUNCTION("IFERROR(VLOOKUP(A3724, IMPORTRANGE(""https://docs.google.com/spreadsheets/d/1-3Vjw2Cyy-mry5gbC8ypIR3YVGFfEpyFESummAta6sg/edit"", ""Sheet1!B:D""), 2, FALSE), ""Not Found"")"),"koʊlz")</f>
        <v>koʊlz</v>
      </c>
      <c r="E3724" s="2" t="str">
        <f>IFERROR(__xludf.DUMMYFUNCTION("IFERROR(VLOOKUP(A3724, IMPORTRANGE(""https://docs.google.com/spreadsheets/d/1-3Vjw2Cyy-mry5gbC8ypIR3YVGFfEpyFESummAta6sg/edit"", ""Sheet1!B:D""), 3, FALSE), ""Not Found"")"),"k o ʊ l z ")</f>
        <v>k o ʊ l z </v>
      </c>
    </row>
    <row r="3725">
      <c r="A3725" s="1" t="s">
        <v>3726</v>
      </c>
      <c r="B3725" s="1" t="s">
        <v>5</v>
      </c>
      <c r="C3725" s="2">
        <f>IFERROR(__xludf.DUMMYFUNCTION("IFERROR(VLOOKUP(A3725, IMPORTRANGE(""https://docs.google.com/spreadsheets/d/1AVX9GT0dgogEBStecCXMMQ29tWz3gBrtNB8yIromXbY/edit?gid=741673867"", ""out1g!A:B""), 2, FALSE), 0)"),1410.0)</f>
        <v>1410</v>
      </c>
      <c r="D3725" s="2" t="str">
        <f>IFERROR(__xludf.DUMMYFUNCTION("IFERROR(VLOOKUP(A3725, IMPORTRANGE(""https://docs.google.com/spreadsheets/d/1-3Vjw2Cyy-mry5gbC8ypIR3YVGFfEpyFESummAta6sg/edit"", ""Sheet1!B:D""), 2, FALSE), ""Not Found"")"),"wɪʧ")</f>
        <v>wɪʧ</v>
      </c>
      <c r="E3725" s="2" t="str">
        <f>IFERROR(__xludf.DUMMYFUNCTION("IFERROR(VLOOKUP(A3725, IMPORTRANGE(""https://docs.google.com/spreadsheets/d/1-3Vjw2Cyy-mry5gbC8ypIR3YVGFfEpyFESummAta6sg/edit"", ""Sheet1!B:D""), 3, FALSE), ""Not Found"")"),"w ɪ ʧ ")</f>
        <v>w ɪ ʧ </v>
      </c>
    </row>
    <row r="3726">
      <c r="A3726" s="1" t="s">
        <v>3727</v>
      </c>
      <c r="B3726" s="1" t="s">
        <v>5</v>
      </c>
      <c r="C3726" s="2">
        <f>IFERROR(__xludf.DUMMYFUNCTION("IFERROR(VLOOKUP(A3726, IMPORTRANGE(""https://docs.google.com/spreadsheets/d/1AVX9GT0dgogEBStecCXMMQ29tWz3gBrtNB8yIromXbY/edit?gid=741673867"", ""out1g!A:B""), 2, FALSE), 0)"),95.0)</f>
        <v>95</v>
      </c>
      <c r="D3726" s="2" t="str">
        <f>IFERROR(__xludf.DUMMYFUNCTION("IFERROR(VLOOKUP(A3726, IMPORTRANGE(""https://docs.google.com/spreadsheets/d/1-3Vjw2Cyy-mry5gbC8ypIR3YVGFfEpyFESummAta6sg/edit"", ""Sheet1!B:D""), 2, FALSE), ""Not Found"")"),"bægd")</f>
        <v>bægd</v>
      </c>
      <c r="E3726" s="2" t="str">
        <f>IFERROR(__xludf.DUMMYFUNCTION("IFERROR(VLOOKUP(A3726, IMPORTRANGE(""https://docs.google.com/spreadsheets/d/1-3Vjw2Cyy-mry5gbC8ypIR3YVGFfEpyFESummAta6sg/edit"", ""Sheet1!B:D""), 3, FALSE), ""Not Found"")"),"b æ g d ")</f>
        <v>b æ g d </v>
      </c>
    </row>
    <row r="3727">
      <c r="A3727" s="1" t="s">
        <v>3728</v>
      </c>
      <c r="B3727" s="1" t="s">
        <v>5</v>
      </c>
      <c r="C3727" s="2">
        <f>IFERROR(__xludf.DUMMYFUNCTION("IFERROR(VLOOKUP(A3727, IMPORTRANGE(""https://docs.google.com/spreadsheets/d/1AVX9GT0dgogEBStecCXMMQ29tWz3gBrtNB8yIromXbY/edit?gid=741673867"", ""out1g!A:B""), 2, FALSE), 0)"),21.0)</f>
        <v>21</v>
      </c>
      <c r="D3727" s="2" t="str">
        <f>IFERROR(__xludf.DUMMYFUNCTION("IFERROR(VLOOKUP(A3727, IMPORTRANGE(""https://docs.google.com/spreadsheets/d/1-3Vjw2Cyy-mry5gbC8ypIR3YVGFfEpyFESummAta6sg/edit"", ""Sheet1!B:D""), 2, FALSE), ""Not Found"")"),"praɪdz")</f>
        <v>praɪdz</v>
      </c>
      <c r="E3727" s="2" t="str">
        <f>IFERROR(__xludf.DUMMYFUNCTION("IFERROR(VLOOKUP(A3727, IMPORTRANGE(""https://docs.google.com/spreadsheets/d/1-3Vjw2Cyy-mry5gbC8ypIR3YVGFfEpyFESummAta6sg/edit"", ""Sheet1!B:D""), 3, FALSE), ""Not Found"")"),"p r a ɪ d z ")</f>
        <v>p r a ɪ d z </v>
      </c>
    </row>
    <row r="3728">
      <c r="A3728" s="1" t="s">
        <v>3729</v>
      </c>
      <c r="B3728" s="1" t="s">
        <v>5</v>
      </c>
      <c r="C3728" s="2">
        <f>IFERROR(__xludf.DUMMYFUNCTION("IFERROR(VLOOKUP(A3728, IMPORTRANGE(""https://docs.google.com/spreadsheets/d/1AVX9GT0dgogEBStecCXMMQ29tWz3gBrtNB8yIromXbY/edit?gid=741673867"", ""out1g!A:B""), 2, FALSE), 0)"),291.0)</f>
        <v>291</v>
      </c>
      <c r="D3728" s="2" t="str">
        <f>IFERROR(__xludf.DUMMYFUNCTION("IFERROR(VLOOKUP(A3728, IMPORTRANGE(""https://docs.google.com/spreadsheets/d/1-3Vjw2Cyy-mry5gbC8ypIR3YVGFfEpyFESummAta6sg/edit"", ""Sheet1!B:D""), 2, FALSE), ""Not Found"")"),"ɪrə")</f>
        <v>ɪrə</v>
      </c>
      <c r="E3728" s="2" t="str">
        <f>IFERROR(__xludf.DUMMYFUNCTION("IFERROR(VLOOKUP(A3728, IMPORTRANGE(""https://docs.google.com/spreadsheets/d/1-3Vjw2Cyy-mry5gbC8ypIR3YVGFfEpyFESummAta6sg/edit"", ""Sheet1!B:D""), 3, FALSE), ""Not Found"")"),"ɪ r ə ")</f>
        <v>ɪ r ə </v>
      </c>
    </row>
    <row r="3729">
      <c r="A3729" s="1" t="s">
        <v>3730</v>
      </c>
      <c r="B3729" s="1" t="s">
        <v>5</v>
      </c>
      <c r="C3729" s="2">
        <f>IFERROR(__xludf.DUMMYFUNCTION("IFERROR(VLOOKUP(A3729, IMPORTRANGE(""https://docs.google.com/spreadsheets/d/1AVX9GT0dgogEBStecCXMMQ29tWz3gBrtNB8yIromXbY/edit?gid=741673867"", ""out1g!A:B""), 2, FALSE), 0)"),203.0)</f>
        <v>203</v>
      </c>
      <c r="D3729" s="2" t="str">
        <f>IFERROR(__xludf.DUMMYFUNCTION("IFERROR(VLOOKUP(A3729, IMPORTRANGE(""https://docs.google.com/spreadsheets/d/1-3Vjw2Cyy-mry5gbC8ypIR3YVGFfEpyFESummAta6sg/edit"", ""Sheet1!B:D""), 2, FALSE), ""Not Found"")"),"kwɪnsi")</f>
        <v>kwɪnsi</v>
      </c>
      <c r="E3729" s="2" t="str">
        <f>IFERROR(__xludf.DUMMYFUNCTION("IFERROR(VLOOKUP(A3729, IMPORTRANGE(""https://docs.google.com/spreadsheets/d/1-3Vjw2Cyy-mry5gbC8ypIR3YVGFfEpyFESummAta6sg/edit"", ""Sheet1!B:D""), 3, FALSE), ""Not Found"")"),"k w ɪ n s i ")</f>
        <v>k w ɪ n s i </v>
      </c>
    </row>
    <row r="3730">
      <c r="A3730" s="1" t="s">
        <v>3731</v>
      </c>
      <c r="B3730" s="1" t="s">
        <v>5</v>
      </c>
      <c r="C3730" s="2">
        <f>IFERROR(__xludf.DUMMYFUNCTION("IFERROR(VLOOKUP(A3730, IMPORTRANGE(""https://docs.google.com/spreadsheets/d/1AVX9GT0dgogEBStecCXMMQ29tWz3gBrtNB8yIromXbY/edit?gid=741673867"", ""out1g!A:B""), 2, FALSE), 0)"),51.0)</f>
        <v>51</v>
      </c>
      <c r="D3730" s="2" t="str">
        <f>IFERROR(__xludf.DUMMYFUNCTION("IFERROR(VLOOKUP(A3730, IMPORTRANGE(""https://docs.google.com/spreadsheets/d/1-3Vjw2Cyy-mry5gbC8ypIR3YVGFfEpyFESummAta6sg/edit"", ""Sheet1!B:D""), 2, FALSE), ""Not Found"")"),"hɪðər")</f>
        <v>hɪðər</v>
      </c>
      <c r="E3730" s="2" t="str">
        <f>IFERROR(__xludf.DUMMYFUNCTION("IFERROR(VLOOKUP(A3730, IMPORTRANGE(""https://docs.google.com/spreadsheets/d/1-3Vjw2Cyy-mry5gbC8ypIR3YVGFfEpyFESummAta6sg/edit"", ""Sheet1!B:D""), 3, FALSE), ""Not Found"")"),"h ɪ ð ə r ")</f>
        <v>h ɪ ð ə r </v>
      </c>
    </row>
    <row r="3731">
      <c r="A3731" s="1" t="s">
        <v>3732</v>
      </c>
      <c r="B3731" s="1" t="s">
        <v>5</v>
      </c>
      <c r="C3731" s="2">
        <f>IFERROR(__xludf.DUMMYFUNCTION("IFERROR(VLOOKUP(A3731, IMPORTRANGE(""https://docs.google.com/spreadsheets/d/1AVX9GT0dgogEBStecCXMMQ29tWz3gBrtNB8yIromXbY/edit?gid=741673867"", ""out1g!A:B""), 2, FALSE), 0)"),674.0)</f>
        <v>674</v>
      </c>
      <c r="D3731" s="2" t="str">
        <f>IFERROR(__xludf.DUMMYFUNCTION("IFERROR(VLOOKUP(A3731, IMPORTRANGE(""https://docs.google.com/spreadsheets/d/1-3Vjw2Cyy-mry5gbC8ypIR3YVGFfEpyFESummAta6sg/edit"", ""Sheet1!B:D""), 2, FALSE), ""Not Found"")"),"hət")</f>
        <v>hət</v>
      </c>
      <c r="E3731" s="2" t="str">
        <f>IFERROR(__xludf.DUMMYFUNCTION("IFERROR(VLOOKUP(A3731, IMPORTRANGE(""https://docs.google.com/spreadsheets/d/1-3Vjw2Cyy-mry5gbC8ypIR3YVGFfEpyFESummAta6sg/edit"", ""Sheet1!B:D""), 3, FALSE), ""Not Found"")"),"h ə t ")</f>
        <v>h ə t </v>
      </c>
    </row>
    <row r="3732">
      <c r="A3732" s="1" t="s">
        <v>3733</v>
      </c>
      <c r="B3732" s="1" t="s">
        <v>5</v>
      </c>
      <c r="C3732" s="2">
        <f>IFERROR(__xludf.DUMMYFUNCTION("IFERROR(VLOOKUP(A3732, IMPORTRANGE(""https://docs.google.com/spreadsheets/d/1AVX9GT0dgogEBStecCXMMQ29tWz3gBrtNB8yIromXbY/edit?gid=741673867"", ""out1g!A:B""), 2, FALSE), 0)"),101.0)</f>
        <v>101</v>
      </c>
      <c r="D3732" s="2" t="str">
        <f>IFERROR(__xludf.DUMMYFUNCTION("IFERROR(VLOOKUP(A3732, IMPORTRANGE(""https://docs.google.com/spreadsheets/d/1-3Vjw2Cyy-mry5gbC8ypIR3YVGFfEpyFESummAta6sg/edit"", ""Sheet1!B:D""), 2, FALSE), ""Not Found"")"),"ʤud")</f>
        <v>ʤud</v>
      </c>
      <c r="E3732" s="2" t="str">
        <f>IFERROR(__xludf.DUMMYFUNCTION("IFERROR(VLOOKUP(A3732, IMPORTRANGE(""https://docs.google.com/spreadsheets/d/1-3Vjw2Cyy-mry5gbC8ypIR3YVGFfEpyFESummAta6sg/edit"", ""Sheet1!B:D""), 3, FALSE), ""Not Found"")"),"ʤ u d ")</f>
        <v>ʤ u d </v>
      </c>
    </row>
    <row r="3733">
      <c r="A3733" s="1" t="s">
        <v>3734</v>
      </c>
      <c r="B3733" s="1" t="s">
        <v>5</v>
      </c>
      <c r="C3733" s="2">
        <f>IFERROR(__xludf.DUMMYFUNCTION("IFERROR(VLOOKUP(A3733, IMPORTRANGE(""https://docs.google.com/spreadsheets/d/1AVX9GT0dgogEBStecCXMMQ29tWz3gBrtNB8yIromXbY/edit?gid=741673867"", ""out1g!A:B""), 2, FALSE), 0)"),53.0)</f>
        <v>53</v>
      </c>
      <c r="D3733" s="2" t="str">
        <f>IFERROR(__xludf.DUMMYFUNCTION("IFERROR(VLOOKUP(A3733, IMPORTRANGE(""https://docs.google.com/spreadsheets/d/1-3Vjw2Cyy-mry5gbC8ypIR3YVGFfEpyFESummAta6sg/edit"", ""Sheet1!B:D""), 2, FALSE), ""Not Found"")"),"gəlz")</f>
        <v>gəlz</v>
      </c>
      <c r="E3733" s="2" t="str">
        <f>IFERROR(__xludf.DUMMYFUNCTION("IFERROR(VLOOKUP(A3733, IMPORTRANGE(""https://docs.google.com/spreadsheets/d/1-3Vjw2Cyy-mry5gbC8ypIR3YVGFfEpyFESummAta6sg/edit"", ""Sheet1!B:D""), 3, FALSE), ""Not Found"")"),"g ə l z ")</f>
        <v>g ə l z </v>
      </c>
    </row>
    <row r="3734">
      <c r="A3734" s="1" t="s">
        <v>3735</v>
      </c>
      <c r="B3734" s="1" t="s">
        <v>5</v>
      </c>
      <c r="C3734" s="2">
        <f>IFERROR(__xludf.DUMMYFUNCTION("IFERROR(VLOOKUP(A3734, IMPORTRANGE(""https://docs.google.com/spreadsheets/d/1AVX9GT0dgogEBStecCXMMQ29tWz3gBrtNB8yIromXbY/edit?gid=741673867"", ""out1g!A:B""), 2, FALSE), 0)"),157.0)</f>
        <v>157</v>
      </c>
      <c r="D3734" s="2" t="str">
        <f>IFERROR(__xludf.DUMMYFUNCTION("IFERROR(VLOOKUP(A3734, IMPORTRANGE(""https://docs.google.com/spreadsheets/d/1-3Vjw2Cyy-mry5gbC8ypIR3YVGFfEpyFESummAta6sg/edit"", ""Sheet1!B:D""), 2, FALSE), ""Not Found"")"),"ʃɪn")</f>
        <v>ʃɪn</v>
      </c>
      <c r="E3734" s="2" t="str">
        <f>IFERROR(__xludf.DUMMYFUNCTION("IFERROR(VLOOKUP(A3734, IMPORTRANGE(""https://docs.google.com/spreadsheets/d/1-3Vjw2Cyy-mry5gbC8ypIR3YVGFfEpyFESummAta6sg/edit"", ""Sheet1!B:D""), 3, FALSE), ""Not Found"")"),"ʃ ɪ n ")</f>
        <v>ʃ ɪ n </v>
      </c>
    </row>
    <row r="3735">
      <c r="A3735" s="1" t="s">
        <v>3736</v>
      </c>
      <c r="B3735" s="1" t="s">
        <v>5</v>
      </c>
      <c r="C3735" s="2">
        <f>IFERROR(__xludf.DUMMYFUNCTION("IFERROR(VLOOKUP(A3735, IMPORTRANGE(""https://docs.google.com/spreadsheets/d/1AVX9GT0dgogEBStecCXMMQ29tWz3gBrtNB8yIromXbY/edit?gid=741673867"", ""out1g!A:B""), 2, FALSE), 0)"),46104.0)</f>
        <v>46104</v>
      </c>
      <c r="D3735" s="2" t="str">
        <f>IFERROR(__xludf.DUMMYFUNCTION("IFERROR(VLOOKUP(A3735, IMPORTRANGE(""https://docs.google.com/spreadsheets/d/1-3Vjw2Cyy-mry5gbC8ypIR3YVGFfEpyFESummAta6sg/edit"", ""Sheet1!B:D""), 2, FALSE), ""Not Found"")"),"ðiz")</f>
        <v>ðiz</v>
      </c>
      <c r="E3735" s="2" t="str">
        <f>IFERROR(__xludf.DUMMYFUNCTION("IFERROR(VLOOKUP(A3735, IMPORTRANGE(""https://docs.google.com/spreadsheets/d/1-3Vjw2Cyy-mry5gbC8ypIR3YVGFfEpyFESummAta6sg/edit"", ""Sheet1!B:D""), 3, FALSE), ""Not Found"")"),"ð i z ")</f>
        <v>ð i z </v>
      </c>
    </row>
    <row r="3736">
      <c r="A3736" s="1" t="s">
        <v>3737</v>
      </c>
      <c r="B3736" s="1" t="s">
        <v>5</v>
      </c>
      <c r="C3736" s="2">
        <f>IFERROR(__xludf.DUMMYFUNCTION("IFERROR(VLOOKUP(A3736, IMPORTRANGE(""https://docs.google.com/spreadsheets/d/1AVX9GT0dgogEBStecCXMMQ29tWz3gBrtNB8yIromXbY/edit?gid=741673867"", ""out1g!A:B""), 2, FALSE), 0)"),85.0)</f>
        <v>85</v>
      </c>
      <c r="D3736" s="2" t="str">
        <f>IFERROR(__xludf.DUMMYFUNCTION("IFERROR(VLOOKUP(A3736, IMPORTRANGE(""https://docs.google.com/spreadsheets/d/1-3Vjw2Cyy-mry5gbC8ypIR3YVGFfEpyFESummAta6sg/edit"", ""Sheet1!B:D""), 2, FALSE), ""Not Found"")"),"kɑmd")</f>
        <v>kɑmd</v>
      </c>
      <c r="E3736" s="2" t="str">
        <f>IFERROR(__xludf.DUMMYFUNCTION("IFERROR(VLOOKUP(A3736, IMPORTRANGE(""https://docs.google.com/spreadsheets/d/1-3Vjw2Cyy-mry5gbC8ypIR3YVGFfEpyFESummAta6sg/edit"", ""Sheet1!B:D""), 3, FALSE), ""Not Found"")"),"k ɑ m d ")</f>
        <v>k ɑ m d </v>
      </c>
    </row>
    <row r="3737">
      <c r="A3737" s="1" t="s">
        <v>3738</v>
      </c>
      <c r="B3737" s="1" t="s">
        <v>5</v>
      </c>
      <c r="C3737" s="2">
        <f>IFERROR(__xludf.DUMMYFUNCTION("IFERROR(VLOOKUP(A3737, IMPORTRANGE(""https://docs.google.com/spreadsheets/d/1AVX9GT0dgogEBStecCXMMQ29tWz3gBrtNB8yIromXbY/edit?gid=741673867"", ""out1g!A:B""), 2, FALSE), 0)"),906.0)</f>
        <v>906</v>
      </c>
      <c r="D3737" s="2" t="str">
        <f>IFERROR(__xludf.DUMMYFUNCTION("IFERROR(VLOOKUP(A3737, IMPORTRANGE(""https://docs.google.com/spreadsheets/d/1-3Vjw2Cyy-mry5gbC8ypIR3YVGFfEpyFESummAta6sg/edit"", ""Sheet1!B:D""), 2, FALSE), ""Not Found"")"),"prɑm")</f>
        <v>prɑm</v>
      </c>
      <c r="E3737" s="2" t="str">
        <f>IFERROR(__xludf.DUMMYFUNCTION("IFERROR(VLOOKUP(A3737, IMPORTRANGE(""https://docs.google.com/spreadsheets/d/1-3Vjw2Cyy-mry5gbC8ypIR3YVGFfEpyFESummAta6sg/edit"", ""Sheet1!B:D""), 3, FALSE), ""Not Found"")"),"p r ɑ m ")</f>
        <v>p r ɑ m </v>
      </c>
    </row>
    <row r="3738">
      <c r="A3738" s="1" t="s">
        <v>3739</v>
      </c>
      <c r="B3738" s="1" t="s">
        <v>5</v>
      </c>
      <c r="C3738" s="2">
        <f>IFERROR(__xludf.DUMMYFUNCTION("IFERROR(VLOOKUP(A3738, IMPORTRANGE(""https://docs.google.com/spreadsheets/d/1AVX9GT0dgogEBStecCXMMQ29tWz3gBrtNB8yIromXbY/edit?gid=741673867"", ""out1g!A:B""), 2, FALSE), 0)"),1527.0)</f>
        <v>1527</v>
      </c>
      <c r="D3738" s="2" t="str">
        <f>IFERROR(__xludf.DUMMYFUNCTION("IFERROR(VLOOKUP(A3738, IMPORTRANGE(""https://docs.google.com/spreadsheets/d/1-3Vjw2Cyy-mry5gbC8ypIR3YVGFfEpyFESummAta6sg/edit"", ""Sheet1!B:D""), 2, FALSE), ""Not Found"")"),"groʊɪŋ")</f>
        <v>groʊɪŋ</v>
      </c>
      <c r="E3738" s="2" t="str">
        <f>IFERROR(__xludf.DUMMYFUNCTION("IFERROR(VLOOKUP(A3738, IMPORTRANGE(""https://docs.google.com/spreadsheets/d/1-3Vjw2Cyy-mry5gbC8ypIR3YVGFfEpyFESummAta6sg/edit"", ""Sheet1!B:D""), 3, FALSE), ""Not Found"")"),"g r o ʊ ɪ ŋ ")</f>
        <v>g r o ʊ ɪ ŋ </v>
      </c>
    </row>
    <row r="3739">
      <c r="A3739" s="1" t="s">
        <v>3740</v>
      </c>
      <c r="B3739" s="1" t="s">
        <v>5</v>
      </c>
      <c r="C3739" s="2">
        <f>IFERROR(__xludf.DUMMYFUNCTION("IFERROR(VLOOKUP(A3739, IMPORTRANGE(""https://docs.google.com/spreadsheets/d/1AVX9GT0dgogEBStecCXMMQ29tWz3gBrtNB8yIromXbY/edit?gid=741673867"", ""out1g!A:B""), 2, FALSE), 0)"),125.0)</f>
        <v>125</v>
      </c>
      <c r="D3739" s="2" t="str">
        <f>IFERROR(__xludf.DUMMYFUNCTION("IFERROR(VLOOKUP(A3739, IMPORTRANGE(""https://docs.google.com/spreadsheets/d/1-3Vjw2Cyy-mry5gbC8ypIR3YVGFfEpyFESummAta6sg/edit"", ""Sheet1!B:D""), 2, FALSE), ""Not Found"")"),"rənt")</f>
        <v>rənt</v>
      </c>
      <c r="E3739" s="2" t="str">
        <f>IFERROR(__xludf.DUMMYFUNCTION("IFERROR(VLOOKUP(A3739, IMPORTRANGE(""https://docs.google.com/spreadsheets/d/1-3Vjw2Cyy-mry5gbC8ypIR3YVGFfEpyFESummAta6sg/edit"", ""Sheet1!B:D""), 3, FALSE), ""Not Found"")"),"r ə n t ")</f>
        <v>r ə n t </v>
      </c>
    </row>
    <row r="3740">
      <c r="A3740" s="1" t="s">
        <v>3741</v>
      </c>
      <c r="B3740" s="1" t="s">
        <v>5</v>
      </c>
      <c r="C3740" s="2">
        <f>IFERROR(__xludf.DUMMYFUNCTION("IFERROR(VLOOKUP(A3740, IMPORTRANGE(""https://docs.google.com/spreadsheets/d/1AVX9GT0dgogEBStecCXMMQ29tWz3gBrtNB8yIromXbY/edit?gid=741673867"", ""out1g!A:B""), 2, FALSE), 0)"),187170.0)</f>
        <v>187170</v>
      </c>
      <c r="D3740" s="2" t="str">
        <f>IFERROR(__xludf.DUMMYFUNCTION("IFERROR(VLOOKUP(A3740, IMPORTRANGE(""https://docs.google.com/spreadsheets/d/1-3Vjw2Cyy-mry5gbC8ypIR3YVGFfEpyFESummAta6sg/edit"", ""Sheet1!B:D""), 2, FALSE), ""Not Found"")"),"əp")</f>
        <v>əp</v>
      </c>
      <c r="E3740" s="2" t="str">
        <f>IFERROR(__xludf.DUMMYFUNCTION("IFERROR(VLOOKUP(A3740, IMPORTRANGE(""https://docs.google.com/spreadsheets/d/1-3Vjw2Cyy-mry5gbC8ypIR3YVGFfEpyFESummAta6sg/edit"", ""Sheet1!B:D""), 3, FALSE), ""Not Found"")"),"ə p ")</f>
        <v>ə p </v>
      </c>
    </row>
    <row r="3741">
      <c r="A3741" s="1" t="s">
        <v>3742</v>
      </c>
      <c r="B3741" s="1" t="s">
        <v>5</v>
      </c>
      <c r="C3741" s="2">
        <f>IFERROR(__xludf.DUMMYFUNCTION("IFERROR(VLOOKUP(A3741, IMPORTRANGE(""https://docs.google.com/spreadsheets/d/1AVX9GT0dgogEBStecCXMMQ29tWz3gBrtNB8yIromXbY/edit?gid=741673867"", ""out1g!A:B""), 2, FALSE), 0)"),1461.0)</f>
        <v>1461</v>
      </c>
      <c r="D3741" s="2" t="str">
        <f>IFERROR(__xludf.DUMMYFUNCTION("IFERROR(VLOOKUP(A3741, IMPORTRANGE(""https://docs.google.com/spreadsheets/d/1-3Vjw2Cyy-mry5gbC8ypIR3YVGFfEpyFESummAta6sg/edit"", ""Sheet1!B:D""), 2, FALSE), ""Not Found"")"),"mɑrθə")</f>
        <v>mɑrθə</v>
      </c>
      <c r="E3741" s="2" t="str">
        <f>IFERROR(__xludf.DUMMYFUNCTION("IFERROR(VLOOKUP(A3741, IMPORTRANGE(""https://docs.google.com/spreadsheets/d/1-3Vjw2Cyy-mry5gbC8ypIR3YVGFfEpyFESummAta6sg/edit"", ""Sheet1!B:D""), 3, FALSE), ""Not Found"")"),"m ɑ r θ ə ")</f>
        <v>m ɑ r θ ə </v>
      </c>
    </row>
    <row r="3742">
      <c r="A3742" s="1" t="s">
        <v>3743</v>
      </c>
      <c r="B3742" s="1" t="s">
        <v>5</v>
      </c>
      <c r="C3742" s="2">
        <f>IFERROR(__xludf.DUMMYFUNCTION("IFERROR(VLOOKUP(A3742, IMPORTRANGE(""https://docs.google.com/spreadsheets/d/1AVX9GT0dgogEBStecCXMMQ29tWz3gBrtNB8yIromXbY/edit?gid=741673867"", ""out1g!A:B""), 2, FALSE), 0)"),90.0)</f>
        <v>90</v>
      </c>
      <c r="D3742" s="2" t="str">
        <f>IFERROR(__xludf.DUMMYFUNCTION("IFERROR(VLOOKUP(A3742, IMPORTRANGE(""https://docs.google.com/spreadsheets/d/1-3Vjw2Cyy-mry5gbC8ypIR3YVGFfEpyFESummAta6sg/edit"", ""Sheet1!B:D""), 2, FALSE), ""Not Found"")"),"dɪl")</f>
        <v>dɪl</v>
      </c>
      <c r="E3742" s="2" t="str">
        <f>IFERROR(__xludf.DUMMYFUNCTION("IFERROR(VLOOKUP(A3742, IMPORTRANGE(""https://docs.google.com/spreadsheets/d/1-3Vjw2Cyy-mry5gbC8ypIR3YVGFfEpyFESummAta6sg/edit"", ""Sheet1!B:D""), 3, FALSE), ""Not Found"")"),"d ɪ l ")</f>
        <v>d ɪ l </v>
      </c>
    </row>
    <row r="3743">
      <c r="A3743" s="1" t="s">
        <v>3744</v>
      </c>
      <c r="B3743" s="1" t="s">
        <v>5</v>
      </c>
      <c r="C3743" s="2">
        <f>IFERROR(__xludf.DUMMYFUNCTION("IFERROR(VLOOKUP(A3743, IMPORTRANGE(""https://docs.google.com/spreadsheets/d/1AVX9GT0dgogEBStecCXMMQ29tWz3gBrtNB8yIromXbY/edit?gid=741673867"", ""out1g!A:B""), 2, FALSE), 0)"),241.0)</f>
        <v>241</v>
      </c>
      <c r="D3743" s="2" t="str">
        <f>IFERROR(__xludf.DUMMYFUNCTION("IFERROR(VLOOKUP(A3743, IMPORTRANGE(""https://docs.google.com/spreadsheets/d/1-3Vjw2Cyy-mry5gbC8ypIR3YVGFfEpyFESummAta6sg/edit"", ""Sheet1!B:D""), 2, FALSE), ""Not Found"")"),"fʊlər")</f>
        <v>fʊlər</v>
      </c>
      <c r="E3743" s="2" t="str">
        <f>IFERROR(__xludf.DUMMYFUNCTION("IFERROR(VLOOKUP(A3743, IMPORTRANGE(""https://docs.google.com/spreadsheets/d/1-3Vjw2Cyy-mry5gbC8ypIR3YVGFfEpyFESummAta6sg/edit"", ""Sheet1!B:D""), 3, FALSE), ""Not Found"")"),"f ʊ l ə r ")</f>
        <v>f ʊ l ə r </v>
      </c>
    </row>
    <row r="3744">
      <c r="A3744" s="1" t="s">
        <v>3745</v>
      </c>
      <c r="B3744" s="1" t="s">
        <v>5</v>
      </c>
      <c r="C3744" s="2">
        <f>IFERROR(__xludf.DUMMYFUNCTION("IFERROR(VLOOKUP(A3744, IMPORTRANGE(""https://docs.google.com/spreadsheets/d/1AVX9GT0dgogEBStecCXMMQ29tWz3gBrtNB8yIromXbY/edit?gid=741673867"", ""out1g!A:B""), 2, FALSE), 0)"),184.0)</f>
        <v>184</v>
      </c>
      <c r="D3744" s="2" t="str">
        <f>IFERROR(__xludf.DUMMYFUNCTION("IFERROR(VLOOKUP(A3744, IMPORTRANGE(""https://docs.google.com/spreadsheets/d/1-3Vjw2Cyy-mry5gbC8ypIR3YVGFfEpyFESummAta6sg/edit"", ""Sheet1!B:D""), 2, FALSE), ""Not Found"")"),"getər")</f>
        <v>getər</v>
      </c>
      <c r="E3744" s="2" t="str">
        <f>IFERROR(__xludf.DUMMYFUNCTION("IFERROR(VLOOKUP(A3744, IMPORTRANGE(""https://docs.google.com/spreadsheets/d/1-3Vjw2Cyy-mry5gbC8ypIR3YVGFfEpyFESummAta6sg/edit"", ""Sheet1!B:D""), 3, FALSE), ""Not Found"")"),"g e t ə r ")</f>
        <v>g e t ə r </v>
      </c>
    </row>
    <row r="3745">
      <c r="A3745" s="1" t="s">
        <v>3746</v>
      </c>
      <c r="B3745" s="1" t="s">
        <v>5</v>
      </c>
      <c r="C3745" s="2">
        <f>IFERROR(__xludf.DUMMYFUNCTION("IFERROR(VLOOKUP(A3745, IMPORTRANGE(""https://docs.google.com/spreadsheets/d/1AVX9GT0dgogEBStecCXMMQ29tWz3gBrtNB8yIromXbY/edit?gid=741673867"", ""out1g!A:B""), 2, FALSE), 0)"),89.0)</f>
        <v>89</v>
      </c>
      <c r="D3745" s="2" t="str">
        <f>IFERROR(__xludf.DUMMYFUNCTION("IFERROR(VLOOKUP(A3745, IMPORTRANGE(""https://docs.google.com/spreadsheets/d/1-3Vjw2Cyy-mry5gbC8ypIR3YVGFfEpyFESummAta6sg/edit"", ""Sheet1!B:D""), 2, FALSE), ""Not Found"")"),"æpt")</f>
        <v>æpt</v>
      </c>
      <c r="E3745" s="2" t="str">
        <f>IFERROR(__xludf.DUMMYFUNCTION("IFERROR(VLOOKUP(A3745, IMPORTRANGE(""https://docs.google.com/spreadsheets/d/1-3Vjw2Cyy-mry5gbC8ypIR3YVGFfEpyFESummAta6sg/edit"", ""Sheet1!B:D""), 3, FALSE), ""Not Found"")"),"æ p t ")</f>
        <v>æ p t </v>
      </c>
    </row>
    <row r="3746">
      <c r="A3746" s="1" t="s">
        <v>3747</v>
      </c>
      <c r="B3746" s="1" t="s">
        <v>5</v>
      </c>
      <c r="C3746" s="2">
        <f>IFERROR(__xludf.DUMMYFUNCTION("IFERROR(VLOOKUP(A3746, IMPORTRANGE(""https://docs.google.com/spreadsheets/d/1AVX9GT0dgogEBStecCXMMQ29tWz3gBrtNB8yIromXbY/edit?gid=741673867"", ""out1g!A:B""), 2, FALSE), 0)"),52.0)</f>
        <v>52</v>
      </c>
      <c r="D3746" s="2" t="str">
        <f>IFERROR(__xludf.DUMMYFUNCTION("IFERROR(VLOOKUP(A3746, IMPORTRANGE(""https://docs.google.com/spreadsheets/d/1-3Vjw2Cyy-mry5gbC8ypIR3YVGFfEpyFESummAta6sg/edit"", ""Sheet1!B:D""), 2, FALSE), ""Not Found"")"),"ɔnti")</f>
        <v>ɔnti</v>
      </c>
      <c r="E3746" s="2" t="str">
        <f>IFERROR(__xludf.DUMMYFUNCTION("IFERROR(VLOOKUP(A3746, IMPORTRANGE(""https://docs.google.com/spreadsheets/d/1-3Vjw2Cyy-mry5gbC8ypIR3YVGFfEpyFESummAta6sg/edit"", ""Sheet1!B:D""), 3, FALSE), ""Not Found"")"),"ɔ n t i ")</f>
        <v>ɔ n t i </v>
      </c>
    </row>
    <row r="3747">
      <c r="A3747" s="1" t="s">
        <v>3748</v>
      </c>
      <c r="B3747" s="1" t="s">
        <v>5</v>
      </c>
      <c r="C3747" s="2">
        <f>IFERROR(__xludf.DUMMYFUNCTION("IFERROR(VLOOKUP(A3747, IMPORTRANGE(""https://docs.google.com/spreadsheets/d/1AVX9GT0dgogEBStecCXMMQ29tWz3gBrtNB8yIromXbY/edit?gid=741673867"", ""out1g!A:B""), 2, FALSE), 0)"),1309.0)</f>
        <v>1309</v>
      </c>
      <c r="D3747" s="2" t="str">
        <f>IFERROR(__xludf.DUMMYFUNCTION("IFERROR(VLOOKUP(A3747, IMPORTRANGE(""https://docs.google.com/spreadsheets/d/1-3Vjw2Cyy-mry5gbC8ypIR3YVGFfEpyFESummAta6sg/edit"", ""Sheet1!B:D""), 2, FALSE), ""Not Found"")"),"pʊsi")</f>
        <v>pʊsi</v>
      </c>
      <c r="E3747" s="2" t="str">
        <f>IFERROR(__xludf.DUMMYFUNCTION("IFERROR(VLOOKUP(A3747, IMPORTRANGE(""https://docs.google.com/spreadsheets/d/1-3Vjw2Cyy-mry5gbC8ypIR3YVGFfEpyFESummAta6sg/edit"", ""Sheet1!B:D""), 3, FALSE), ""Not Found"")"),"p ʊ s i ")</f>
        <v>p ʊ s i </v>
      </c>
    </row>
    <row r="3748">
      <c r="A3748" s="1" t="s">
        <v>3749</v>
      </c>
      <c r="B3748" s="1" t="s">
        <v>5</v>
      </c>
      <c r="C3748" s="2">
        <f>IFERROR(__xludf.DUMMYFUNCTION("IFERROR(VLOOKUP(A3748, IMPORTRANGE(""https://docs.google.com/spreadsheets/d/1AVX9GT0dgogEBStecCXMMQ29tWz3gBrtNB8yIromXbY/edit?gid=741673867"", ""out1g!A:B""), 2, FALSE), 0)"),723.0)</f>
        <v>723</v>
      </c>
      <c r="D3748" s="2" t="str">
        <f>IFERROR(__xludf.DUMMYFUNCTION("IFERROR(VLOOKUP(A3748, IMPORTRANGE(""https://docs.google.com/spreadsheets/d/1-3Vjw2Cyy-mry5gbC8ypIR3YVGFfEpyFESummAta6sg/edit"", ""Sheet1!B:D""), 2, FALSE), ""Not Found"")"),"ʃoʊn")</f>
        <v>ʃoʊn</v>
      </c>
      <c r="E3748" s="2" t="str">
        <f>IFERROR(__xludf.DUMMYFUNCTION("IFERROR(VLOOKUP(A3748, IMPORTRANGE(""https://docs.google.com/spreadsheets/d/1-3Vjw2Cyy-mry5gbC8ypIR3YVGFfEpyFESummAta6sg/edit"", ""Sheet1!B:D""), 3, FALSE), ""Not Found"")"),"ʃ o ʊ n ")</f>
        <v>ʃ o ʊ n </v>
      </c>
    </row>
    <row r="3749">
      <c r="A3749" s="1" t="s">
        <v>3750</v>
      </c>
      <c r="B3749" s="1" t="s">
        <v>5</v>
      </c>
      <c r="C3749" s="2">
        <f>IFERROR(__xludf.DUMMYFUNCTION("IFERROR(VLOOKUP(A3749, IMPORTRANGE(""https://docs.google.com/spreadsheets/d/1AVX9GT0dgogEBStecCXMMQ29tWz3gBrtNB8yIromXbY/edit?gid=741673867"", ""out1g!A:B""), 2, FALSE), 0)"),16246.0)</f>
        <v>16246</v>
      </c>
      <c r="D3749" s="2" t="str">
        <f>IFERROR(__xludf.DUMMYFUNCTION("IFERROR(VLOOKUP(A3749, IMPORTRANGE(""https://docs.google.com/spreadsheets/d/1-3Vjw2Cyy-mry5gbC8ypIR3YVGFfEpyFESummAta6sg/edit"", ""Sheet1!B:D""), 2, FALSE), ""Not Found"")"),"ɔrɛdi")</f>
        <v>ɔrɛdi</v>
      </c>
      <c r="E3749" s="2" t="str">
        <f>IFERROR(__xludf.DUMMYFUNCTION("IFERROR(VLOOKUP(A3749, IMPORTRANGE(""https://docs.google.com/spreadsheets/d/1-3Vjw2Cyy-mry5gbC8ypIR3YVGFfEpyFESummAta6sg/edit"", ""Sheet1!B:D""), 3, FALSE), ""Not Found"")"),"ɔ r ɛ d i ")</f>
        <v>ɔ r ɛ d i </v>
      </c>
    </row>
    <row r="3750">
      <c r="A3750" s="1" t="s">
        <v>3751</v>
      </c>
      <c r="B3750" s="1" t="s">
        <v>5</v>
      </c>
      <c r="C3750" s="2">
        <f>IFERROR(__xludf.DUMMYFUNCTION("IFERROR(VLOOKUP(A3750, IMPORTRANGE(""https://docs.google.com/spreadsheets/d/1AVX9GT0dgogEBStecCXMMQ29tWz3gBrtNB8yIromXbY/edit?gid=741673867"", ""out1g!A:B""), 2, FALSE), 0)"),76.0)</f>
        <v>76</v>
      </c>
      <c r="D3750" s="2" t="str">
        <f>IFERROR(__xludf.DUMMYFUNCTION("IFERROR(VLOOKUP(A3750, IMPORTRANGE(""https://docs.google.com/spreadsheets/d/1-3Vjw2Cyy-mry5gbC8ypIR3YVGFfEpyFESummAta6sg/edit"", ""Sheet1!B:D""), 2, FALSE), ""Not Found"")"),"sɪŋ")</f>
        <v>sɪŋ</v>
      </c>
      <c r="E3750" s="2" t="str">
        <f>IFERROR(__xludf.DUMMYFUNCTION("IFERROR(VLOOKUP(A3750, IMPORTRANGE(""https://docs.google.com/spreadsheets/d/1-3Vjw2Cyy-mry5gbC8ypIR3YVGFfEpyFESummAta6sg/edit"", ""Sheet1!B:D""), 3, FALSE), ""Not Found"")"),"s ɪ ŋ ")</f>
        <v>s ɪ ŋ </v>
      </c>
    </row>
    <row r="3751">
      <c r="A3751" s="1" t="s">
        <v>3752</v>
      </c>
      <c r="B3751" s="1" t="s">
        <v>5</v>
      </c>
      <c r="C3751" s="2">
        <f>IFERROR(__xludf.DUMMYFUNCTION("IFERROR(VLOOKUP(A3751, IMPORTRANGE(""https://docs.google.com/spreadsheets/d/1AVX9GT0dgogEBStecCXMMQ29tWz3gBrtNB8yIromXbY/edit?gid=741673867"", ""out1g!A:B""), 2, FALSE), 0)"),7069.0)</f>
        <v>7069</v>
      </c>
      <c r="D3751" s="2" t="str">
        <f>IFERROR(__xludf.DUMMYFUNCTION("IFERROR(VLOOKUP(A3751, IMPORTRANGE(""https://docs.google.com/spreadsheets/d/1-3Vjw2Cyy-mry5gbC8ypIR3YVGFfEpyFESummAta6sg/edit"", ""Sheet1!B:D""), 2, FALSE), ""Not Found"")"),"jɔrk")</f>
        <v>jɔrk</v>
      </c>
      <c r="E3751" s="2" t="str">
        <f>IFERROR(__xludf.DUMMYFUNCTION("IFERROR(VLOOKUP(A3751, IMPORTRANGE(""https://docs.google.com/spreadsheets/d/1-3Vjw2Cyy-mry5gbC8ypIR3YVGFfEpyFESummAta6sg/edit"", ""Sheet1!B:D""), 3, FALSE), ""Not Found"")"),"j ɔ r k ")</f>
        <v>j ɔ r k </v>
      </c>
    </row>
    <row r="3752">
      <c r="A3752" s="1" t="s">
        <v>3753</v>
      </c>
      <c r="B3752" s="1" t="s">
        <v>5</v>
      </c>
      <c r="C3752" s="2">
        <f>IFERROR(__xludf.DUMMYFUNCTION("IFERROR(VLOOKUP(A3752, IMPORTRANGE(""https://docs.google.com/spreadsheets/d/1AVX9GT0dgogEBStecCXMMQ29tWz3gBrtNB8yIromXbY/edit?gid=741673867"", ""out1g!A:B""), 2, FALSE), 0)"),470.0)</f>
        <v>470</v>
      </c>
      <c r="D3752" s="2" t="str">
        <f>IFERROR(__xludf.DUMMYFUNCTION("IFERROR(VLOOKUP(A3752, IMPORTRANGE(""https://docs.google.com/spreadsheets/d/1-3Vjw2Cyy-mry5gbC8ypIR3YVGFfEpyFESummAta6sg/edit"", ""Sheet1!B:D""), 2, FALSE), ""Not Found"")"),"wɛb")</f>
        <v>wɛb</v>
      </c>
      <c r="E3752" s="2" t="str">
        <f>IFERROR(__xludf.DUMMYFUNCTION("IFERROR(VLOOKUP(A3752, IMPORTRANGE(""https://docs.google.com/spreadsheets/d/1-3Vjw2Cyy-mry5gbC8ypIR3YVGFfEpyFESummAta6sg/edit"", ""Sheet1!B:D""), 3, FALSE), ""Not Found"")"),"w ɛ b ")</f>
        <v>w ɛ b </v>
      </c>
    </row>
    <row r="3753">
      <c r="A3753" s="1" t="s">
        <v>3754</v>
      </c>
      <c r="B3753" s="1" t="s">
        <v>5</v>
      </c>
      <c r="C3753" s="2">
        <f>IFERROR(__xludf.DUMMYFUNCTION("IFERROR(VLOOKUP(A3753, IMPORTRANGE(""https://docs.google.com/spreadsheets/d/1AVX9GT0dgogEBStecCXMMQ29tWz3gBrtNB8yIromXbY/edit?gid=741673867"", ""out1g!A:B""), 2, FALSE), 0)"),350.0)</f>
        <v>350</v>
      </c>
      <c r="D3753" s="2" t="str">
        <f>IFERROR(__xludf.DUMMYFUNCTION("IFERROR(VLOOKUP(A3753, IMPORTRANGE(""https://docs.google.com/spreadsheets/d/1-3Vjw2Cyy-mry5gbC8ypIR3YVGFfEpyFESummAta6sg/edit"", ""Sheet1!B:D""), 2, FALSE), ""Not Found"")"),"slɪk")</f>
        <v>slɪk</v>
      </c>
      <c r="E3753" s="2" t="str">
        <f>IFERROR(__xludf.DUMMYFUNCTION("IFERROR(VLOOKUP(A3753, IMPORTRANGE(""https://docs.google.com/spreadsheets/d/1-3Vjw2Cyy-mry5gbC8ypIR3YVGFfEpyFESummAta6sg/edit"", ""Sheet1!B:D""), 3, FALSE), ""Not Found"")"),"s l ɪ k ")</f>
        <v>s l ɪ k </v>
      </c>
    </row>
    <row r="3754">
      <c r="A3754" s="1" t="s">
        <v>3755</v>
      </c>
      <c r="B3754" s="1" t="s">
        <v>5</v>
      </c>
      <c r="C3754" s="2">
        <f>IFERROR(__xludf.DUMMYFUNCTION("IFERROR(VLOOKUP(A3754, IMPORTRANGE(""https://docs.google.com/spreadsheets/d/1AVX9GT0dgogEBStecCXMMQ29tWz3gBrtNB8yIromXbY/edit?gid=741673867"", ""out1g!A:B""), 2, FALSE), 0)"),35.0)</f>
        <v>35</v>
      </c>
      <c r="D3754" s="2" t="str">
        <f>IFERROR(__xludf.DUMMYFUNCTION("IFERROR(VLOOKUP(A3754, IMPORTRANGE(""https://docs.google.com/spreadsheets/d/1-3Vjw2Cyy-mry5gbC8ypIR3YVGFfEpyFESummAta6sg/edit"", ""Sheet1!B:D""), 2, FALSE), ""Not Found"")"),"æf")</f>
        <v>æf</v>
      </c>
      <c r="E3754" s="2" t="str">
        <f>IFERROR(__xludf.DUMMYFUNCTION("IFERROR(VLOOKUP(A3754, IMPORTRANGE(""https://docs.google.com/spreadsheets/d/1-3Vjw2Cyy-mry5gbC8ypIR3YVGFfEpyFESummAta6sg/edit"", ""Sheet1!B:D""), 3, FALSE), ""Not Found"")"),"æ f ")</f>
        <v>æ f </v>
      </c>
    </row>
    <row r="3755">
      <c r="A3755" s="1" t="s">
        <v>3756</v>
      </c>
      <c r="B3755" s="1" t="s">
        <v>5</v>
      </c>
      <c r="C3755" s="2">
        <f>IFERROR(__xludf.DUMMYFUNCTION("IFERROR(VLOOKUP(A3755, IMPORTRANGE(""https://docs.google.com/spreadsheets/d/1AVX9GT0dgogEBStecCXMMQ29tWz3gBrtNB8yIromXbY/edit?gid=741673867"", ""out1g!A:B""), 2, FALSE), 0)"),8757.0)</f>
        <v>8757</v>
      </c>
      <c r="D3755" s="2" t="str">
        <f>IFERROR(__xludf.DUMMYFUNCTION("IFERROR(VLOOKUP(A3755, IMPORTRANGE(""https://docs.google.com/spreadsheets/d/1-3Vjw2Cyy-mry5gbC8ypIR3YVGFfEpyFESummAta6sg/edit"", ""Sheet1!B:D""), 2, FALSE), ""Not Found"")"),"ɪts")</f>
        <v>ɪts</v>
      </c>
      <c r="E3755" s="2" t="str">
        <f>IFERROR(__xludf.DUMMYFUNCTION("IFERROR(VLOOKUP(A3755, IMPORTRANGE(""https://docs.google.com/spreadsheets/d/1-3Vjw2Cyy-mry5gbC8ypIR3YVGFfEpyFESummAta6sg/edit"", ""Sheet1!B:D""), 3, FALSE), ""Not Found"")"),"ɪ t s ")</f>
        <v>ɪ t s </v>
      </c>
    </row>
    <row r="3756">
      <c r="A3756" s="1" t="s">
        <v>3757</v>
      </c>
      <c r="B3756" s="1" t="s">
        <v>5</v>
      </c>
      <c r="C3756" s="2">
        <f>IFERROR(__xludf.DUMMYFUNCTION("IFERROR(VLOOKUP(A3756, IMPORTRANGE(""https://docs.google.com/spreadsheets/d/1AVX9GT0dgogEBStecCXMMQ29tWz3gBrtNB8yIromXbY/edit?gid=741673867"", ""out1g!A:B""), 2, FALSE), 0)"),112.0)</f>
        <v>112</v>
      </c>
      <c r="D3756" s="2" t="str">
        <f>IFERROR(__xludf.DUMMYFUNCTION("IFERROR(VLOOKUP(A3756, IMPORTRANGE(""https://docs.google.com/spreadsheets/d/1-3Vjw2Cyy-mry5gbC8ypIR3YVGFfEpyFESummAta6sg/edit"", ""Sheet1!B:D""), 2, FALSE), ""Not Found"")"),"wɔrmd")</f>
        <v>wɔrmd</v>
      </c>
      <c r="E3756" s="2" t="str">
        <f>IFERROR(__xludf.DUMMYFUNCTION("IFERROR(VLOOKUP(A3756, IMPORTRANGE(""https://docs.google.com/spreadsheets/d/1-3Vjw2Cyy-mry5gbC8ypIR3YVGFfEpyFESummAta6sg/edit"", ""Sheet1!B:D""), 3, FALSE), ""Not Found"")"),"w ɔ r m d ")</f>
        <v>w ɔ r m d </v>
      </c>
    </row>
    <row r="3757">
      <c r="A3757" s="1" t="s">
        <v>3758</v>
      </c>
      <c r="B3757" s="1" t="s">
        <v>5</v>
      </c>
      <c r="C3757" s="2">
        <f>IFERROR(__xludf.DUMMYFUNCTION("IFERROR(VLOOKUP(A3757, IMPORTRANGE(""https://docs.google.com/spreadsheets/d/1AVX9GT0dgogEBStecCXMMQ29tWz3gBrtNB8yIromXbY/edit?gid=741673867"", ""out1g!A:B""), 2, FALSE), 0)"),162.0)</f>
        <v>162</v>
      </c>
      <c r="D3757" s="2" t="str">
        <f>IFERROR(__xludf.DUMMYFUNCTION("IFERROR(VLOOKUP(A3757, IMPORTRANGE(""https://docs.google.com/spreadsheets/d/1-3Vjw2Cyy-mry5gbC8ypIR3YVGFfEpyFESummAta6sg/edit"", ""Sheet1!B:D""), 2, FALSE), ""Not Found"")"),"əpilɪŋ")</f>
        <v>əpilɪŋ</v>
      </c>
      <c r="E3757" s="2" t="str">
        <f>IFERROR(__xludf.DUMMYFUNCTION("IFERROR(VLOOKUP(A3757, IMPORTRANGE(""https://docs.google.com/spreadsheets/d/1-3Vjw2Cyy-mry5gbC8ypIR3YVGFfEpyFESummAta6sg/edit"", ""Sheet1!B:D""), 3, FALSE), ""Not Found"")"),"ə p i l ɪ ŋ ")</f>
        <v>ə p i l ɪ ŋ </v>
      </c>
    </row>
    <row r="3758">
      <c r="A3758" s="1" t="s">
        <v>3759</v>
      </c>
      <c r="B3758" s="1" t="s">
        <v>5</v>
      </c>
      <c r="C3758" s="2">
        <f>IFERROR(__xludf.DUMMYFUNCTION("IFERROR(VLOOKUP(A3758, IMPORTRANGE(""https://docs.google.com/spreadsheets/d/1AVX9GT0dgogEBStecCXMMQ29tWz3gBrtNB8yIromXbY/edit?gid=741673867"", ""out1g!A:B""), 2, FALSE), 0)"),1085.0)</f>
        <v>1085</v>
      </c>
      <c r="D3758" s="2" t="str">
        <f>IFERROR(__xludf.DUMMYFUNCTION("IFERROR(VLOOKUP(A3758, IMPORTRANGE(""https://docs.google.com/spreadsheets/d/1-3Vjw2Cyy-mry5gbC8ypIR3YVGFfEpyFESummAta6sg/edit"", ""Sheet1!B:D""), 2, FALSE), ""Not Found"")"),"hɪdən")</f>
        <v>hɪdən</v>
      </c>
      <c r="E3758" s="2" t="str">
        <f>IFERROR(__xludf.DUMMYFUNCTION("IFERROR(VLOOKUP(A3758, IMPORTRANGE(""https://docs.google.com/spreadsheets/d/1-3Vjw2Cyy-mry5gbC8ypIR3YVGFfEpyFESummAta6sg/edit"", ""Sheet1!B:D""), 3, FALSE), ""Not Found"")"),"h ɪ d ə n ")</f>
        <v>h ɪ d ə n </v>
      </c>
    </row>
    <row r="3759">
      <c r="A3759" s="1" t="s">
        <v>3760</v>
      </c>
      <c r="B3759" s="1" t="s">
        <v>5</v>
      </c>
      <c r="C3759" s="2">
        <f>IFERROR(__xludf.DUMMYFUNCTION("IFERROR(VLOOKUP(A3759, IMPORTRANGE(""https://docs.google.com/spreadsheets/d/1AVX9GT0dgogEBStecCXMMQ29tWz3gBrtNB8yIromXbY/edit?gid=741673867"", ""out1g!A:B""), 2, FALSE), 0)"),131.0)</f>
        <v>131</v>
      </c>
      <c r="D3759" s="2" t="str">
        <f>IFERROR(__xludf.DUMMYFUNCTION("IFERROR(VLOOKUP(A3759, IMPORTRANGE(""https://docs.google.com/spreadsheets/d/1-3Vjw2Cyy-mry5gbC8ypIR3YVGFfEpyFESummAta6sg/edit"", ""Sheet1!B:D""), 2, FALSE), ""Not Found"")"),"ʤʊrər")</f>
        <v>ʤʊrər</v>
      </c>
      <c r="E3759" s="2" t="str">
        <f>IFERROR(__xludf.DUMMYFUNCTION("IFERROR(VLOOKUP(A3759, IMPORTRANGE(""https://docs.google.com/spreadsheets/d/1-3Vjw2Cyy-mry5gbC8ypIR3YVGFfEpyFESummAta6sg/edit"", ""Sheet1!B:D""), 3, FALSE), ""Not Found"")"),"ʤ ʊ r ə r ")</f>
        <v>ʤ ʊ r ə r </v>
      </c>
    </row>
    <row r="3760">
      <c r="A3760" s="1" t="s">
        <v>3761</v>
      </c>
      <c r="B3760" s="1" t="s">
        <v>5</v>
      </c>
      <c r="C3760" s="2">
        <f>IFERROR(__xludf.DUMMYFUNCTION("IFERROR(VLOOKUP(A3760, IMPORTRANGE(""https://docs.google.com/spreadsheets/d/1AVX9GT0dgogEBStecCXMMQ29tWz3gBrtNB8yIromXbY/edit?gid=741673867"", ""out1g!A:B""), 2, FALSE), 0)"),559.0)</f>
        <v>559</v>
      </c>
      <c r="D3760" s="2" t="str">
        <f>IFERROR(__xludf.DUMMYFUNCTION("IFERROR(VLOOKUP(A3760, IMPORTRANGE(""https://docs.google.com/spreadsheets/d/1-3Vjw2Cyy-mry5gbC8ypIR3YVGFfEpyFESummAta6sg/edit"", ""Sheet1!B:D""), 2, FALSE), ""Not Found"")"),"fɛʧ")</f>
        <v>fɛʧ</v>
      </c>
      <c r="E3760" s="2" t="str">
        <f>IFERROR(__xludf.DUMMYFUNCTION("IFERROR(VLOOKUP(A3760, IMPORTRANGE(""https://docs.google.com/spreadsheets/d/1-3Vjw2Cyy-mry5gbC8ypIR3YVGFfEpyFESummAta6sg/edit"", ""Sheet1!B:D""), 3, FALSE), ""Not Found"")"),"f ɛ ʧ ")</f>
        <v>f ɛ ʧ </v>
      </c>
    </row>
    <row r="3761">
      <c r="A3761" s="1" t="s">
        <v>3762</v>
      </c>
      <c r="B3761" s="1" t="s">
        <v>5</v>
      </c>
      <c r="C3761" s="2">
        <f>IFERROR(__xludf.DUMMYFUNCTION("IFERROR(VLOOKUP(A3761, IMPORTRANGE(""https://docs.google.com/spreadsheets/d/1AVX9GT0dgogEBStecCXMMQ29tWz3gBrtNB8yIromXbY/edit?gid=741673867"", ""out1g!A:B""), 2, FALSE), 0)"),2801.0)</f>
        <v>2801</v>
      </c>
      <c r="D3761" s="2" t="str">
        <f>IFERROR(__xludf.DUMMYFUNCTION("IFERROR(VLOOKUP(A3761, IMPORTRANGE(""https://docs.google.com/spreadsheets/d/1-3Vjw2Cyy-mry5gbC8ypIR3YVGFfEpyFESummAta6sg/edit"", ""Sheet1!B:D""), 2, FALSE), ""Not Found"")"),"kɔst")</f>
        <v>kɔst</v>
      </c>
      <c r="E3761" s="2" t="str">
        <f>IFERROR(__xludf.DUMMYFUNCTION("IFERROR(VLOOKUP(A3761, IMPORTRANGE(""https://docs.google.com/spreadsheets/d/1-3Vjw2Cyy-mry5gbC8ypIR3YVGFfEpyFESummAta6sg/edit"", ""Sheet1!B:D""), 3, FALSE), ""Not Found"")"),"k ɔ s t ")</f>
        <v>k ɔ s t </v>
      </c>
    </row>
    <row r="3762">
      <c r="A3762" s="1" t="s">
        <v>3763</v>
      </c>
      <c r="B3762" s="1" t="s">
        <v>5</v>
      </c>
      <c r="C3762" s="2">
        <f>IFERROR(__xludf.DUMMYFUNCTION("IFERROR(VLOOKUP(A3762, IMPORTRANGE(""https://docs.google.com/spreadsheets/d/1AVX9GT0dgogEBStecCXMMQ29tWz3gBrtNB8yIromXbY/edit?gid=741673867"", ""out1g!A:B""), 2, FALSE), 0)"),78.0)</f>
        <v>78</v>
      </c>
      <c r="D3762" s="2" t="str">
        <f>IFERROR(__xludf.DUMMYFUNCTION("IFERROR(VLOOKUP(A3762, IMPORTRANGE(""https://docs.google.com/spreadsheets/d/1-3Vjw2Cyy-mry5gbC8ypIR3YVGFfEpyFESummAta6sg/edit"", ""Sheet1!B:D""), 2, FALSE), ""Not Found"")"),"deziz")</f>
        <v>deziz</v>
      </c>
      <c r="E3762" s="2" t="str">
        <f>IFERROR(__xludf.DUMMYFUNCTION("IFERROR(VLOOKUP(A3762, IMPORTRANGE(""https://docs.google.com/spreadsheets/d/1-3Vjw2Cyy-mry5gbC8ypIR3YVGFfEpyFESummAta6sg/edit"", ""Sheet1!B:D""), 3, FALSE), ""Not Found"")"),"d e z i z ")</f>
        <v>d e z i z </v>
      </c>
    </row>
    <row r="3763">
      <c r="A3763" s="1" t="s">
        <v>3764</v>
      </c>
      <c r="B3763" s="1" t="s">
        <v>5</v>
      </c>
      <c r="C3763" s="2">
        <f>IFERROR(__xludf.DUMMYFUNCTION("IFERROR(VLOOKUP(A3763, IMPORTRANGE(""https://docs.google.com/spreadsheets/d/1AVX9GT0dgogEBStecCXMMQ29tWz3gBrtNB8yIromXbY/edit?gid=741673867"", ""out1g!A:B""), 2, FALSE), 0)"),174.0)</f>
        <v>174</v>
      </c>
      <c r="D3763" s="2" t="str">
        <f>IFERROR(__xludf.DUMMYFUNCTION("IFERROR(VLOOKUP(A3763, IMPORTRANGE(""https://docs.google.com/spreadsheets/d/1-3Vjw2Cyy-mry5gbC8ypIR3YVGFfEpyFESummAta6sg/edit"", ""Sheet1!B:D""), 2, FALSE), ""Not Found"")"),"pləm")</f>
        <v>pləm</v>
      </c>
      <c r="E3763" s="2" t="str">
        <f>IFERROR(__xludf.DUMMYFUNCTION("IFERROR(VLOOKUP(A3763, IMPORTRANGE(""https://docs.google.com/spreadsheets/d/1-3Vjw2Cyy-mry5gbC8ypIR3YVGFfEpyFESummAta6sg/edit"", ""Sheet1!B:D""), 3, FALSE), ""Not Found"")"),"p l ə m ")</f>
        <v>p l ə m </v>
      </c>
    </row>
    <row r="3764">
      <c r="A3764" s="1" t="s">
        <v>3765</v>
      </c>
      <c r="B3764" s="1" t="s">
        <v>5</v>
      </c>
      <c r="C3764" s="2">
        <f>IFERROR(__xludf.DUMMYFUNCTION("IFERROR(VLOOKUP(A3764, IMPORTRANGE(""https://docs.google.com/spreadsheets/d/1AVX9GT0dgogEBStecCXMMQ29tWz3gBrtNB8yIromXbY/edit?gid=741673867"", ""out1g!A:B""), 2, FALSE), 0)"),342.0)</f>
        <v>342</v>
      </c>
      <c r="D3764" s="2" t="str">
        <f>IFERROR(__xludf.DUMMYFUNCTION("IFERROR(VLOOKUP(A3764, IMPORTRANGE(""https://docs.google.com/spreadsheets/d/1-3Vjw2Cyy-mry5gbC8ypIR3YVGFfEpyFESummAta6sg/edit"", ""Sheet1!B:D""), 2, FALSE), ""Not Found"")"),"fist")</f>
        <v>fist</v>
      </c>
      <c r="E3764" s="2" t="str">
        <f>IFERROR(__xludf.DUMMYFUNCTION("IFERROR(VLOOKUP(A3764, IMPORTRANGE(""https://docs.google.com/spreadsheets/d/1-3Vjw2Cyy-mry5gbC8ypIR3YVGFfEpyFESummAta6sg/edit"", ""Sheet1!B:D""), 3, FALSE), ""Not Found"")"),"f i s t ")</f>
        <v>f i s t </v>
      </c>
    </row>
    <row r="3765">
      <c r="A3765" s="1" t="s">
        <v>3766</v>
      </c>
      <c r="B3765" s="1" t="s">
        <v>5</v>
      </c>
      <c r="C3765" s="2">
        <f>IFERROR(__xludf.DUMMYFUNCTION("IFERROR(VLOOKUP(A3765, IMPORTRANGE(""https://docs.google.com/spreadsheets/d/1AVX9GT0dgogEBStecCXMMQ29tWz3gBrtNB8yIromXbY/edit?gid=741673867"", ""out1g!A:B""), 2, FALSE), 0)"),441.0)</f>
        <v>441</v>
      </c>
      <c r="D3765" s="2" t="str">
        <f>IFERROR(__xludf.DUMMYFUNCTION("IFERROR(VLOOKUP(A3765, IMPORTRANGE(""https://docs.google.com/spreadsheets/d/1-3Vjw2Cyy-mry5gbC8ypIR3YVGFfEpyFESummAta6sg/edit"", ""Sheet1!B:D""), 2, FALSE), ""Not Found"")"),"stəft")</f>
        <v>stəft</v>
      </c>
      <c r="E3765" s="2" t="str">
        <f>IFERROR(__xludf.DUMMYFUNCTION("IFERROR(VLOOKUP(A3765, IMPORTRANGE(""https://docs.google.com/spreadsheets/d/1-3Vjw2Cyy-mry5gbC8ypIR3YVGFfEpyFESummAta6sg/edit"", ""Sheet1!B:D""), 3, FALSE), ""Not Found"")"),"s t ə f t ")</f>
        <v>s t ə f t </v>
      </c>
    </row>
    <row r="3766">
      <c r="A3766" s="1" t="s">
        <v>3767</v>
      </c>
      <c r="B3766" s="1" t="s">
        <v>5</v>
      </c>
      <c r="C3766" s="2">
        <f>IFERROR(__xludf.DUMMYFUNCTION("IFERROR(VLOOKUP(A3766, IMPORTRANGE(""https://docs.google.com/spreadsheets/d/1AVX9GT0dgogEBStecCXMMQ29tWz3gBrtNB8yIromXbY/edit?gid=741673867"", ""out1g!A:B""), 2, FALSE), 0)"),3525.0)</f>
        <v>3525</v>
      </c>
      <c r="D3766" s="2" t="str">
        <f>IFERROR(__xludf.DUMMYFUNCTION("IFERROR(VLOOKUP(A3766, IMPORTRANGE(""https://docs.google.com/spreadsheets/d/1-3Vjw2Cyy-mry5gbC8ypIR3YVGFfEpyFESummAta6sg/edit"", ""Sheet1!B:D""), 2, FALSE), ""Not Found"")"),"bɪli")</f>
        <v>bɪli</v>
      </c>
      <c r="E3766" s="2" t="str">
        <f>IFERROR(__xludf.DUMMYFUNCTION("IFERROR(VLOOKUP(A3766, IMPORTRANGE(""https://docs.google.com/spreadsheets/d/1-3Vjw2Cyy-mry5gbC8ypIR3YVGFfEpyFESummAta6sg/edit"", ""Sheet1!B:D""), 3, FALSE), ""Not Found"")"),"b ɪ l i ")</f>
        <v>b ɪ l i </v>
      </c>
    </row>
    <row r="3767">
      <c r="A3767" s="1" t="s">
        <v>3768</v>
      </c>
      <c r="B3767" s="1" t="s">
        <v>5</v>
      </c>
      <c r="C3767" s="2">
        <f>IFERROR(__xludf.DUMMYFUNCTION("IFERROR(VLOOKUP(A3767, IMPORTRANGE(""https://docs.google.com/spreadsheets/d/1AVX9GT0dgogEBStecCXMMQ29tWz3gBrtNB8yIromXbY/edit?gid=741673867"", ""out1g!A:B""), 2, FALSE), 0)"),46.0)</f>
        <v>46</v>
      </c>
      <c r="D3767" s="2" t="str">
        <f>IFERROR(__xludf.DUMMYFUNCTION("IFERROR(VLOOKUP(A3767, IMPORTRANGE(""https://docs.google.com/spreadsheets/d/1-3Vjw2Cyy-mry5gbC8ypIR3YVGFfEpyFESummAta6sg/edit"", ""Sheet1!B:D""), 2, FALSE), ""Not Found"")"),"bləndər")</f>
        <v>bləndər</v>
      </c>
      <c r="E3767" s="2" t="str">
        <f>IFERROR(__xludf.DUMMYFUNCTION("IFERROR(VLOOKUP(A3767, IMPORTRANGE(""https://docs.google.com/spreadsheets/d/1-3Vjw2Cyy-mry5gbC8ypIR3YVGFfEpyFESummAta6sg/edit"", ""Sheet1!B:D""), 3, FALSE), ""Not Found"")"),"b l ə n d ə r ")</f>
        <v>b l ə n d ə r </v>
      </c>
    </row>
    <row r="3768">
      <c r="A3768" s="1" t="s">
        <v>3769</v>
      </c>
      <c r="B3768" s="1" t="s">
        <v>5</v>
      </c>
      <c r="C3768" s="2">
        <f>IFERROR(__xludf.DUMMYFUNCTION("IFERROR(VLOOKUP(A3768, IMPORTRANGE(""https://docs.google.com/spreadsheets/d/1AVX9GT0dgogEBStecCXMMQ29tWz3gBrtNB8yIromXbY/edit?gid=741673867"", ""out1g!A:B""), 2, FALSE), 0)"),3205.0)</f>
        <v>3205</v>
      </c>
      <c r="D3768" s="2" t="str">
        <f>IFERROR(__xludf.DUMMYFUNCTION("IFERROR(VLOOKUP(A3768, IMPORTRANGE(""https://docs.google.com/spreadsheets/d/1-3Vjw2Cyy-mry5gbC8ypIR3YVGFfEpyFESummAta6sg/edit"", ""Sheet1!B:D""), 2, FALSE), ""Not Found"")"),"daʊt")</f>
        <v>daʊt</v>
      </c>
      <c r="E3768" s="2" t="str">
        <f>IFERROR(__xludf.DUMMYFUNCTION("IFERROR(VLOOKUP(A3768, IMPORTRANGE(""https://docs.google.com/spreadsheets/d/1-3Vjw2Cyy-mry5gbC8ypIR3YVGFfEpyFESummAta6sg/edit"", ""Sheet1!B:D""), 3, FALSE), ""Not Found"")"),"d a ʊ t ")</f>
        <v>d a ʊ t </v>
      </c>
    </row>
    <row r="3769">
      <c r="A3769" s="1" t="s">
        <v>3770</v>
      </c>
      <c r="B3769" s="1" t="s">
        <v>5</v>
      </c>
      <c r="C3769" s="2">
        <f>IFERROR(__xludf.DUMMYFUNCTION("IFERROR(VLOOKUP(A3769, IMPORTRANGE(""https://docs.google.com/spreadsheets/d/1AVX9GT0dgogEBStecCXMMQ29tWz3gBrtNB8yIromXbY/edit?gid=741673867"", ""out1g!A:B""), 2, FALSE), 0)"),407.0)</f>
        <v>407</v>
      </c>
      <c r="D3769" s="2" t="str">
        <f>IFERROR(__xludf.DUMMYFUNCTION("IFERROR(VLOOKUP(A3769, IMPORTRANGE(""https://docs.google.com/spreadsheets/d/1-3Vjw2Cyy-mry5gbC8ypIR3YVGFfEpyFESummAta6sg/edit"", ""Sheet1!B:D""), 2, FALSE), ""Not Found"")"),"me")</f>
        <v>me</v>
      </c>
      <c r="E3769" s="2" t="str">
        <f>IFERROR(__xludf.DUMMYFUNCTION("IFERROR(VLOOKUP(A3769, IMPORTRANGE(""https://docs.google.com/spreadsheets/d/1-3Vjw2Cyy-mry5gbC8ypIR3YVGFfEpyFESummAta6sg/edit"", ""Sheet1!B:D""), 3, FALSE), ""Not Found"")"),"m e ")</f>
        <v>m e </v>
      </c>
    </row>
    <row r="3770">
      <c r="A3770" s="1" t="s">
        <v>3771</v>
      </c>
      <c r="B3770" s="1" t="s">
        <v>5</v>
      </c>
      <c r="C3770" s="2">
        <f>IFERROR(__xludf.DUMMYFUNCTION("IFERROR(VLOOKUP(A3770, IMPORTRANGE(""https://docs.google.com/spreadsheets/d/1AVX9GT0dgogEBStecCXMMQ29tWz3gBrtNB8yIromXbY/edit?gid=741673867"", ""out1g!A:B""), 2, FALSE), 0)"),469.0)</f>
        <v>469</v>
      </c>
      <c r="D3770" s="2" t="str">
        <f>IFERROR(__xludf.DUMMYFUNCTION("IFERROR(VLOOKUP(A3770, IMPORTRANGE(""https://docs.google.com/spreadsheets/d/1-3Vjw2Cyy-mry5gbC8ypIR3YVGFfEpyFESummAta6sg/edit"", ""Sheet1!B:D""), 2, FALSE), ""Not Found"")"),"bri")</f>
        <v>bri</v>
      </c>
      <c r="E3770" s="2" t="str">
        <f>IFERROR(__xludf.DUMMYFUNCTION("IFERROR(VLOOKUP(A3770, IMPORTRANGE(""https://docs.google.com/spreadsheets/d/1-3Vjw2Cyy-mry5gbC8ypIR3YVGFfEpyFESummAta6sg/edit"", ""Sheet1!B:D""), 3, FALSE), ""Not Found"")"),"b r i ")</f>
        <v>b r i </v>
      </c>
    </row>
    <row r="3771">
      <c r="A3771" s="1" t="s">
        <v>3772</v>
      </c>
      <c r="B3771" s="1" t="s">
        <v>5</v>
      </c>
      <c r="C3771" s="2">
        <f>IFERROR(__xludf.DUMMYFUNCTION("IFERROR(VLOOKUP(A3771, IMPORTRANGE(""https://docs.google.com/spreadsheets/d/1AVX9GT0dgogEBStecCXMMQ29tWz3gBrtNB8yIromXbY/edit?gid=741673867"", ""out1g!A:B""), 2, FALSE), 0)"),1336.0)</f>
        <v>1336</v>
      </c>
      <c r="D3771" s="2" t="str">
        <f>IFERROR(__xludf.DUMMYFUNCTION("IFERROR(VLOOKUP(A3771, IMPORTRANGE(""https://docs.google.com/spreadsheets/d/1-3Vjw2Cyy-mry5gbC8ypIR3YVGFfEpyFESummAta6sg/edit"", ""Sheet1!B:D""), 2, FALSE), ""Not Found"")"),"supər")</f>
        <v>supər</v>
      </c>
      <c r="E3771" s="2" t="str">
        <f>IFERROR(__xludf.DUMMYFUNCTION("IFERROR(VLOOKUP(A3771, IMPORTRANGE(""https://docs.google.com/spreadsheets/d/1-3Vjw2Cyy-mry5gbC8ypIR3YVGFfEpyFESummAta6sg/edit"", ""Sheet1!B:D""), 3, FALSE), ""Not Found"")"),"s u p ə r ")</f>
        <v>s u p ə r </v>
      </c>
    </row>
    <row r="3772">
      <c r="A3772" s="1" t="s">
        <v>3773</v>
      </c>
      <c r="B3772" s="1" t="s">
        <v>5</v>
      </c>
      <c r="C3772" s="2">
        <f>IFERROR(__xludf.DUMMYFUNCTION("IFERROR(VLOOKUP(A3772, IMPORTRANGE(""https://docs.google.com/spreadsheets/d/1AVX9GT0dgogEBStecCXMMQ29tWz3gBrtNB8yIromXbY/edit?gid=741673867"", ""out1g!A:B""), 2, FALSE), 0)"),608.0)</f>
        <v>608</v>
      </c>
      <c r="D3772" s="2" t="str">
        <f>IFERROR(__xludf.DUMMYFUNCTION("IFERROR(VLOOKUP(A3772, IMPORTRANGE(""https://docs.google.com/spreadsheets/d/1-3Vjw2Cyy-mry5gbC8ypIR3YVGFfEpyFESummAta6sg/edit"", ""Sheet1!B:D""), 2, FALSE), ""Not Found"")"),"ʤæz")</f>
        <v>ʤæz</v>
      </c>
      <c r="E3772" s="2" t="str">
        <f>IFERROR(__xludf.DUMMYFUNCTION("IFERROR(VLOOKUP(A3772, IMPORTRANGE(""https://docs.google.com/spreadsheets/d/1-3Vjw2Cyy-mry5gbC8ypIR3YVGFfEpyFESummAta6sg/edit"", ""Sheet1!B:D""), 3, FALSE), ""Not Found"")"),"ʤ æ z ")</f>
        <v>ʤ æ z </v>
      </c>
    </row>
    <row r="3773">
      <c r="A3773" s="1" t="s">
        <v>3774</v>
      </c>
      <c r="B3773" s="1" t="s">
        <v>5</v>
      </c>
      <c r="C3773" s="2">
        <f>IFERROR(__xludf.DUMMYFUNCTION("IFERROR(VLOOKUP(A3773, IMPORTRANGE(""https://docs.google.com/spreadsheets/d/1AVX9GT0dgogEBStecCXMMQ29tWz3gBrtNB8yIromXbY/edit?gid=741673867"", ""out1g!A:B""), 2, FALSE), 0)"),140.0)</f>
        <v>140</v>
      </c>
      <c r="D3773" s="2" t="str">
        <f>IFERROR(__xludf.DUMMYFUNCTION("IFERROR(VLOOKUP(A3773, IMPORTRANGE(""https://docs.google.com/spreadsheets/d/1-3Vjw2Cyy-mry5gbC8ypIR3YVGFfEpyFESummAta6sg/edit"", ""Sheet1!B:D""), 2, FALSE), ""Not Found"")"),"ʃɛlvz")</f>
        <v>ʃɛlvz</v>
      </c>
      <c r="E3773" s="2" t="str">
        <f>IFERROR(__xludf.DUMMYFUNCTION("IFERROR(VLOOKUP(A3773, IMPORTRANGE(""https://docs.google.com/spreadsheets/d/1-3Vjw2Cyy-mry5gbC8ypIR3YVGFfEpyFESummAta6sg/edit"", ""Sheet1!B:D""), 3, FALSE), ""Not Found"")"),"ʃ ɛ l v z ")</f>
        <v>ʃ ɛ l v z </v>
      </c>
    </row>
    <row r="3774">
      <c r="A3774" s="1" t="s">
        <v>3775</v>
      </c>
      <c r="B3774" s="1" t="s">
        <v>5</v>
      </c>
      <c r="C3774" s="2">
        <f>IFERROR(__xludf.DUMMYFUNCTION("IFERROR(VLOOKUP(A3774, IMPORTRANGE(""https://docs.google.com/spreadsheets/d/1AVX9GT0dgogEBStecCXMMQ29tWz3gBrtNB8yIromXbY/edit?gid=741673867"", ""out1g!A:B""), 2, FALSE), 0)"),87.0)</f>
        <v>87</v>
      </c>
      <c r="D3774" s="2" t="str">
        <f>IFERROR(__xludf.DUMMYFUNCTION("IFERROR(VLOOKUP(A3774, IMPORTRANGE(""https://docs.google.com/spreadsheets/d/1-3Vjw2Cyy-mry5gbC8ypIR3YVGFfEpyFESummAta6sg/edit"", ""Sheet1!B:D""), 2, FALSE), ""Not Found"")"),"gæbi")</f>
        <v>gæbi</v>
      </c>
      <c r="E3774" s="2" t="str">
        <f>IFERROR(__xludf.DUMMYFUNCTION("IFERROR(VLOOKUP(A3774, IMPORTRANGE(""https://docs.google.com/spreadsheets/d/1-3Vjw2Cyy-mry5gbC8ypIR3YVGFfEpyFESummAta6sg/edit"", ""Sheet1!B:D""), 3, FALSE), ""Not Found"")"),"g æ b i ")</f>
        <v>g æ b i </v>
      </c>
    </row>
    <row r="3775">
      <c r="A3775" s="1" t="s">
        <v>3776</v>
      </c>
      <c r="B3775" s="1" t="s">
        <v>5</v>
      </c>
      <c r="C3775" s="2">
        <f>IFERROR(__xludf.DUMMYFUNCTION("IFERROR(VLOOKUP(A3775, IMPORTRANGE(""https://docs.google.com/spreadsheets/d/1AVX9GT0dgogEBStecCXMMQ29tWz3gBrtNB8yIromXbY/edit?gid=741673867"", ""out1g!A:B""), 2, FALSE), 0)"),262.0)</f>
        <v>262</v>
      </c>
      <c r="D3775" s="2" t="str">
        <f>IFERROR(__xludf.DUMMYFUNCTION("IFERROR(VLOOKUP(A3775, IMPORTRANGE(""https://docs.google.com/spreadsheets/d/1-3Vjw2Cyy-mry5gbC8ypIR3YVGFfEpyFESummAta6sg/edit"", ""Sheet1!B:D""), 2, FALSE), ""Not Found"")"),"west")</f>
        <v>west</v>
      </c>
      <c r="E3775" s="2" t="str">
        <f>IFERROR(__xludf.DUMMYFUNCTION("IFERROR(VLOOKUP(A3775, IMPORTRANGE(""https://docs.google.com/spreadsheets/d/1-3Vjw2Cyy-mry5gbC8ypIR3YVGFfEpyFESummAta6sg/edit"", ""Sheet1!B:D""), 3, FALSE), ""Not Found"")"),"w e s t ")</f>
        <v>w e s t </v>
      </c>
    </row>
    <row r="3776">
      <c r="A3776" s="1" t="s">
        <v>3777</v>
      </c>
      <c r="B3776" s="1" t="s">
        <v>5</v>
      </c>
      <c r="C3776" s="2">
        <f>IFERROR(__xludf.DUMMYFUNCTION("IFERROR(VLOOKUP(A3776, IMPORTRANGE(""https://docs.google.com/spreadsheets/d/1AVX9GT0dgogEBStecCXMMQ29tWz3gBrtNB8yIromXbY/edit?gid=741673867"", ""out1g!A:B""), 2, FALSE), 0)"),352.0)</f>
        <v>352</v>
      </c>
      <c r="D3776" s="2" t="str">
        <f>IFERROR(__xludf.DUMMYFUNCTION("IFERROR(VLOOKUP(A3776, IMPORTRANGE(""https://docs.google.com/spreadsheets/d/1-3Vjw2Cyy-mry5gbC8ypIR3YVGFfEpyFESummAta6sg/edit"", ""Sheet1!B:D""), 2, FALSE), ""Not Found"")"),"jɑ")</f>
        <v>jɑ</v>
      </c>
      <c r="E3776" s="2" t="str">
        <f>IFERROR(__xludf.DUMMYFUNCTION("IFERROR(VLOOKUP(A3776, IMPORTRANGE(""https://docs.google.com/spreadsheets/d/1-3Vjw2Cyy-mry5gbC8ypIR3YVGFfEpyFESummAta6sg/edit"", ""Sheet1!B:D""), 3, FALSE), ""Not Found"")"),"j ɑ ")</f>
        <v>j ɑ </v>
      </c>
    </row>
    <row r="3777">
      <c r="A3777" s="1" t="s">
        <v>3778</v>
      </c>
      <c r="B3777" s="1" t="s">
        <v>5</v>
      </c>
      <c r="C3777" s="2">
        <f>IFERROR(__xludf.DUMMYFUNCTION("IFERROR(VLOOKUP(A3777, IMPORTRANGE(""https://docs.google.com/spreadsheets/d/1AVX9GT0dgogEBStecCXMMQ29tWz3gBrtNB8yIromXbY/edit?gid=741673867"", ""out1g!A:B""), 2, FALSE), 0)"),74.0)</f>
        <v>74</v>
      </c>
      <c r="D3777" s="2" t="str">
        <f>IFERROR(__xludf.DUMMYFUNCTION("IFERROR(VLOOKUP(A3777, IMPORTRANGE(""https://docs.google.com/spreadsheets/d/1-3Vjw2Cyy-mry5gbC8ypIR3YVGFfEpyFESummAta6sg/edit"", ""Sheet1!B:D""), 2, FALSE), ""Not Found"")"),"bətɪŋ")</f>
        <v>bətɪŋ</v>
      </c>
      <c r="E3777" s="2" t="str">
        <f>IFERROR(__xludf.DUMMYFUNCTION("IFERROR(VLOOKUP(A3777, IMPORTRANGE(""https://docs.google.com/spreadsheets/d/1-3Vjw2Cyy-mry5gbC8ypIR3YVGFfEpyFESummAta6sg/edit"", ""Sheet1!B:D""), 3, FALSE), ""Not Found"")"),"b ə t ɪ ŋ ")</f>
        <v>b ə t ɪ ŋ </v>
      </c>
    </row>
    <row r="3778">
      <c r="A3778" s="1" t="s">
        <v>3779</v>
      </c>
      <c r="B3778" s="1" t="s">
        <v>5</v>
      </c>
      <c r="C3778" s="2">
        <f>IFERROR(__xludf.DUMMYFUNCTION("IFERROR(VLOOKUP(A3778, IMPORTRANGE(""https://docs.google.com/spreadsheets/d/1AVX9GT0dgogEBStecCXMMQ29tWz3gBrtNB8yIromXbY/edit?gid=741673867"", ""out1g!A:B""), 2, FALSE), 0)"),116.0)</f>
        <v>116</v>
      </c>
      <c r="D3778" s="2" t="str">
        <f>IFERROR(__xludf.DUMMYFUNCTION("IFERROR(VLOOKUP(A3778, IMPORTRANGE(""https://docs.google.com/spreadsheets/d/1-3Vjw2Cyy-mry5gbC8ypIR3YVGFfEpyFESummAta6sg/edit"", ""Sheet1!B:D""), 2, FALSE), ""Not Found"")"),"gælən")</f>
        <v>gælən</v>
      </c>
      <c r="E3778" s="2" t="str">
        <f>IFERROR(__xludf.DUMMYFUNCTION("IFERROR(VLOOKUP(A3778, IMPORTRANGE(""https://docs.google.com/spreadsheets/d/1-3Vjw2Cyy-mry5gbC8ypIR3YVGFfEpyFESummAta6sg/edit"", ""Sheet1!B:D""), 3, FALSE), ""Not Found"")"),"g æ l ə n ")</f>
        <v>g æ l ə n </v>
      </c>
    </row>
    <row r="3779">
      <c r="A3779" s="1" t="s">
        <v>3780</v>
      </c>
      <c r="B3779" s="1" t="s">
        <v>5</v>
      </c>
      <c r="C3779" s="2">
        <f>IFERROR(__xludf.DUMMYFUNCTION("IFERROR(VLOOKUP(A3779, IMPORTRANGE(""https://docs.google.com/spreadsheets/d/1AVX9GT0dgogEBStecCXMMQ29tWz3gBrtNB8yIromXbY/edit?gid=741673867"", ""out1g!A:B""), 2, FALSE), 0)"),239.0)</f>
        <v>239</v>
      </c>
      <c r="D3779" s="2" t="str">
        <f>IFERROR(__xludf.DUMMYFUNCTION("IFERROR(VLOOKUP(A3779, IMPORTRANGE(""https://docs.google.com/spreadsheets/d/1-3Vjw2Cyy-mry5gbC8ypIR3YVGFfEpyFESummAta6sg/edit"", ""Sheet1!B:D""), 2, FALSE), ""Not Found"")"),"triti")</f>
        <v>triti</v>
      </c>
      <c r="E3779" s="2" t="str">
        <f>IFERROR(__xludf.DUMMYFUNCTION("IFERROR(VLOOKUP(A3779, IMPORTRANGE(""https://docs.google.com/spreadsheets/d/1-3Vjw2Cyy-mry5gbC8ypIR3YVGFfEpyFESummAta6sg/edit"", ""Sheet1!B:D""), 3, FALSE), ""Not Found"")"),"t r i t i ")</f>
        <v>t r i t i </v>
      </c>
    </row>
    <row r="3780">
      <c r="A3780" s="1" t="s">
        <v>3781</v>
      </c>
      <c r="B3780" s="1" t="s">
        <v>5</v>
      </c>
      <c r="C3780" s="2">
        <f>IFERROR(__xludf.DUMMYFUNCTION("IFERROR(VLOOKUP(A3780, IMPORTRANGE(""https://docs.google.com/spreadsheets/d/1AVX9GT0dgogEBStecCXMMQ29tWz3gBrtNB8yIromXbY/edit?gid=741673867"", ""out1g!A:B""), 2, FALSE), 0)"),178.0)</f>
        <v>178</v>
      </c>
      <c r="D3780" s="2" t="str">
        <f>IFERROR(__xludf.DUMMYFUNCTION("IFERROR(VLOOKUP(A3780, IMPORTRANGE(""https://docs.google.com/spreadsheets/d/1-3Vjw2Cyy-mry5gbC8ypIR3YVGFfEpyFESummAta6sg/edit"", ""Sheet1!B:D""), 2, FALSE), ""Not Found"")"),"səpoʊzɪŋ")</f>
        <v>səpoʊzɪŋ</v>
      </c>
      <c r="E3780" s="2" t="str">
        <f>IFERROR(__xludf.DUMMYFUNCTION("IFERROR(VLOOKUP(A3780, IMPORTRANGE(""https://docs.google.com/spreadsheets/d/1-3Vjw2Cyy-mry5gbC8ypIR3YVGFfEpyFESummAta6sg/edit"", ""Sheet1!B:D""), 3, FALSE), ""Not Found"")"),"s ə p o ʊ z ɪ ŋ ")</f>
        <v>s ə p o ʊ z ɪ ŋ </v>
      </c>
    </row>
    <row r="3781">
      <c r="A3781" s="1" t="s">
        <v>3782</v>
      </c>
      <c r="B3781" s="1" t="s">
        <v>5</v>
      </c>
      <c r="C3781" s="2">
        <f>IFERROR(__xludf.DUMMYFUNCTION("IFERROR(VLOOKUP(A3781, IMPORTRANGE(""https://docs.google.com/spreadsheets/d/1AVX9GT0dgogEBStecCXMMQ29tWz3gBrtNB8yIromXbY/edit?gid=741673867"", ""out1g!A:B""), 2, FALSE), 0)"),1783.0)</f>
        <v>1783</v>
      </c>
      <c r="D3781" s="2" t="str">
        <f>IFERROR(__xludf.DUMMYFUNCTION("IFERROR(VLOOKUP(A3781, IMPORTRANGE(""https://docs.google.com/spreadsheets/d/1-3Vjw2Cyy-mry5gbC8ypIR3YVGFfEpyFESummAta6sg/edit"", ""Sheet1!B:D""), 2, FALSE), ""Not Found"")"),"noʊp")</f>
        <v>noʊp</v>
      </c>
      <c r="E3781" s="2" t="str">
        <f>IFERROR(__xludf.DUMMYFUNCTION("IFERROR(VLOOKUP(A3781, IMPORTRANGE(""https://docs.google.com/spreadsheets/d/1-3Vjw2Cyy-mry5gbC8ypIR3YVGFfEpyFESummAta6sg/edit"", ""Sheet1!B:D""), 3, FALSE), ""Not Found"")"),"n o ʊ p ")</f>
        <v>n o ʊ p </v>
      </c>
    </row>
    <row r="3782">
      <c r="A3782" s="1" t="s">
        <v>3783</v>
      </c>
      <c r="B3782" s="1" t="s">
        <v>5</v>
      </c>
      <c r="C3782" s="2">
        <f>IFERROR(__xludf.DUMMYFUNCTION("IFERROR(VLOOKUP(A3782, IMPORTRANGE(""https://docs.google.com/spreadsheets/d/1AVX9GT0dgogEBStecCXMMQ29tWz3gBrtNB8yIromXbY/edit?gid=741673867"", ""out1g!A:B""), 2, FALSE), 0)"),356.0)</f>
        <v>356</v>
      </c>
      <c r="D3782" s="2" t="str">
        <f>IFERROR(__xludf.DUMMYFUNCTION("IFERROR(VLOOKUP(A3782, IMPORTRANGE(""https://docs.google.com/spreadsheets/d/1-3Vjw2Cyy-mry5gbC8ypIR3YVGFfEpyFESummAta6sg/edit"", ""Sheet1!B:D""), 2, FALSE), ""Not Found"")"),"kraɪz")</f>
        <v>kraɪz</v>
      </c>
      <c r="E3782" s="2" t="str">
        <f>IFERROR(__xludf.DUMMYFUNCTION("IFERROR(VLOOKUP(A3782, IMPORTRANGE(""https://docs.google.com/spreadsheets/d/1-3Vjw2Cyy-mry5gbC8ypIR3YVGFfEpyFESummAta6sg/edit"", ""Sheet1!B:D""), 3, FALSE), ""Not Found"")"),"k r a ɪ z ")</f>
        <v>k r a ɪ z </v>
      </c>
    </row>
    <row r="3783">
      <c r="A3783" s="1" t="s">
        <v>3784</v>
      </c>
      <c r="B3783" s="1" t="s">
        <v>5</v>
      </c>
      <c r="C3783" s="2">
        <f>IFERROR(__xludf.DUMMYFUNCTION("IFERROR(VLOOKUP(A3783, IMPORTRANGE(""https://docs.google.com/spreadsheets/d/1AVX9GT0dgogEBStecCXMMQ29tWz3gBrtNB8yIromXbY/edit?gid=741673867"", ""out1g!A:B""), 2, FALSE), 0)"),74.0)</f>
        <v>74</v>
      </c>
      <c r="D3783" s="2" t="str">
        <f>IFERROR(__xludf.DUMMYFUNCTION("IFERROR(VLOOKUP(A3783, IMPORTRANGE(""https://docs.google.com/spreadsheets/d/1-3Vjw2Cyy-mry5gbC8ypIR3YVGFfEpyFESummAta6sg/edit"", ""Sheet1!B:D""), 2, FALSE), ""Not Found"")"),"glɔs")</f>
        <v>glɔs</v>
      </c>
      <c r="E3783" s="2" t="str">
        <f>IFERROR(__xludf.DUMMYFUNCTION("IFERROR(VLOOKUP(A3783, IMPORTRANGE(""https://docs.google.com/spreadsheets/d/1-3Vjw2Cyy-mry5gbC8ypIR3YVGFfEpyFESummAta6sg/edit"", ""Sheet1!B:D""), 3, FALSE), ""Not Found"")"),"g l ɔ s ")</f>
        <v>g l ɔ s </v>
      </c>
    </row>
    <row r="3784">
      <c r="A3784" s="1" t="s">
        <v>3785</v>
      </c>
      <c r="B3784" s="1" t="s">
        <v>5</v>
      </c>
      <c r="C3784" s="2">
        <f>IFERROR(__xludf.DUMMYFUNCTION("IFERROR(VLOOKUP(A3784, IMPORTRANGE(""https://docs.google.com/spreadsheets/d/1AVX9GT0dgogEBStecCXMMQ29tWz3gBrtNB8yIromXbY/edit?gid=741673867"", ""out1g!A:B""), 2, FALSE), 0)"),20987.0)</f>
        <v>20987</v>
      </c>
      <c r="D3784" s="2" t="str">
        <f>IFERROR(__xludf.DUMMYFUNCTION("IFERROR(VLOOKUP(A3784, IMPORTRANGE(""https://docs.google.com/spreadsheets/d/1-3Vjw2Cyy-mry5gbC8ypIR3YVGFfEpyFESummAta6sg/edit"", ""Sheet1!B:D""), 2, FALSE), ""Not Found"")"),"wɛnt")</f>
        <v>wɛnt</v>
      </c>
      <c r="E3784" s="2" t="str">
        <f>IFERROR(__xludf.DUMMYFUNCTION("IFERROR(VLOOKUP(A3784, IMPORTRANGE(""https://docs.google.com/spreadsheets/d/1-3Vjw2Cyy-mry5gbC8ypIR3YVGFfEpyFESummAta6sg/edit"", ""Sheet1!B:D""), 3, FALSE), ""Not Found"")"),"w ɛ n t ")</f>
        <v>w ɛ n t </v>
      </c>
    </row>
    <row r="3785">
      <c r="A3785" s="1" t="s">
        <v>3786</v>
      </c>
      <c r="B3785" s="1" t="s">
        <v>5</v>
      </c>
      <c r="C3785" s="2">
        <f>IFERROR(__xludf.DUMMYFUNCTION("IFERROR(VLOOKUP(A3785, IMPORTRANGE(""https://docs.google.com/spreadsheets/d/1AVX9GT0dgogEBStecCXMMQ29tWz3gBrtNB8yIromXbY/edit?gid=741673867"", ""out1g!A:B""), 2, FALSE), 0)"),108.0)</f>
        <v>108</v>
      </c>
      <c r="D3785" s="2" t="str">
        <f>IFERROR(__xludf.DUMMYFUNCTION("IFERROR(VLOOKUP(A3785, IMPORTRANGE(""https://docs.google.com/spreadsheets/d/1-3Vjw2Cyy-mry5gbC8ypIR3YVGFfEpyFESummAta6sg/edit"", ""Sheet1!B:D""), 2, FALSE), ""Not Found"")"),"brɔl")</f>
        <v>brɔl</v>
      </c>
      <c r="E3785" s="2" t="str">
        <f>IFERROR(__xludf.DUMMYFUNCTION("IFERROR(VLOOKUP(A3785, IMPORTRANGE(""https://docs.google.com/spreadsheets/d/1-3Vjw2Cyy-mry5gbC8ypIR3YVGFfEpyFESummAta6sg/edit"", ""Sheet1!B:D""), 3, FALSE), ""Not Found"")"),"b r ɔ l ")</f>
        <v>b r ɔ l </v>
      </c>
    </row>
    <row r="3786">
      <c r="A3786" s="1" t="s">
        <v>3787</v>
      </c>
      <c r="B3786" s="1" t="s">
        <v>5</v>
      </c>
      <c r="C3786" s="2">
        <f>IFERROR(__xludf.DUMMYFUNCTION("IFERROR(VLOOKUP(A3786, IMPORTRANGE(""https://docs.google.com/spreadsheets/d/1AVX9GT0dgogEBStecCXMMQ29tWz3gBrtNB8yIromXbY/edit?gid=741673867"", ""out1g!A:B""), 2, FALSE), 0)"),260.0)</f>
        <v>260</v>
      </c>
      <c r="D3786" s="2" t="str">
        <f>IFERROR(__xludf.DUMMYFUNCTION("IFERROR(VLOOKUP(A3786, IMPORTRANGE(""https://docs.google.com/spreadsheets/d/1-3Vjw2Cyy-mry5gbC8ypIR3YVGFfEpyFESummAta6sg/edit"", ""Sheet1!B:D""), 2, FALSE), ""Not Found"")"),"ælaɪz")</f>
        <v>ælaɪz</v>
      </c>
      <c r="E3786" s="2" t="str">
        <f>IFERROR(__xludf.DUMMYFUNCTION("IFERROR(VLOOKUP(A3786, IMPORTRANGE(""https://docs.google.com/spreadsheets/d/1-3Vjw2Cyy-mry5gbC8ypIR3YVGFfEpyFESummAta6sg/edit"", ""Sheet1!B:D""), 3, FALSE), ""Not Found"")"),"æ l a ɪ z ")</f>
        <v>æ l a ɪ z </v>
      </c>
    </row>
    <row r="3787">
      <c r="A3787" s="1" t="s">
        <v>3788</v>
      </c>
      <c r="B3787" s="1" t="s">
        <v>5</v>
      </c>
      <c r="C3787" s="2">
        <f>IFERROR(__xludf.DUMMYFUNCTION("IFERROR(VLOOKUP(A3787, IMPORTRANGE(""https://docs.google.com/spreadsheets/d/1AVX9GT0dgogEBStecCXMMQ29tWz3gBrtNB8yIromXbY/edit?gid=741673867"", ""out1g!A:B""), 2, FALSE), 0)"),2207.0)</f>
        <v>2207</v>
      </c>
      <c r="D3787" s="2" t="str">
        <f>IFERROR(__xludf.DUMMYFUNCTION("IFERROR(VLOOKUP(A3787, IMPORTRANGE(""https://docs.google.com/spreadsheets/d/1-3Vjw2Cyy-mry5gbC8ypIR3YVGFfEpyFESummAta6sg/edit"", ""Sheet1!B:D""), 2, FALSE), ""Not Found"")"),"peɪŋ")</f>
        <v>peɪŋ</v>
      </c>
      <c r="E3787" s="2" t="str">
        <f>IFERROR(__xludf.DUMMYFUNCTION("IFERROR(VLOOKUP(A3787, IMPORTRANGE(""https://docs.google.com/spreadsheets/d/1-3Vjw2Cyy-mry5gbC8ypIR3YVGFfEpyFESummAta6sg/edit"", ""Sheet1!B:D""), 3, FALSE), ""Not Found"")"),"p e ɪ ŋ ")</f>
        <v>p e ɪ ŋ </v>
      </c>
    </row>
    <row r="3788">
      <c r="A3788" s="1" t="s">
        <v>3789</v>
      </c>
      <c r="B3788" s="1" t="s">
        <v>5</v>
      </c>
      <c r="C3788" s="2">
        <f>IFERROR(__xludf.DUMMYFUNCTION("IFERROR(VLOOKUP(A3788, IMPORTRANGE(""https://docs.google.com/spreadsheets/d/1AVX9GT0dgogEBStecCXMMQ29tWz3gBrtNB8yIromXbY/edit?gid=741673867"", ""out1g!A:B""), 2, FALSE), 0)"),69.0)</f>
        <v>69</v>
      </c>
      <c r="D3788" s="2" t="str">
        <f>IFERROR(__xludf.DUMMYFUNCTION("IFERROR(VLOOKUP(A3788, IMPORTRANGE(""https://docs.google.com/spreadsheets/d/1-3Vjw2Cyy-mry5gbC8ypIR3YVGFfEpyFESummAta6sg/edit"", ""Sheet1!B:D""), 2, FALSE), ""Not Found"")"),"drenɪŋ")</f>
        <v>drenɪŋ</v>
      </c>
      <c r="E3788" s="2" t="str">
        <f>IFERROR(__xludf.DUMMYFUNCTION("IFERROR(VLOOKUP(A3788, IMPORTRANGE(""https://docs.google.com/spreadsheets/d/1-3Vjw2Cyy-mry5gbC8ypIR3YVGFfEpyFESummAta6sg/edit"", ""Sheet1!B:D""), 3, FALSE), ""Not Found"")"),"d r e n ɪ ŋ ")</f>
        <v>d r e n ɪ ŋ </v>
      </c>
    </row>
    <row r="3789">
      <c r="A3789" s="1" t="s">
        <v>3790</v>
      </c>
      <c r="B3789" s="1" t="s">
        <v>5</v>
      </c>
      <c r="C3789" s="2">
        <f>IFERROR(__xludf.DUMMYFUNCTION("IFERROR(VLOOKUP(A3789, IMPORTRANGE(""https://docs.google.com/spreadsheets/d/1AVX9GT0dgogEBStecCXMMQ29tWz3gBrtNB8yIromXbY/edit?gid=741673867"", ""out1g!A:B""), 2, FALSE), 0)"),2540.0)</f>
        <v>2540</v>
      </c>
      <c r="D3789" s="2" t="str">
        <f>IFERROR(__xludf.DUMMYFUNCTION("IFERROR(VLOOKUP(A3789, IMPORTRANGE(""https://docs.google.com/spreadsheets/d/1-3Vjw2Cyy-mry5gbC8ypIR3YVGFfEpyFESummAta6sg/edit"", ""Sheet1!B:D""), 2, FALSE), ""Not Found"")"),"rɑʤər")</f>
        <v>rɑʤər</v>
      </c>
      <c r="E3789" s="2" t="str">
        <f>IFERROR(__xludf.DUMMYFUNCTION("IFERROR(VLOOKUP(A3789, IMPORTRANGE(""https://docs.google.com/spreadsheets/d/1-3Vjw2Cyy-mry5gbC8ypIR3YVGFfEpyFESummAta6sg/edit"", ""Sheet1!B:D""), 3, FALSE), ""Not Found"")"),"r ɑ ʤ ə r ")</f>
        <v>r ɑ ʤ ə r </v>
      </c>
    </row>
    <row r="3790">
      <c r="A3790" s="1" t="s">
        <v>3791</v>
      </c>
      <c r="B3790" s="1" t="s">
        <v>5</v>
      </c>
      <c r="C3790" s="2">
        <f>IFERROR(__xludf.DUMMYFUNCTION("IFERROR(VLOOKUP(A3790, IMPORTRANGE(""https://docs.google.com/spreadsheets/d/1AVX9GT0dgogEBStecCXMMQ29tWz3gBrtNB8yIromXbY/edit?gid=741673867"", ""out1g!A:B""), 2, FALSE), 0)"),432.0)</f>
        <v>432</v>
      </c>
      <c r="D3790" s="2" t="str">
        <f>IFERROR(__xludf.DUMMYFUNCTION("IFERROR(VLOOKUP(A3790, IMPORTRANGE(""https://docs.google.com/spreadsheets/d/1-3Vjw2Cyy-mry5gbC8ypIR3YVGFfEpyFESummAta6sg/edit"", ""Sheet1!B:D""), 2, FALSE), ""Not Found"")"),"drəm")</f>
        <v>drəm</v>
      </c>
      <c r="E3790" s="2" t="str">
        <f>IFERROR(__xludf.DUMMYFUNCTION("IFERROR(VLOOKUP(A3790, IMPORTRANGE(""https://docs.google.com/spreadsheets/d/1-3Vjw2Cyy-mry5gbC8ypIR3YVGFfEpyFESummAta6sg/edit"", ""Sheet1!B:D""), 3, FALSE), ""Not Found"")"),"d r ə m ")</f>
        <v>d r ə m </v>
      </c>
    </row>
    <row r="3791">
      <c r="A3791" s="1" t="s">
        <v>3792</v>
      </c>
      <c r="B3791" s="1" t="s">
        <v>5</v>
      </c>
      <c r="C3791" s="2">
        <f>IFERROR(__xludf.DUMMYFUNCTION("IFERROR(VLOOKUP(A3791, IMPORTRANGE(""https://docs.google.com/spreadsheets/d/1AVX9GT0dgogEBStecCXMMQ29tWz3gBrtNB8yIromXbY/edit?gid=741673867"", ""out1g!A:B""), 2, FALSE), 0)"),150.0)</f>
        <v>150</v>
      </c>
      <c r="D3791" s="2" t="str">
        <f>IFERROR(__xludf.DUMMYFUNCTION("IFERROR(VLOOKUP(A3791, IMPORTRANGE(""https://docs.google.com/spreadsheets/d/1-3Vjw2Cyy-mry5gbC8ypIR3YVGFfEpyFESummAta6sg/edit"", ""Sheet1!B:D""), 2, FALSE), ""Not Found"")"),"ʤɛkəl")</f>
        <v>ʤɛkəl</v>
      </c>
      <c r="E3791" s="2" t="str">
        <f>IFERROR(__xludf.DUMMYFUNCTION("IFERROR(VLOOKUP(A3791, IMPORTRANGE(""https://docs.google.com/spreadsheets/d/1-3Vjw2Cyy-mry5gbC8ypIR3YVGFfEpyFESummAta6sg/edit"", ""Sheet1!B:D""), 3, FALSE), ""Not Found"")"),"ʤ ɛ k ə l ")</f>
        <v>ʤ ɛ k ə l </v>
      </c>
    </row>
    <row r="3792">
      <c r="A3792" s="1" t="s">
        <v>3793</v>
      </c>
      <c r="B3792" s="1" t="s">
        <v>5</v>
      </c>
      <c r="C3792" s="2">
        <f>IFERROR(__xludf.DUMMYFUNCTION("IFERROR(VLOOKUP(A3792, IMPORTRANGE(""https://docs.google.com/spreadsheets/d/1AVX9GT0dgogEBStecCXMMQ29tWz3gBrtNB8yIromXbY/edit?gid=741673867"", ""out1g!A:B""), 2, FALSE), 0)"),300.0)</f>
        <v>300</v>
      </c>
      <c r="D3792" s="2" t="str">
        <f>IFERROR(__xludf.DUMMYFUNCTION("IFERROR(VLOOKUP(A3792, IMPORTRANGE(""https://docs.google.com/spreadsheets/d/1-3Vjw2Cyy-mry5gbC8ypIR3YVGFfEpyFESummAta6sg/edit"", ""Sheet1!B:D""), 2, FALSE), ""Not Found"")"),"glu")</f>
        <v>glu</v>
      </c>
      <c r="E3792" s="2" t="str">
        <f>IFERROR(__xludf.DUMMYFUNCTION("IFERROR(VLOOKUP(A3792, IMPORTRANGE(""https://docs.google.com/spreadsheets/d/1-3Vjw2Cyy-mry5gbC8ypIR3YVGFfEpyFESummAta6sg/edit"", ""Sheet1!B:D""), 3, FALSE), ""Not Found"")"),"g l u ")</f>
        <v>g l u </v>
      </c>
    </row>
    <row r="3793">
      <c r="A3793" s="1" t="s">
        <v>3794</v>
      </c>
      <c r="B3793" s="1" t="s">
        <v>5</v>
      </c>
      <c r="C3793" s="2">
        <f>IFERROR(__xludf.DUMMYFUNCTION("IFERROR(VLOOKUP(A3793, IMPORTRANGE(""https://docs.google.com/spreadsheets/d/1AVX9GT0dgogEBStecCXMMQ29tWz3gBrtNB8yIromXbY/edit?gid=741673867"", ""out1g!A:B""), 2, FALSE), 0)"),77.0)</f>
        <v>77</v>
      </c>
      <c r="D3793" s="2" t="str">
        <f>IFERROR(__xludf.DUMMYFUNCTION("IFERROR(VLOOKUP(A3793, IMPORTRANGE(""https://docs.google.com/spreadsheets/d/1-3Vjw2Cyy-mry5gbC8ypIR3YVGFfEpyFESummAta6sg/edit"", ""Sheet1!B:D""), 2, FALSE), ""Not Found"")"),"kɑr")</f>
        <v>kɑr</v>
      </c>
      <c r="E3793" s="2" t="str">
        <f>IFERROR(__xludf.DUMMYFUNCTION("IFERROR(VLOOKUP(A3793, IMPORTRANGE(""https://docs.google.com/spreadsheets/d/1-3Vjw2Cyy-mry5gbC8ypIR3YVGFfEpyFESummAta6sg/edit"", ""Sheet1!B:D""), 3, FALSE), ""Not Found"")"),"k ɑ r ")</f>
        <v>k ɑ r </v>
      </c>
    </row>
    <row r="3794">
      <c r="A3794" s="1" t="s">
        <v>3795</v>
      </c>
      <c r="B3794" s="1" t="s">
        <v>5</v>
      </c>
      <c r="C3794" s="2">
        <f>IFERROR(__xludf.DUMMYFUNCTION("IFERROR(VLOOKUP(A3794, IMPORTRANGE(""https://docs.google.com/spreadsheets/d/1AVX9GT0dgogEBStecCXMMQ29tWz3gBrtNB8yIromXbY/edit?gid=741673867"", ""out1g!A:B""), 2, FALSE), 0)"),65.0)</f>
        <v>65</v>
      </c>
      <c r="D3794" s="2" t="str">
        <f>IFERROR(__xludf.DUMMYFUNCTION("IFERROR(VLOOKUP(A3794, IMPORTRANGE(""https://docs.google.com/spreadsheets/d/1-3Vjw2Cyy-mry5gbC8ypIR3YVGFfEpyFESummAta6sg/edit"", ""Sheet1!B:D""), 2, FALSE), ""Not Found"")"),"kroʊm")</f>
        <v>kroʊm</v>
      </c>
      <c r="E3794" s="2" t="str">
        <f>IFERROR(__xludf.DUMMYFUNCTION("IFERROR(VLOOKUP(A3794, IMPORTRANGE(""https://docs.google.com/spreadsheets/d/1-3Vjw2Cyy-mry5gbC8ypIR3YVGFfEpyFESummAta6sg/edit"", ""Sheet1!B:D""), 3, FALSE), ""Not Found"")"),"k r o ʊ m ")</f>
        <v>k r o ʊ m </v>
      </c>
    </row>
    <row r="3795">
      <c r="A3795" s="1" t="s">
        <v>3796</v>
      </c>
      <c r="B3795" s="1" t="s">
        <v>5</v>
      </c>
      <c r="C3795" s="2">
        <f>IFERROR(__xludf.DUMMYFUNCTION("IFERROR(VLOOKUP(A3795, IMPORTRANGE(""https://docs.google.com/spreadsheets/d/1AVX9GT0dgogEBStecCXMMQ29tWz3gBrtNB8yIromXbY/edit?gid=741673867"", ""out1g!A:B""), 2, FALSE), 0)"),90.0)</f>
        <v>90</v>
      </c>
      <c r="D3795" s="2" t="str">
        <f>IFERROR(__xludf.DUMMYFUNCTION("IFERROR(VLOOKUP(A3795, IMPORTRANGE(""https://docs.google.com/spreadsheets/d/1-3Vjw2Cyy-mry5gbC8ypIR3YVGFfEpyFESummAta6sg/edit"", ""Sheet1!B:D""), 2, FALSE), ""Not Found"")"),"tɛnjər")</f>
        <v>tɛnjər</v>
      </c>
      <c r="E3795" s="2" t="str">
        <f>IFERROR(__xludf.DUMMYFUNCTION("IFERROR(VLOOKUP(A3795, IMPORTRANGE(""https://docs.google.com/spreadsheets/d/1-3Vjw2Cyy-mry5gbC8ypIR3YVGFfEpyFESummAta6sg/edit"", ""Sheet1!B:D""), 3, FALSE), ""Not Found"")"),"t ɛ n j ə r ")</f>
        <v>t ɛ n j ə r </v>
      </c>
    </row>
    <row r="3796">
      <c r="A3796" s="1" t="s">
        <v>3797</v>
      </c>
      <c r="B3796" s="1" t="s">
        <v>5</v>
      </c>
      <c r="C3796" s="2">
        <f>IFERROR(__xludf.DUMMYFUNCTION("IFERROR(VLOOKUP(A3796, IMPORTRANGE(""https://docs.google.com/spreadsheets/d/1AVX9GT0dgogEBStecCXMMQ29tWz3gBrtNB8yIromXbY/edit?gid=741673867"", ""out1g!A:B""), 2, FALSE), 0)"),282.0)</f>
        <v>282</v>
      </c>
      <c r="D3796" s="2" t="str">
        <f>IFERROR(__xludf.DUMMYFUNCTION("IFERROR(VLOOKUP(A3796, IMPORTRANGE(""https://docs.google.com/spreadsheets/d/1-3Vjw2Cyy-mry5gbC8ypIR3YVGFfEpyFESummAta6sg/edit"", ""Sheet1!B:D""), 2, FALSE), ""Not Found"")"),"venz")</f>
        <v>venz</v>
      </c>
      <c r="E3796" s="2" t="str">
        <f>IFERROR(__xludf.DUMMYFUNCTION("IFERROR(VLOOKUP(A3796, IMPORTRANGE(""https://docs.google.com/spreadsheets/d/1-3Vjw2Cyy-mry5gbC8ypIR3YVGFfEpyFESummAta6sg/edit"", ""Sheet1!B:D""), 3, FALSE), ""Not Found"")"),"v e n z ")</f>
        <v>v e n z </v>
      </c>
    </row>
    <row r="3797">
      <c r="A3797" s="1" t="s">
        <v>3798</v>
      </c>
      <c r="B3797" s="1" t="s">
        <v>5</v>
      </c>
      <c r="C3797" s="2">
        <f>IFERROR(__xludf.DUMMYFUNCTION("IFERROR(VLOOKUP(A3797, IMPORTRANGE(""https://docs.google.com/spreadsheets/d/1AVX9GT0dgogEBStecCXMMQ29tWz3gBrtNB8yIromXbY/edit?gid=741673867"", ""out1g!A:B""), 2, FALSE), 0)"),3801.0)</f>
        <v>3801</v>
      </c>
      <c r="D3797" s="2" t="str">
        <f>IFERROR(__xludf.DUMMYFUNCTION("IFERROR(VLOOKUP(A3797, IMPORTRANGE(""https://docs.google.com/spreadsheets/d/1-3Vjw2Cyy-mry5gbC8ypIR3YVGFfEpyFESummAta6sg/edit"", ""Sheet1!B:D""), 2, FALSE), ""Not Found"")"),"θərd")</f>
        <v>θərd</v>
      </c>
      <c r="E3797" s="2" t="str">
        <f>IFERROR(__xludf.DUMMYFUNCTION("IFERROR(VLOOKUP(A3797, IMPORTRANGE(""https://docs.google.com/spreadsheets/d/1-3Vjw2Cyy-mry5gbC8ypIR3YVGFfEpyFESummAta6sg/edit"", ""Sheet1!B:D""), 3, FALSE), ""Not Found"")"),"θ ə r d ")</f>
        <v>θ ə r d </v>
      </c>
    </row>
    <row r="3798">
      <c r="A3798" s="1" t="s">
        <v>3799</v>
      </c>
      <c r="B3798" s="1" t="s">
        <v>5</v>
      </c>
      <c r="C3798" s="2">
        <f>IFERROR(__xludf.DUMMYFUNCTION("IFERROR(VLOOKUP(A3798, IMPORTRANGE(""https://docs.google.com/spreadsheets/d/1AVX9GT0dgogEBStecCXMMQ29tWz3gBrtNB8yIromXbY/edit?gid=741673867"", ""out1g!A:B""), 2, FALSE), 0)"),290.0)</f>
        <v>290</v>
      </c>
      <c r="D3798" s="2" t="str">
        <f>IFERROR(__xludf.DUMMYFUNCTION("IFERROR(VLOOKUP(A3798, IMPORTRANGE(""https://docs.google.com/spreadsheets/d/1-3Vjw2Cyy-mry5gbC8ypIR3YVGFfEpyFESummAta6sg/edit"", ""Sheet1!B:D""), 2, FALSE), ""Not Found"")"),"toʊd")</f>
        <v>toʊd</v>
      </c>
      <c r="E3798" s="2" t="str">
        <f>IFERROR(__xludf.DUMMYFUNCTION("IFERROR(VLOOKUP(A3798, IMPORTRANGE(""https://docs.google.com/spreadsheets/d/1-3Vjw2Cyy-mry5gbC8ypIR3YVGFfEpyFESummAta6sg/edit"", ""Sheet1!B:D""), 3, FALSE), ""Not Found"")"),"t o ʊ d ")</f>
        <v>t o ʊ d </v>
      </c>
    </row>
    <row r="3799">
      <c r="A3799" s="1" t="s">
        <v>3800</v>
      </c>
      <c r="B3799" s="1" t="s">
        <v>5</v>
      </c>
      <c r="C3799" s="2">
        <f>IFERROR(__xludf.DUMMYFUNCTION("IFERROR(VLOOKUP(A3799, IMPORTRANGE(""https://docs.google.com/spreadsheets/d/1AVX9GT0dgogEBStecCXMMQ29tWz3gBrtNB8yIromXbY/edit?gid=741673867"", ""out1g!A:B""), 2, FALSE), 0)"),183.0)</f>
        <v>183</v>
      </c>
      <c r="D3799" s="2" t="str">
        <f>IFERROR(__xludf.DUMMYFUNCTION("IFERROR(VLOOKUP(A3799, IMPORTRANGE(""https://docs.google.com/spreadsheets/d/1-3Vjw2Cyy-mry5gbC8ypIR3YVGFfEpyFESummAta6sg/edit"", ""Sheet1!B:D""), 2, FALSE), ""Not Found"")"),"ʧɔk")</f>
        <v>ʧɔk</v>
      </c>
      <c r="E3799" s="2" t="str">
        <f>IFERROR(__xludf.DUMMYFUNCTION("IFERROR(VLOOKUP(A3799, IMPORTRANGE(""https://docs.google.com/spreadsheets/d/1-3Vjw2Cyy-mry5gbC8ypIR3YVGFfEpyFESummAta6sg/edit"", ""Sheet1!B:D""), 3, FALSE), ""Not Found"")"),"ʧ ɔ k ")</f>
        <v>ʧ ɔ k </v>
      </c>
    </row>
    <row r="3800">
      <c r="A3800" s="1" t="s">
        <v>3801</v>
      </c>
      <c r="B3800" s="1" t="s">
        <v>5</v>
      </c>
      <c r="C3800" s="2">
        <f>IFERROR(__xludf.DUMMYFUNCTION("IFERROR(VLOOKUP(A3800, IMPORTRANGE(""https://docs.google.com/spreadsheets/d/1AVX9GT0dgogEBStecCXMMQ29tWz3gBrtNB8yIromXbY/edit?gid=741673867"", ""out1g!A:B""), 2, FALSE), 0)"),66.0)</f>
        <v>66</v>
      </c>
      <c r="D3800" s="2" t="str">
        <f>IFERROR(__xludf.DUMMYFUNCTION("IFERROR(VLOOKUP(A3800, IMPORTRANGE(""https://docs.google.com/spreadsheets/d/1-3Vjw2Cyy-mry5gbC8ypIR3YVGFfEpyFESummAta6sg/edit"", ""Sheet1!B:D""), 2, FALSE), ""Not Found"")"),"soʊn")</f>
        <v>soʊn</v>
      </c>
      <c r="E3800" s="2" t="str">
        <f>IFERROR(__xludf.DUMMYFUNCTION("IFERROR(VLOOKUP(A3800, IMPORTRANGE(""https://docs.google.com/spreadsheets/d/1-3Vjw2Cyy-mry5gbC8ypIR3YVGFfEpyFESummAta6sg/edit"", ""Sheet1!B:D""), 3, FALSE), ""Not Found"")"),"s o ʊ n ")</f>
        <v>s o ʊ n </v>
      </c>
    </row>
    <row r="3801">
      <c r="A3801" s="1" t="s">
        <v>3802</v>
      </c>
      <c r="B3801" s="1" t="s">
        <v>5</v>
      </c>
      <c r="C3801" s="2">
        <f>IFERROR(__xludf.DUMMYFUNCTION("IFERROR(VLOOKUP(A3801, IMPORTRANGE(""https://docs.google.com/spreadsheets/d/1AVX9GT0dgogEBStecCXMMQ29tWz3gBrtNB8yIromXbY/edit?gid=741673867"", ""out1g!A:B""), 2, FALSE), 0)"),1448.0)</f>
        <v>1448</v>
      </c>
      <c r="D3801" s="2" t="str">
        <f>IFERROR(__xludf.DUMMYFUNCTION("IFERROR(VLOOKUP(A3801, IMPORTRANGE(""https://docs.google.com/spreadsheets/d/1-3Vjw2Cyy-mry5gbC8ypIR3YVGFfEpyFESummAta6sg/edit"", ""Sheet1!B:D""), 2, FALSE), ""Not Found"")"),"bərnd")</f>
        <v>bərnd</v>
      </c>
      <c r="E3801" s="2" t="str">
        <f>IFERROR(__xludf.DUMMYFUNCTION("IFERROR(VLOOKUP(A3801, IMPORTRANGE(""https://docs.google.com/spreadsheets/d/1-3Vjw2Cyy-mry5gbC8ypIR3YVGFfEpyFESummAta6sg/edit"", ""Sheet1!B:D""), 3, FALSE), ""Not Found"")"),"b ə r n d ")</f>
        <v>b ə r n d </v>
      </c>
    </row>
    <row r="3802">
      <c r="A3802" s="1" t="s">
        <v>3803</v>
      </c>
      <c r="B3802" s="1" t="s">
        <v>5</v>
      </c>
      <c r="C3802" s="2">
        <f>IFERROR(__xludf.DUMMYFUNCTION("IFERROR(VLOOKUP(A3802, IMPORTRANGE(""https://docs.google.com/spreadsheets/d/1AVX9GT0dgogEBStecCXMMQ29tWz3gBrtNB8yIromXbY/edit?gid=741673867"", ""out1g!A:B""), 2, FALSE), 0)"),188.0)</f>
        <v>188</v>
      </c>
      <c r="D3802" s="2" t="str">
        <f>IFERROR(__xludf.DUMMYFUNCTION("IFERROR(VLOOKUP(A3802, IMPORTRANGE(""https://docs.google.com/spreadsheets/d/1-3Vjw2Cyy-mry5gbC8ypIR3YVGFfEpyFESummAta6sg/edit"", ""Sheet1!B:D""), 2, FALSE), ""Not Found"")"),"prɑp")</f>
        <v>prɑp</v>
      </c>
      <c r="E3802" s="2" t="str">
        <f>IFERROR(__xludf.DUMMYFUNCTION("IFERROR(VLOOKUP(A3802, IMPORTRANGE(""https://docs.google.com/spreadsheets/d/1-3Vjw2Cyy-mry5gbC8ypIR3YVGFfEpyFESummAta6sg/edit"", ""Sheet1!B:D""), 3, FALSE), ""Not Found"")"),"p r ɑ p ")</f>
        <v>p r ɑ p </v>
      </c>
    </row>
    <row r="3803">
      <c r="A3803" s="1" t="s">
        <v>3804</v>
      </c>
      <c r="B3803" s="1" t="s">
        <v>5</v>
      </c>
      <c r="C3803" s="2">
        <f>IFERROR(__xludf.DUMMYFUNCTION("IFERROR(VLOOKUP(A3803, IMPORTRANGE(""https://docs.google.com/spreadsheets/d/1AVX9GT0dgogEBStecCXMMQ29tWz3gBrtNB8yIromXbY/edit?gid=741673867"", ""out1g!A:B""), 2, FALSE), 0)"),49.0)</f>
        <v>49</v>
      </c>
      <c r="D3803" s="2" t="str">
        <f>IFERROR(__xludf.DUMMYFUNCTION("IFERROR(VLOOKUP(A3803, IMPORTRANGE(""https://docs.google.com/spreadsheets/d/1-3Vjw2Cyy-mry5gbC8ypIR3YVGFfEpyFESummAta6sg/edit"", ""Sheet1!B:D""), 2, FALSE), ""Not Found"")"),"gɑrd")</f>
        <v>gɑrd</v>
      </c>
      <c r="E3803" s="2" t="str">
        <f>IFERROR(__xludf.DUMMYFUNCTION("IFERROR(VLOOKUP(A3803, IMPORTRANGE(""https://docs.google.com/spreadsheets/d/1-3Vjw2Cyy-mry5gbC8ypIR3YVGFfEpyFESummAta6sg/edit"", ""Sheet1!B:D""), 3, FALSE), ""Not Found"")"),"g ɑ r d ")</f>
        <v>g ɑ r d </v>
      </c>
    </row>
    <row r="3804">
      <c r="A3804" s="1" t="s">
        <v>3805</v>
      </c>
      <c r="B3804" s="1" t="s">
        <v>5</v>
      </c>
      <c r="C3804" s="2">
        <f>IFERROR(__xludf.DUMMYFUNCTION("IFERROR(VLOOKUP(A3804, IMPORTRANGE(""https://docs.google.com/spreadsheets/d/1AVX9GT0dgogEBStecCXMMQ29tWz3gBrtNB8yIromXbY/edit?gid=741673867"", ""out1g!A:B""), 2, FALSE), 0)"),126.0)</f>
        <v>126</v>
      </c>
      <c r="D3804" s="2" t="str">
        <f>IFERROR(__xludf.DUMMYFUNCTION("IFERROR(VLOOKUP(A3804, IMPORTRANGE(""https://docs.google.com/spreadsheets/d/1-3Vjw2Cyy-mry5gbC8ypIR3YVGFfEpyFESummAta6sg/edit"", ""Sheet1!B:D""), 2, FALSE), ""Not Found"")"),"vaʊʧ")</f>
        <v>vaʊʧ</v>
      </c>
      <c r="E3804" s="2" t="str">
        <f>IFERROR(__xludf.DUMMYFUNCTION("IFERROR(VLOOKUP(A3804, IMPORTRANGE(""https://docs.google.com/spreadsheets/d/1-3Vjw2Cyy-mry5gbC8ypIR3YVGFfEpyFESummAta6sg/edit"", ""Sheet1!B:D""), 3, FALSE), ""Not Found"")"),"v a ʊ ʧ ")</f>
        <v>v a ʊ ʧ </v>
      </c>
    </row>
    <row r="3805">
      <c r="A3805" s="1" t="s">
        <v>3806</v>
      </c>
      <c r="B3805" s="1" t="s">
        <v>5</v>
      </c>
      <c r="C3805" s="2">
        <f>IFERROR(__xludf.DUMMYFUNCTION("IFERROR(VLOOKUP(A3805, IMPORTRANGE(""https://docs.google.com/spreadsheets/d/1AVX9GT0dgogEBStecCXMMQ29tWz3gBrtNB8yIromXbY/edit?gid=741673867"", ""out1g!A:B""), 2, FALSE), 0)"),16.0)</f>
        <v>16</v>
      </c>
      <c r="D3805" s="2" t="str">
        <f>IFERROR(__xludf.DUMMYFUNCTION("IFERROR(VLOOKUP(A3805, IMPORTRANGE(""https://docs.google.com/spreadsheets/d/1-3Vjw2Cyy-mry5gbC8ypIR3YVGFfEpyFESummAta6sg/edit"", ""Sheet1!B:D""), 2, FALSE), ""Not Found"")"),"tɛkstɪŋ")</f>
        <v>tɛkstɪŋ</v>
      </c>
      <c r="E3805" s="2" t="str">
        <f>IFERROR(__xludf.DUMMYFUNCTION("IFERROR(VLOOKUP(A3805, IMPORTRANGE(""https://docs.google.com/spreadsheets/d/1-3Vjw2Cyy-mry5gbC8ypIR3YVGFfEpyFESummAta6sg/edit"", ""Sheet1!B:D""), 3, FALSE), ""Not Found"")"),"t ɛ k s t ɪ ŋ ")</f>
        <v>t ɛ k s t ɪ ŋ </v>
      </c>
    </row>
    <row r="3806">
      <c r="A3806" s="1" t="s">
        <v>3807</v>
      </c>
      <c r="B3806" s="1" t="s">
        <v>5</v>
      </c>
      <c r="C3806" s="2">
        <f>IFERROR(__xludf.DUMMYFUNCTION("IFERROR(VLOOKUP(A3806, IMPORTRANGE(""https://docs.google.com/spreadsheets/d/1AVX9GT0dgogEBStecCXMMQ29tWz3gBrtNB8yIromXbY/edit?gid=741673867"", ""out1g!A:B""), 2, FALSE), 0)"),123.0)</f>
        <v>123</v>
      </c>
      <c r="D3806" s="2" t="str">
        <f>IFERROR(__xludf.DUMMYFUNCTION("IFERROR(VLOOKUP(A3806, IMPORTRANGE(""https://docs.google.com/spreadsheets/d/1-3Vjw2Cyy-mry5gbC8ypIR3YVGFfEpyFESummAta6sg/edit"", ""Sheet1!B:D""), 2, FALSE), ""Not Found"")"),"flɔrɪst")</f>
        <v>flɔrɪst</v>
      </c>
      <c r="E3806" s="2" t="str">
        <f>IFERROR(__xludf.DUMMYFUNCTION("IFERROR(VLOOKUP(A3806, IMPORTRANGE(""https://docs.google.com/spreadsheets/d/1-3Vjw2Cyy-mry5gbC8ypIR3YVGFfEpyFESummAta6sg/edit"", ""Sheet1!B:D""), 3, FALSE), ""Not Found"")"),"f l ɔ r ɪ s t ")</f>
        <v>f l ɔ r ɪ s t </v>
      </c>
    </row>
    <row r="3807">
      <c r="A3807" s="1" t="s">
        <v>3808</v>
      </c>
      <c r="B3807" s="1" t="s">
        <v>5</v>
      </c>
      <c r="C3807" s="2">
        <f>IFERROR(__xludf.DUMMYFUNCTION("IFERROR(VLOOKUP(A3807, IMPORTRANGE(""https://docs.google.com/spreadsheets/d/1AVX9GT0dgogEBStecCXMMQ29tWz3gBrtNB8yIromXbY/edit?gid=741673867"", ""out1g!A:B""), 2, FALSE), 0)"),97.0)</f>
        <v>97</v>
      </c>
      <c r="D3807" s="2" t="str">
        <f>IFERROR(__xludf.DUMMYFUNCTION("IFERROR(VLOOKUP(A3807, IMPORTRANGE(""https://docs.google.com/spreadsheets/d/1-3Vjw2Cyy-mry5gbC8ypIR3YVGFfEpyFESummAta6sg/edit"", ""Sheet1!B:D""), 2, FALSE), ""Not Found"")"),"mɑrt")</f>
        <v>mɑrt</v>
      </c>
      <c r="E3807" s="2" t="str">
        <f>IFERROR(__xludf.DUMMYFUNCTION("IFERROR(VLOOKUP(A3807, IMPORTRANGE(""https://docs.google.com/spreadsheets/d/1-3Vjw2Cyy-mry5gbC8ypIR3YVGFfEpyFESummAta6sg/edit"", ""Sheet1!B:D""), 3, FALSE), ""Not Found"")"),"m ɑ r t ")</f>
        <v>m ɑ r t </v>
      </c>
    </row>
    <row r="3808">
      <c r="A3808" s="1" t="s">
        <v>3809</v>
      </c>
      <c r="B3808" s="1" t="s">
        <v>5</v>
      </c>
      <c r="C3808" s="2">
        <f>IFERROR(__xludf.DUMMYFUNCTION("IFERROR(VLOOKUP(A3808, IMPORTRANGE(""https://docs.google.com/spreadsheets/d/1AVX9GT0dgogEBStecCXMMQ29tWz3gBrtNB8yIromXbY/edit?gid=741673867"", ""out1g!A:B""), 2, FALSE), 0)"),895.0)</f>
        <v>895</v>
      </c>
      <c r="D3808" s="2" t="str">
        <f>IFERROR(__xludf.DUMMYFUNCTION("IFERROR(VLOOKUP(A3808, IMPORTRANGE(""https://docs.google.com/spreadsheets/d/1-3Vjw2Cyy-mry5gbC8ypIR3YVGFfEpyFESummAta6sg/edit"", ""Sheet1!B:D""), 2, FALSE), ""Not Found"")"),"rænʧ")</f>
        <v>rænʧ</v>
      </c>
      <c r="E3808" s="2" t="str">
        <f>IFERROR(__xludf.DUMMYFUNCTION("IFERROR(VLOOKUP(A3808, IMPORTRANGE(""https://docs.google.com/spreadsheets/d/1-3Vjw2Cyy-mry5gbC8ypIR3YVGFfEpyFESummAta6sg/edit"", ""Sheet1!B:D""), 3, FALSE), ""Not Found"")"),"r æ n ʧ ")</f>
        <v>r æ n ʧ </v>
      </c>
    </row>
    <row r="3809">
      <c r="A3809" s="1" t="s">
        <v>3810</v>
      </c>
      <c r="B3809" s="1" t="s">
        <v>5</v>
      </c>
      <c r="C3809" s="2">
        <f>IFERROR(__xludf.DUMMYFUNCTION("IFERROR(VLOOKUP(A3809, IMPORTRANGE(""https://docs.google.com/spreadsheets/d/1AVX9GT0dgogEBStecCXMMQ29tWz3gBrtNB8yIromXbY/edit?gid=741673867"", ""out1g!A:B""), 2, FALSE), 0)"),227.0)</f>
        <v>227</v>
      </c>
      <c r="D3809" s="2" t="str">
        <f>IFERROR(__xludf.DUMMYFUNCTION("IFERROR(VLOOKUP(A3809, IMPORTRANGE(""https://docs.google.com/spreadsheets/d/1-3Vjw2Cyy-mry5gbC8ypIR3YVGFfEpyFESummAta6sg/edit"", ""Sheet1!B:D""), 2, FALSE), ""Not Found"")"),"mɪlz")</f>
        <v>mɪlz</v>
      </c>
      <c r="E3809" s="2" t="str">
        <f>IFERROR(__xludf.DUMMYFUNCTION("IFERROR(VLOOKUP(A3809, IMPORTRANGE(""https://docs.google.com/spreadsheets/d/1-3Vjw2Cyy-mry5gbC8ypIR3YVGFfEpyFESummAta6sg/edit"", ""Sheet1!B:D""), 3, FALSE), ""Not Found"")"),"m ɪ l z ")</f>
        <v>m ɪ l z </v>
      </c>
    </row>
    <row r="3810">
      <c r="A3810" s="1" t="s">
        <v>3811</v>
      </c>
      <c r="B3810" s="1" t="s">
        <v>5</v>
      </c>
      <c r="C3810" s="2">
        <f>IFERROR(__xludf.DUMMYFUNCTION("IFERROR(VLOOKUP(A3810, IMPORTRANGE(""https://docs.google.com/spreadsheets/d/1AVX9GT0dgogEBStecCXMMQ29tWz3gBrtNB8yIromXbY/edit?gid=741673867"", ""out1g!A:B""), 2, FALSE), 0)"),376.0)</f>
        <v>376</v>
      </c>
      <c r="D3810" s="2" t="str">
        <f>IFERROR(__xludf.DUMMYFUNCTION("IFERROR(VLOOKUP(A3810, IMPORTRANGE(""https://docs.google.com/spreadsheets/d/1-3Vjw2Cyy-mry5gbC8ypIR3YVGFfEpyFESummAta6sg/edit"", ""Sheet1!B:D""), 2, FALSE), ""Not Found"")"),"səkɪŋ")</f>
        <v>səkɪŋ</v>
      </c>
      <c r="E3810" s="2" t="str">
        <f>IFERROR(__xludf.DUMMYFUNCTION("IFERROR(VLOOKUP(A3810, IMPORTRANGE(""https://docs.google.com/spreadsheets/d/1-3Vjw2Cyy-mry5gbC8ypIR3YVGFfEpyFESummAta6sg/edit"", ""Sheet1!B:D""), 3, FALSE), ""Not Found"")"),"s ə k ɪ ŋ ")</f>
        <v>s ə k ɪ ŋ </v>
      </c>
    </row>
    <row r="3811">
      <c r="A3811" s="1" t="s">
        <v>3812</v>
      </c>
      <c r="B3811" s="1" t="s">
        <v>5</v>
      </c>
      <c r="C3811" s="2">
        <f>IFERROR(__xludf.DUMMYFUNCTION("IFERROR(VLOOKUP(A3811, IMPORTRANGE(""https://docs.google.com/spreadsheets/d/1AVX9GT0dgogEBStecCXMMQ29tWz3gBrtNB8yIromXbY/edit?gid=741673867"", ""out1g!A:B""), 2, FALSE), 0)"),678.0)</f>
        <v>678</v>
      </c>
      <c r="D3811" s="2" t="str">
        <f>IFERROR(__xludf.DUMMYFUNCTION("IFERROR(VLOOKUP(A3811, IMPORTRANGE(""https://docs.google.com/spreadsheets/d/1-3Vjw2Cyy-mry5gbC8ypIR3YVGFfEpyFESummAta6sg/edit"", ""Sheet1!B:D""), 2, FALSE), ""Not Found"")"),"pɪgz")</f>
        <v>pɪgz</v>
      </c>
      <c r="E3811" s="2" t="str">
        <f>IFERROR(__xludf.DUMMYFUNCTION("IFERROR(VLOOKUP(A3811, IMPORTRANGE(""https://docs.google.com/spreadsheets/d/1-3Vjw2Cyy-mry5gbC8ypIR3YVGFfEpyFESummAta6sg/edit"", ""Sheet1!B:D""), 3, FALSE), ""Not Found"")"),"p ɪ g z ")</f>
        <v>p ɪ g z </v>
      </c>
    </row>
    <row r="3812">
      <c r="A3812" s="1" t="s">
        <v>3813</v>
      </c>
      <c r="B3812" s="1" t="s">
        <v>5</v>
      </c>
      <c r="C3812" s="2">
        <f>IFERROR(__xludf.DUMMYFUNCTION("IFERROR(VLOOKUP(A3812, IMPORTRANGE(""https://docs.google.com/spreadsheets/d/1AVX9GT0dgogEBStecCXMMQ29tWz3gBrtNB8yIromXbY/edit?gid=741673867"", ""out1g!A:B""), 2, FALSE), 0)"),181.0)</f>
        <v>181</v>
      </c>
      <c r="D3812" s="2" t="str">
        <f>IFERROR(__xludf.DUMMYFUNCTION("IFERROR(VLOOKUP(A3812, IMPORTRANGE(""https://docs.google.com/spreadsheets/d/1-3Vjw2Cyy-mry5gbC8ypIR3YVGFfEpyFESummAta6sg/edit"", ""Sheet1!B:D""), 2, FALSE), ""Not Found"")"),"ləmp")</f>
        <v>ləmp</v>
      </c>
      <c r="E3812" s="2" t="str">
        <f>IFERROR(__xludf.DUMMYFUNCTION("IFERROR(VLOOKUP(A3812, IMPORTRANGE(""https://docs.google.com/spreadsheets/d/1-3Vjw2Cyy-mry5gbC8ypIR3YVGFfEpyFESummAta6sg/edit"", ""Sheet1!B:D""), 3, FALSE), ""Not Found"")"),"l ə m p ")</f>
        <v>l ə m p </v>
      </c>
    </row>
    <row r="3813">
      <c r="A3813" s="1" t="s">
        <v>3814</v>
      </c>
      <c r="B3813" s="1" t="s">
        <v>5</v>
      </c>
      <c r="C3813" s="2">
        <f>IFERROR(__xludf.DUMMYFUNCTION("IFERROR(VLOOKUP(A3813, IMPORTRANGE(""https://docs.google.com/spreadsheets/d/1AVX9GT0dgogEBStecCXMMQ29tWz3gBrtNB8yIromXbY/edit?gid=741673867"", ""out1g!A:B""), 2, FALSE), 0)"),93.0)</f>
        <v>93</v>
      </c>
      <c r="D3813" s="2" t="str">
        <f>IFERROR(__xludf.DUMMYFUNCTION("IFERROR(VLOOKUP(A3813, IMPORTRANGE(""https://docs.google.com/spreadsheets/d/1-3Vjw2Cyy-mry5gbC8ypIR3YVGFfEpyFESummAta6sg/edit"", ""Sheet1!B:D""), 2, FALSE), ""Not Found"")"),"ɛl")</f>
        <v>ɛl</v>
      </c>
      <c r="E3813" s="2" t="str">
        <f>IFERROR(__xludf.DUMMYFUNCTION("IFERROR(VLOOKUP(A3813, IMPORTRANGE(""https://docs.google.com/spreadsheets/d/1-3Vjw2Cyy-mry5gbC8ypIR3YVGFfEpyFESummAta6sg/edit"", ""Sheet1!B:D""), 3, FALSE), ""Not Found"")"),"ɛ l ")</f>
        <v>ɛ l </v>
      </c>
    </row>
    <row r="3814">
      <c r="A3814" s="1" t="s">
        <v>3815</v>
      </c>
      <c r="B3814" s="1" t="s">
        <v>5</v>
      </c>
      <c r="C3814" s="2">
        <f>IFERROR(__xludf.DUMMYFUNCTION("IFERROR(VLOOKUP(A3814, IMPORTRANGE(""https://docs.google.com/spreadsheets/d/1AVX9GT0dgogEBStecCXMMQ29tWz3gBrtNB8yIromXbY/edit?gid=741673867"", ""out1g!A:B""), 2, FALSE), 0)"),193.0)</f>
        <v>193</v>
      </c>
      <c r="D3814" s="2" t="str">
        <f>IFERROR(__xludf.DUMMYFUNCTION("IFERROR(VLOOKUP(A3814, IMPORTRANGE(""https://docs.google.com/spreadsheets/d/1-3Vjw2Cyy-mry5gbC8ypIR3YVGFfEpyFESummAta6sg/edit"", ""Sheet1!B:D""), 2, FALSE), ""Not Found"")"),"æsɛt")</f>
        <v>æsɛt</v>
      </c>
      <c r="E3814" s="2" t="str">
        <f>IFERROR(__xludf.DUMMYFUNCTION("IFERROR(VLOOKUP(A3814, IMPORTRANGE(""https://docs.google.com/spreadsheets/d/1-3Vjw2Cyy-mry5gbC8ypIR3YVGFfEpyFESummAta6sg/edit"", ""Sheet1!B:D""), 3, FALSE), ""Not Found"")"),"æ s ɛ t ")</f>
        <v>æ s ɛ t </v>
      </c>
    </row>
    <row r="3815">
      <c r="A3815" s="1" t="s">
        <v>3816</v>
      </c>
      <c r="B3815" s="1" t="s">
        <v>5</v>
      </c>
      <c r="C3815" s="2">
        <f>IFERROR(__xludf.DUMMYFUNCTION("IFERROR(VLOOKUP(A3815, IMPORTRANGE(""https://docs.google.com/spreadsheets/d/1AVX9GT0dgogEBStecCXMMQ29tWz3gBrtNB8yIromXbY/edit?gid=741673867"", ""out1g!A:B""), 2, FALSE), 0)"),251.0)</f>
        <v>251</v>
      </c>
      <c r="D3815" s="2" t="str">
        <f>IFERROR(__xludf.DUMMYFUNCTION("IFERROR(VLOOKUP(A3815, IMPORTRANGE(""https://docs.google.com/spreadsheets/d/1-3Vjw2Cyy-mry5gbC8ypIR3YVGFfEpyFESummAta6sg/edit"", ""Sheet1!B:D""), 2, FALSE), ""Not Found"")"),"snæpt")</f>
        <v>snæpt</v>
      </c>
      <c r="E3815" s="2" t="str">
        <f>IFERROR(__xludf.DUMMYFUNCTION("IFERROR(VLOOKUP(A3815, IMPORTRANGE(""https://docs.google.com/spreadsheets/d/1-3Vjw2Cyy-mry5gbC8ypIR3YVGFfEpyFESummAta6sg/edit"", ""Sheet1!B:D""), 3, FALSE), ""Not Found"")"),"s n æ p t ")</f>
        <v>s n æ p t </v>
      </c>
    </row>
    <row r="3816">
      <c r="A3816" s="1" t="s">
        <v>3817</v>
      </c>
      <c r="B3816" s="1" t="s">
        <v>5</v>
      </c>
      <c r="C3816" s="2">
        <f>IFERROR(__xludf.DUMMYFUNCTION("IFERROR(VLOOKUP(A3816, IMPORTRANGE(""https://docs.google.com/spreadsheets/d/1AVX9GT0dgogEBStecCXMMQ29tWz3gBrtNB8yIromXbY/edit?gid=741673867"", ""out1g!A:B""), 2, FALSE), 0)"),247.0)</f>
        <v>247</v>
      </c>
      <c r="D3816" s="2" t="str">
        <f>IFERROR(__xludf.DUMMYFUNCTION("IFERROR(VLOOKUP(A3816, IMPORTRANGE(""https://docs.google.com/spreadsheets/d/1-3Vjw2Cyy-mry5gbC8ypIR3YVGFfEpyFESummAta6sg/edit"", ""Sheet1!B:D""), 2, FALSE), ""Not Found"")"),"vælv")</f>
        <v>vælv</v>
      </c>
      <c r="E3816" s="2" t="str">
        <f>IFERROR(__xludf.DUMMYFUNCTION("IFERROR(VLOOKUP(A3816, IMPORTRANGE(""https://docs.google.com/spreadsheets/d/1-3Vjw2Cyy-mry5gbC8ypIR3YVGFfEpyFESummAta6sg/edit"", ""Sheet1!B:D""), 3, FALSE), ""Not Found"")"),"v æ l v ")</f>
        <v>v æ l v </v>
      </c>
    </row>
    <row r="3817">
      <c r="A3817" s="1" t="s">
        <v>3818</v>
      </c>
      <c r="B3817" s="1" t="s">
        <v>5</v>
      </c>
      <c r="C3817" s="2">
        <f>IFERROR(__xludf.DUMMYFUNCTION("IFERROR(VLOOKUP(A3817, IMPORTRANGE(""https://docs.google.com/spreadsheets/d/1AVX9GT0dgogEBStecCXMMQ29tWz3gBrtNB8yIromXbY/edit?gid=741673867"", ""out1g!A:B""), 2, FALSE), 0)"),49188.0)</f>
        <v>49188</v>
      </c>
      <c r="D3817" s="2" t="str">
        <f>IFERROR(__xludf.DUMMYFUNCTION("IFERROR(VLOOKUP(A3817, IMPORTRANGE(""https://docs.google.com/spreadsheets/d/1-3Vjw2Cyy-mry5gbC8ypIR3YVGFfEpyFESummAta6sg/edit"", ""Sheet1!B:D""), 2, FALSE), ""Not Found"")"),"sər")</f>
        <v>sər</v>
      </c>
      <c r="E3817" s="2" t="str">
        <f>IFERROR(__xludf.DUMMYFUNCTION("IFERROR(VLOOKUP(A3817, IMPORTRANGE(""https://docs.google.com/spreadsheets/d/1-3Vjw2Cyy-mry5gbC8ypIR3YVGFfEpyFESummAta6sg/edit"", ""Sheet1!B:D""), 3, FALSE), ""Not Found"")"),"s ə r ")</f>
        <v>s ə r </v>
      </c>
    </row>
    <row r="3818">
      <c r="A3818" s="1" t="s">
        <v>3819</v>
      </c>
      <c r="B3818" s="1" t="s">
        <v>5</v>
      </c>
      <c r="C3818" s="2">
        <f>IFERROR(__xludf.DUMMYFUNCTION("IFERROR(VLOOKUP(A3818, IMPORTRANGE(""https://docs.google.com/spreadsheets/d/1AVX9GT0dgogEBStecCXMMQ29tWz3gBrtNB8yIromXbY/edit?gid=741673867"", ""out1g!A:B""), 2, FALSE), 0)"),2172.0)</f>
        <v>2172</v>
      </c>
      <c r="D3818" s="2" t="str">
        <f>IFERROR(__xludf.DUMMYFUNCTION("IFERROR(VLOOKUP(A3818, IMPORTRANGE(""https://docs.google.com/spreadsheets/d/1-3Vjw2Cyy-mry5gbC8ypIR3YVGFfEpyFESummAta6sg/edit"", ""Sheet1!B:D""), 2, FALSE), ""Not Found"")"),"pɑpə")</f>
        <v>pɑpə</v>
      </c>
      <c r="E3818" s="2" t="str">
        <f>IFERROR(__xludf.DUMMYFUNCTION("IFERROR(VLOOKUP(A3818, IMPORTRANGE(""https://docs.google.com/spreadsheets/d/1-3Vjw2Cyy-mry5gbC8ypIR3YVGFfEpyFESummAta6sg/edit"", ""Sheet1!B:D""), 3, FALSE), ""Not Found"")"),"p ɑ p ə ")</f>
        <v>p ɑ p ə </v>
      </c>
    </row>
    <row r="3819">
      <c r="A3819" s="1" t="s">
        <v>3820</v>
      </c>
      <c r="B3819" s="1" t="s">
        <v>5</v>
      </c>
      <c r="C3819" s="2">
        <f>IFERROR(__xludf.DUMMYFUNCTION("IFERROR(VLOOKUP(A3819, IMPORTRANGE(""https://docs.google.com/spreadsheets/d/1AVX9GT0dgogEBStecCXMMQ29tWz3gBrtNB8yIromXbY/edit?gid=741673867"", ""out1g!A:B""), 2, FALSE), 0)"),4853.0)</f>
        <v>4853</v>
      </c>
      <c r="D3819" s="2" t="str">
        <f>IFERROR(__xludf.DUMMYFUNCTION("IFERROR(VLOOKUP(A3819, IMPORTRANGE(""https://docs.google.com/spreadsheets/d/1-3Vjw2Cyy-mry5gbC8ypIR3YVGFfEpyFESummAta6sg/edit"", ""Sheet1!B:D""), 2, FALSE), ""Not Found"")"),"ləvli")</f>
        <v>ləvli</v>
      </c>
      <c r="E3819" s="2" t="str">
        <f>IFERROR(__xludf.DUMMYFUNCTION("IFERROR(VLOOKUP(A3819, IMPORTRANGE(""https://docs.google.com/spreadsheets/d/1-3Vjw2Cyy-mry5gbC8ypIR3YVGFfEpyFESummAta6sg/edit"", ""Sheet1!B:D""), 3, FALSE), ""Not Found"")"),"l ə v l i ")</f>
        <v>l ə v l i </v>
      </c>
    </row>
    <row r="3820">
      <c r="A3820" s="1" t="s">
        <v>3821</v>
      </c>
      <c r="B3820" s="1" t="s">
        <v>5</v>
      </c>
      <c r="C3820" s="2">
        <f>IFERROR(__xludf.DUMMYFUNCTION("IFERROR(VLOOKUP(A3820, IMPORTRANGE(""https://docs.google.com/spreadsheets/d/1AVX9GT0dgogEBStecCXMMQ29tWz3gBrtNB8yIromXbY/edit?gid=741673867"", ""out1g!A:B""), 2, FALSE), 0)"),995.0)</f>
        <v>995</v>
      </c>
      <c r="D3820" s="2" t="str">
        <f>IFERROR(__xludf.DUMMYFUNCTION("IFERROR(VLOOKUP(A3820, IMPORTRANGE(""https://docs.google.com/spreadsheets/d/1-3Vjw2Cyy-mry5gbC8ypIR3YVGFfEpyFESummAta6sg/edit"", ""Sheet1!B:D""), 2, FALSE), ""Not Found"")"),"sɔlt")</f>
        <v>sɔlt</v>
      </c>
      <c r="E3820" s="2" t="str">
        <f>IFERROR(__xludf.DUMMYFUNCTION("IFERROR(VLOOKUP(A3820, IMPORTRANGE(""https://docs.google.com/spreadsheets/d/1-3Vjw2Cyy-mry5gbC8ypIR3YVGFfEpyFESummAta6sg/edit"", ""Sheet1!B:D""), 3, FALSE), ""Not Found"")"),"s ɔ l t ")</f>
        <v>s ɔ l t </v>
      </c>
    </row>
    <row r="3821">
      <c r="A3821" s="1" t="s">
        <v>3822</v>
      </c>
      <c r="B3821" s="1" t="s">
        <v>5</v>
      </c>
      <c r="C3821" s="2">
        <f>IFERROR(__xludf.DUMMYFUNCTION("IFERROR(VLOOKUP(A3821, IMPORTRANGE(""https://docs.google.com/spreadsheets/d/1AVX9GT0dgogEBStecCXMMQ29tWz3gBrtNB8yIromXbY/edit?gid=741673867"", ""out1g!A:B""), 2, FALSE), 0)"),58.0)</f>
        <v>58</v>
      </c>
      <c r="D3821" s="2" t="str">
        <f>IFERROR(__xludf.DUMMYFUNCTION("IFERROR(VLOOKUP(A3821, IMPORTRANGE(""https://docs.google.com/spreadsheets/d/1-3Vjw2Cyy-mry5gbC8ypIR3YVGFfEpyFESummAta6sg/edit"", ""Sheet1!B:D""), 2, FALSE), ""Not Found"")"),"ʤaʊst")</f>
        <v>ʤaʊst</v>
      </c>
      <c r="E3821" s="2" t="str">
        <f>IFERROR(__xludf.DUMMYFUNCTION("IFERROR(VLOOKUP(A3821, IMPORTRANGE(""https://docs.google.com/spreadsheets/d/1-3Vjw2Cyy-mry5gbC8ypIR3YVGFfEpyFESummAta6sg/edit"", ""Sheet1!B:D""), 3, FALSE), ""Not Found"")"),"ʤ a ʊ s t ")</f>
        <v>ʤ a ʊ s t </v>
      </c>
    </row>
    <row r="3822">
      <c r="A3822" s="1" t="s">
        <v>3823</v>
      </c>
      <c r="B3822" s="1" t="s">
        <v>5</v>
      </c>
      <c r="C3822" s="2">
        <f>IFERROR(__xludf.DUMMYFUNCTION("IFERROR(VLOOKUP(A3822, IMPORTRANGE(""https://docs.google.com/spreadsheets/d/1AVX9GT0dgogEBStecCXMMQ29tWz3gBrtNB8yIromXbY/edit?gid=741673867"", ""out1g!A:B""), 2, FALSE), 0)"),175.0)</f>
        <v>175</v>
      </c>
      <c r="D3822" s="2" t="str">
        <f>IFERROR(__xludf.DUMMYFUNCTION("IFERROR(VLOOKUP(A3822, IMPORTRANGE(""https://docs.google.com/spreadsheets/d/1-3Vjw2Cyy-mry5gbC8ypIR3YVGFfEpyFESummAta6sg/edit"", ""Sheet1!B:D""), 2, FALSE), ""Not Found"")"),"traɪæd")</f>
        <v>traɪæd</v>
      </c>
      <c r="E3822" s="2" t="str">
        <f>IFERROR(__xludf.DUMMYFUNCTION("IFERROR(VLOOKUP(A3822, IMPORTRANGE(""https://docs.google.com/spreadsheets/d/1-3Vjw2Cyy-mry5gbC8ypIR3YVGFfEpyFESummAta6sg/edit"", ""Sheet1!B:D""), 3, FALSE), ""Not Found"")"),"t r a ɪ æ d ")</f>
        <v>t r a ɪ æ d </v>
      </c>
    </row>
    <row r="3823">
      <c r="A3823" s="1" t="s">
        <v>3824</v>
      </c>
      <c r="B3823" s="1" t="s">
        <v>5</v>
      </c>
      <c r="C3823" s="2">
        <f>IFERROR(__xludf.DUMMYFUNCTION("IFERROR(VLOOKUP(A3823, IMPORTRANGE(""https://docs.google.com/spreadsheets/d/1AVX9GT0dgogEBStecCXMMQ29tWz3gBrtNB8yIromXbY/edit?gid=741673867"", ""out1g!A:B""), 2, FALSE), 0)"),112.0)</f>
        <v>112</v>
      </c>
      <c r="D3823" s="2" t="str">
        <f>IFERROR(__xludf.DUMMYFUNCTION("IFERROR(VLOOKUP(A3823, IMPORTRANGE(""https://docs.google.com/spreadsheets/d/1-3Vjw2Cyy-mry5gbC8ypIR3YVGFfEpyFESummAta6sg/edit"", ""Sheet1!B:D""), 2, FALSE), ""Not Found"")"),"rebiz")</f>
        <v>rebiz</v>
      </c>
      <c r="E3823" s="2" t="str">
        <f>IFERROR(__xludf.DUMMYFUNCTION("IFERROR(VLOOKUP(A3823, IMPORTRANGE(""https://docs.google.com/spreadsheets/d/1-3Vjw2Cyy-mry5gbC8ypIR3YVGFfEpyFESummAta6sg/edit"", ""Sheet1!B:D""), 3, FALSE), ""Not Found"")"),"r e b i z ")</f>
        <v>r e b i z </v>
      </c>
    </row>
    <row r="3824">
      <c r="A3824" s="1" t="s">
        <v>3825</v>
      </c>
      <c r="B3824" s="1" t="s">
        <v>5</v>
      </c>
      <c r="C3824" s="2">
        <f>IFERROR(__xludf.DUMMYFUNCTION("IFERROR(VLOOKUP(A3824, IMPORTRANGE(""https://docs.google.com/spreadsheets/d/1AVX9GT0dgogEBStecCXMMQ29tWz3gBrtNB8yIromXbY/edit?gid=741673867"", ""out1g!A:B""), 2, FALSE), 0)"),233.0)</f>
        <v>233</v>
      </c>
      <c r="D3824" s="2" t="str">
        <f>IFERROR(__xludf.DUMMYFUNCTION("IFERROR(VLOOKUP(A3824, IMPORTRANGE(""https://docs.google.com/spreadsheets/d/1-3Vjw2Cyy-mry5gbC8ypIR3YVGFfEpyFESummAta6sg/edit"", ""Sheet1!B:D""), 2, FALSE), ""Not Found"")"),"spaɪz")</f>
        <v>spaɪz</v>
      </c>
      <c r="E3824" s="2" t="str">
        <f>IFERROR(__xludf.DUMMYFUNCTION("IFERROR(VLOOKUP(A3824, IMPORTRANGE(""https://docs.google.com/spreadsheets/d/1-3Vjw2Cyy-mry5gbC8ypIR3YVGFfEpyFESummAta6sg/edit"", ""Sheet1!B:D""), 3, FALSE), ""Not Found"")"),"s p a ɪ z ")</f>
        <v>s p a ɪ z </v>
      </c>
    </row>
    <row r="3825">
      <c r="A3825" s="1" t="s">
        <v>3826</v>
      </c>
      <c r="B3825" s="1" t="s">
        <v>5</v>
      </c>
      <c r="C3825" s="2">
        <f>IFERROR(__xludf.DUMMYFUNCTION("IFERROR(VLOOKUP(A3825, IMPORTRANGE(""https://docs.google.com/spreadsheets/d/1AVX9GT0dgogEBStecCXMMQ29tWz3gBrtNB8yIromXbY/edit?gid=741673867"", ""out1g!A:B""), 2, FALSE), 0)"),63.0)</f>
        <v>63</v>
      </c>
      <c r="D3825" s="2" t="str">
        <f>IFERROR(__xludf.DUMMYFUNCTION("IFERROR(VLOOKUP(A3825, IMPORTRANGE(""https://docs.google.com/spreadsheets/d/1-3Vjw2Cyy-mry5gbC8ypIR3YVGFfEpyFESummAta6sg/edit"", ""Sheet1!B:D""), 2, FALSE), ""Not Found"")"),"snɪfs")</f>
        <v>snɪfs</v>
      </c>
      <c r="E3825" s="2" t="str">
        <f>IFERROR(__xludf.DUMMYFUNCTION("IFERROR(VLOOKUP(A3825, IMPORTRANGE(""https://docs.google.com/spreadsheets/d/1-3Vjw2Cyy-mry5gbC8ypIR3YVGFfEpyFESummAta6sg/edit"", ""Sheet1!B:D""), 3, FALSE), ""Not Found"")"),"s n ɪ f s ")</f>
        <v>s n ɪ f s </v>
      </c>
    </row>
    <row r="3826">
      <c r="A3826" s="1" t="s">
        <v>3827</v>
      </c>
      <c r="B3826" s="1" t="s">
        <v>5</v>
      </c>
      <c r="C3826" s="2">
        <f>IFERROR(__xludf.DUMMYFUNCTION("IFERROR(VLOOKUP(A3826, IMPORTRANGE(""https://docs.google.com/spreadsheets/d/1AVX9GT0dgogEBStecCXMMQ29tWz3gBrtNB8yIromXbY/edit?gid=741673867"", ""out1g!A:B""), 2, FALSE), 0)"),400.0)</f>
        <v>400</v>
      </c>
      <c r="D3826" s="2" t="str">
        <f>IFERROR(__xludf.DUMMYFUNCTION("IFERROR(VLOOKUP(A3826, IMPORTRANGE(""https://docs.google.com/spreadsheets/d/1-3Vjw2Cyy-mry5gbC8ypIR3YVGFfEpyFESummAta6sg/edit"", ""Sheet1!B:D""), 2, FALSE), ""Not Found"")"),"bæks")</f>
        <v>bæks</v>
      </c>
      <c r="E3826" s="2" t="str">
        <f>IFERROR(__xludf.DUMMYFUNCTION("IFERROR(VLOOKUP(A3826, IMPORTRANGE(""https://docs.google.com/spreadsheets/d/1-3Vjw2Cyy-mry5gbC8ypIR3YVGFfEpyFESummAta6sg/edit"", ""Sheet1!B:D""), 3, FALSE), ""Not Found"")"),"b æ k s ")</f>
        <v>b æ k s </v>
      </c>
    </row>
    <row r="3827">
      <c r="A3827" s="1" t="s">
        <v>3828</v>
      </c>
      <c r="B3827" s="1" t="s">
        <v>5</v>
      </c>
      <c r="C3827" s="2">
        <f>IFERROR(__xludf.DUMMYFUNCTION("IFERROR(VLOOKUP(A3827, IMPORTRANGE(""https://docs.google.com/spreadsheets/d/1AVX9GT0dgogEBStecCXMMQ29tWz3gBrtNB8yIromXbY/edit?gid=741673867"", ""out1g!A:B""), 2, FALSE), 0)"),4139.0)</f>
        <v>4139</v>
      </c>
      <c r="D3827" s="2" t="str">
        <f>IFERROR(__xludf.DUMMYFUNCTION("IFERROR(VLOOKUP(A3827, IMPORTRANGE(""https://docs.google.com/spreadsheets/d/1-3Vjw2Cyy-mry5gbC8ypIR3YVGFfEpyFESummAta6sg/edit"", ""Sheet1!B:D""), 2, FALSE), ""Not Found"")"),"ɪl")</f>
        <v>ɪl</v>
      </c>
      <c r="E3827" s="2" t="str">
        <f>IFERROR(__xludf.DUMMYFUNCTION("IFERROR(VLOOKUP(A3827, IMPORTRANGE(""https://docs.google.com/spreadsheets/d/1-3Vjw2Cyy-mry5gbC8ypIR3YVGFfEpyFESummAta6sg/edit"", ""Sheet1!B:D""), 3, FALSE), ""Not Found"")"),"ɪ l ")</f>
        <v>ɪ l </v>
      </c>
    </row>
    <row r="3828">
      <c r="A3828" s="1" t="s">
        <v>3829</v>
      </c>
      <c r="B3828" s="1" t="s">
        <v>5</v>
      </c>
      <c r="C3828" s="2">
        <f>IFERROR(__xludf.DUMMYFUNCTION("IFERROR(VLOOKUP(A3828, IMPORTRANGE(""https://docs.google.com/spreadsheets/d/1AVX9GT0dgogEBStecCXMMQ29tWz3gBrtNB8yIromXbY/edit?gid=741673867"", ""out1g!A:B""), 2, FALSE), 0)"),111.0)</f>
        <v>111</v>
      </c>
      <c r="D3828" s="2" t="str">
        <f>IFERROR(__xludf.DUMMYFUNCTION("IFERROR(VLOOKUP(A3828, IMPORTRANGE(""https://docs.google.com/spreadsheets/d/1-3Vjw2Cyy-mry5gbC8ypIR3YVGFfEpyFESummAta6sg/edit"", ""Sheet1!B:D""), 2, FALSE), ""Not Found"")"),"waɪpɪŋ")</f>
        <v>waɪpɪŋ</v>
      </c>
      <c r="E3828" s="2" t="str">
        <f>IFERROR(__xludf.DUMMYFUNCTION("IFERROR(VLOOKUP(A3828, IMPORTRANGE(""https://docs.google.com/spreadsheets/d/1-3Vjw2Cyy-mry5gbC8ypIR3YVGFfEpyFESummAta6sg/edit"", ""Sheet1!B:D""), 3, FALSE), ""Not Found"")"),"w a ɪ p ɪ ŋ ")</f>
        <v>w a ɪ p ɪ ŋ </v>
      </c>
    </row>
    <row r="3829">
      <c r="A3829" s="1" t="s">
        <v>3830</v>
      </c>
      <c r="B3829" s="1" t="s">
        <v>5</v>
      </c>
      <c r="C3829" s="2">
        <f>IFERROR(__xludf.DUMMYFUNCTION("IFERROR(VLOOKUP(A3829, IMPORTRANGE(""https://docs.google.com/spreadsheets/d/1AVX9GT0dgogEBStecCXMMQ29tWz3gBrtNB8yIromXbY/edit?gid=741673867"", ""out1g!A:B""), 2, FALSE), 0)"),46.0)</f>
        <v>46</v>
      </c>
      <c r="D3829" s="2" t="str">
        <f>IFERROR(__xludf.DUMMYFUNCTION("IFERROR(VLOOKUP(A3829, IMPORTRANGE(""https://docs.google.com/spreadsheets/d/1-3Vjw2Cyy-mry5gbC8ypIR3YVGFfEpyFESummAta6sg/edit"", ""Sheet1!B:D""), 2, FALSE), ""Not Found"")"),"stɪŋɪŋ")</f>
        <v>stɪŋɪŋ</v>
      </c>
      <c r="E3829" s="2" t="str">
        <f>IFERROR(__xludf.DUMMYFUNCTION("IFERROR(VLOOKUP(A3829, IMPORTRANGE(""https://docs.google.com/spreadsheets/d/1-3Vjw2Cyy-mry5gbC8ypIR3YVGFfEpyFESummAta6sg/edit"", ""Sheet1!B:D""), 3, FALSE), ""Not Found"")"),"s t ɪ ŋ ɪ ŋ ")</f>
        <v>s t ɪ ŋ ɪ ŋ </v>
      </c>
    </row>
    <row r="3830">
      <c r="A3830" s="1" t="s">
        <v>3831</v>
      </c>
      <c r="B3830" s="1" t="s">
        <v>5</v>
      </c>
      <c r="C3830" s="2">
        <f>IFERROR(__xludf.DUMMYFUNCTION("IFERROR(VLOOKUP(A3830, IMPORTRANGE(""https://docs.google.com/spreadsheets/d/1AVX9GT0dgogEBStecCXMMQ29tWz3gBrtNB8yIromXbY/edit?gid=741673867"", ""out1g!A:B""), 2, FALSE), 0)"),3973.0)</f>
        <v>3973</v>
      </c>
      <c r="D3830" s="2" t="str">
        <f>IFERROR(__xludf.DUMMYFUNCTION("IFERROR(VLOOKUP(A3830, IMPORTRANGE(""https://docs.google.com/spreadsheets/d/1-3Vjw2Cyy-mry5gbC8ypIR3YVGFfEpyFESummAta6sg/edit"", ""Sheet1!B:D""), 2, FALSE), ""Not Found"")"),"ʧif")</f>
        <v>ʧif</v>
      </c>
      <c r="E3830" s="2" t="str">
        <f>IFERROR(__xludf.DUMMYFUNCTION("IFERROR(VLOOKUP(A3830, IMPORTRANGE(""https://docs.google.com/spreadsheets/d/1-3Vjw2Cyy-mry5gbC8ypIR3YVGFfEpyFESummAta6sg/edit"", ""Sheet1!B:D""), 3, FALSE), ""Not Found"")"),"ʧ i f ")</f>
        <v>ʧ i f </v>
      </c>
    </row>
    <row r="3831">
      <c r="A3831" s="1" t="s">
        <v>3832</v>
      </c>
      <c r="B3831" s="1" t="s">
        <v>5</v>
      </c>
      <c r="C3831" s="2">
        <f>IFERROR(__xludf.DUMMYFUNCTION("IFERROR(VLOOKUP(A3831, IMPORTRANGE(""https://docs.google.com/spreadsheets/d/1AVX9GT0dgogEBStecCXMMQ29tWz3gBrtNB8yIromXbY/edit?gid=741673867"", ""out1g!A:B""), 2, FALSE), 0)"),53.0)</f>
        <v>53</v>
      </c>
      <c r="D3831" s="2" t="str">
        <f>IFERROR(__xludf.DUMMYFUNCTION("IFERROR(VLOOKUP(A3831, IMPORTRANGE(""https://docs.google.com/spreadsheets/d/1-3Vjw2Cyy-mry5gbC8ypIR3YVGFfEpyFESummAta6sg/edit"", ""Sheet1!B:D""), 2, FALSE), ""Not Found"")"),"ji")</f>
        <v>ji</v>
      </c>
      <c r="E3831" s="2" t="str">
        <f>IFERROR(__xludf.DUMMYFUNCTION("IFERROR(VLOOKUP(A3831, IMPORTRANGE(""https://docs.google.com/spreadsheets/d/1-3Vjw2Cyy-mry5gbC8ypIR3YVGFfEpyFESummAta6sg/edit"", ""Sheet1!B:D""), 3, FALSE), ""Not Found"")"),"j i ")</f>
        <v>j i </v>
      </c>
    </row>
    <row r="3832">
      <c r="A3832" s="1" t="s">
        <v>3833</v>
      </c>
      <c r="B3832" s="1" t="s">
        <v>5</v>
      </c>
      <c r="C3832" s="2">
        <f>IFERROR(__xludf.DUMMYFUNCTION("IFERROR(VLOOKUP(A3832, IMPORTRANGE(""https://docs.google.com/spreadsheets/d/1AVX9GT0dgogEBStecCXMMQ29tWz3gBrtNB8yIromXbY/edit?gid=741673867"", ""out1g!A:B""), 2, FALSE), 0)"),727.0)</f>
        <v>727</v>
      </c>
      <c r="D3832" s="2" t="str">
        <f>IFERROR(__xludf.DUMMYFUNCTION("IFERROR(VLOOKUP(A3832, IMPORTRANGE(""https://docs.google.com/spreadsheets/d/1-3Vjw2Cyy-mry5gbC8ypIR3YVGFfEpyFESummAta6sg/edit"", ""Sheet1!B:D""), 2, FALSE), ""Not Found"")"),"daɪæn")</f>
        <v>daɪæn</v>
      </c>
      <c r="E3832" s="2" t="str">
        <f>IFERROR(__xludf.DUMMYFUNCTION("IFERROR(VLOOKUP(A3832, IMPORTRANGE(""https://docs.google.com/spreadsheets/d/1-3Vjw2Cyy-mry5gbC8ypIR3YVGFfEpyFESummAta6sg/edit"", ""Sheet1!B:D""), 3, FALSE), ""Not Found"")"),"d a ɪ æ n ")</f>
        <v>d a ɪ æ n </v>
      </c>
    </row>
    <row r="3833">
      <c r="A3833" s="1" t="s">
        <v>3834</v>
      </c>
      <c r="B3833" s="1" t="s">
        <v>5</v>
      </c>
      <c r="C3833" s="2">
        <f>IFERROR(__xludf.DUMMYFUNCTION("IFERROR(VLOOKUP(A3833, IMPORTRANGE(""https://docs.google.com/spreadsheets/d/1AVX9GT0dgogEBStecCXMMQ29tWz3gBrtNB8yIromXbY/edit?gid=741673867"", ""out1g!A:B""), 2, FALSE), 0)"),93.0)</f>
        <v>93</v>
      </c>
      <c r="D3833" s="2" t="str">
        <f>IFERROR(__xludf.DUMMYFUNCTION("IFERROR(VLOOKUP(A3833, IMPORTRANGE(""https://docs.google.com/spreadsheets/d/1-3Vjw2Cyy-mry5gbC8ypIR3YVGFfEpyFESummAta6sg/edit"", ""Sheet1!B:D""), 2, FALSE), ""Not Found"")"),"vɪnʧi")</f>
        <v>vɪnʧi</v>
      </c>
      <c r="E3833" s="2" t="str">
        <f>IFERROR(__xludf.DUMMYFUNCTION("IFERROR(VLOOKUP(A3833, IMPORTRANGE(""https://docs.google.com/spreadsheets/d/1-3Vjw2Cyy-mry5gbC8ypIR3YVGFfEpyFESummAta6sg/edit"", ""Sheet1!B:D""), 3, FALSE), ""Not Found"")"),"v ɪ n ʧ i ")</f>
        <v>v ɪ n ʧ i </v>
      </c>
    </row>
    <row r="3834">
      <c r="A3834" s="1" t="s">
        <v>3835</v>
      </c>
      <c r="B3834" s="1" t="s">
        <v>5</v>
      </c>
      <c r="C3834" s="2">
        <f>IFERROR(__xludf.DUMMYFUNCTION("IFERROR(VLOOKUP(A3834, IMPORTRANGE(""https://docs.google.com/spreadsheets/d/1AVX9GT0dgogEBStecCXMMQ29tWz3gBrtNB8yIromXbY/edit?gid=741673867"", ""out1g!A:B""), 2, FALSE), 0)"),248.0)</f>
        <v>248</v>
      </c>
      <c r="D3834" s="2" t="str">
        <f>IFERROR(__xludf.DUMMYFUNCTION("IFERROR(VLOOKUP(A3834, IMPORTRANGE(""https://docs.google.com/spreadsheets/d/1-3Vjw2Cyy-mry5gbC8ypIR3YVGFfEpyFESummAta6sg/edit"", ""Sheet1!B:D""), 2, FALSE), ""Not Found"")"),"krɑp")</f>
        <v>krɑp</v>
      </c>
      <c r="E3834" s="2" t="str">
        <f>IFERROR(__xludf.DUMMYFUNCTION("IFERROR(VLOOKUP(A3834, IMPORTRANGE(""https://docs.google.com/spreadsheets/d/1-3Vjw2Cyy-mry5gbC8ypIR3YVGFfEpyFESummAta6sg/edit"", ""Sheet1!B:D""), 3, FALSE), ""Not Found"")"),"k r ɑ p ")</f>
        <v>k r ɑ p </v>
      </c>
    </row>
    <row r="3835">
      <c r="A3835" s="1" t="s">
        <v>3836</v>
      </c>
      <c r="B3835" s="1" t="s">
        <v>5</v>
      </c>
      <c r="C3835" s="2">
        <f>IFERROR(__xludf.DUMMYFUNCTION("IFERROR(VLOOKUP(A3835, IMPORTRANGE(""https://docs.google.com/spreadsheets/d/1AVX9GT0dgogEBStecCXMMQ29tWz3gBrtNB8yIromXbY/edit?gid=741673867"", ""out1g!A:B""), 2, FALSE), 0)"),85.0)</f>
        <v>85</v>
      </c>
      <c r="D3835" s="2" t="str">
        <f>IFERROR(__xludf.DUMMYFUNCTION("IFERROR(VLOOKUP(A3835, IMPORTRANGE(""https://docs.google.com/spreadsheets/d/1-3Vjw2Cyy-mry5gbC8ypIR3YVGFfEpyFESummAta6sg/edit"", ""Sheet1!B:D""), 2, FALSE), ""Not Found"")"),"skænz")</f>
        <v>skænz</v>
      </c>
      <c r="E3835" s="2" t="str">
        <f>IFERROR(__xludf.DUMMYFUNCTION("IFERROR(VLOOKUP(A3835, IMPORTRANGE(""https://docs.google.com/spreadsheets/d/1-3Vjw2Cyy-mry5gbC8ypIR3YVGFfEpyFESummAta6sg/edit"", ""Sheet1!B:D""), 3, FALSE), ""Not Found"")"),"s k æ n z ")</f>
        <v>s k æ n z </v>
      </c>
    </row>
    <row r="3836">
      <c r="A3836" s="1" t="s">
        <v>3837</v>
      </c>
      <c r="B3836" s="1" t="s">
        <v>5</v>
      </c>
      <c r="C3836" s="2">
        <f>IFERROR(__xludf.DUMMYFUNCTION("IFERROR(VLOOKUP(A3836, IMPORTRANGE(""https://docs.google.com/spreadsheets/d/1AVX9GT0dgogEBStecCXMMQ29tWz3gBrtNB8yIromXbY/edit?gid=741673867"", ""out1g!A:B""), 2, FALSE), 0)"),615.0)</f>
        <v>615</v>
      </c>
      <c r="D3836" s="2" t="str">
        <f>IFERROR(__xludf.DUMMYFUNCTION("IFERROR(VLOOKUP(A3836, IMPORTRANGE(""https://docs.google.com/spreadsheets/d/1-3Vjw2Cyy-mry5gbC8ypIR3YVGFfEpyFESummAta6sg/edit"", ""Sheet1!B:D""), 2, FALSE), ""Not Found"")"),"daɪm")</f>
        <v>daɪm</v>
      </c>
      <c r="E3836" s="2" t="str">
        <f>IFERROR(__xludf.DUMMYFUNCTION("IFERROR(VLOOKUP(A3836, IMPORTRANGE(""https://docs.google.com/spreadsheets/d/1-3Vjw2Cyy-mry5gbC8ypIR3YVGFfEpyFESummAta6sg/edit"", ""Sheet1!B:D""), 3, FALSE), ""Not Found"")"),"d a ɪ m ")</f>
        <v>d a ɪ m </v>
      </c>
    </row>
    <row r="3837">
      <c r="A3837" s="1" t="s">
        <v>3838</v>
      </c>
      <c r="B3837" s="1" t="s">
        <v>5</v>
      </c>
      <c r="C3837" s="2">
        <f>IFERROR(__xludf.DUMMYFUNCTION("IFERROR(VLOOKUP(A3837, IMPORTRANGE(""https://docs.google.com/spreadsheets/d/1AVX9GT0dgogEBStecCXMMQ29tWz3gBrtNB8yIromXbY/edit?gid=741673867"", ""out1g!A:B""), 2, FALSE), 0)"),106.0)</f>
        <v>106</v>
      </c>
      <c r="D3837" s="2" t="str">
        <f>IFERROR(__xludf.DUMMYFUNCTION("IFERROR(VLOOKUP(A3837, IMPORTRANGE(""https://docs.google.com/spreadsheets/d/1-3Vjw2Cyy-mry5gbC8ypIR3YVGFfEpyFESummAta6sg/edit"", ""Sheet1!B:D""), 2, FALSE), ""Not Found"")"),"loʊð")</f>
        <v>loʊð</v>
      </c>
      <c r="E3837" s="2" t="str">
        <f>IFERROR(__xludf.DUMMYFUNCTION("IFERROR(VLOOKUP(A3837, IMPORTRANGE(""https://docs.google.com/spreadsheets/d/1-3Vjw2Cyy-mry5gbC8ypIR3YVGFfEpyFESummAta6sg/edit"", ""Sheet1!B:D""), 3, FALSE), ""Not Found"")"),"l o ʊ ð ")</f>
        <v>l o ʊ ð </v>
      </c>
    </row>
    <row r="3838">
      <c r="A3838" s="1" t="s">
        <v>3839</v>
      </c>
      <c r="B3838" s="1" t="s">
        <v>5</v>
      </c>
      <c r="C3838" s="2">
        <f>IFERROR(__xludf.DUMMYFUNCTION("IFERROR(VLOOKUP(A3838, IMPORTRANGE(""https://docs.google.com/spreadsheets/d/1AVX9GT0dgogEBStecCXMMQ29tWz3gBrtNB8yIromXbY/edit?gid=741673867"", ""out1g!A:B""), 2, FALSE), 0)"),235.0)</f>
        <v>235</v>
      </c>
      <c r="D3838" s="2" t="str">
        <f>IFERROR(__xludf.DUMMYFUNCTION("IFERROR(VLOOKUP(A3838, IMPORTRANGE(""https://docs.google.com/spreadsheets/d/1-3Vjw2Cyy-mry5gbC8ypIR3YVGFfEpyFESummAta6sg/edit"", ""Sheet1!B:D""), 2, FALSE), ""Not Found"")"),"ɪnvɛnt")</f>
        <v>ɪnvɛnt</v>
      </c>
      <c r="E3838" s="2" t="str">
        <f>IFERROR(__xludf.DUMMYFUNCTION("IFERROR(VLOOKUP(A3838, IMPORTRANGE(""https://docs.google.com/spreadsheets/d/1-3Vjw2Cyy-mry5gbC8ypIR3YVGFfEpyFESummAta6sg/edit"", ""Sheet1!B:D""), 3, FALSE), ""Not Found"")"),"ɪ n v ɛ n t ")</f>
        <v>ɪ n v ɛ n t </v>
      </c>
    </row>
    <row r="3839">
      <c r="A3839" s="1" t="s">
        <v>3840</v>
      </c>
      <c r="B3839" s="1" t="s">
        <v>5</v>
      </c>
      <c r="C3839" s="2">
        <f>IFERROR(__xludf.DUMMYFUNCTION("IFERROR(VLOOKUP(A3839, IMPORTRANGE(""https://docs.google.com/spreadsheets/d/1AVX9GT0dgogEBStecCXMMQ29tWz3gBrtNB8yIromXbY/edit?gid=741673867"", ""out1g!A:B""), 2, FALSE), 0)"),50.0)</f>
        <v>50</v>
      </c>
      <c r="D3839" s="2" t="str">
        <f>IFERROR(__xludf.DUMMYFUNCTION("IFERROR(VLOOKUP(A3839, IMPORTRANGE(""https://docs.google.com/spreadsheets/d/1-3Vjw2Cyy-mry5gbC8ypIR3YVGFfEpyFESummAta6sg/edit"", ""Sheet1!B:D""), 2, FALSE), ""Not Found"")"),"poʊki")</f>
        <v>poʊki</v>
      </c>
      <c r="E3839" s="2" t="str">
        <f>IFERROR(__xludf.DUMMYFUNCTION("IFERROR(VLOOKUP(A3839, IMPORTRANGE(""https://docs.google.com/spreadsheets/d/1-3Vjw2Cyy-mry5gbC8ypIR3YVGFfEpyFESummAta6sg/edit"", ""Sheet1!B:D""), 3, FALSE), ""Not Found"")"),"p o ʊ k i ")</f>
        <v>p o ʊ k i </v>
      </c>
    </row>
    <row r="3840">
      <c r="A3840" s="1" t="s">
        <v>3841</v>
      </c>
      <c r="B3840" s="1" t="s">
        <v>5</v>
      </c>
      <c r="C3840" s="2">
        <f>IFERROR(__xludf.DUMMYFUNCTION("IFERROR(VLOOKUP(A3840, IMPORTRANGE(""https://docs.google.com/spreadsheets/d/1AVX9GT0dgogEBStecCXMMQ29tWz3gBrtNB8yIromXbY/edit?gid=741673867"", ""out1g!A:B""), 2, FALSE), 0)"),211.0)</f>
        <v>211</v>
      </c>
      <c r="D3840" s="2" t="str">
        <f>IFERROR(__xludf.DUMMYFUNCTION("IFERROR(VLOOKUP(A3840, IMPORTRANGE(""https://docs.google.com/spreadsheets/d/1-3Vjw2Cyy-mry5gbC8ypIR3YVGFfEpyFESummAta6sg/edit"", ""Sheet1!B:D""), 2, FALSE), ""Not Found"")"),"smɛli")</f>
        <v>smɛli</v>
      </c>
      <c r="E3840" s="2" t="str">
        <f>IFERROR(__xludf.DUMMYFUNCTION("IFERROR(VLOOKUP(A3840, IMPORTRANGE(""https://docs.google.com/spreadsheets/d/1-3Vjw2Cyy-mry5gbC8ypIR3YVGFfEpyFESummAta6sg/edit"", ""Sheet1!B:D""), 3, FALSE), ""Not Found"")"),"s m ɛ l i ")</f>
        <v>s m ɛ l i </v>
      </c>
    </row>
    <row r="3841">
      <c r="A3841" s="1" t="s">
        <v>3842</v>
      </c>
      <c r="B3841" s="1" t="s">
        <v>5</v>
      </c>
      <c r="C3841" s="2">
        <f>IFERROR(__xludf.DUMMYFUNCTION("IFERROR(VLOOKUP(A3841, IMPORTRANGE(""https://docs.google.com/spreadsheets/d/1AVX9GT0dgogEBStecCXMMQ29tWz3gBrtNB8yIromXbY/edit?gid=741673867"", ""out1g!A:B""), 2, FALSE), 0)"),307.0)</f>
        <v>307</v>
      </c>
      <c r="D3841" s="2" t="str">
        <f>IFERROR(__xludf.DUMMYFUNCTION("IFERROR(VLOOKUP(A3841, IMPORTRANGE(""https://docs.google.com/spreadsheets/d/1-3Vjw2Cyy-mry5gbC8ypIR3YVGFfEpyFESummAta6sg/edit"", ""Sheet1!B:D""), 2, FALSE), ""Not Found"")"),"wets")</f>
        <v>wets</v>
      </c>
      <c r="E3841" s="2" t="str">
        <f>IFERROR(__xludf.DUMMYFUNCTION("IFERROR(VLOOKUP(A3841, IMPORTRANGE(""https://docs.google.com/spreadsheets/d/1-3Vjw2Cyy-mry5gbC8ypIR3YVGFfEpyFESummAta6sg/edit"", ""Sheet1!B:D""), 3, FALSE), ""Not Found"")"),"w e t s ")</f>
        <v>w e t s </v>
      </c>
    </row>
    <row r="3842">
      <c r="A3842" s="1" t="s">
        <v>3843</v>
      </c>
      <c r="B3842" s="1" t="s">
        <v>5</v>
      </c>
      <c r="C3842" s="2">
        <f>IFERROR(__xludf.DUMMYFUNCTION("IFERROR(VLOOKUP(A3842, IMPORTRANGE(""https://docs.google.com/spreadsheets/d/1AVX9GT0dgogEBStecCXMMQ29tWz3gBrtNB8yIromXbY/edit?gid=741673867"", ""out1g!A:B""), 2, FALSE), 0)"),127.0)</f>
        <v>127</v>
      </c>
      <c r="D3842" s="2" t="str">
        <f>IFERROR(__xludf.DUMMYFUNCTION("IFERROR(VLOOKUP(A3842, IMPORTRANGE(""https://docs.google.com/spreadsheets/d/1-3Vjw2Cyy-mry5gbC8ypIR3YVGFfEpyFESummAta6sg/edit"", ""Sheet1!B:D""), 2, FALSE), ""Not Found"")"),"snup")</f>
        <v>snup</v>
      </c>
      <c r="E3842" s="2" t="str">
        <f>IFERROR(__xludf.DUMMYFUNCTION("IFERROR(VLOOKUP(A3842, IMPORTRANGE(""https://docs.google.com/spreadsheets/d/1-3Vjw2Cyy-mry5gbC8ypIR3YVGFfEpyFESummAta6sg/edit"", ""Sheet1!B:D""), 3, FALSE), ""Not Found"")"),"s n u p ")</f>
        <v>s n u p </v>
      </c>
    </row>
    <row r="3843">
      <c r="A3843" s="1" t="s">
        <v>3844</v>
      </c>
      <c r="B3843" s="1" t="s">
        <v>5</v>
      </c>
      <c r="C3843" s="2">
        <f>IFERROR(__xludf.DUMMYFUNCTION("IFERROR(VLOOKUP(A3843, IMPORTRANGE(""https://docs.google.com/spreadsheets/d/1AVX9GT0dgogEBStecCXMMQ29tWz3gBrtNB8yIromXbY/edit?gid=741673867"", ""out1g!A:B""), 2, FALSE), 0)"),17821.0)</f>
        <v>17821</v>
      </c>
      <c r="D3843" s="2" t="str">
        <f>IFERROR(__xludf.DUMMYFUNCTION("IFERROR(VLOOKUP(A3843, IMPORTRANGE(""https://docs.google.com/spreadsheets/d/1-3Vjw2Cyy-mry5gbC8ypIR3YVGFfEpyFESummAta6sg/edit"", ""Sheet1!B:D""), 2, FALSE), ""Not Found"")"),"waɪl")</f>
        <v>waɪl</v>
      </c>
      <c r="E3843" s="2" t="str">
        <f>IFERROR(__xludf.DUMMYFUNCTION("IFERROR(VLOOKUP(A3843, IMPORTRANGE(""https://docs.google.com/spreadsheets/d/1-3Vjw2Cyy-mry5gbC8ypIR3YVGFfEpyFESummAta6sg/edit"", ""Sheet1!B:D""), 3, FALSE), ""Not Found"")"),"w a ɪ l ")</f>
        <v>w a ɪ l </v>
      </c>
    </row>
    <row r="3844">
      <c r="A3844" s="1" t="s">
        <v>3845</v>
      </c>
      <c r="B3844" s="1" t="s">
        <v>5</v>
      </c>
      <c r="C3844" s="2">
        <f>IFERROR(__xludf.DUMMYFUNCTION("IFERROR(VLOOKUP(A3844, IMPORTRANGE(""https://docs.google.com/spreadsheets/d/1AVX9GT0dgogEBStecCXMMQ29tWz3gBrtNB8yIromXbY/edit?gid=741673867"", ""out1g!A:B""), 2, FALSE), 0)"),258.0)</f>
        <v>258</v>
      </c>
      <c r="D3844" s="2" t="str">
        <f>IFERROR(__xludf.DUMMYFUNCTION("IFERROR(VLOOKUP(A3844, IMPORTRANGE(""https://docs.google.com/spreadsheets/d/1-3Vjw2Cyy-mry5gbC8ypIR3YVGFfEpyFESummAta6sg/edit"", ""Sheet1!B:D""), 2, FALSE), ""Not Found"")"),"skɪpt")</f>
        <v>skɪpt</v>
      </c>
      <c r="E3844" s="2" t="str">
        <f>IFERROR(__xludf.DUMMYFUNCTION("IFERROR(VLOOKUP(A3844, IMPORTRANGE(""https://docs.google.com/spreadsheets/d/1-3Vjw2Cyy-mry5gbC8ypIR3YVGFfEpyFESummAta6sg/edit"", ""Sheet1!B:D""), 3, FALSE), ""Not Found"")"),"s k ɪ p t ")</f>
        <v>s k ɪ p t </v>
      </c>
    </row>
    <row r="3845">
      <c r="A3845" s="1" t="s">
        <v>3846</v>
      </c>
      <c r="B3845" s="1" t="s">
        <v>5</v>
      </c>
      <c r="C3845" s="2">
        <f>IFERROR(__xludf.DUMMYFUNCTION("IFERROR(VLOOKUP(A3845, IMPORTRANGE(""https://docs.google.com/spreadsheets/d/1AVX9GT0dgogEBStecCXMMQ29tWz3gBrtNB8yIromXbY/edit?gid=741673867"", ""out1g!A:B""), 2, FALSE), 0)"),164.0)</f>
        <v>164</v>
      </c>
      <c r="D3845" s="2" t="str">
        <f>IFERROR(__xludf.DUMMYFUNCTION("IFERROR(VLOOKUP(A3845, IMPORTRANGE(""https://docs.google.com/spreadsheets/d/1-3Vjw2Cyy-mry5gbC8ypIR3YVGFfEpyFESummAta6sg/edit"", ""Sheet1!B:D""), 2, FALSE), ""Not Found"")"),"pəp")</f>
        <v>pəp</v>
      </c>
      <c r="E3845" s="2" t="str">
        <f>IFERROR(__xludf.DUMMYFUNCTION("IFERROR(VLOOKUP(A3845, IMPORTRANGE(""https://docs.google.com/spreadsheets/d/1-3Vjw2Cyy-mry5gbC8ypIR3YVGFfEpyFESummAta6sg/edit"", ""Sheet1!B:D""), 3, FALSE), ""Not Found"")"),"p ə p ")</f>
        <v>p ə p </v>
      </c>
    </row>
    <row r="3846">
      <c r="A3846" s="1" t="s">
        <v>3847</v>
      </c>
      <c r="B3846" s="1" t="s">
        <v>5</v>
      </c>
      <c r="C3846" s="2">
        <f>IFERROR(__xludf.DUMMYFUNCTION("IFERROR(VLOOKUP(A3846, IMPORTRANGE(""https://docs.google.com/spreadsheets/d/1AVX9GT0dgogEBStecCXMMQ29tWz3gBrtNB8yIromXbY/edit?gid=741673867"", ""out1g!A:B""), 2, FALSE), 0)"),96.0)</f>
        <v>96</v>
      </c>
      <c r="D3846" s="2" t="str">
        <f>IFERROR(__xludf.DUMMYFUNCTION("IFERROR(VLOOKUP(A3846, IMPORTRANGE(""https://docs.google.com/spreadsheets/d/1-3Vjw2Cyy-mry5gbC8ypIR3YVGFfEpyFESummAta6sg/edit"", ""Sheet1!B:D""), 2, FALSE), ""Not Found"")"),"æspən")</f>
        <v>æspən</v>
      </c>
      <c r="E3846" s="2" t="str">
        <f>IFERROR(__xludf.DUMMYFUNCTION("IFERROR(VLOOKUP(A3846, IMPORTRANGE(""https://docs.google.com/spreadsheets/d/1-3Vjw2Cyy-mry5gbC8ypIR3YVGFfEpyFESummAta6sg/edit"", ""Sheet1!B:D""), 3, FALSE), ""Not Found"")"),"æ s p ə n ")</f>
        <v>æ s p ə n </v>
      </c>
    </row>
    <row r="3847">
      <c r="A3847" s="1" t="s">
        <v>3848</v>
      </c>
      <c r="B3847" s="1" t="s">
        <v>5</v>
      </c>
      <c r="C3847" s="2">
        <f>IFERROR(__xludf.DUMMYFUNCTION("IFERROR(VLOOKUP(A3847, IMPORTRANGE(""https://docs.google.com/spreadsheets/d/1AVX9GT0dgogEBStecCXMMQ29tWz3gBrtNB8yIromXbY/edit?gid=741673867"", ""out1g!A:B""), 2, FALSE), 0)"),651.0)</f>
        <v>651</v>
      </c>
      <c r="D3847" s="2" t="str">
        <f>IFERROR(__xludf.DUMMYFUNCTION("IFERROR(VLOOKUP(A3847, IMPORTRANGE(""https://docs.google.com/spreadsheets/d/1-3Vjw2Cyy-mry5gbC8ypIR3YVGFfEpyFESummAta6sg/edit"", ""Sheet1!B:D""), 2, FALSE), ""Not Found"")"),"stɔrt")</f>
        <v>stɔrt</v>
      </c>
      <c r="E3847" s="2" t="str">
        <f>IFERROR(__xludf.DUMMYFUNCTION("IFERROR(VLOOKUP(A3847, IMPORTRANGE(""https://docs.google.com/spreadsheets/d/1-3Vjw2Cyy-mry5gbC8ypIR3YVGFfEpyFESummAta6sg/edit"", ""Sheet1!B:D""), 3, FALSE), ""Not Found"")"),"s t ɔ r t ")</f>
        <v>s t ɔ r t </v>
      </c>
    </row>
    <row r="3848">
      <c r="A3848" s="1" t="s">
        <v>3849</v>
      </c>
      <c r="B3848" s="1" t="s">
        <v>5</v>
      </c>
      <c r="C3848" s="2">
        <f>IFERROR(__xludf.DUMMYFUNCTION("IFERROR(VLOOKUP(A3848, IMPORTRANGE(""https://docs.google.com/spreadsheets/d/1AVX9GT0dgogEBStecCXMMQ29tWz3gBrtNB8yIromXbY/edit?gid=741673867"", ""out1g!A:B""), 2, FALSE), 0)"),140.0)</f>
        <v>140</v>
      </c>
      <c r="D3848" s="2" t="str">
        <f>IFERROR(__xludf.DUMMYFUNCTION("IFERROR(VLOOKUP(A3848, IMPORTRANGE(""https://docs.google.com/spreadsheets/d/1-3Vjw2Cyy-mry5gbC8ypIR3YVGFfEpyFESummAta6sg/edit"", ""Sheet1!B:D""), 2, FALSE), ""Not Found"")"),"təg")</f>
        <v>təg</v>
      </c>
      <c r="E3848" s="2" t="str">
        <f>IFERROR(__xludf.DUMMYFUNCTION("IFERROR(VLOOKUP(A3848, IMPORTRANGE(""https://docs.google.com/spreadsheets/d/1-3Vjw2Cyy-mry5gbC8ypIR3YVGFfEpyFESummAta6sg/edit"", ""Sheet1!B:D""), 3, FALSE), ""Not Found"")"),"t ə g ")</f>
        <v>t ə g </v>
      </c>
    </row>
    <row r="3849">
      <c r="A3849" s="1" t="s">
        <v>3850</v>
      </c>
      <c r="B3849" s="1" t="s">
        <v>5</v>
      </c>
      <c r="C3849" s="2">
        <f>IFERROR(__xludf.DUMMYFUNCTION("IFERROR(VLOOKUP(A3849, IMPORTRANGE(""https://docs.google.com/spreadsheets/d/1AVX9GT0dgogEBStecCXMMQ29tWz3gBrtNB8yIromXbY/edit?gid=741673867"", ""out1g!A:B""), 2, FALSE), 0)"),95.0)</f>
        <v>95</v>
      </c>
      <c r="D3849" s="2" t="str">
        <f>IFERROR(__xludf.DUMMYFUNCTION("IFERROR(VLOOKUP(A3849, IMPORTRANGE(""https://docs.google.com/spreadsheets/d/1-3Vjw2Cyy-mry5gbC8ypIR3YVGFfEpyFESummAta6sg/edit"", ""Sheet1!B:D""), 2, FALSE), ""Not Found"")"),"mɑk")</f>
        <v>mɑk</v>
      </c>
      <c r="E3849" s="2" t="str">
        <f>IFERROR(__xludf.DUMMYFUNCTION("IFERROR(VLOOKUP(A3849, IMPORTRANGE(""https://docs.google.com/spreadsheets/d/1-3Vjw2Cyy-mry5gbC8ypIR3YVGFfEpyFESummAta6sg/edit"", ""Sheet1!B:D""), 3, FALSE), ""Not Found"")"),"m ɑ k ")</f>
        <v>m ɑ k </v>
      </c>
    </row>
    <row r="3850">
      <c r="A3850" s="1" t="s">
        <v>3851</v>
      </c>
      <c r="B3850" s="1" t="s">
        <v>5</v>
      </c>
      <c r="C3850" s="2">
        <f>IFERROR(__xludf.DUMMYFUNCTION("IFERROR(VLOOKUP(A3850, IMPORTRANGE(""https://docs.google.com/spreadsheets/d/1AVX9GT0dgogEBStecCXMMQ29tWz3gBrtNB8yIromXbY/edit?gid=741673867"", ""out1g!A:B""), 2, FALSE), 0)"),191.0)</f>
        <v>191</v>
      </c>
      <c r="D3850" s="2" t="str">
        <f>IFERROR(__xludf.DUMMYFUNCTION("IFERROR(VLOOKUP(A3850, IMPORTRANGE(""https://docs.google.com/spreadsheets/d/1-3Vjw2Cyy-mry5gbC8ypIR3YVGFfEpyFESummAta6sg/edit"", ""Sheet1!B:D""), 2, FALSE), ""Not Found"")"),"nɑn")</f>
        <v>nɑn</v>
      </c>
      <c r="E3850" s="2" t="str">
        <f>IFERROR(__xludf.DUMMYFUNCTION("IFERROR(VLOOKUP(A3850, IMPORTRANGE(""https://docs.google.com/spreadsheets/d/1-3Vjw2Cyy-mry5gbC8ypIR3YVGFfEpyFESummAta6sg/edit"", ""Sheet1!B:D""), 3, FALSE), ""Not Found"")"),"n ɑ n ")</f>
        <v>n ɑ n </v>
      </c>
    </row>
    <row r="3851">
      <c r="A3851" s="1" t="s">
        <v>3852</v>
      </c>
      <c r="B3851" s="1" t="s">
        <v>5</v>
      </c>
      <c r="C3851" s="2">
        <f>IFERROR(__xludf.DUMMYFUNCTION("IFERROR(VLOOKUP(A3851, IMPORTRANGE(""https://docs.google.com/spreadsheets/d/1AVX9GT0dgogEBStecCXMMQ29tWz3gBrtNB8yIromXbY/edit?gid=741673867"", ""out1g!A:B""), 2, FALSE), 0)"),719677.0)</f>
        <v>719677</v>
      </c>
      <c r="D3851" s="2" t="str">
        <f>IFERROR(__xludf.DUMMYFUNCTION("IFERROR(VLOOKUP(A3851, IMPORTRANGE(""https://docs.google.com/spreadsheets/d/1-3Vjw2Cyy-mry5gbC8ypIR3YVGFfEpyFESummAta6sg/edit"", ""Sheet1!B:D""), 2, FALSE), ""Not Found"")"),"ðət")</f>
        <v>ðət</v>
      </c>
      <c r="E3851" s="2" t="str">
        <f>IFERROR(__xludf.DUMMYFUNCTION("IFERROR(VLOOKUP(A3851, IMPORTRANGE(""https://docs.google.com/spreadsheets/d/1-3Vjw2Cyy-mry5gbC8ypIR3YVGFfEpyFESummAta6sg/edit"", ""Sheet1!B:D""), 3, FALSE), ""Not Found"")"),"ð ə t ")</f>
        <v>ð ə t </v>
      </c>
    </row>
    <row r="3852">
      <c r="A3852" s="1" t="s">
        <v>3853</v>
      </c>
      <c r="B3852" s="1" t="s">
        <v>5</v>
      </c>
      <c r="C3852" s="2">
        <f>IFERROR(__xludf.DUMMYFUNCTION("IFERROR(VLOOKUP(A3852, IMPORTRANGE(""https://docs.google.com/spreadsheets/d/1AVX9GT0dgogEBStecCXMMQ29tWz3gBrtNB8yIromXbY/edit?gid=741673867"", ""out1g!A:B""), 2, FALSE), 0)"),499.0)</f>
        <v>499</v>
      </c>
      <c r="D3852" s="2" t="str">
        <f>IFERROR(__xludf.DUMMYFUNCTION("IFERROR(VLOOKUP(A3852, IMPORTRANGE(""https://docs.google.com/spreadsheets/d/1-3Vjw2Cyy-mry5gbC8ypIR3YVGFfEpyFESummAta6sg/edit"", ""Sheet1!B:D""), 2, FALSE), ""Not Found"")"),"wə")</f>
        <v>wə</v>
      </c>
      <c r="E3852" s="2" t="str">
        <f>IFERROR(__xludf.DUMMYFUNCTION("IFERROR(VLOOKUP(A3852, IMPORTRANGE(""https://docs.google.com/spreadsheets/d/1-3Vjw2Cyy-mry5gbC8ypIR3YVGFfEpyFESummAta6sg/edit"", ""Sheet1!B:D""), 3, FALSE), ""Not Found"")"),"w ə ")</f>
        <v>w ə </v>
      </c>
    </row>
    <row r="3853">
      <c r="A3853" s="1" t="s">
        <v>3854</v>
      </c>
      <c r="B3853" s="1" t="s">
        <v>5</v>
      </c>
      <c r="C3853" s="2">
        <f>IFERROR(__xludf.DUMMYFUNCTION("IFERROR(VLOOKUP(A3853, IMPORTRANGE(""https://docs.google.com/spreadsheets/d/1AVX9GT0dgogEBStecCXMMQ29tWz3gBrtNB8yIromXbY/edit?gid=741673867"", ""out1g!A:B""), 2, FALSE), 0)"),98.0)</f>
        <v>98</v>
      </c>
      <c r="D3853" s="2" t="str">
        <f>IFERROR(__xludf.DUMMYFUNCTION("IFERROR(VLOOKUP(A3853, IMPORTRANGE(""https://docs.google.com/spreadsheets/d/1-3Vjw2Cyy-mry5gbC8ypIR3YVGFfEpyFESummAta6sg/edit"", ""Sheet1!B:D""), 2, FALSE), ""Not Found"")"),"dɑrt")</f>
        <v>dɑrt</v>
      </c>
      <c r="E3853" s="2" t="str">
        <f>IFERROR(__xludf.DUMMYFUNCTION("IFERROR(VLOOKUP(A3853, IMPORTRANGE(""https://docs.google.com/spreadsheets/d/1-3Vjw2Cyy-mry5gbC8ypIR3YVGFfEpyFESummAta6sg/edit"", ""Sheet1!B:D""), 3, FALSE), ""Not Found"")"),"d ɑ r t ")</f>
        <v>d ɑ r t </v>
      </c>
    </row>
    <row r="3854">
      <c r="A3854" s="1" t="s">
        <v>3855</v>
      </c>
      <c r="B3854" s="1" t="s">
        <v>5</v>
      </c>
      <c r="C3854" s="2">
        <f>IFERROR(__xludf.DUMMYFUNCTION("IFERROR(VLOOKUP(A3854, IMPORTRANGE(""https://docs.google.com/spreadsheets/d/1AVX9GT0dgogEBStecCXMMQ29tWz3gBrtNB8yIromXbY/edit?gid=741673867"", ""out1g!A:B""), 2, FALSE), 0)"),52.0)</f>
        <v>52</v>
      </c>
      <c r="D3854" s="2" t="str">
        <f>IFERROR(__xludf.DUMMYFUNCTION("IFERROR(VLOOKUP(A3854, IMPORTRANGE(""https://docs.google.com/spreadsheets/d/1-3Vjw2Cyy-mry5gbC8ypIR3YVGFfEpyFESummAta6sg/edit"", ""Sheet1!B:D""), 2, FALSE), ""Not Found"")"),"ɑkə")</f>
        <v>ɑkə</v>
      </c>
      <c r="E3854" s="2" t="str">
        <f>IFERROR(__xludf.DUMMYFUNCTION("IFERROR(VLOOKUP(A3854, IMPORTRANGE(""https://docs.google.com/spreadsheets/d/1-3Vjw2Cyy-mry5gbC8ypIR3YVGFfEpyFESummAta6sg/edit"", ""Sheet1!B:D""), 3, FALSE), ""Not Found"")"),"ɑ k ə ")</f>
        <v>ɑ k ə </v>
      </c>
    </row>
    <row r="3855">
      <c r="A3855" s="1" t="s">
        <v>3856</v>
      </c>
      <c r="B3855" s="1" t="s">
        <v>5</v>
      </c>
      <c r="C3855" s="2">
        <f>IFERROR(__xludf.DUMMYFUNCTION("IFERROR(VLOOKUP(A3855, IMPORTRANGE(""https://docs.google.com/spreadsheets/d/1AVX9GT0dgogEBStecCXMMQ29tWz3gBrtNB8yIromXbY/edit?gid=741673867"", ""out1g!A:B""), 2, FALSE), 0)"),87.0)</f>
        <v>87</v>
      </c>
      <c r="D3855" s="2" t="str">
        <f>IFERROR(__xludf.DUMMYFUNCTION("IFERROR(VLOOKUP(A3855, IMPORTRANGE(""https://docs.google.com/spreadsheets/d/1-3Vjw2Cyy-mry5gbC8ypIR3YVGFfEpyFESummAta6sg/edit"", ""Sheet1!B:D""), 2, FALSE), ""Not Found"")"),"dɪmaɪz")</f>
        <v>dɪmaɪz</v>
      </c>
      <c r="E3855" s="2" t="str">
        <f>IFERROR(__xludf.DUMMYFUNCTION("IFERROR(VLOOKUP(A3855, IMPORTRANGE(""https://docs.google.com/spreadsheets/d/1-3Vjw2Cyy-mry5gbC8ypIR3YVGFfEpyFESummAta6sg/edit"", ""Sheet1!B:D""), 3, FALSE), ""Not Found"")"),"d ɪ m a ɪ z ")</f>
        <v>d ɪ m a ɪ z </v>
      </c>
    </row>
    <row r="3856">
      <c r="A3856" s="1" t="s">
        <v>3857</v>
      </c>
      <c r="B3856" s="1" t="s">
        <v>5</v>
      </c>
      <c r="C3856" s="2">
        <f>IFERROR(__xludf.DUMMYFUNCTION("IFERROR(VLOOKUP(A3856, IMPORTRANGE(""https://docs.google.com/spreadsheets/d/1AVX9GT0dgogEBStecCXMMQ29tWz3gBrtNB8yIromXbY/edit?gid=741673867"", ""out1g!A:B""), 2, FALSE), 0)"),382.0)</f>
        <v>382</v>
      </c>
      <c r="D3856" s="2" t="str">
        <f>IFERROR(__xludf.DUMMYFUNCTION("IFERROR(VLOOKUP(A3856, IMPORTRANGE(""https://docs.google.com/spreadsheets/d/1-3Vjw2Cyy-mry5gbC8ypIR3YVGFfEpyFESummAta6sg/edit"", ""Sheet1!B:D""), 2, FALSE), ""Not Found"")"),"græmz")</f>
        <v>græmz</v>
      </c>
      <c r="E3856" s="2" t="str">
        <f>IFERROR(__xludf.DUMMYFUNCTION("IFERROR(VLOOKUP(A3856, IMPORTRANGE(""https://docs.google.com/spreadsheets/d/1-3Vjw2Cyy-mry5gbC8ypIR3YVGFfEpyFESummAta6sg/edit"", ""Sheet1!B:D""), 3, FALSE), ""Not Found"")"),"g r æ m z ")</f>
        <v>g r æ m z </v>
      </c>
    </row>
    <row r="3857">
      <c r="A3857" s="1" t="s">
        <v>3858</v>
      </c>
      <c r="B3857" s="1" t="s">
        <v>5</v>
      </c>
      <c r="C3857" s="2">
        <f>IFERROR(__xludf.DUMMYFUNCTION("IFERROR(VLOOKUP(A3857, IMPORTRANGE(""https://docs.google.com/spreadsheets/d/1AVX9GT0dgogEBStecCXMMQ29tWz3gBrtNB8yIromXbY/edit?gid=741673867"", ""out1g!A:B""), 2, FALSE), 0)"),304.0)</f>
        <v>304</v>
      </c>
      <c r="D3857" s="2" t="str">
        <f>IFERROR(__xludf.DUMMYFUNCTION("IFERROR(VLOOKUP(A3857, IMPORTRANGE(""https://docs.google.com/spreadsheets/d/1-3Vjw2Cyy-mry5gbC8ypIR3YVGFfEpyFESummAta6sg/edit"", ""Sheet1!B:D""), 2, FALSE), ""Not Found"")"),"sɑrk")</f>
        <v>sɑrk</v>
      </c>
      <c r="E3857" s="2" t="str">
        <f>IFERROR(__xludf.DUMMYFUNCTION("IFERROR(VLOOKUP(A3857, IMPORTRANGE(""https://docs.google.com/spreadsheets/d/1-3Vjw2Cyy-mry5gbC8ypIR3YVGFfEpyFESummAta6sg/edit"", ""Sheet1!B:D""), 3, FALSE), ""Not Found"")"),"s ɑ r k ")</f>
        <v>s ɑ r k </v>
      </c>
    </row>
    <row r="3858">
      <c r="A3858" s="1" t="s">
        <v>3859</v>
      </c>
      <c r="B3858" s="1" t="s">
        <v>5</v>
      </c>
      <c r="C3858" s="2">
        <f>IFERROR(__xludf.DUMMYFUNCTION("IFERROR(VLOOKUP(A3858, IMPORTRANGE(""https://docs.google.com/spreadsheets/d/1AVX9GT0dgogEBStecCXMMQ29tWz3gBrtNB8yIromXbY/edit?gid=741673867"", ""out1g!A:B""), 2, FALSE), 0)"),89.0)</f>
        <v>89</v>
      </c>
      <c r="D3858" s="2" t="str">
        <f>IFERROR(__xludf.DUMMYFUNCTION("IFERROR(VLOOKUP(A3858, IMPORTRANGE(""https://docs.google.com/spreadsheets/d/1-3Vjw2Cyy-mry5gbC8ypIR3YVGFfEpyFESummAta6sg/edit"", ""Sheet1!B:D""), 2, FALSE), ""Not Found"")"),"bɛlə")</f>
        <v>bɛlə</v>
      </c>
      <c r="E3858" s="2" t="str">
        <f>IFERROR(__xludf.DUMMYFUNCTION("IFERROR(VLOOKUP(A3858, IMPORTRANGE(""https://docs.google.com/spreadsheets/d/1-3Vjw2Cyy-mry5gbC8ypIR3YVGFfEpyFESummAta6sg/edit"", ""Sheet1!B:D""), 3, FALSE), ""Not Found"")"),"b ɛ l ə ")</f>
        <v>b ɛ l ə </v>
      </c>
    </row>
    <row r="3859">
      <c r="A3859" s="1" t="s">
        <v>3860</v>
      </c>
      <c r="B3859" s="1" t="s">
        <v>5</v>
      </c>
      <c r="C3859" s="2">
        <f>IFERROR(__xludf.DUMMYFUNCTION("IFERROR(VLOOKUP(A3859, IMPORTRANGE(""https://docs.google.com/spreadsheets/d/1AVX9GT0dgogEBStecCXMMQ29tWz3gBrtNB8yIromXbY/edit?gid=741673867"", ""out1g!A:B""), 2, FALSE), 0)"),257465.0)</f>
        <v>257465</v>
      </c>
      <c r="D3859" s="2" t="str">
        <f>IFERROR(__xludf.DUMMYFUNCTION("IFERROR(VLOOKUP(A3859, IMPORTRANGE(""https://docs.google.com/spreadsheets/d/1-3Vjw2Cyy-mry5gbC8ypIR3YVGFfEpyFESummAta6sg/edit"", ""Sheet1!B:D""), 2, FALSE), ""Not Found"")"),"wɪθ")</f>
        <v>wɪθ</v>
      </c>
      <c r="E3859" s="2" t="str">
        <f>IFERROR(__xludf.DUMMYFUNCTION("IFERROR(VLOOKUP(A3859, IMPORTRANGE(""https://docs.google.com/spreadsheets/d/1-3Vjw2Cyy-mry5gbC8ypIR3YVGFfEpyFESummAta6sg/edit"", ""Sheet1!B:D""), 3, FALSE), ""Not Found"")"),"w ɪ θ ")</f>
        <v>w ɪ θ </v>
      </c>
    </row>
    <row r="3860">
      <c r="A3860" s="1" t="s">
        <v>3861</v>
      </c>
      <c r="B3860" s="1" t="s">
        <v>5</v>
      </c>
      <c r="C3860" s="2">
        <f>IFERROR(__xludf.DUMMYFUNCTION("IFERROR(VLOOKUP(A3860, IMPORTRANGE(""https://docs.google.com/spreadsheets/d/1AVX9GT0dgogEBStecCXMMQ29tWz3gBrtNB8yIromXbY/edit?gid=741673867"", ""out1g!A:B""), 2, FALSE), 0)"),157.0)</f>
        <v>157</v>
      </c>
      <c r="D3860" s="2" t="str">
        <f>IFERROR(__xludf.DUMMYFUNCTION("IFERROR(VLOOKUP(A3860, IMPORTRANGE(""https://docs.google.com/spreadsheets/d/1-3Vjw2Cyy-mry5gbC8ypIR3YVGFfEpyFESummAta6sg/edit"", ""Sheet1!B:D""), 2, FALSE), ""Not Found"")"),"kɑmət")</f>
        <v>kɑmət</v>
      </c>
      <c r="E3860" s="2" t="str">
        <f>IFERROR(__xludf.DUMMYFUNCTION("IFERROR(VLOOKUP(A3860, IMPORTRANGE(""https://docs.google.com/spreadsheets/d/1-3Vjw2Cyy-mry5gbC8ypIR3YVGFfEpyFESummAta6sg/edit"", ""Sheet1!B:D""), 3, FALSE), ""Not Found"")"),"k ɑ m ə t ")</f>
        <v>k ɑ m ə t </v>
      </c>
    </row>
    <row r="3861">
      <c r="A3861" s="1" t="s">
        <v>3862</v>
      </c>
      <c r="B3861" s="1" t="s">
        <v>5</v>
      </c>
      <c r="C3861" s="2">
        <f>IFERROR(__xludf.DUMMYFUNCTION("IFERROR(VLOOKUP(A3861, IMPORTRANGE(""https://docs.google.com/spreadsheets/d/1AVX9GT0dgogEBStecCXMMQ29tWz3gBrtNB8yIromXbY/edit?gid=741673867"", ""out1g!A:B""), 2, FALSE), 0)"),831.0)</f>
        <v>831</v>
      </c>
      <c r="D3861" s="2" t="str">
        <f>IFERROR(__xludf.DUMMYFUNCTION("IFERROR(VLOOKUP(A3861, IMPORTRANGE(""https://docs.google.com/spreadsheets/d/1-3Vjw2Cyy-mry5gbC8ypIR3YVGFfEpyFESummAta6sg/edit"", ""Sheet1!B:D""), 2, FALSE), ""Not Found"")"),"æli")</f>
        <v>æli</v>
      </c>
      <c r="E3861" s="2" t="str">
        <f>IFERROR(__xludf.DUMMYFUNCTION("IFERROR(VLOOKUP(A3861, IMPORTRANGE(""https://docs.google.com/spreadsheets/d/1-3Vjw2Cyy-mry5gbC8ypIR3YVGFfEpyFESummAta6sg/edit"", ""Sheet1!B:D""), 3, FALSE), ""Not Found"")"),"æ l i ")</f>
        <v>æ l i </v>
      </c>
    </row>
    <row r="3862">
      <c r="A3862" s="1" t="s">
        <v>3863</v>
      </c>
      <c r="B3862" s="1" t="s">
        <v>5</v>
      </c>
      <c r="C3862" s="2">
        <f>IFERROR(__xludf.DUMMYFUNCTION("IFERROR(VLOOKUP(A3862, IMPORTRANGE(""https://docs.google.com/spreadsheets/d/1AVX9GT0dgogEBStecCXMMQ29tWz3gBrtNB8yIromXbY/edit?gid=741673867"", ""out1g!A:B""), 2, FALSE), 0)"),44672.0)</f>
        <v>44672</v>
      </c>
      <c r="D3862" s="2" t="str">
        <f>IFERROR(__xludf.DUMMYFUNCTION("IFERROR(VLOOKUP(A3862, IMPORTRANGE(""https://docs.google.com/spreadsheets/d/1-3Vjw2Cyy-mry5gbC8ypIR3YVGFfEpyFESummAta6sg/edit"", ""Sheet1!B:D""), 2, FALSE), ""Not Found"")"),"ivɪn")</f>
        <v>ivɪn</v>
      </c>
      <c r="E3862" s="2" t="str">
        <f>IFERROR(__xludf.DUMMYFUNCTION("IFERROR(VLOOKUP(A3862, IMPORTRANGE(""https://docs.google.com/spreadsheets/d/1-3Vjw2Cyy-mry5gbC8ypIR3YVGFfEpyFESummAta6sg/edit"", ""Sheet1!B:D""), 3, FALSE), ""Not Found"")"),"i v ɪ n ")</f>
        <v>i v ɪ n </v>
      </c>
    </row>
    <row r="3863">
      <c r="A3863" s="1" t="s">
        <v>3864</v>
      </c>
      <c r="B3863" s="1" t="s">
        <v>5</v>
      </c>
      <c r="C3863" s="2">
        <f>IFERROR(__xludf.DUMMYFUNCTION("IFERROR(VLOOKUP(A3863, IMPORTRANGE(""https://docs.google.com/spreadsheets/d/1AVX9GT0dgogEBStecCXMMQ29tWz3gBrtNB8yIromXbY/edit?gid=741673867"", ""out1g!A:B""), 2, FALSE), 0)"),114.0)</f>
        <v>114</v>
      </c>
      <c r="D3863" s="2" t="str">
        <f>IFERROR(__xludf.DUMMYFUNCTION("IFERROR(VLOOKUP(A3863, IMPORTRANGE(""https://docs.google.com/spreadsheets/d/1-3Vjw2Cyy-mry5gbC8ypIR3YVGFfEpyFESummAta6sg/edit"", ""Sheet1!B:D""), 2, FALSE), ""Not Found"")"),"slæmz")</f>
        <v>slæmz</v>
      </c>
      <c r="E3863" s="2" t="str">
        <f>IFERROR(__xludf.DUMMYFUNCTION("IFERROR(VLOOKUP(A3863, IMPORTRANGE(""https://docs.google.com/spreadsheets/d/1-3Vjw2Cyy-mry5gbC8ypIR3YVGFfEpyFESummAta6sg/edit"", ""Sheet1!B:D""), 3, FALSE), ""Not Found"")"),"s l æ m z ")</f>
        <v>s l æ m z </v>
      </c>
    </row>
    <row r="3864">
      <c r="A3864" s="1" t="s">
        <v>3865</v>
      </c>
      <c r="B3864" s="1" t="s">
        <v>5</v>
      </c>
      <c r="C3864" s="2">
        <f>IFERROR(__xludf.DUMMYFUNCTION("IFERROR(VLOOKUP(A3864, IMPORTRANGE(""https://docs.google.com/spreadsheets/d/1AVX9GT0dgogEBStecCXMMQ29tWz3gBrtNB8yIromXbY/edit?gid=741673867"", ""out1g!A:B""), 2, FALSE), 0)"),70.0)</f>
        <v>70</v>
      </c>
      <c r="D3864" s="2" t="str">
        <f>IFERROR(__xludf.DUMMYFUNCTION("IFERROR(VLOOKUP(A3864, IMPORTRANGE(""https://docs.google.com/spreadsheets/d/1-3Vjw2Cyy-mry5gbC8ypIR3YVGFfEpyFESummAta6sg/edit"", ""Sheet1!B:D""), 2, FALSE), ""Not Found"")"),"mɑ")</f>
        <v>mɑ</v>
      </c>
      <c r="E3864" s="2" t="str">
        <f>IFERROR(__xludf.DUMMYFUNCTION("IFERROR(VLOOKUP(A3864, IMPORTRANGE(""https://docs.google.com/spreadsheets/d/1-3Vjw2Cyy-mry5gbC8ypIR3YVGFfEpyFESummAta6sg/edit"", ""Sheet1!B:D""), 3, FALSE), ""Not Found"")"),"m ɑ ")</f>
        <v>m ɑ </v>
      </c>
    </row>
    <row r="3865">
      <c r="A3865" s="1" t="s">
        <v>3866</v>
      </c>
      <c r="B3865" s="1" t="s">
        <v>5</v>
      </c>
      <c r="C3865" s="2">
        <f>IFERROR(__xludf.DUMMYFUNCTION("IFERROR(VLOOKUP(A3865, IMPORTRANGE(""https://docs.google.com/spreadsheets/d/1AVX9GT0dgogEBStecCXMMQ29tWz3gBrtNB8yIromXbY/edit?gid=741673867"", ""out1g!A:B""), 2, FALSE), 0)"),1372.0)</f>
        <v>1372</v>
      </c>
      <c r="D3865" s="2" t="str">
        <f>IFERROR(__xludf.DUMMYFUNCTION("IFERROR(VLOOKUP(A3865, IMPORTRANGE(""https://docs.google.com/spreadsheets/d/1-3Vjw2Cyy-mry5gbC8ypIR3YVGFfEpyFESummAta6sg/edit"", ""Sheet1!B:D""), 2, FALSE), ""Not Found"")"),"mægi")</f>
        <v>mægi</v>
      </c>
      <c r="E3865" s="2" t="str">
        <f>IFERROR(__xludf.DUMMYFUNCTION("IFERROR(VLOOKUP(A3865, IMPORTRANGE(""https://docs.google.com/spreadsheets/d/1-3Vjw2Cyy-mry5gbC8ypIR3YVGFfEpyFESummAta6sg/edit"", ""Sheet1!B:D""), 3, FALSE), ""Not Found"")"),"m æ g i ")</f>
        <v>m æ g i </v>
      </c>
    </row>
    <row r="3866">
      <c r="A3866" s="1" t="s">
        <v>3867</v>
      </c>
      <c r="B3866" s="1" t="s">
        <v>5</v>
      </c>
      <c r="C3866" s="2">
        <f>IFERROR(__xludf.DUMMYFUNCTION("IFERROR(VLOOKUP(A3866, IMPORTRANGE(""https://docs.google.com/spreadsheets/d/1AVX9GT0dgogEBStecCXMMQ29tWz3gBrtNB8yIromXbY/edit?gid=741673867"", ""out1g!A:B""), 2, FALSE), 0)"),13756.0)</f>
        <v>13756</v>
      </c>
      <c r="D3866" s="2" t="str">
        <f>IFERROR(__xludf.DUMMYFUNCTION("IFERROR(VLOOKUP(A3866, IMPORTRANGE(""https://docs.google.com/spreadsheets/d/1-3Vjw2Cyy-mry5gbC8ypIR3YVGFfEpyFESummAta6sg/edit"", ""Sheet1!B:D""), 2, FALSE), ""Not Found"")"),"foʊn")</f>
        <v>foʊn</v>
      </c>
      <c r="E3866" s="2" t="str">
        <f>IFERROR(__xludf.DUMMYFUNCTION("IFERROR(VLOOKUP(A3866, IMPORTRANGE(""https://docs.google.com/spreadsheets/d/1-3Vjw2Cyy-mry5gbC8ypIR3YVGFfEpyFESummAta6sg/edit"", ""Sheet1!B:D""), 3, FALSE), ""Not Found"")"),"f o ʊ n ")</f>
        <v>f o ʊ n </v>
      </c>
    </row>
    <row r="3867">
      <c r="A3867" s="1" t="s">
        <v>3868</v>
      </c>
      <c r="B3867" s="1" t="s">
        <v>5</v>
      </c>
      <c r="C3867" s="2">
        <f>IFERROR(__xludf.DUMMYFUNCTION("IFERROR(VLOOKUP(A3867, IMPORTRANGE(""https://docs.google.com/spreadsheets/d/1AVX9GT0dgogEBStecCXMMQ29tWz3gBrtNB8yIromXbY/edit?gid=741673867"", ""out1g!A:B""), 2, FALSE), 0)"),58.0)</f>
        <v>58</v>
      </c>
      <c r="D3867" s="2" t="str">
        <f>IFERROR(__xludf.DUMMYFUNCTION("IFERROR(VLOOKUP(A3867, IMPORTRANGE(""https://docs.google.com/spreadsheets/d/1-3Vjw2Cyy-mry5gbC8ypIR3YVGFfEpyFESummAta6sg/edit"", ""Sheet1!B:D""), 2, FALSE), ""Not Found"")"),"slænt")</f>
        <v>slænt</v>
      </c>
      <c r="E3867" s="2" t="str">
        <f>IFERROR(__xludf.DUMMYFUNCTION("IFERROR(VLOOKUP(A3867, IMPORTRANGE(""https://docs.google.com/spreadsheets/d/1-3Vjw2Cyy-mry5gbC8ypIR3YVGFfEpyFESummAta6sg/edit"", ""Sheet1!B:D""), 3, FALSE), ""Not Found"")"),"s l æ n t ")</f>
        <v>s l æ n t </v>
      </c>
    </row>
    <row r="3868">
      <c r="A3868" s="1" t="s">
        <v>3869</v>
      </c>
      <c r="B3868" s="1" t="s">
        <v>5</v>
      </c>
      <c r="C3868" s="2">
        <f>IFERROR(__xludf.DUMMYFUNCTION("IFERROR(VLOOKUP(A3868, IMPORTRANGE(""https://docs.google.com/spreadsheets/d/1AVX9GT0dgogEBStecCXMMQ29tWz3gBrtNB8yIromXbY/edit?gid=741673867"", ""out1g!A:B""), 2, FALSE), 0)"),133.0)</f>
        <v>133</v>
      </c>
      <c r="D3868" s="2" t="str">
        <f>IFERROR(__xludf.DUMMYFUNCTION("IFERROR(VLOOKUP(A3868, IMPORTRANGE(""https://docs.google.com/spreadsheets/d/1-3Vjw2Cyy-mry5gbC8ypIR3YVGFfEpyFESummAta6sg/edit"", ""Sheet1!B:D""), 2, FALSE), ""Not Found"")"),"ʧizi")</f>
        <v>ʧizi</v>
      </c>
      <c r="E3868" s="2" t="str">
        <f>IFERROR(__xludf.DUMMYFUNCTION("IFERROR(VLOOKUP(A3868, IMPORTRANGE(""https://docs.google.com/spreadsheets/d/1-3Vjw2Cyy-mry5gbC8ypIR3YVGFfEpyFESummAta6sg/edit"", ""Sheet1!B:D""), 3, FALSE), ""Not Found"")"),"ʧ i z i ")</f>
        <v>ʧ i z i </v>
      </c>
    </row>
    <row r="3869">
      <c r="A3869" s="1" t="s">
        <v>3870</v>
      </c>
      <c r="B3869" s="1" t="s">
        <v>5</v>
      </c>
      <c r="C3869" s="2">
        <f>IFERROR(__xludf.DUMMYFUNCTION("IFERROR(VLOOKUP(A3869, IMPORTRANGE(""https://docs.google.com/spreadsheets/d/1AVX9GT0dgogEBStecCXMMQ29tWz3gBrtNB8yIromXbY/edit?gid=741673867"", ""out1g!A:B""), 2, FALSE), 0)"),273.0)</f>
        <v>273</v>
      </c>
      <c r="D3869" s="2" t="str">
        <f>IFERROR(__xludf.DUMMYFUNCTION("IFERROR(VLOOKUP(A3869, IMPORTRANGE(""https://docs.google.com/spreadsheets/d/1-3Vjw2Cyy-mry5gbC8ypIR3YVGFfEpyFESummAta6sg/edit"", ""Sheet1!B:D""), 2, FALSE), ""Not Found"")"),"fɛri")</f>
        <v>fɛri</v>
      </c>
      <c r="E3869" s="2" t="str">
        <f>IFERROR(__xludf.DUMMYFUNCTION("IFERROR(VLOOKUP(A3869, IMPORTRANGE(""https://docs.google.com/spreadsheets/d/1-3Vjw2Cyy-mry5gbC8ypIR3YVGFfEpyFESummAta6sg/edit"", ""Sheet1!B:D""), 3, FALSE), ""Not Found"")"),"f ɛ r i ")</f>
        <v>f ɛ r i </v>
      </c>
    </row>
    <row r="3870">
      <c r="A3870" s="1" t="s">
        <v>3871</v>
      </c>
      <c r="B3870" s="1" t="s">
        <v>5</v>
      </c>
      <c r="C3870" s="2">
        <f>IFERROR(__xludf.DUMMYFUNCTION("IFERROR(VLOOKUP(A3870, IMPORTRANGE(""https://docs.google.com/spreadsheets/d/1AVX9GT0dgogEBStecCXMMQ29tWz3gBrtNB8yIromXbY/edit?gid=741673867"", ""out1g!A:B""), 2, FALSE), 0)"),90.0)</f>
        <v>90</v>
      </c>
      <c r="D3870" s="2" t="str">
        <f>IFERROR(__xludf.DUMMYFUNCTION("IFERROR(VLOOKUP(A3870, IMPORTRANGE(""https://docs.google.com/spreadsheets/d/1-3Vjw2Cyy-mry5gbC8ypIR3YVGFfEpyFESummAta6sg/edit"", ""Sheet1!B:D""), 2, FALSE), ""Not Found"")"),"bədz")</f>
        <v>bədz</v>
      </c>
      <c r="E3870" s="2" t="str">
        <f>IFERROR(__xludf.DUMMYFUNCTION("IFERROR(VLOOKUP(A3870, IMPORTRANGE(""https://docs.google.com/spreadsheets/d/1-3Vjw2Cyy-mry5gbC8ypIR3YVGFfEpyFESummAta6sg/edit"", ""Sheet1!B:D""), 3, FALSE), ""Not Found"")"),"b ə d z ")</f>
        <v>b ə d z </v>
      </c>
    </row>
    <row r="3871">
      <c r="A3871" s="1" t="s">
        <v>3872</v>
      </c>
      <c r="B3871" s="1" t="s">
        <v>5</v>
      </c>
      <c r="C3871" s="2">
        <f>IFERROR(__xludf.DUMMYFUNCTION("IFERROR(VLOOKUP(A3871, IMPORTRANGE(""https://docs.google.com/spreadsheets/d/1AVX9GT0dgogEBStecCXMMQ29tWz3gBrtNB8yIromXbY/edit?gid=741673867"", ""out1g!A:B""), 2, FALSE), 0)"),769.0)</f>
        <v>769</v>
      </c>
      <c r="D3871" s="2" t="str">
        <f>IFERROR(__xludf.DUMMYFUNCTION("IFERROR(VLOOKUP(A3871, IMPORTRANGE(""https://docs.google.com/spreadsheets/d/1-3Vjw2Cyy-mry5gbC8ypIR3YVGFfEpyFESummAta6sg/edit"", ""Sheet1!B:D""), 2, FALSE), ""Not Found"")"),"raɪs")</f>
        <v>raɪs</v>
      </c>
      <c r="E3871" s="2" t="str">
        <f>IFERROR(__xludf.DUMMYFUNCTION("IFERROR(VLOOKUP(A3871, IMPORTRANGE(""https://docs.google.com/spreadsheets/d/1-3Vjw2Cyy-mry5gbC8ypIR3YVGFfEpyFESummAta6sg/edit"", ""Sheet1!B:D""), 3, FALSE), ""Not Found"")"),"r a ɪ s ")</f>
        <v>r a ɪ s </v>
      </c>
    </row>
    <row r="3872">
      <c r="A3872" s="1" t="s">
        <v>3873</v>
      </c>
      <c r="B3872" s="1" t="s">
        <v>5</v>
      </c>
      <c r="C3872" s="2">
        <f>IFERROR(__xludf.DUMMYFUNCTION("IFERROR(VLOOKUP(A3872, IMPORTRANGE(""https://docs.google.com/spreadsheets/d/1AVX9GT0dgogEBStecCXMMQ29tWz3gBrtNB8yIromXbY/edit?gid=741673867"", ""out1g!A:B""), 2, FALSE), 0)"),128.0)</f>
        <v>128</v>
      </c>
      <c r="D3872" s="2" t="str">
        <f>IFERROR(__xludf.DUMMYFUNCTION("IFERROR(VLOOKUP(A3872, IMPORTRANGE(""https://docs.google.com/spreadsheets/d/1-3Vjw2Cyy-mry5gbC8ypIR3YVGFfEpyFESummAta6sg/edit"", ""Sheet1!B:D""), 2, FALSE), ""Not Found"")"),"kɛriərz")</f>
        <v>kɛriərz</v>
      </c>
      <c r="E3872" s="2" t="str">
        <f>IFERROR(__xludf.DUMMYFUNCTION("IFERROR(VLOOKUP(A3872, IMPORTRANGE(""https://docs.google.com/spreadsheets/d/1-3Vjw2Cyy-mry5gbC8ypIR3YVGFfEpyFESummAta6sg/edit"", ""Sheet1!B:D""), 3, FALSE), ""Not Found"")"),"k ɛ r i ə r z ")</f>
        <v>k ɛ r i ə r z </v>
      </c>
    </row>
    <row r="3873">
      <c r="A3873" s="1" t="s">
        <v>3874</v>
      </c>
      <c r="B3873" s="1" t="s">
        <v>5</v>
      </c>
      <c r="C3873" s="2">
        <f>IFERROR(__xludf.DUMMYFUNCTION("IFERROR(VLOOKUP(A3873, IMPORTRANGE(""https://docs.google.com/spreadsheets/d/1AVX9GT0dgogEBStecCXMMQ29tWz3gBrtNB8yIromXbY/edit?gid=741673867"", ""out1g!A:B""), 2, FALSE), 0)"),98.0)</f>
        <v>98</v>
      </c>
      <c r="D3873" s="2" t="str">
        <f>IFERROR(__xludf.DUMMYFUNCTION("IFERROR(VLOOKUP(A3873, IMPORTRANGE(""https://docs.google.com/spreadsheets/d/1-3Vjw2Cyy-mry5gbC8ypIR3YVGFfEpyFESummAta6sg/edit"", ""Sheet1!B:D""), 2, FALSE), ""Not Found"")"),"dɪkri")</f>
        <v>dɪkri</v>
      </c>
      <c r="E3873" s="2" t="str">
        <f>IFERROR(__xludf.DUMMYFUNCTION("IFERROR(VLOOKUP(A3873, IMPORTRANGE(""https://docs.google.com/spreadsheets/d/1-3Vjw2Cyy-mry5gbC8ypIR3YVGFfEpyFESummAta6sg/edit"", ""Sheet1!B:D""), 3, FALSE), ""Not Found"")"),"d ɪ k r i ")</f>
        <v>d ɪ k r i </v>
      </c>
    </row>
    <row r="3874">
      <c r="A3874" s="1" t="s">
        <v>3875</v>
      </c>
      <c r="B3874" s="1" t="s">
        <v>5</v>
      </c>
      <c r="C3874" s="2">
        <f>IFERROR(__xludf.DUMMYFUNCTION("IFERROR(VLOOKUP(A3874, IMPORTRANGE(""https://docs.google.com/spreadsheets/d/1AVX9GT0dgogEBStecCXMMQ29tWz3gBrtNB8yIromXbY/edit?gid=741673867"", ""out1g!A:B""), 2, FALSE), 0)"),58.0)</f>
        <v>58</v>
      </c>
      <c r="D3874" s="2" t="str">
        <f>IFERROR(__xludf.DUMMYFUNCTION("IFERROR(VLOOKUP(A3874, IMPORTRANGE(""https://docs.google.com/spreadsheets/d/1-3Vjw2Cyy-mry5gbC8ypIR3YVGFfEpyFESummAta6sg/edit"", ""Sheet1!B:D""), 2, FALSE), ""Not Found"")"),"pət")</f>
        <v>pət</v>
      </c>
      <c r="E3874" s="2" t="str">
        <f>IFERROR(__xludf.DUMMYFUNCTION("IFERROR(VLOOKUP(A3874, IMPORTRANGE(""https://docs.google.com/spreadsheets/d/1-3Vjw2Cyy-mry5gbC8ypIR3YVGFfEpyFESummAta6sg/edit"", ""Sheet1!B:D""), 3, FALSE), ""Not Found"")"),"p ə t ")</f>
        <v>p ə t </v>
      </c>
    </row>
    <row r="3875">
      <c r="A3875" s="1" t="s">
        <v>3876</v>
      </c>
      <c r="B3875" s="1" t="s">
        <v>5</v>
      </c>
      <c r="C3875" s="2">
        <f>IFERROR(__xludf.DUMMYFUNCTION("IFERROR(VLOOKUP(A3875, IMPORTRANGE(""https://docs.google.com/spreadsheets/d/1AVX9GT0dgogEBStecCXMMQ29tWz3gBrtNB8yIromXbY/edit?gid=741673867"", ""out1g!A:B""), 2, FALSE), 0)"),95.0)</f>
        <v>95</v>
      </c>
      <c r="D3875" s="2" t="str">
        <f>IFERROR(__xludf.DUMMYFUNCTION("IFERROR(VLOOKUP(A3875, IMPORTRANGE(""https://docs.google.com/spreadsheets/d/1-3Vjw2Cyy-mry5gbC8ypIR3YVGFfEpyFESummAta6sg/edit"", ""Sheet1!B:D""), 2, FALSE), ""Not Found"")"),"loʊb")</f>
        <v>loʊb</v>
      </c>
      <c r="E3875" s="2" t="str">
        <f>IFERROR(__xludf.DUMMYFUNCTION("IFERROR(VLOOKUP(A3875, IMPORTRANGE(""https://docs.google.com/spreadsheets/d/1-3Vjw2Cyy-mry5gbC8ypIR3YVGFfEpyFESummAta6sg/edit"", ""Sheet1!B:D""), 3, FALSE), ""Not Found"")"),"l o ʊ b ")</f>
        <v>l o ʊ b </v>
      </c>
    </row>
    <row r="3876">
      <c r="A3876" s="1" t="s">
        <v>3877</v>
      </c>
      <c r="B3876" s="1" t="s">
        <v>5</v>
      </c>
      <c r="C3876" s="2">
        <f>IFERROR(__xludf.DUMMYFUNCTION("IFERROR(VLOOKUP(A3876, IMPORTRANGE(""https://docs.google.com/spreadsheets/d/1AVX9GT0dgogEBStecCXMMQ29tWz3gBrtNB8yIromXbY/edit?gid=741673867"", ""out1g!A:B""), 2, FALSE), 0)"),89.0)</f>
        <v>89</v>
      </c>
      <c r="D3876" s="2" t="str">
        <f>IFERROR(__xludf.DUMMYFUNCTION("IFERROR(VLOOKUP(A3876, IMPORTRANGE(""https://docs.google.com/spreadsheets/d/1-3Vjw2Cyy-mry5gbC8ypIR3YVGFfEpyFESummAta6sg/edit"", ""Sheet1!B:D""), 2, FALSE), ""Not Found"")"),"litər")</f>
        <v>litər</v>
      </c>
      <c r="E3876" s="2" t="str">
        <f>IFERROR(__xludf.DUMMYFUNCTION("IFERROR(VLOOKUP(A3876, IMPORTRANGE(""https://docs.google.com/spreadsheets/d/1-3Vjw2Cyy-mry5gbC8ypIR3YVGFfEpyFESummAta6sg/edit"", ""Sheet1!B:D""), 3, FALSE), ""Not Found"")"),"l i t ə r ")</f>
        <v>l i t ə r </v>
      </c>
    </row>
    <row r="3877">
      <c r="A3877" s="1" t="s">
        <v>3878</v>
      </c>
      <c r="B3877" s="1" t="s">
        <v>5</v>
      </c>
      <c r="C3877" s="2">
        <f>IFERROR(__xludf.DUMMYFUNCTION("IFERROR(VLOOKUP(A3877, IMPORTRANGE(""https://docs.google.com/spreadsheets/d/1AVX9GT0dgogEBStecCXMMQ29tWz3gBrtNB8yIromXbY/edit?gid=741673867"", ""out1g!A:B""), 2, FALSE), 0)"),55.0)</f>
        <v>55</v>
      </c>
      <c r="D3877" s="2" t="str">
        <f>IFERROR(__xludf.DUMMYFUNCTION("IFERROR(VLOOKUP(A3877, IMPORTRANGE(""https://docs.google.com/spreadsheets/d/1-3Vjw2Cyy-mry5gbC8ypIR3YVGFfEpyFESummAta6sg/edit"", ""Sheet1!B:D""), 2, FALSE), ""Not Found"")"),"brud")</f>
        <v>brud</v>
      </c>
      <c r="E3877" s="2" t="str">
        <f>IFERROR(__xludf.DUMMYFUNCTION("IFERROR(VLOOKUP(A3877, IMPORTRANGE(""https://docs.google.com/spreadsheets/d/1-3Vjw2Cyy-mry5gbC8ypIR3YVGFfEpyFESummAta6sg/edit"", ""Sheet1!B:D""), 3, FALSE), ""Not Found"")"),"b r u d ")</f>
        <v>b r u d </v>
      </c>
    </row>
    <row r="3878">
      <c r="A3878" s="1" t="s">
        <v>3879</v>
      </c>
      <c r="B3878" s="1" t="s">
        <v>5</v>
      </c>
      <c r="C3878" s="2">
        <f>IFERROR(__xludf.DUMMYFUNCTION("IFERROR(VLOOKUP(A3878, IMPORTRANGE(""https://docs.google.com/spreadsheets/d/1AVX9GT0dgogEBStecCXMMQ29tWz3gBrtNB8yIromXbY/edit?gid=741673867"", ""out1g!A:B""), 2, FALSE), 0)"),46.0)</f>
        <v>46</v>
      </c>
      <c r="D3878" s="2" t="str">
        <f>IFERROR(__xludf.DUMMYFUNCTION("IFERROR(VLOOKUP(A3878, IMPORTRANGE(""https://docs.google.com/spreadsheets/d/1-3Vjw2Cyy-mry5gbC8ypIR3YVGFfEpyFESummAta6sg/edit"", ""Sheet1!B:D""), 2, FALSE), ""Not Found"")"),"drenɪʤ")</f>
        <v>drenɪʤ</v>
      </c>
      <c r="E3878" s="2" t="str">
        <f>IFERROR(__xludf.DUMMYFUNCTION("IFERROR(VLOOKUP(A3878, IMPORTRANGE(""https://docs.google.com/spreadsheets/d/1-3Vjw2Cyy-mry5gbC8ypIR3YVGFfEpyFESummAta6sg/edit"", ""Sheet1!B:D""), 3, FALSE), ""Not Found"")"),"d r e n ɪ ʤ ")</f>
        <v>d r e n ɪ ʤ </v>
      </c>
    </row>
    <row r="3879">
      <c r="A3879" s="1" t="s">
        <v>3880</v>
      </c>
      <c r="B3879" s="1" t="s">
        <v>5</v>
      </c>
      <c r="C3879" s="2">
        <f>IFERROR(__xludf.DUMMYFUNCTION("IFERROR(VLOOKUP(A3879, IMPORTRANGE(""https://docs.google.com/spreadsheets/d/1AVX9GT0dgogEBStecCXMMQ29tWz3gBrtNB8yIromXbY/edit?gid=741673867"", ""out1g!A:B""), 2, FALSE), 0)"),134.0)</f>
        <v>134</v>
      </c>
      <c r="D3879" s="2" t="str">
        <f>IFERROR(__xludf.DUMMYFUNCTION("IFERROR(VLOOKUP(A3879, IMPORTRANGE(""https://docs.google.com/spreadsheets/d/1-3Vjw2Cyy-mry5gbC8ypIR3YVGFfEpyFESummAta6sg/edit"", ""Sheet1!B:D""), 2, FALSE), ""Not Found"")"),"pædi")</f>
        <v>pædi</v>
      </c>
      <c r="E3879" s="2" t="str">
        <f>IFERROR(__xludf.DUMMYFUNCTION("IFERROR(VLOOKUP(A3879, IMPORTRANGE(""https://docs.google.com/spreadsheets/d/1-3Vjw2Cyy-mry5gbC8ypIR3YVGFfEpyFESummAta6sg/edit"", ""Sheet1!B:D""), 3, FALSE), ""Not Found"")"),"p æ d i ")</f>
        <v>p æ d i </v>
      </c>
    </row>
    <row r="3880">
      <c r="A3880" s="1" t="s">
        <v>3881</v>
      </c>
      <c r="B3880" s="1" t="s">
        <v>5</v>
      </c>
      <c r="C3880" s="2">
        <f>IFERROR(__xludf.DUMMYFUNCTION("IFERROR(VLOOKUP(A3880, IMPORTRANGE(""https://docs.google.com/spreadsheets/d/1AVX9GT0dgogEBStecCXMMQ29tWz3gBrtNB8yIromXbY/edit?gid=741673867"", ""out1g!A:B""), 2, FALSE), 0)"),977.0)</f>
        <v>977</v>
      </c>
      <c r="D3880" s="2" t="str">
        <f>IFERROR(__xludf.DUMMYFUNCTION("IFERROR(VLOOKUP(A3880, IMPORTRANGE(""https://docs.google.com/spreadsheets/d/1-3Vjw2Cyy-mry5gbC8ypIR3YVGFfEpyFESummAta6sg/edit"", ""Sheet1!B:D""), 2, FALSE), ""Not Found"")"),"stez")</f>
        <v>stez</v>
      </c>
      <c r="E3880" s="2" t="str">
        <f>IFERROR(__xludf.DUMMYFUNCTION("IFERROR(VLOOKUP(A3880, IMPORTRANGE(""https://docs.google.com/spreadsheets/d/1-3Vjw2Cyy-mry5gbC8ypIR3YVGFfEpyFESummAta6sg/edit"", ""Sheet1!B:D""), 3, FALSE), ""Not Found"")"),"s t e z ")</f>
        <v>s t e z </v>
      </c>
    </row>
    <row r="3881">
      <c r="A3881" s="1" t="s">
        <v>3882</v>
      </c>
      <c r="B3881" s="1" t="s">
        <v>5</v>
      </c>
      <c r="C3881" s="2">
        <f>IFERROR(__xludf.DUMMYFUNCTION("IFERROR(VLOOKUP(A3881, IMPORTRANGE(""https://docs.google.com/spreadsheets/d/1AVX9GT0dgogEBStecCXMMQ29tWz3gBrtNB8yIromXbY/edit?gid=741673867"", ""out1g!A:B""), 2, FALSE), 0)"),717.0)</f>
        <v>717</v>
      </c>
      <c r="D3881" s="2" t="str">
        <f>IFERROR(__xludf.DUMMYFUNCTION("IFERROR(VLOOKUP(A3881, IMPORTRANGE(""https://docs.google.com/spreadsheets/d/1-3Vjw2Cyy-mry5gbC8ypIR3YVGFfEpyFESummAta6sg/edit"", ""Sheet1!B:D""), 2, FALSE), ""Not Found"")"),"flaɪz")</f>
        <v>flaɪz</v>
      </c>
      <c r="E3881" s="2" t="str">
        <f>IFERROR(__xludf.DUMMYFUNCTION("IFERROR(VLOOKUP(A3881, IMPORTRANGE(""https://docs.google.com/spreadsheets/d/1-3Vjw2Cyy-mry5gbC8ypIR3YVGFfEpyFESummAta6sg/edit"", ""Sheet1!B:D""), 3, FALSE), ""Not Found"")"),"f l a ɪ z ")</f>
        <v>f l a ɪ z </v>
      </c>
    </row>
    <row r="3882">
      <c r="A3882" s="1" t="s">
        <v>3883</v>
      </c>
      <c r="B3882" s="1" t="s">
        <v>5</v>
      </c>
      <c r="C3882" s="2">
        <f>IFERROR(__xludf.DUMMYFUNCTION("IFERROR(VLOOKUP(A3882, IMPORTRANGE(""https://docs.google.com/spreadsheets/d/1AVX9GT0dgogEBStecCXMMQ29tWz3gBrtNB8yIromXbY/edit?gid=741673867"", ""out1g!A:B""), 2, FALSE), 0)"),127.0)</f>
        <v>127</v>
      </c>
      <c r="D3882" s="2" t="str">
        <f>IFERROR(__xludf.DUMMYFUNCTION("IFERROR(VLOOKUP(A3882, IMPORTRANGE(""https://docs.google.com/spreadsheets/d/1-3Vjw2Cyy-mry5gbC8ypIR3YVGFfEpyFESummAta6sg/edit"", ""Sheet1!B:D""), 2, FALSE), ""Not Found"")"),"rəst")</f>
        <v>rəst</v>
      </c>
      <c r="E3882" s="2" t="str">
        <f>IFERROR(__xludf.DUMMYFUNCTION("IFERROR(VLOOKUP(A3882, IMPORTRANGE(""https://docs.google.com/spreadsheets/d/1-3Vjw2Cyy-mry5gbC8ypIR3YVGFfEpyFESummAta6sg/edit"", ""Sheet1!B:D""), 3, FALSE), ""Not Found"")"),"r ə s t ")</f>
        <v>r ə s t </v>
      </c>
    </row>
    <row r="3883">
      <c r="A3883" s="1" t="s">
        <v>3884</v>
      </c>
      <c r="B3883" s="1" t="s">
        <v>5</v>
      </c>
      <c r="C3883" s="2">
        <f>IFERROR(__xludf.DUMMYFUNCTION("IFERROR(VLOOKUP(A3883, IMPORTRANGE(""https://docs.google.com/spreadsheets/d/1AVX9GT0dgogEBStecCXMMQ29tWz3gBrtNB8yIromXbY/edit?gid=741673867"", ""out1g!A:B""), 2, FALSE), 0)"),165.0)</f>
        <v>165</v>
      </c>
      <c r="D3883" s="2" t="str">
        <f>IFERROR(__xludf.DUMMYFUNCTION("IFERROR(VLOOKUP(A3883, IMPORTRANGE(""https://docs.google.com/spreadsheets/d/1-3Vjw2Cyy-mry5gbC8ypIR3YVGFfEpyFESummAta6sg/edit"", ""Sheet1!B:D""), 2, FALSE), ""Not Found"")"),"slet")</f>
        <v>slet</v>
      </c>
      <c r="E3883" s="2" t="str">
        <f>IFERROR(__xludf.DUMMYFUNCTION("IFERROR(VLOOKUP(A3883, IMPORTRANGE(""https://docs.google.com/spreadsheets/d/1-3Vjw2Cyy-mry5gbC8ypIR3YVGFfEpyFESummAta6sg/edit"", ""Sheet1!B:D""), 3, FALSE), ""Not Found"")"),"s l e t ")</f>
        <v>s l e t </v>
      </c>
    </row>
    <row r="3884">
      <c r="A3884" s="1" t="s">
        <v>3885</v>
      </c>
      <c r="B3884" s="1" t="s">
        <v>5</v>
      </c>
      <c r="C3884" s="2">
        <f>IFERROR(__xludf.DUMMYFUNCTION("IFERROR(VLOOKUP(A3884, IMPORTRANGE(""https://docs.google.com/spreadsheets/d/1AVX9GT0dgogEBStecCXMMQ29tWz3gBrtNB8yIromXbY/edit?gid=741673867"", ""out1g!A:B""), 2, FALSE), 0)"),49.0)</f>
        <v>49</v>
      </c>
      <c r="D3884" s="2" t="str">
        <f>IFERROR(__xludf.DUMMYFUNCTION("IFERROR(VLOOKUP(A3884, IMPORTRANGE(""https://docs.google.com/spreadsheets/d/1-3Vjw2Cyy-mry5gbC8ypIR3YVGFfEpyFESummAta6sg/edit"", ""Sheet1!B:D""), 2, FALSE), ""Not Found"")"),"nərst")</f>
        <v>nərst</v>
      </c>
      <c r="E3884" s="2" t="str">
        <f>IFERROR(__xludf.DUMMYFUNCTION("IFERROR(VLOOKUP(A3884, IMPORTRANGE(""https://docs.google.com/spreadsheets/d/1-3Vjw2Cyy-mry5gbC8ypIR3YVGFfEpyFESummAta6sg/edit"", ""Sheet1!B:D""), 3, FALSE), ""Not Found"")"),"n ə r s t ")</f>
        <v>n ə r s t </v>
      </c>
    </row>
    <row r="3885">
      <c r="A3885" s="1" t="s">
        <v>3886</v>
      </c>
      <c r="B3885" s="1" t="s">
        <v>5</v>
      </c>
      <c r="C3885" s="2">
        <f>IFERROR(__xludf.DUMMYFUNCTION("IFERROR(VLOOKUP(A3885, IMPORTRANGE(""https://docs.google.com/spreadsheets/d/1AVX9GT0dgogEBStecCXMMQ29tWz3gBrtNB8yIromXbY/edit?gid=741673867"", ""out1g!A:B""), 2, FALSE), 0)"),163.0)</f>
        <v>163</v>
      </c>
      <c r="D3885" s="2" t="str">
        <f>IFERROR(__xludf.DUMMYFUNCTION("IFERROR(VLOOKUP(A3885, IMPORTRANGE(""https://docs.google.com/spreadsheets/d/1-3Vjw2Cyy-mry5gbC8ypIR3YVGFfEpyFESummAta6sg/edit"", ""Sheet1!B:D""), 2, FALSE), ""Not Found"")"),"bəfi")</f>
        <v>bəfi</v>
      </c>
      <c r="E3885" s="2" t="str">
        <f>IFERROR(__xludf.DUMMYFUNCTION("IFERROR(VLOOKUP(A3885, IMPORTRANGE(""https://docs.google.com/spreadsheets/d/1-3Vjw2Cyy-mry5gbC8ypIR3YVGFfEpyFESummAta6sg/edit"", ""Sheet1!B:D""), 3, FALSE), ""Not Found"")"),"b ə f i ")</f>
        <v>b ə f i </v>
      </c>
    </row>
    <row r="3886">
      <c r="A3886" s="1" t="s">
        <v>3887</v>
      </c>
      <c r="B3886" s="1" t="s">
        <v>5</v>
      </c>
      <c r="C3886" s="2">
        <f>IFERROR(__xludf.DUMMYFUNCTION("IFERROR(VLOOKUP(A3886, IMPORTRANGE(""https://docs.google.com/spreadsheets/d/1AVX9GT0dgogEBStecCXMMQ29tWz3gBrtNB8yIromXbY/edit?gid=741673867"", ""out1g!A:B""), 2, FALSE), 0)"),87.0)</f>
        <v>87</v>
      </c>
      <c r="D3886" s="2" t="str">
        <f>IFERROR(__xludf.DUMMYFUNCTION("IFERROR(VLOOKUP(A3886, IMPORTRANGE(""https://docs.google.com/spreadsheets/d/1-3Vjw2Cyy-mry5gbC8ypIR3YVGFfEpyFESummAta6sg/edit"", ""Sheet1!B:D""), 2, FALSE), ""Not Found"")"),"ee")</f>
        <v>ee</v>
      </c>
      <c r="E3886" s="2" t="str">
        <f>IFERROR(__xludf.DUMMYFUNCTION("IFERROR(VLOOKUP(A3886, IMPORTRANGE(""https://docs.google.com/spreadsheets/d/1-3Vjw2Cyy-mry5gbC8ypIR3YVGFfEpyFESummAta6sg/edit"", ""Sheet1!B:D""), 3, FALSE), ""Not Found"")"),"e e ")</f>
        <v>e e </v>
      </c>
    </row>
    <row r="3887">
      <c r="A3887" s="1" t="s">
        <v>3888</v>
      </c>
      <c r="B3887" s="1" t="s">
        <v>5</v>
      </c>
      <c r="C3887" s="2">
        <f>IFERROR(__xludf.DUMMYFUNCTION("IFERROR(VLOOKUP(A3887, IMPORTRANGE(""https://docs.google.com/spreadsheets/d/1AVX9GT0dgogEBStecCXMMQ29tWz3gBrtNB8yIromXbY/edit?gid=741673867"", ""out1g!A:B""), 2, FALSE), 0)"),79.0)</f>
        <v>79</v>
      </c>
      <c r="D3887" s="2" t="str">
        <f>IFERROR(__xludf.DUMMYFUNCTION("IFERROR(VLOOKUP(A3887, IMPORTRANGE(""https://docs.google.com/spreadsheets/d/1-3Vjw2Cyy-mry5gbC8ypIR3YVGFfEpyFESummAta6sg/edit"", ""Sheet1!B:D""), 2, FALSE), ""Not Found"")"),"aɪrɪʃ")</f>
        <v>aɪrɪʃ</v>
      </c>
      <c r="E3887" s="2" t="str">
        <f>IFERROR(__xludf.DUMMYFUNCTION("IFERROR(VLOOKUP(A3887, IMPORTRANGE(""https://docs.google.com/spreadsheets/d/1-3Vjw2Cyy-mry5gbC8ypIR3YVGFfEpyFESummAta6sg/edit"", ""Sheet1!B:D""), 3, FALSE), ""Not Found"")"),"a ɪ r ɪ ʃ ")</f>
        <v>a ɪ r ɪ ʃ </v>
      </c>
    </row>
    <row r="3888">
      <c r="A3888" s="1" t="s">
        <v>3889</v>
      </c>
      <c r="B3888" s="1" t="s">
        <v>5</v>
      </c>
      <c r="C3888" s="2">
        <f>IFERROR(__xludf.DUMMYFUNCTION("IFERROR(VLOOKUP(A3888, IMPORTRANGE(""https://docs.google.com/spreadsheets/d/1AVX9GT0dgogEBStecCXMMQ29tWz3gBrtNB8yIromXbY/edit?gid=741673867"", ""out1g!A:B""), 2, FALSE), 0)"),329.0)</f>
        <v>329</v>
      </c>
      <c r="D3888" s="2" t="str">
        <f>IFERROR(__xludf.DUMMYFUNCTION("IFERROR(VLOOKUP(A3888, IMPORTRANGE(""https://docs.google.com/spreadsheets/d/1-3Vjw2Cyy-mry5gbC8ypIR3YVGFfEpyFESummAta6sg/edit"", ""Sheet1!B:D""), 2, FALSE), ""Not Found"")"),"foʊnd")</f>
        <v>foʊnd</v>
      </c>
      <c r="E3888" s="2" t="str">
        <f>IFERROR(__xludf.DUMMYFUNCTION("IFERROR(VLOOKUP(A3888, IMPORTRANGE(""https://docs.google.com/spreadsheets/d/1-3Vjw2Cyy-mry5gbC8ypIR3YVGFfEpyFESummAta6sg/edit"", ""Sheet1!B:D""), 3, FALSE), ""Not Found"")"),"f o ʊ n d ")</f>
        <v>f o ʊ n d </v>
      </c>
    </row>
    <row r="3889">
      <c r="A3889" s="1" t="s">
        <v>3890</v>
      </c>
      <c r="B3889" s="1" t="s">
        <v>5</v>
      </c>
      <c r="C3889" s="2">
        <f>IFERROR(__xludf.DUMMYFUNCTION("IFERROR(VLOOKUP(A3889, IMPORTRANGE(""https://docs.google.com/spreadsheets/d/1AVX9GT0dgogEBStecCXMMQ29tWz3gBrtNB8yIromXbY/edit?gid=741673867"", ""out1g!A:B""), 2, FALSE), 0)"),153.0)</f>
        <v>153</v>
      </c>
      <c r="D3889" s="2" t="str">
        <f>IFERROR(__xludf.DUMMYFUNCTION("IFERROR(VLOOKUP(A3889, IMPORTRANGE(""https://docs.google.com/spreadsheets/d/1-3Vjw2Cyy-mry5gbC8ypIR3YVGFfEpyFESummAta6sg/edit"", ""Sheet1!B:D""), 2, FALSE), ""Not Found"")"),"ʧɪmp")</f>
        <v>ʧɪmp</v>
      </c>
      <c r="E3889" s="2" t="str">
        <f>IFERROR(__xludf.DUMMYFUNCTION("IFERROR(VLOOKUP(A3889, IMPORTRANGE(""https://docs.google.com/spreadsheets/d/1-3Vjw2Cyy-mry5gbC8ypIR3YVGFfEpyFESummAta6sg/edit"", ""Sheet1!B:D""), 3, FALSE), ""Not Found"")"),"ʧ ɪ m p ")</f>
        <v>ʧ ɪ m p </v>
      </c>
    </row>
    <row r="3890">
      <c r="A3890" s="1" t="s">
        <v>3891</v>
      </c>
      <c r="B3890" s="1" t="s">
        <v>5</v>
      </c>
      <c r="C3890" s="2">
        <f>IFERROR(__xludf.DUMMYFUNCTION("IFERROR(VLOOKUP(A3890, IMPORTRANGE(""https://docs.google.com/spreadsheets/d/1AVX9GT0dgogEBStecCXMMQ29tWz3gBrtNB8yIromXbY/edit?gid=741673867"", ""out1g!A:B""), 2, FALSE), 0)"),138.0)</f>
        <v>138</v>
      </c>
      <c r="D3890" s="2" t="str">
        <f>IFERROR(__xludf.DUMMYFUNCTION("IFERROR(VLOOKUP(A3890, IMPORTRANGE(""https://docs.google.com/spreadsheets/d/1-3Vjw2Cyy-mry5gbC8ypIR3YVGFfEpyFESummAta6sg/edit"", ""Sheet1!B:D""), 2, FALSE), ""Not Found"")"),"pɪnʧt")</f>
        <v>pɪnʧt</v>
      </c>
      <c r="E3890" s="2" t="str">
        <f>IFERROR(__xludf.DUMMYFUNCTION("IFERROR(VLOOKUP(A3890, IMPORTRANGE(""https://docs.google.com/spreadsheets/d/1-3Vjw2Cyy-mry5gbC8ypIR3YVGFfEpyFESummAta6sg/edit"", ""Sheet1!B:D""), 3, FALSE), ""Not Found"")"),"p ɪ n ʧ t ")</f>
        <v>p ɪ n ʧ t </v>
      </c>
    </row>
    <row r="3891">
      <c r="A3891" s="1" t="s">
        <v>3892</v>
      </c>
      <c r="B3891" s="1" t="s">
        <v>5</v>
      </c>
      <c r="C3891" s="2">
        <f>IFERROR(__xludf.DUMMYFUNCTION("IFERROR(VLOOKUP(A3891, IMPORTRANGE(""https://docs.google.com/spreadsheets/d/1AVX9GT0dgogEBStecCXMMQ29tWz3gBrtNB8yIromXbY/edit?gid=741673867"", ""out1g!A:B""), 2, FALSE), 0)"),184.0)</f>
        <v>184</v>
      </c>
      <c r="D3891" s="2" t="str">
        <f>IFERROR(__xludf.DUMMYFUNCTION("IFERROR(VLOOKUP(A3891, IMPORTRANGE(""https://docs.google.com/spreadsheets/d/1-3Vjw2Cyy-mry5gbC8ypIR3YVGFfEpyFESummAta6sg/edit"", ""Sheet1!B:D""), 2, FALSE), ""Not Found"")"),"ælən")</f>
        <v>ælən</v>
      </c>
      <c r="E3891" s="2" t="str">
        <f>IFERROR(__xludf.DUMMYFUNCTION("IFERROR(VLOOKUP(A3891, IMPORTRANGE(""https://docs.google.com/spreadsheets/d/1-3Vjw2Cyy-mry5gbC8ypIR3YVGFfEpyFESummAta6sg/edit"", ""Sheet1!B:D""), 3, FALSE), ""Not Found"")"),"æ l ə n ")</f>
        <v>æ l ə n </v>
      </c>
    </row>
    <row r="3892">
      <c r="A3892" s="1" t="s">
        <v>3893</v>
      </c>
      <c r="B3892" s="1" t="s">
        <v>5</v>
      </c>
      <c r="C3892" s="2">
        <f>IFERROR(__xludf.DUMMYFUNCTION("IFERROR(VLOOKUP(A3892, IMPORTRANGE(""https://docs.google.com/spreadsheets/d/1AVX9GT0dgogEBStecCXMMQ29tWz3gBrtNB8yIromXbY/edit?gid=741673867"", ""out1g!A:B""), 2, FALSE), 0)"),97.0)</f>
        <v>97</v>
      </c>
      <c r="D3892" s="2" t="str">
        <f>IFERROR(__xludf.DUMMYFUNCTION("IFERROR(VLOOKUP(A3892, IMPORTRANGE(""https://docs.google.com/spreadsheets/d/1-3Vjw2Cyy-mry5gbC8ypIR3YVGFfEpyFESummAta6sg/edit"", ""Sheet1!B:D""), 2, FALSE), ""Not Found"")"),"roʊ")</f>
        <v>roʊ</v>
      </c>
      <c r="E3892" s="2" t="str">
        <f>IFERROR(__xludf.DUMMYFUNCTION("IFERROR(VLOOKUP(A3892, IMPORTRANGE(""https://docs.google.com/spreadsheets/d/1-3Vjw2Cyy-mry5gbC8ypIR3YVGFfEpyFESummAta6sg/edit"", ""Sheet1!B:D""), 3, FALSE), ""Not Found"")"),"r o ʊ ")</f>
        <v>r o ʊ </v>
      </c>
    </row>
    <row r="3893">
      <c r="A3893" s="1" t="s">
        <v>3894</v>
      </c>
      <c r="B3893" s="1" t="s">
        <v>5</v>
      </c>
      <c r="C3893" s="2">
        <f>IFERROR(__xludf.DUMMYFUNCTION("IFERROR(VLOOKUP(A3893, IMPORTRANGE(""https://docs.google.com/spreadsheets/d/1AVX9GT0dgogEBStecCXMMQ29tWz3gBrtNB8yIromXbY/edit?gid=741673867"", ""out1g!A:B""), 2, FALSE), 0)"),319.0)</f>
        <v>319</v>
      </c>
      <c r="D3893" s="2" t="str">
        <f>IFERROR(__xludf.DUMMYFUNCTION("IFERROR(VLOOKUP(A3893, IMPORTRANGE(""https://docs.google.com/spreadsheets/d/1-3Vjw2Cyy-mry5gbC8ypIR3YVGFfEpyFESummAta6sg/edit"", ""Sheet1!B:D""), 2, FALSE), ""Not Found"")"),"bərbən")</f>
        <v>bərbən</v>
      </c>
      <c r="E3893" s="2" t="str">
        <f>IFERROR(__xludf.DUMMYFUNCTION("IFERROR(VLOOKUP(A3893, IMPORTRANGE(""https://docs.google.com/spreadsheets/d/1-3Vjw2Cyy-mry5gbC8ypIR3YVGFfEpyFESummAta6sg/edit"", ""Sheet1!B:D""), 3, FALSE), ""Not Found"")"),"b ə r b ə n ")</f>
        <v>b ə r b ə n </v>
      </c>
    </row>
    <row r="3894">
      <c r="A3894" s="1" t="s">
        <v>3895</v>
      </c>
      <c r="B3894" s="1" t="s">
        <v>5</v>
      </c>
      <c r="C3894" s="2">
        <f>IFERROR(__xludf.DUMMYFUNCTION("IFERROR(VLOOKUP(A3894, IMPORTRANGE(""https://docs.google.com/spreadsheets/d/1AVX9GT0dgogEBStecCXMMQ29tWz3gBrtNB8yIromXbY/edit?gid=741673867"", ""out1g!A:B""), 2, FALSE), 0)"),124.0)</f>
        <v>124</v>
      </c>
      <c r="D3894" s="2" t="str">
        <f>IFERROR(__xludf.DUMMYFUNCTION("IFERROR(VLOOKUP(A3894, IMPORTRANGE(""https://docs.google.com/spreadsheets/d/1-3Vjw2Cyy-mry5gbC8ypIR3YVGFfEpyFESummAta6sg/edit"", ""Sheet1!B:D""), 2, FALSE), ""Not Found"")"),"s")</f>
        <v>s</v>
      </c>
      <c r="E3894" s="2" t="str">
        <f>IFERROR(__xludf.DUMMYFUNCTION("IFERROR(VLOOKUP(A3894, IMPORTRANGE(""https://docs.google.com/spreadsheets/d/1-3Vjw2Cyy-mry5gbC8ypIR3YVGFfEpyFESummAta6sg/edit"", ""Sheet1!B:D""), 3, FALSE), ""Not Found"")"),"s ")</f>
        <v>s </v>
      </c>
    </row>
    <row r="3895">
      <c r="A3895" s="1" t="s">
        <v>3896</v>
      </c>
      <c r="B3895" s="1" t="s">
        <v>5</v>
      </c>
      <c r="C3895" s="2">
        <f>IFERROR(__xludf.DUMMYFUNCTION("IFERROR(VLOOKUP(A3895, IMPORTRANGE(""https://docs.google.com/spreadsheets/d/1AVX9GT0dgogEBStecCXMMQ29tWz3gBrtNB8yIromXbY/edit?gid=741673867"", ""out1g!A:B""), 2, FALSE), 0)"),698.0)</f>
        <v>698</v>
      </c>
      <c r="D3895" s="2" t="str">
        <f>IFERROR(__xludf.DUMMYFUNCTION("IFERROR(VLOOKUP(A3895, IMPORTRANGE(""https://docs.google.com/spreadsheets/d/1-3Vjw2Cyy-mry5gbC8ypIR3YVGFfEpyFESummAta6sg/edit"", ""Sheet1!B:D""), 2, FALSE), ""Not Found"")"),"kraʊn")</f>
        <v>kraʊn</v>
      </c>
      <c r="E3895" s="2" t="str">
        <f>IFERROR(__xludf.DUMMYFUNCTION("IFERROR(VLOOKUP(A3895, IMPORTRANGE(""https://docs.google.com/spreadsheets/d/1-3Vjw2Cyy-mry5gbC8ypIR3YVGFfEpyFESummAta6sg/edit"", ""Sheet1!B:D""), 3, FALSE), ""Not Found"")"),"k r a ʊ n ")</f>
        <v>k r a ʊ n </v>
      </c>
    </row>
    <row r="3896">
      <c r="A3896" s="1" t="s">
        <v>3897</v>
      </c>
      <c r="B3896" s="1" t="s">
        <v>5</v>
      </c>
      <c r="C3896" s="2">
        <f>IFERROR(__xludf.DUMMYFUNCTION("IFERROR(VLOOKUP(A3896, IMPORTRANGE(""https://docs.google.com/spreadsheets/d/1AVX9GT0dgogEBStecCXMMQ29tWz3gBrtNB8yIromXbY/edit?gid=741673867"", ""out1g!A:B""), 2, FALSE), 0)"),181.0)</f>
        <v>181</v>
      </c>
      <c r="D3896" s="2" t="str">
        <f>IFERROR(__xludf.DUMMYFUNCTION("IFERROR(VLOOKUP(A3896, IMPORTRANGE(""https://docs.google.com/spreadsheets/d/1-3Vjw2Cyy-mry5gbC8ypIR3YVGFfEpyFESummAta6sg/edit"", ""Sheet1!B:D""), 2, FALSE), ""Not Found"")"),"zum")</f>
        <v>zum</v>
      </c>
      <c r="E3896" s="2" t="str">
        <f>IFERROR(__xludf.DUMMYFUNCTION("IFERROR(VLOOKUP(A3896, IMPORTRANGE(""https://docs.google.com/spreadsheets/d/1-3Vjw2Cyy-mry5gbC8ypIR3YVGFfEpyFESummAta6sg/edit"", ""Sheet1!B:D""), 3, FALSE), ""Not Found"")"),"z u m ")</f>
        <v>z u m </v>
      </c>
    </row>
    <row r="3897">
      <c r="A3897" s="1" t="s">
        <v>3898</v>
      </c>
      <c r="B3897" s="1" t="s">
        <v>5</v>
      </c>
      <c r="C3897" s="2">
        <f>IFERROR(__xludf.DUMMYFUNCTION("IFERROR(VLOOKUP(A3897, IMPORTRANGE(""https://docs.google.com/spreadsheets/d/1AVX9GT0dgogEBStecCXMMQ29tWz3gBrtNB8yIromXbY/edit?gid=741673867"", ""out1g!A:B""), 2, FALSE), 0)"),338.0)</f>
        <v>338</v>
      </c>
      <c r="D3897" s="2" t="str">
        <f>IFERROR(__xludf.DUMMYFUNCTION("IFERROR(VLOOKUP(A3897, IMPORTRANGE(""https://docs.google.com/spreadsheets/d/1-3Vjw2Cyy-mry5gbC8ypIR3YVGFfEpyFESummAta6sg/edit"", ""Sheet1!B:D""), 2, FALSE), ""Not Found"")"),"gridi")</f>
        <v>gridi</v>
      </c>
      <c r="E3897" s="2" t="str">
        <f>IFERROR(__xludf.DUMMYFUNCTION("IFERROR(VLOOKUP(A3897, IMPORTRANGE(""https://docs.google.com/spreadsheets/d/1-3Vjw2Cyy-mry5gbC8ypIR3YVGFfEpyFESummAta6sg/edit"", ""Sheet1!B:D""), 3, FALSE), ""Not Found"")"),"g r i d i ")</f>
        <v>g r i d i </v>
      </c>
    </row>
    <row r="3898">
      <c r="A3898" s="1" t="s">
        <v>3899</v>
      </c>
      <c r="B3898" s="1" t="s">
        <v>5</v>
      </c>
      <c r="C3898" s="2">
        <f>IFERROR(__xludf.DUMMYFUNCTION("IFERROR(VLOOKUP(A3898, IMPORTRANGE(""https://docs.google.com/spreadsheets/d/1AVX9GT0dgogEBStecCXMMQ29tWz3gBrtNB8yIromXbY/edit?gid=741673867"", ""out1g!A:B""), 2, FALSE), 0)"),110.0)</f>
        <v>110</v>
      </c>
      <c r="D3898" s="2" t="str">
        <f>IFERROR(__xludf.DUMMYFUNCTION("IFERROR(VLOOKUP(A3898, IMPORTRANGE(""https://docs.google.com/spreadsheets/d/1-3Vjw2Cyy-mry5gbC8ypIR3YVGFfEpyFESummAta6sg/edit"", ""Sheet1!B:D""), 2, FALSE), ""Not Found"")"),"kʊʃən")</f>
        <v>kʊʃən</v>
      </c>
      <c r="E3898" s="2" t="str">
        <f>IFERROR(__xludf.DUMMYFUNCTION("IFERROR(VLOOKUP(A3898, IMPORTRANGE(""https://docs.google.com/spreadsheets/d/1-3Vjw2Cyy-mry5gbC8ypIR3YVGFfEpyFESummAta6sg/edit"", ""Sheet1!B:D""), 3, FALSE), ""Not Found"")"),"k ʊ ʃ ə n ")</f>
        <v>k ʊ ʃ ə n </v>
      </c>
    </row>
    <row r="3899">
      <c r="A3899" s="1" t="s">
        <v>3900</v>
      </c>
      <c r="B3899" s="1" t="s">
        <v>5</v>
      </c>
      <c r="C3899" s="2">
        <f>IFERROR(__xludf.DUMMYFUNCTION("IFERROR(VLOOKUP(A3899, IMPORTRANGE(""https://docs.google.com/spreadsheets/d/1AVX9GT0dgogEBStecCXMMQ29tWz3gBrtNB8yIromXbY/edit?gid=741673867"", ""out1g!A:B""), 2, FALSE), 0)"),81.0)</f>
        <v>81</v>
      </c>
      <c r="D3899" s="2" t="str">
        <f>IFERROR(__xludf.DUMMYFUNCTION("IFERROR(VLOOKUP(A3899, IMPORTRANGE(""https://docs.google.com/spreadsheets/d/1-3Vjw2Cyy-mry5gbC8ypIR3YVGFfEpyFESummAta6sg/edit"", ""Sheet1!B:D""), 2, FALSE), ""Not Found"")"),"eməs")</f>
        <v>eməs</v>
      </c>
      <c r="E3899" s="2" t="str">
        <f>IFERROR(__xludf.DUMMYFUNCTION("IFERROR(VLOOKUP(A3899, IMPORTRANGE(""https://docs.google.com/spreadsheets/d/1-3Vjw2Cyy-mry5gbC8ypIR3YVGFfEpyFESummAta6sg/edit"", ""Sheet1!B:D""), 3, FALSE), ""Not Found"")"),"e m ə s ")</f>
        <v>e m ə s </v>
      </c>
    </row>
    <row r="3900">
      <c r="A3900" s="1" t="s">
        <v>3901</v>
      </c>
      <c r="B3900" s="1" t="s">
        <v>5</v>
      </c>
      <c r="C3900" s="2">
        <f>IFERROR(__xludf.DUMMYFUNCTION("IFERROR(VLOOKUP(A3900, IMPORTRANGE(""https://docs.google.com/spreadsheets/d/1AVX9GT0dgogEBStecCXMMQ29tWz3gBrtNB8yIromXbY/edit?gid=741673867"", ""out1g!A:B""), 2, FALSE), 0)"),459663.0)</f>
        <v>459663</v>
      </c>
      <c r="D3900" s="2" t="str">
        <f>IFERROR(__xludf.DUMMYFUNCTION("IFERROR(VLOOKUP(A3900, IMPORTRANGE(""https://docs.google.com/spreadsheets/d/1-3Vjw2Cyy-mry5gbC8ypIR3YVGFfEpyFESummAta6sg/edit"", ""Sheet1!B:D""), 2, FALSE), ""Not Found"")"),"ɪz")</f>
        <v>ɪz</v>
      </c>
      <c r="E3900" s="2" t="str">
        <f>IFERROR(__xludf.DUMMYFUNCTION("IFERROR(VLOOKUP(A3900, IMPORTRANGE(""https://docs.google.com/spreadsheets/d/1-3Vjw2Cyy-mry5gbC8ypIR3YVGFfEpyFESummAta6sg/edit"", ""Sheet1!B:D""), 3, FALSE), ""Not Found"")"),"ɪ z ")</f>
        <v>ɪ z </v>
      </c>
    </row>
    <row r="3901">
      <c r="A3901" s="1" t="s">
        <v>3902</v>
      </c>
      <c r="B3901" s="1" t="s">
        <v>5</v>
      </c>
      <c r="C3901" s="2">
        <f>IFERROR(__xludf.DUMMYFUNCTION("IFERROR(VLOOKUP(A3901, IMPORTRANGE(""https://docs.google.com/spreadsheets/d/1AVX9GT0dgogEBStecCXMMQ29tWz3gBrtNB8yIromXbY/edit?gid=741673867"", ""out1g!A:B""), 2, FALSE), 0)"),3177.0)</f>
        <v>3177</v>
      </c>
      <c r="D3901" s="2" t="str">
        <f>IFERROR(__xludf.DUMMYFUNCTION("IFERROR(VLOOKUP(A3901, IMPORTRANGE(""https://docs.google.com/spreadsheets/d/1-3Vjw2Cyy-mry5gbC8ypIR3YVGFfEpyFESummAta6sg/edit"", ""Sheet1!B:D""), 2, FALSE), ""Not Found"")"),"gɪlti")</f>
        <v>gɪlti</v>
      </c>
      <c r="E3901" s="2" t="str">
        <f>IFERROR(__xludf.DUMMYFUNCTION("IFERROR(VLOOKUP(A3901, IMPORTRANGE(""https://docs.google.com/spreadsheets/d/1-3Vjw2Cyy-mry5gbC8ypIR3YVGFfEpyFESummAta6sg/edit"", ""Sheet1!B:D""), 3, FALSE), ""Not Found"")"),"g ɪ l t i ")</f>
        <v>g ɪ l t i </v>
      </c>
    </row>
    <row r="3902">
      <c r="A3902" s="1" t="s">
        <v>3903</v>
      </c>
      <c r="B3902" s="1" t="s">
        <v>5</v>
      </c>
      <c r="C3902" s="2">
        <f>IFERROR(__xludf.DUMMYFUNCTION("IFERROR(VLOOKUP(A3902, IMPORTRANGE(""https://docs.google.com/spreadsheets/d/1AVX9GT0dgogEBStecCXMMQ29tWz3gBrtNB8yIromXbY/edit?gid=741673867"", ""out1g!A:B""), 2, FALSE), 0)"),11.0)</f>
        <v>11</v>
      </c>
      <c r="D3902" s="2" t="str">
        <f>IFERROR(__xludf.DUMMYFUNCTION("IFERROR(VLOOKUP(A3902, IMPORTRANGE(""https://docs.google.com/spreadsheets/d/1-3Vjw2Cyy-mry5gbC8ypIR3YVGFfEpyFESummAta6sg/edit"", ""Sheet1!B:D""), 2, FALSE), ""Not Found"")"),"aʊtɪŋz")</f>
        <v>aʊtɪŋz</v>
      </c>
      <c r="E3902" s="2" t="str">
        <f>IFERROR(__xludf.DUMMYFUNCTION("IFERROR(VLOOKUP(A3902, IMPORTRANGE(""https://docs.google.com/spreadsheets/d/1-3Vjw2Cyy-mry5gbC8ypIR3YVGFfEpyFESummAta6sg/edit"", ""Sheet1!B:D""), 3, FALSE), ""Not Found"")"),"a ʊ t ɪ ŋ z ")</f>
        <v>a ʊ t ɪ ŋ z </v>
      </c>
    </row>
    <row r="3903">
      <c r="A3903" s="1" t="s">
        <v>3904</v>
      </c>
      <c r="B3903" s="1" t="s">
        <v>5</v>
      </c>
      <c r="C3903" s="2">
        <f>IFERROR(__xludf.DUMMYFUNCTION("IFERROR(VLOOKUP(A3903, IMPORTRANGE(""https://docs.google.com/spreadsheets/d/1AVX9GT0dgogEBStecCXMMQ29tWz3gBrtNB8yIromXbY/edit?gid=741673867"", ""out1g!A:B""), 2, FALSE), 0)"),70.0)</f>
        <v>70</v>
      </c>
      <c r="D3903" s="2" t="str">
        <f>IFERROR(__xludf.DUMMYFUNCTION("IFERROR(VLOOKUP(A3903, IMPORTRANGE(""https://docs.google.com/spreadsheets/d/1-3Vjw2Cyy-mry5gbC8ypIR3YVGFfEpyFESummAta6sg/edit"", ""Sheet1!B:D""), 2, FALSE), ""Not Found"")"),"ɑkwə")</f>
        <v>ɑkwə</v>
      </c>
      <c r="E3903" s="2" t="str">
        <f>IFERROR(__xludf.DUMMYFUNCTION("IFERROR(VLOOKUP(A3903, IMPORTRANGE(""https://docs.google.com/spreadsheets/d/1-3Vjw2Cyy-mry5gbC8ypIR3YVGFfEpyFESummAta6sg/edit"", ""Sheet1!B:D""), 3, FALSE), ""Not Found"")"),"ɑ k w ə ")</f>
        <v>ɑ k w ə </v>
      </c>
    </row>
    <row r="3904">
      <c r="A3904" s="1" t="s">
        <v>3905</v>
      </c>
      <c r="B3904" s="1" t="s">
        <v>5</v>
      </c>
      <c r="C3904" s="2">
        <f>IFERROR(__xludf.DUMMYFUNCTION("IFERROR(VLOOKUP(A3904, IMPORTRANGE(""https://docs.google.com/spreadsheets/d/1AVX9GT0dgogEBStecCXMMQ29tWz3gBrtNB8yIromXbY/edit?gid=741673867"", ""out1g!A:B""), 2, FALSE), 0)"),119.0)</f>
        <v>119</v>
      </c>
      <c r="D3904" s="2" t="str">
        <f>IFERROR(__xludf.DUMMYFUNCTION("IFERROR(VLOOKUP(A3904, IMPORTRANGE(""https://docs.google.com/spreadsheets/d/1-3Vjw2Cyy-mry5gbC8ypIR3YVGFfEpyFESummAta6sg/edit"", ""Sheet1!B:D""), 2, FALSE), ""Not Found"")"),"boʊnər")</f>
        <v>boʊnər</v>
      </c>
      <c r="E3904" s="2" t="str">
        <f>IFERROR(__xludf.DUMMYFUNCTION("IFERROR(VLOOKUP(A3904, IMPORTRANGE(""https://docs.google.com/spreadsheets/d/1-3Vjw2Cyy-mry5gbC8ypIR3YVGFfEpyFESummAta6sg/edit"", ""Sheet1!B:D""), 3, FALSE), ""Not Found"")"),"b o ʊ n ə r ")</f>
        <v>b o ʊ n ə r </v>
      </c>
    </row>
    <row r="3905">
      <c r="A3905" s="1" t="s">
        <v>3906</v>
      </c>
      <c r="B3905" s="1" t="s">
        <v>5</v>
      </c>
      <c r="C3905" s="2">
        <f>IFERROR(__xludf.DUMMYFUNCTION("IFERROR(VLOOKUP(A3905, IMPORTRANGE(""https://docs.google.com/spreadsheets/d/1AVX9GT0dgogEBStecCXMMQ29tWz3gBrtNB8yIromXbY/edit?gid=741673867"", ""out1g!A:B""), 2, FALSE), 0)"),51.0)</f>
        <v>51</v>
      </c>
      <c r="D3905" s="2" t="str">
        <f>IFERROR(__xludf.DUMMYFUNCTION("IFERROR(VLOOKUP(A3905, IMPORTRANGE(""https://docs.google.com/spreadsheets/d/1-3Vjw2Cyy-mry5gbC8ypIR3YVGFfEpyFESummAta6sg/edit"", ""Sheet1!B:D""), 2, FALSE), ""Not Found"")"),"nuər")</f>
        <v>nuər</v>
      </c>
      <c r="E3905" s="2" t="str">
        <f>IFERROR(__xludf.DUMMYFUNCTION("IFERROR(VLOOKUP(A3905, IMPORTRANGE(""https://docs.google.com/spreadsheets/d/1-3Vjw2Cyy-mry5gbC8ypIR3YVGFfEpyFESummAta6sg/edit"", ""Sheet1!B:D""), 3, FALSE), ""Not Found"")"),"n u ə r ")</f>
        <v>n u ə r </v>
      </c>
    </row>
    <row r="3906">
      <c r="A3906" s="1" t="s">
        <v>3907</v>
      </c>
      <c r="B3906" s="1" t="s">
        <v>5</v>
      </c>
      <c r="C3906" s="2">
        <f>IFERROR(__xludf.DUMMYFUNCTION("IFERROR(VLOOKUP(A3906, IMPORTRANGE(""https://docs.google.com/spreadsheets/d/1AVX9GT0dgogEBStecCXMMQ29tWz3gBrtNB8yIromXbY/edit?gid=741673867"", ""out1g!A:B""), 2, FALSE), 0)"),657.0)</f>
        <v>657</v>
      </c>
      <c r="D3906" s="2" t="str">
        <f>IFERROR(__xludf.DUMMYFUNCTION("IFERROR(VLOOKUP(A3906, IMPORTRANGE(""https://docs.google.com/spreadsheets/d/1-3Vjw2Cyy-mry5gbC8ypIR3YVGFfEpyFESummAta6sg/edit"", ""Sheet1!B:D""), 2, FALSE), ""Not Found"")"),"glɔriə")</f>
        <v>glɔriə</v>
      </c>
      <c r="E3906" s="2" t="str">
        <f>IFERROR(__xludf.DUMMYFUNCTION("IFERROR(VLOOKUP(A3906, IMPORTRANGE(""https://docs.google.com/spreadsheets/d/1-3Vjw2Cyy-mry5gbC8ypIR3YVGFfEpyFESummAta6sg/edit"", ""Sheet1!B:D""), 3, FALSE), ""Not Found"")"),"g l ɔ r i ə ")</f>
        <v>g l ɔ r i ə </v>
      </c>
    </row>
    <row r="3907">
      <c r="A3907" s="1" t="s">
        <v>3908</v>
      </c>
      <c r="B3907" s="1" t="s">
        <v>5</v>
      </c>
      <c r="C3907" s="2">
        <f>IFERROR(__xludf.DUMMYFUNCTION("IFERROR(VLOOKUP(A3907, IMPORTRANGE(""https://docs.google.com/spreadsheets/d/1AVX9GT0dgogEBStecCXMMQ29tWz3gBrtNB8yIromXbY/edit?gid=741673867"", ""out1g!A:B""), 2, FALSE), 0)"),1673.0)</f>
        <v>1673</v>
      </c>
      <c r="D3907" s="2" t="str">
        <f>IFERROR(__xludf.DUMMYFUNCTION("IFERROR(VLOOKUP(A3907, IMPORTRANGE(""https://docs.google.com/spreadsheets/d/1-3Vjw2Cyy-mry5gbC8ypIR3YVGFfEpyFESummAta6sg/edit"", ""Sheet1!B:D""), 2, FALSE), ""Not Found"")"),"ʧes")</f>
        <v>ʧes</v>
      </c>
      <c r="E3907" s="2" t="str">
        <f>IFERROR(__xludf.DUMMYFUNCTION("IFERROR(VLOOKUP(A3907, IMPORTRANGE(""https://docs.google.com/spreadsheets/d/1-3Vjw2Cyy-mry5gbC8ypIR3YVGFfEpyFESummAta6sg/edit"", ""Sheet1!B:D""), 3, FALSE), ""Not Found"")"),"ʧ e s ")</f>
        <v>ʧ e s </v>
      </c>
    </row>
    <row r="3908">
      <c r="A3908" s="1" t="s">
        <v>3909</v>
      </c>
      <c r="B3908" s="1" t="s">
        <v>5</v>
      </c>
      <c r="C3908" s="2">
        <f>IFERROR(__xludf.DUMMYFUNCTION("IFERROR(VLOOKUP(A3908, IMPORTRANGE(""https://docs.google.com/spreadsheets/d/1AVX9GT0dgogEBStecCXMMQ29tWz3gBrtNB8yIromXbY/edit?gid=741673867"", ""out1g!A:B""), 2, FALSE), 0)"),131.0)</f>
        <v>131</v>
      </c>
      <c r="D3908" s="2" t="str">
        <f>IFERROR(__xludf.DUMMYFUNCTION("IFERROR(VLOOKUP(A3908, IMPORTRANGE(""https://docs.google.com/spreadsheets/d/1-3Vjw2Cyy-mry5gbC8ypIR3YVGFfEpyFESummAta6sg/edit"", ""Sheet1!B:D""), 2, FALSE), ""Not Found"")"),"pæsoʊ")</f>
        <v>pæsoʊ</v>
      </c>
      <c r="E3908" s="2" t="str">
        <f>IFERROR(__xludf.DUMMYFUNCTION("IFERROR(VLOOKUP(A3908, IMPORTRANGE(""https://docs.google.com/spreadsheets/d/1-3Vjw2Cyy-mry5gbC8ypIR3YVGFfEpyFESummAta6sg/edit"", ""Sheet1!B:D""), 3, FALSE), ""Not Found"")"),"p æ s o ʊ ")</f>
        <v>p æ s o ʊ </v>
      </c>
    </row>
    <row r="3909">
      <c r="A3909" s="1" t="s">
        <v>3910</v>
      </c>
      <c r="B3909" s="1" t="s">
        <v>5</v>
      </c>
      <c r="C3909" s="2">
        <f>IFERROR(__xludf.DUMMYFUNCTION("IFERROR(VLOOKUP(A3909, IMPORTRANGE(""https://docs.google.com/spreadsheets/d/1AVX9GT0dgogEBStecCXMMQ29tWz3gBrtNB8yIromXbY/edit?gid=741673867"", ""out1g!A:B""), 2, FALSE), 0)"),128.0)</f>
        <v>128</v>
      </c>
      <c r="D3909" s="2" t="str">
        <f>IFERROR(__xludf.DUMMYFUNCTION("IFERROR(VLOOKUP(A3909, IMPORTRANGE(""https://docs.google.com/spreadsheets/d/1-3Vjw2Cyy-mry5gbC8ypIR3YVGFfEpyFESummAta6sg/edit"", ""Sheet1!B:D""), 2, FALSE), ""Not Found"")"),"ɪnɪŋ")</f>
        <v>ɪnɪŋ</v>
      </c>
      <c r="E3909" s="2" t="str">
        <f>IFERROR(__xludf.DUMMYFUNCTION("IFERROR(VLOOKUP(A3909, IMPORTRANGE(""https://docs.google.com/spreadsheets/d/1-3Vjw2Cyy-mry5gbC8ypIR3YVGFfEpyFESummAta6sg/edit"", ""Sheet1!B:D""), 3, FALSE), ""Not Found"")"),"ɪ n ɪ ŋ ")</f>
        <v>ɪ n ɪ ŋ </v>
      </c>
    </row>
    <row r="3910">
      <c r="A3910" s="1" t="s">
        <v>3911</v>
      </c>
      <c r="B3910" s="1" t="s">
        <v>5</v>
      </c>
      <c r="C3910" s="2">
        <f>IFERROR(__xludf.DUMMYFUNCTION("IFERROR(VLOOKUP(A3910, IMPORTRANGE(""https://docs.google.com/spreadsheets/d/1AVX9GT0dgogEBStecCXMMQ29tWz3gBrtNB8yIromXbY/edit?gid=741673867"", ""out1g!A:B""), 2, FALSE), 0)"),46.0)</f>
        <v>46</v>
      </c>
      <c r="D3910" s="2" t="str">
        <f>IFERROR(__xludf.DUMMYFUNCTION("IFERROR(VLOOKUP(A3910, IMPORTRANGE(""https://docs.google.com/spreadsheets/d/1-3Vjw2Cyy-mry5gbC8ypIR3YVGFfEpyFESummAta6sg/edit"", ""Sheet1!B:D""), 2, FALSE), ""Not Found"")"),"stoʊni")</f>
        <v>stoʊni</v>
      </c>
      <c r="E3910" s="2" t="str">
        <f>IFERROR(__xludf.DUMMYFUNCTION("IFERROR(VLOOKUP(A3910, IMPORTRANGE(""https://docs.google.com/spreadsheets/d/1-3Vjw2Cyy-mry5gbC8ypIR3YVGFfEpyFESummAta6sg/edit"", ""Sheet1!B:D""), 3, FALSE), ""Not Found"")"),"s t o ʊ n i ")</f>
        <v>s t o ʊ n i </v>
      </c>
    </row>
    <row r="3911">
      <c r="A3911" s="1" t="s">
        <v>3912</v>
      </c>
      <c r="B3911" s="1" t="s">
        <v>5</v>
      </c>
      <c r="C3911" s="2">
        <f>IFERROR(__xludf.DUMMYFUNCTION("IFERROR(VLOOKUP(A3911, IMPORTRANGE(""https://docs.google.com/spreadsheets/d/1AVX9GT0dgogEBStecCXMMQ29tWz3gBrtNB8yIromXbY/edit?gid=741673867"", ""out1g!A:B""), 2, FALSE), 0)"),2467.0)</f>
        <v>2467</v>
      </c>
      <c r="D3911" s="2" t="str">
        <f>IFERROR(__xludf.DUMMYFUNCTION("IFERROR(VLOOKUP(A3911, IMPORTRANGE(""https://docs.google.com/spreadsheets/d/1-3Vjw2Cyy-mry5gbC8ypIR3YVGFfEpyFESummAta6sg/edit"", ""Sheet1!B:D""), 2, FALSE), ""Not Found"")"),"sərʧ")</f>
        <v>sərʧ</v>
      </c>
      <c r="E3911" s="2" t="str">
        <f>IFERROR(__xludf.DUMMYFUNCTION("IFERROR(VLOOKUP(A3911, IMPORTRANGE(""https://docs.google.com/spreadsheets/d/1-3Vjw2Cyy-mry5gbC8ypIR3YVGFfEpyFESummAta6sg/edit"", ""Sheet1!B:D""), 3, FALSE), ""Not Found"")"),"s ə r ʧ ")</f>
        <v>s ə r ʧ </v>
      </c>
    </row>
    <row r="3912">
      <c r="A3912" s="1" t="s">
        <v>3913</v>
      </c>
      <c r="B3912" s="1" t="s">
        <v>5</v>
      </c>
      <c r="C3912" s="2">
        <f>IFERROR(__xludf.DUMMYFUNCTION("IFERROR(VLOOKUP(A3912, IMPORTRANGE(""https://docs.google.com/spreadsheets/d/1AVX9GT0dgogEBStecCXMMQ29tWz3gBrtNB8yIromXbY/edit?gid=741673867"", ""out1g!A:B""), 2, FALSE), 0)"),42.0)</f>
        <v>42</v>
      </c>
      <c r="D3912" s="2" t="str">
        <f>IFERROR(__xludf.DUMMYFUNCTION("IFERROR(VLOOKUP(A3912, IMPORTRANGE(""https://docs.google.com/spreadsheets/d/1-3Vjw2Cyy-mry5gbC8ypIR3YVGFfEpyFESummAta6sg/edit"", ""Sheet1!B:D""), 2, FALSE), ""Not Found"")"),"femd")</f>
        <v>femd</v>
      </c>
      <c r="E3912" s="2" t="str">
        <f>IFERROR(__xludf.DUMMYFUNCTION("IFERROR(VLOOKUP(A3912, IMPORTRANGE(""https://docs.google.com/spreadsheets/d/1-3Vjw2Cyy-mry5gbC8ypIR3YVGFfEpyFESummAta6sg/edit"", ""Sheet1!B:D""), 3, FALSE), ""Not Found"")"),"f e m d ")</f>
        <v>f e m d </v>
      </c>
    </row>
    <row r="3913">
      <c r="A3913" s="1" t="s">
        <v>3914</v>
      </c>
      <c r="B3913" s="1" t="s">
        <v>5</v>
      </c>
      <c r="C3913" s="2">
        <f>IFERROR(__xludf.DUMMYFUNCTION("IFERROR(VLOOKUP(A3913, IMPORTRANGE(""https://docs.google.com/spreadsheets/d/1AVX9GT0dgogEBStecCXMMQ29tWz3gBrtNB8yIromXbY/edit?gid=741673867"", ""out1g!A:B""), 2, FALSE), 0)"),654.0)</f>
        <v>654</v>
      </c>
      <c r="D3913" s="2" t="str">
        <f>IFERROR(__xludf.DUMMYFUNCTION("IFERROR(VLOOKUP(A3913, IMPORTRANGE(""https://docs.google.com/spreadsheets/d/1-3Vjw2Cyy-mry5gbC8ypIR3YVGFfEpyFESummAta6sg/edit"", ""Sheet1!B:D""), 2, FALSE), ""Not Found"")"),"maɪnər")</f>
        <v>maɪnər</v>
      </c>
      <c r="E3913" s="2" t="str">
        <f>IFERROR(__xludf.DUMMYFUNCTION("IFERROR(VLOOKUP(A3913, IMPORTRANGE(""https://docs.google.com/spreadsheets/d/1-3Vjw2Cyy-mry5gbC8ypIR3YVGFfEpyFESummAta6sg/edit"", ""Sheet1!B:D""), 3, FALSE), ""Not Found"")"),"m a ɪ n ə r ")</f>
        <v>m a ɪ n ə r </v>
      </c>
    </row>
    <row r="3914">
      <c r="A3914" s="1" t="s">
        <v>3915</v>
      </c>
      <c r="B3914" s="1" t="s">
        <v>5</v>
      </c>
      <c r="C3914" s="2">
        <f>IFERROR(__xludf.DUMMYFUNCTION("IFERROR(VLOOKUP(A3914, IMPORTRANGE(""https://docs.google.com/spreadsheets/d/1AVX9GT0dgogEBStecCXMMQ29tWz3gBrtNB8yIromXbY/edit?gid=741673867"", ""out1g!A:B""), 2, FALSE), 0)"),92.0)</f>
        <v>92</v>
      </c>
      <c r="D3914" s="2" t="str">
        <f>IFERROR(__xludf.DUMMYFUNCTION("IFERROR(VLOOKUP(A3914, IMPORTRANGE(""https://docs.google.com/spreadsheets/d/1-3Vjw2Cyy-mry5gbC8ypIR3YVGFfEpyFESummAta6sg/edit"", ""Sheet1!B:D""), 2, FALSE), ""Not Found"")"),"hid")</f>
        <v>hid</v>
      </c>
      <c r="E3914" s="2" t="str">
        <f>IFERROR(__xludf.DUMMYFUNCTION("IFERROR(VLOOKUP(A3914, IMPORTRANGE(""https://docs.google.com/spreadsheets/d/1-3Vjw2Cyy-mry5gbC8ypIR3YVGFfEpyFESummAta6sg/edit"", ""Sheet1!B:D""), 3, FALSE), ""Not Found"")"),"h i d ")</f>
        <v>h i d </v>
      </c>
    </row>
    <row r="3915">
      <c r="A3915" s="1" t="s">
        <v>3916</v>
      </c>
      <c r="B3915" s="1" t="s">
        <v>5</v>
      </c>
      <c r="C3915" s="2">
        <f>IFERROR(__xludf.DUMMYFUNCTION("IFERROR(VLOOKUP(A3915, IMPORTRANGE(""https://docs.google.com/spreadsheets/d/1AVX9GT0dgogEBStecCXMMQ29tWz3gBrtNB8yIromXbY/edit?gid=741673867"", ""out1g!A:B""), 2, FALSE), 0)"),323.0)</f>
        <v>323</v>
      </c>
      <c r="D3915" s="2" t="str">
        <f>IFERROR(__xludf.DUMMYFUNCTION("IFERROR(VLOOKUP(A3915, IMPORTRANGE(""https://docs.google.com/spreadsheets/d/1-3Vjw2Cyy-mry5gbC8ypIR3YVGFfEpyFESummAta6sg/edit"", ""Sheet1!B:D""), 2, FALSE), ""Not Found"")"),"pɑnd")</f>
        <v>pɑnd</v>
      </c>
      <c r="E3915" s="2" t="str">
        <f>IFERROR(__xludf.DUMMYFUNCTION("IFERROR(VLOOKUP(A3915, IMPORTRANGE(""https://docs.google.com/spreadsheets/d/1-3Vjw2Cyy-mry5gbC8ypIR3YVGFfEpyFESummAta6sg/edit"", ""Sheet1!B:D""), 3, FALSE), ""Not Found"")"),"p ɑ n d ")</f>
        <v>p ɑ n d </v>
      </c>
    </row>
    <row r="3916">
      <c r="A3916" s="1" t="s">
        <v>3917</v>
      </c>
      <c r="B3916" s="1" t="s">
        <v>5</v>
      </c>
      <c r="C3916" s="2">
        <f>IFERROR(__xludf.DUMMYFUNCTION("IFERROR(VLOOKUP(A3916, IMPORTRANGE(""https://docs.google.com/spreadsheets/d/1AVX9GT0dgogEBStecCXMMQ29tWz3gBrtNB8yIromXbY/edit?gid=741673867"", ""out1g!A:B""), 2, FALSE), 0)"),3050.0)</f>
        <v>3050</v>
      </c>
      <c r="D3916" s="2" t="str">
        <f>IFERROR(__xludf.DUMMYFUNCTION("IFERROR(VLOOKUP(A3916, IMPORTRANGE(""https://docs.google.com/spreadsheets/d/1-3Vjw2Cyy-mry5gbC8ypIR3YVGFfEpyFESummAta6sg/edit"", ""Sheet1!B:D""), 2, FALSE), ""Not Found"")"),"ɑrmz")</f>
        <v>ɑrmz</v>
      </c>
      <c r="E3916" s="2" t="str">
        <f>IFERROR(__xludf.DUMMYFUNCTION("IFERROR(VLOOKUP(A3916, IMPORTRANGE(""https://docs.google.com/spreadsheets/d/1-3Vjw2Cyy-mry5gbC8ypIR3YVGFfEpyFESummAta6sg/edit"", ""Sheet1!B:D""), 3, FALSE), ""Not Found"")"),"ɑ r m z ")</f>
        <v>ɑ r m z </v>
      </c>
    </row>
    <row r="3917">
      <c r="A3917" s="1" t="s">
        <v>3918</v>
      </c>
      <c r="B3917" s="1" t="s">
        <v>5</v>
      </c>
      <c r="C3917" s="2">
        <f>IFERROR(__xludf.DUMMYFUNCTION("IFERROR(VLOOKUP(A3917, IMPORTRANGE(""https://docs.google.com/spreadsheets/d/1AVX9GT0dgogEBStecCXMMQ29tWz3gBrtNB8yIromXbY/edit?gid=741673867"", ""out1g!A:B""), 2, FALSE), 0)"),15.0)</f>
        <v>15</v>
      </c>
      <c r="D3917" s="2" t="str">
        <f>IFERROR(__xludf.DUMMYFUNCTION("IFERROR(VLOOKUP(A3917, IMPORTRANGE(""https://docs.google.com/spreadsheets/d/1-3Vjw2Cyy-mry5gbC8ypIR3YVGFfEpyFESummAta6sg/edit"", ""Sheet1!B:D""), 2, FALSE), ""Not Found"")"),"vɛtɪd")</f>
        <v>vɛtɪd</v>
      </c>
      <c r="E3917" s="2" t="str">
        <f>IFERROR(__xludf.DUMMYFUNCTION("IFERROR(VLOOKUP(A3917, IMPORTRANGE(""https://docs.google.com/spreadsheets/d/1-3Vjw2Cyy-mry5gbC8ypIR3YVGFfEpyFESummAta6sg/edit"", ""Sheet1!B:D""), 3, FALSE), ""Not Found"")"),"v ɛ t ɪ d ")</f>
        <v>v ɛ t ɪ d </v>
      </c>
    </row>
    <row r="3918">
      <c r="A3918" s="1" t="s">
        <v>3919</v>
      </c>
      <c r="B3918" s="1" t="s">
        <v>5</v>
      </c>
      <c r="C3918" s="2">
        <f>IFERROR(__xludf.DUMMYFUNCTION("IFERROR(VLOOKUP(A3918, IMPORTRANGE(""https://docs.google.com/spreadsheets/d/1AVX9GT0dgogEBStecCXMMQ29tWz3gBrtNB8yIromXbY/edit?gid=741673867"", ""out1g!A:B""), 2, FALSE), 0)"),225.0)</f>
        <v>225</v>
      </c>
      <c r="D3918" s="2" t="str">
        <f>IFERROR(__xludf.DUMMYFUNCTION("IFERROR(VLOOKUP(A3918, IMPORTRANGE(""https://docs.google.com/spreadsheets/d/1-3Vjw2Cyy-mry5gbC8ypIR3YVGFfEpyFESummAta6sg/edit"", ""Sheet1!B:D""), 2, FALSE), ""Not Found"")"),"həmp")</f>
        <v>həmp</v>
      </c>
      <c r="E3918" s="2" t="str">
        <f>IFERROR(__xludf.DUMMYFUNCTION("IFERROR(VLOOKUP(A3918, IMPORTRANGE(""https://docs.google.com/spreadsheets/d/1-3Vjw2Cyy-mry5gbC8ypIR3YVGFfEpyFESummAta6sg/edit"", ""Sheet1!B:D""), 3, FALSE), ""Not Found"")"),"h ə m p ")</f>
        <v>h ə m p </v>
      </c>
    </row>
    <row r="3919">
      <c r="A3919" s="1" t="s">
        <v>3920</v>
      </c>
      <c r="B3919" s="1" t="s">
        <v>5</v>
      </c>
      <c r="C3919" s="2">
        <f>IFERROR(__xludf.DUMMYFUNCTION("IFERROR(VLOOKUP(A3919, IMPORTRANGE(""https://docs.google.com/spreadsheets/d/1AVX9GT0dgogEBStecCXMMQ29tWz3gBrtNB8yIromXbY/edit?gid=741673867"", ""out1g!A:B""), 2, FALSE), 0)"),5325.0)</f>
        <v>5325</v>
      </c>
      <c r="D3919" s="2" t="str">
        <f>IFERROR(__xludf.DUMMYFUNCTION("IFERROR(VLOOKUP(A3919, IMPORTRANGE(""https://docs.google.com/spreadsheets/d/1-3Vjw2Cyy-mry5gbC8ypIR3YVGFfEpyFESummAta6sg/edit"", ""Sheet1!B:D""), 2, FALSE), ""Not Found"")"),"maʊθ")</f>
        <v>maʊθ</v>
      </c>
      <c r="E3919" s="2" t="str">
        <f>IFERROR(__xludf.DUMMYFUNCTION("IFERROR(VLOOKUP(A3919, IMPORTRANGE(""https://docs.google.com/spreadsheets/d/1-3Vjw2Cyy-mry5gbC8ypIR3YVGFfEpyFESummAta6sg/edit"", ""Sheet1!B:D""), 3, FALSE), ""Not Found"")"),"m a ʊ θ ")</f>
        <v>m a ʊ θ </v>
      </c>
    </row>
    <row r="3920">
      <c r="A3920" s="1" t="s">
        <v>3921</v>
      </c>
      <c r="B3920" s="1" t="s">
        <v>5</v>
      </c>
      <c r="C3920" s="2">
        <f>IFERROR(__xludf.DUMMYFUNCTION("IFERROR(VLOOKUP(A3920, IMPORTRANGE(""https://docs.google.com/spreadsheets/d/1AVX9GT0dgogEBStecCXMMQ29tWz3gBrtNB8yIromXbY/edit?gid=741673867"", ""out1g!A:B""), 2, FALSE), 0)"),64.0)</f>
        <v>64</v>
      </c>
      <c r="D3920" s="2" t="str">
        <f>IFERROR(__xludf.DUMMYFUNCTION("IFERROR(VLOOKUP(A3920, IMPORTRANGE(""https://docs.google.com/spreadsheets/d/1-3Vjw2Cyy-mry5gbC8ypIR3YVGFfEpyFESummAta6sg/edit"", ""Sheet1!B:D""), 2, FALSE), ""Not Found"")"),"mɪd")</f>
        <v>mɪd</v>
      </c>
      <c r="E3920" s="2" t="str">
        <f>IFERROR(__xludf.DUMMYFUNCTION("IFERROR(VLOOKUP(A3920, IMPORTRANGE(""https://docs.google.com/spreadsheets/d/1-3Vjw2Cyy-mry5gbC8ypIR3YVGFfEpyFESummAta6sg/edit"", ""Sheet1!B:D""), 3, FALSE), ""Not Found"")"),"m ɪ d ")</f>
        <v>m ɪ d </v>
      </c>
    </row>
    <row r="3921">
      <c r="A3921" s="1" t="s">
        <v>3922</v>
      </c>
      <c r="B3921" s="1" t="s">
        <v>5</v>
      </c>
      <c r="C3921" s="2">
        <f>IFERROR(__xludf.DUMMYFUNCTION("IFERROR(VLOOKUP(A3921, IMPORTRANGE(""https://docs.google.com/spreadsheets/d/1AVX9GT0dgogEBStecCXMMQ29tWz3gBrtNB8yIromXbY/edit?gid=741673867"", ""out1g!A:B""), 2, FALSE), 0)"),75.0)</f>
        <v>75</v>
      </c>
      <c r="D3921" s="2" t="str">
        <f>IFERROR(__xludf.DUMMYFUNCTION("IFERROR(VLOOKUP(A3921, IMPORTRANGE(""https://docs.google.com/spreadsheets/d/1-3Vjw2Cyy-mry5gbC8ypIR3YVGFfEpyFESummAta6sg/edit"", ""Sheet1!B:D""), 2, FALSE), ""Not Found"")"),"fɪksɪz")</f>
        <v>fɪksɪz</v>
      </c>
      <c r="E3921" s="2" t="str">
        <f>IFERROR(__xludf.DUMMYFUNCTION("IFERROR(VLOOKUP(A3921, IMPORTRANGE(""https://docs.google.com/spreadsheets/d/1-3Vjw2Cyy-mry5gbC8ypIR3YVGFfEpyFESummAta6sg/edit"", ""Sheet1!B:D""), 3, FALSE), ""Not Found"")"),"f ɪ k s ɪ z ")</f>
        <v>f ɪ k s ɪ z </v>
      </c>
    </row>
    <row r="3922">
      <c r="A3922" s="1" t="s">
        <v>3923</v>
      </c>
      <c r="B3922" s="1" t="s">
        <v>5</v>
      </c>
      <c r="C3922" s="2">
        <f>IFERROR(__xludf.DUMMYFUNCTION("IFERROR(VLOOKUP(A3922, IMPORTRANGE(""https://docs.google.com/spreadsheets/d/1AVX9GT0dgogEBStecCXMMQ29tWz3gBrtNB8yIromXbY/edit?gid=741673867"", ""out1g!A:B""), 2, FALSE), 0)"),81.0)</f>
        <v>81</v>
      </c>
      <c r="D3922" s="2" t="str">
        <f>IFERROR(__xludf.DUMMYFUNCTION("IFERROR(VLOOKUP(A3922, IMPORTRANGE(""https://docs.google.com/spreadsheets/d/1-3Vjw2Cyy-mry5gbC8ypIR3YVGFfEpyFESummAta6sg/edit"", ""Sheet1!B:D""), 2, FALSE), ""Not Found"")"),"repɪŋ")</f>
        <v>repɪŋ</v>
      </c>
      <c r="E3922" s="2" t="str">
        <f>IFERROR(__xludf.DUMMYFUNCTION("IFERROR(VLOOKUP(A3922, IMPORTRANGE(""https://docs.google.com/spreadsheets/d/1-3Vjw2Cyy-mry5gbC8ypIR3YVGFfEpyFESummAta6sg/edit"", ""Sheet1!B:D""), 3, FALSE), ""Not Found"")"),"r e p ɪ ŋ ")</f>
        <v>r e p ɪ ŋ </v>
      </c>
    </row>
    <row r="3923">
      <c r="A3923" s="1" t="s">
        <v>3924</v>
      </c>
      <c r="B3923" s="1" t="s">
        <v>5</v>
      </c>
      <c r="C3923" s="2">
        <f>IFERROR(__xludf.DUMMYFUNCTION("IFERROR(VLOOKUP(A3923, IMPORTRANGE(""https://docs.google.com/spreadsheets/d/1AVX9GT0dgogEBStecCXMMQ29tWz3gBrtNB8yIromXbY/edit?gid=741673867"", ""out1g!A:B""), 2, FALSE), 0)"),56.0)</f>
        <v>56</v>
      </c>
      <c r="D3923" s="2" t="str">
        <f>IFERROR(__xludf.DUMMYFUNCTION("IFERROR(VLOOKUP(A3923, IMPORTRANGE(""https://docs.google.com/spreadsheets/d/1-3Vjw2Cyy-mry5gbC8ypIR3YVGFfEpyFESummAta6sg/edit"", ""Sheet1!B:D""), 2, FALSE), ""Not Found"")"),"məd")</f>
        <v>məd</v>
      </c>
      <c r="E3923" s="2" t="str">
        <f>IFERROR(__xludf.DUMMYFUNCTION("IFERROR(VLOOKUP(A3923, IMPORTRANGE(""https://docs.google.com/spreadsheets/d/1-3Vjw2Cyy-mry5gbC8ypIR3YVGFfEpyFESummAta6sg/edit"", ""Sheet1!B:D""), 3, FALSE), ""Not Found"")"),"m ə d ")</f>
        <v>m ə d </v>
      </c>
    </row>
    <row r="3924">
      <c r="A3924" s="1" t="s">
        <v>3925</v>
      </c>
      <c r="B3924" s="1" t="s">
        <v>5</v>
      </c>
      <c r="C3924" s="2">
        <f>IFERROR(__xludf.DUMMYFUNCTION("IFERROR(VLOOKUP(A3924, IMPORTRANGE(""https://docs.google.com/spreadsheets/d/1AVX9GT0dgogEBStecCXMMQ29tWz3gBrtNB8yIromXbY/edit?gid=741673867"", ""out1g!A:B""), 2, FALSE), 0)"),1995.0)</f>
        <v>1995</v>
      </c>
      <c r="D3924" s="2" t="str">
        <f>IFERROR(__xludf.DUMMYFUNCTION("IFERROR(VLOOKUP(A3924, IMPORTRANGE(""https://docs.google.com/spreadsheets/d/1-3Vjw2Cyy-mry5gbC8ypIR3YVGFfEpyFESummAta6sg/edit"", ""Sheet1!B:D""), 2, FALSE), ""Not Found"")"),"lɛtɪŋ")</f>
        <v>lɛtɪŋ</v>
      </c>
      <c r="E3924" s="2" t="str">
        <f>IFERROR(__xludf.DUMMYFUNCTION("IFERROR(VLOOKUP(A3924, IMPORTRANGE(""https://docs.google.com/spreadsheets/d/1-3Vjw2Cyy-mry5gbC8ypIR3YVGFfEpyFESummAta6sg/edit"", ""Sheet1!B:D""), 3, FALSE), ""Not Found"")"),"l ɛ t ɪ ŋ ")</f>
        <v>l ɛ t ɪ ŋ </v>
      </c>
    </row>
    <row r="3925">
      <c r="A3925" s="1" t="s">
        <v>3926</v>
      </c>
      <c r="B3925" s="1" t="s">
        <v>5</v>
      </c>
      <c r="C3925" s="2">
        <f>IFERROR(__xludf.DUMMYFUNCTION("IFERROR(VLOOKUP(A3925, IMPORTRANGE(""https://docs.google.com/spreadsheets/d/1AVX9GT0dgogEBStecCXMMQ29tWz3gBrtNB8yIromXbY/edit?gid=741673867"", ""out1g!A:B""), 2, FALSE), 0)"),1335.0)</f>
        <v>1335</v>
      </c>
      <c r="D3925" s="2" t="str">
        <f>IFERROR(__xludf.DUMMYFUNCTION("IFERROR(VLOOKUP(A3925, IMPORTRANGE(""https://docs.google.com/spreadsheets/d/1-3Vjw2Cyy-mry5gbC8ypIR3YVGFfEpyFESummAta6sg/edit"", ""Sheet1!B:D""), 2, FALSE), ""Not Found"")"),"dɪziz")</f>
        <v>dɪziz</v>
      </c>
      <c r="E3925" s="2" t="str">
        <f>IFERROR(__xludf.DUMMYFUNCTION("IFERROR(VLOOKUP(A3925, IMPORTRANGE(""https://docs.google.com/spreadsheets/d/1-3Vjw2Cyy-mry5gbC8ypIR3YVGFfEpyFESummAta6sg/edit"", ""Sheet1!B:D""), 3, FALSE), ""Not Found"")"),"d ɪ z i z ")</f>
        <v>d ɪ z i z </v>
      </c>
    </row>
    <row r="3926">
      <c r="A3926" s="1" t="s">
        <v>3927</v>
      </c>
      <c r="B3926" s="1" t="s">
        <v>5</v>
      </c>
      <c r="C3926" s="2">
        <f>IFERROR(__xludf.DUMMYFUNCTION("IFERROR(VLOOKUP(A3926, IMPORTRANGE(""https://docs.google.com/spreadsheets/d/1AVX9GT0dgogEBStecCXMMQ29tWz3gBrtNB8yIromXbY/edit?gid=741673867"", ""out1g!A:B""), 2, FALSE), 0)"),575.0)</f>
        <v>575</v>
      </c>
      <c r="D3926" s="2" t="str">
        <f>IFERROR(__xludf.DUMMYFUNCTION("IFERROR(VLOOKUP(A3926, IMPORTRANGE(""https://docs.google.com/spreadsheets/d/1-3Vjw2Cyy-mry5gbC8ypIR3YVGFfEpyFESummAta6sg/edit"", ""Sheet1!B:D""), 2, FALSE), ""Not Found"")"),"ʤɪn")</f>
        <v>ʤɪn</v>
      </c>
      <c r="E3926" s="2" t="str">
        <f>IFERROR(__xludf.DUMMYFUNCTION("IFERROR(VLOOKUP(A3926, IMPORTRANGE(""https://docs.google.com/spreadsheets/d/1-3Vjw2Cyy-mry5gbC8ypIR3YVGFfEpyFESummAta6sg/edit"", ""Sheet1!B:D""), 3, FALSE), ""Not Found"")"),"ʤ ɪ n ")</f>
        <v>ʤ ɪ n </v>
      </c>
    </row>
    <row r="3927">
      <c r="A3927" s="1" t="s">
        <v>3928</v>
      </c>
      <c r="B3927" s="1" t="s">
        <v>5</v>
      </c>
      <c r="C3927" s="2">
        <f>IFERROR(__xludf.DUMMYFUNCTION("IFERROR(VLOOKUP(A3927, IMPORTRANGE(""https://docs.google.com/spreadsheets/d/1AVX9GT0dgogEBStecCXMMQ29tWz3gBrtNB8yIromXbY/edit?gid=741673867"", ""out1g!A:B""), 2, FALSE), 0)"),166.0)</f>
        <v>166</v>
      </c>
      <c r="D3927" s="2" t="str">
        <f>IFERROR(__xludf.DUMMYFUNCTION("IFERROR(VLOOKUP(A3927, IMPORTRANGE(""https://docs.google.com/spreadsheets/d/1-3Vjw2Cyy-mry5gbC8ypIR3YVGFfEpyFESummAta6sg/edit"", ""Sheet1!B:D""), 2, FALSE), ""Not Found"")"),"koʊv")</f>
        <v>koʊv</v>
      </c>
      <c r="E3927" s="2" t="str">
        <f>IFERROR(__xludf.DUMMYFUNCTION("IFERROR(VLOOKUP(A3927, IMPORTRANGE(""https://docs.google.com/spreadsheets/d/1-3Vjw2Cyy-mry5gbC8ypIR3YVGFfEpyFESummAta6sg/edit"", ""Sheet1!B:D""), 3, FALSE), ""Not Found"")"),"k o ʊ v ")</f>
        <v>k o ʊ v </v>
      </c>
    </row>
    <row r="3928">
      <c r="A3928" s="1" t="s">
        <v>3929</v>
      </c>
      <c r="B3928" s="1" t="s">
        <v>5</v>
      </c>
      <c r="C3928" s="2">
        <f>IFERROR(__xludf.DUMMYFUNCTION("IFERROR(VLOOKUP(A3928, IMPORTRANGE(""https://docs.google.com/spreadsheets/d/1AVX9GT0dgogEBStecCXMMQ29tWz3gBrtNB8yIromXbY/edit?gid=741673867"", ""out1g!A:B""), 2, FALSE), 0)"),77.0)</f>
        <v>77</v>
      </c>
      <c r="D3928" s="2" t="str">
        <f>IFERROR(__xludf.DUMMYFUNCTION("IFERROR(VLOOKUP(A3928, IMPORTRANGE(""https://docs.google.com/spreadsheets/d/1-3Vjw2Cyy-mry5gbC8ypIR3YVGFfEpyFESummAta6sg/edit"", ""Sheet1!B:D""), 2, FALSE), ""Not Found"")"),"tʊrɪŋ")</f>
        <v>tʊrɪŋ</v>
      </c>
      <c r="E3928" s="2" t="str">
        <f>IFERROR(__xludf.DUMMYFUNCTION("IFERROR(VLOOKUP(A3928, IMPORTRANGE(""https://docs.google.com/spreadsheets/d/1-3Vjw2Cyy-mry5gbC8ypIR3YVGFfEpyFESummAta6sg/edit"", ""Sheet1!B:D""), 3, FALSE), ""Not Found"")"),"t ʊ r ɪ ŋ ")</f>
        <v>t ʊ r ɪ ŋ </v>
      </c>
    </row>
    <row r="3929">
      <c r="A3929" s="1" t="s">
        <v>3930</v>
      </c>
      <c r="B3929" s="1" t="s">
        <v>5</v>
      </c>
      <c r="C3929" s="2">
        <f>IFERROR(__xludf.DUMMYFUNCTION("IFERROR(VLOOKUP(A3929, IMPORTRANGE(""https://docs.google.com/spreadsheets/d/1AVX9GT0dgogEBStecCXMMQ29tWz3gBrtNB8yIromXbY/edit?gid=741673867"", ""out1g!A:B""), 2, FALSE), 0)"),276.0)</f>
        <v>276</v>
      </c>
      <c r="D3929" s="2" t="str">
        <f>IFERROR(__xludf.DUMMYFUNCTION("IFERROR(VLOOKUP(A3929, IMPORTRANGE(""https://docs.google.com/spreadsheets/d/1-3Vjw2Cyy-mry5gbC8ypIR3YVGFfEpyFESummAta6sg/edit"", ""Sheet1!B:D""), 2, FALSE), ""Not Found"")"),"vaʊ")</f>
        <v>vaʊ</v>
      </c>
      <c r="E3929" s="2" t="str">
        <f>IFERROR(__xludf.DUMMYFUNCTION("IFERROR(VLOOKUP(A3929, IMPORTRANGE(""https://docs.google.com/spreadsheets/d/1-3Vjw2Cyy-mry5gbC8ypIR3YVGFfEpyFESummAta6sg/edit"", ""Sheet1!B:D""), 3, FALSE), ""Not Found"")"),"v a ʊ ")</f>
        <v>v a ʊ </v>
      </c>
    </row>
    <row r="3930">
      <c r="A3930" s="1" t="s">
        <v>3931</v>
      </c>
      <c r="B3930" s="1" t="s">
        <v>5</v>
      </c>
      <c r="C3930" s="2">
        <f>IFERROR(__xludf.DUMMYFUNCTION("IFERROR(VLOOKUP(A3930, IMPORTRANGE(""https://docs.google.com/spreadsheets/d/1AVX9GT0dgogEBStecCXMMQ29tWz3gBrtNB8yIromXbY/edit?gid=741673867"", ""out1g!A:B""), 2, FALSE), 0)"),1239.0)</f>
        <v>1239</v>
      </c>
      <c r="D3930" s="2" t="str">
        <f>IFERROR(__xludf.DUMMYFUNCTION("IFERROR(VLOOKUP(A3930, IMPORTRANGE(""https://docs.google.com/spreadsheets/d/1-3Vjw2Cyy-mry5gbC8ypIR3YVGFfEpyFESummAta6sg/edit"", ""Sheet1!B:D""), 2, FALSE), ""Not Found"")"),"pɛni")</f>
        <v>pɛni</v>
      </c>
      <c r="E3930" s="2" t="str">
        <f>IFERROR(__xludf.DUMMYFUNCTION("IFERROR(VLOOKUP(A3930, IMPORTRANGE(""https://docs.google.com/spreadsheets/d/1-3Vjw2Cyy-mry5gbC8ypIR3YVGFfEpyFESummAta6sg/edit"", ""Sheet1!B:D""), 3, FALSE), ""Not Found"")"),"p ɛ n i ")</f>
        <v>p ɛ n i </v>
      </c>
    </row>
    <row r="3931">
      <c r="A3931" s="1" t="s">
        <v>3932</v>
      </c>
      <c r="B3931" s="1" t="s">
        <v>5</v>
      </c>
      <c r="C3931" s="2">
        <f>IFERROR(__xludf.DUMMYFUNCTION("IFERROR(VLOOKUP(A3931, IMPORTRANGE(""https://docs.google.com/spreadsheets/d/1AVX9GT0dgogEBStecCXMMQ29tWz3gBrtNB8yIromXbY/edit?gid=741673867"", ""out1g!A:B""), 2, FALSE), 0)"),1495.0)</f>
        <v>1495</v>
      </c>
      <c r="D3931" s="2" t="str">
        <f>IFERROR(__xludf.DUMMYFUNCTION("IFERROR(VLOOKUP(A3931, IMPORTRANGE(""https://docs.google.com/spreadsheets/d/1-3Vjw2Cyy-mry5gbC8ypIR3YVGFfEpyFESummAta6sg/edit"", ""Sheet1!B:D""), 2, FALSE), ""Not Found"")"),"bɑroʊ")</f>
        <v>bɑroʊ</v>
      </c>
      <c r="E3931" s="2" t="str">
        <f>IFERROR(__xludf.DUMMYFUNCTION("IFERROR(VLOOKUP(A3931, IMPORTRANGE(""https://docs.google.com/spreadsheets/d/1-3Vjw2Cyy-mry5gbC8ypIR3YVGFfEpyFESummAta6sg/edit"", ""Sheet1!B:D""), 3, FALSE), ""Not Found"")"),"b ɑ r o ʊ ")</f>
        <v>b ɑ r o ʊ </v>
      </c>
    </row>
    <row r="3932">
      <c r="A3932" s="1" t="s">
        <v>3933</v>
      </c>
      <c r="B3932" s="1" t="s">
        <v>5</v>
      </c>
      <c r="C3932" s="2">
        <f>IFERROR(__xludf.DUMMYFUNCTION("IFERROR(VLOOKUP(A3932, IMPORTRANGE(""https://docs.google.com/spreadsheets/d/1AVX9GT0dgogEBStecCXMMQ29tWz3gBrtNB8yIromXbY/edit?gid=741673867"", ""out1g!A:B""), 2, FALSE), 0)"),50.0)</f>
        <v>50</v>
      </c>
      <c r="D3932" s="2" t="str">
        <f>IFERROR(__xludf.DUMMYFUNCTION("IFERROR(VLOOKUP(A3932, IMPORTRANGE(""https://docs.google.com/spreadsheets/d/1-3Vjw2Cyy-mry5gbC8ypIR3YVGFfEpyFESummAta6sg/edit"", ""Sheet1!B:D""), 2, FALSE), ""Not Found"")"),"haɪv")</f>
        <v>haɪv</v>
      </c>
      <c r="E3932" s="2" t="str">
        <f>IFERROR(__xludf.DUMMYFUNCTION("IFERROR(VLOOKUP(A3932, IMPORTRANGE(""https://docs.google.com/spreadsheets/d/1-3Vjw2Cyy-mry5gbC8ypIR3YVGFfEpyFESummAta6sg/edit"", ""Sheet1!B:D""), 3, FALSE), ""Not Found"")"),"h a ɪ v ")</f>
        <v>h a ɪ v </v>
      </c>
    </row>
    <row r="3933">
      <c r="A3933" s="1" t="s">
        <v>3934</v>
      </c>
      <c r="B3933" s="1" t="s">
        <v>5</v>
      </c>
      <c r="C3933" s="2">
        <f>IFERROR(__xludf.DUMMYFUNCTION("IFERROR(VLOOKUP(A3933, IMPORTRANGE(""https://docs.google.com/spreadsheets/d/1AVX9GT0dgogEBStecCXMMQ29tWz3gBrtNB8yIromXbY/edit?gid=741673867"", ""out1g!A:B""), 2, FALSE), 0)"),1867.0)</f>
        <v>1867</v>
      </c>
      <c r="D3933" s="2" t="str">
        <f>IFERROR(__xludf.DUMMYFUNCTION("IFERROR(VLOOKUP(A3933, IMPORTRANGE(""https://docs.google.com/spreadsheets/d/1-3Vjw2Cyy-mry5gbC8ypIR3YVGFfEpyFESummAta6sg/edit"", ""Sheet1!B:D""), 2, FALSE), ""Not Found"")"),"tɪm")</f>
        <v>tɪm</v>
      </c>
      <c r="E3933" s="2" t="str">
        <f>IFERROR(__xludf.DUMMYFUNCTION("IFERROR(VLOOKUP(A3933, IMPORTRANGE(""https://docs.google.com/spreadsheets/d/1-3Vjw2Cyy-mry5gbC8ypIR3YVGFfEpyFESummAta6sg/edit"", ""Sheet1!B:D""), 3, FALSE), ""Not Found"")"),"t ɪ m ")</f>
        <v>t ɪ m </v>
      </c>
    </row>
    <row r="3934">
      <c r="A3934" s="1" t="s">
        <v>3935</v>
      </c>
      <c r="B3934" s="1" t="s">
        <v>5</v>
      </c>
      <c r="C3934" s="2">
        <f>IFERROR(__xludf.DUMMYFUNCTION("IFERROR(VLOOKUP(A3934, IMPORTRANGE(""https://docs.google.com/spreadsheets/d/1AVX9GT0dgogEBStecCXMMQ29tWz3gBrtNB8yIromXbY/edit?gid=741673867"", ""out1g!A:B""), 2, FALSE), 0)"),46061.0)</f>
        <v>46061</v>
      </c>
      <c r="D3934" s="2" t="str">
        <f>IFERROR(__xludf.DUMMYFUNCTION("IFERROR(VLOOKUP(A3934, IMPORTRANGE(""https://docs.google.com/spreadsheets/d/1-3Vjw2Cyy-mry5gbC8ypIR3YVGFfEpyFESummAta6sg/edit"", ""Sheet1!B:D""), 2, FALSE), ""Not Found"")"),"gɑd")</f>
        <v>gɑd</v>
      </c>
      <c r="E3934" s="2" t="str">
        <f>IFERROR(__xludf.DUMMYFUNCTION("IFERROR(VLOOKUP(A3934, IMPORTRANGE(""https://docs.google.com/spreadsheets/d/1-3Vjw2Cyy-mry5gbC8ypIR3YVGFfEpyFESummAta6sg/edit"", ""Sheet1!B:D""), 3, FALSE), ""Not Found"")"),"g ɑ d ")</f>
        <v>g ɑ d </v>
      </c>
    </row>
    <row r="3935">
      <c r="A3935" s="1" t="s">
        <v>3936</v>
      </c>
      <c r="B3935" s="1" t="s">
        <v>5</v>
      </c>
      <c r="C3935" s="2">
        <f>IFERROR(__xludf.DUMMYFUNCTION("IFERROR(VLOOKUP(A3935, IMPORTRANGE(""https://docs.google.com/spreadsheets/d/1AVX9GT0dgogEBStecCXMMQ29tWz3gBrtNB8yIromXbY/edit?gid=741673867"", ""out1g!A:B""), 2, FALSE), 0)"),52.0)</f>
        <v>52</v>
      </c>
      <c r="D3935" s="2" t="str">
        <f>IFERROR(__xludf.DUMMYFUNCTION("IFERROR(VLOOKUP(A3935, IMPORTRANGE(""https://docs.google.com/spreadsheets/d/1-3Vjw2Cyy-mry5gbC8ypIR3YVGFfEpyFESummAta6sg/edit"", ""Sheet1!B:D""), 2, FALSE), ""Not Found"")"),"smɛlt")</f>
        <v>smɛlt</v>
      </c>
      <c r="E3935" s="2" t="str">
        <f>IFERROR(__xludf.DUMMYFUNCTION("IFERROR(VLOOKUP(A3935, IMPORTRANGE(""https://docs.google.com/spreadsheets/d/1-3Vjw2Cyy-mry5gbC8ypIR3YVGFfEpyFESummAta6sg/edit"", ""Sheet1!B:D""), 3, FALSE), ""Not Found"")"),"s m ɛ l t ")</f>
        <v>s m ɛ l t </v>
      </c>
    </row>
    <row r="3936">
      <c r="A3936" s="1" t="s">
        <v>3937</v>
      </c>
      <c r="B3936" s="1" t="s">
        <v>5</v>
      </c>
      <c r="C3936" s="2">
        <f>IFERROR(__xludf.DUMMYFUNCTION("IFERROR(VLOOKUP(A3936, IMPORTRANGE(""https://docs.google.com/spreadsheets/d/1AVX9GT0dgogEBStecCXMMQ29tWz3gBrtNB8yIromXbY/edit?gid=741673867"", ""out1g!A:B""), 2, FALSE), 0)"),713.0)</f>
        <v>713</v>
      </c>
      <c r="D3936" s="2" t="str">
        <f>IFERROR(__xludf.DUMMYFUNCTION("IFERROR(VLOOKUP(A3936, IMPORTRANGE(""https://docs.google.com/spreadsheets/d/1-3Vjw2Cyy-mry5gbC8ypIR3YVGFfEpyFESummAta6sg/edit"", ""Sheet1!B:D""), 2, FALSE), ""Not Found"")"),"skɪni")</f>
        <v>skɪni</v>
      </c>
      <c r="E3936" s="2" t="str">
        <f>IFERROR(__xludf.DUMMYFUNCTION("IFERROR(VLOOKUP(A3936, IMPORTRANGE(""https://docs.google.com/spreadsheets/d/1-3Vjw2Cyy-mry5gbC8ypIR3YVGFfEpyFESummAta6sg/edit"", ""Sheet1!B:D""), 3, FALSE), ""Not Found"")"),"s k ɪ n i ")</f>
        <v>s k ɪ n i </v>
      </c>
    </row>
    <row r="3937">
      <c r="A3937" s="1" t="s">
        <v>3938</v>
      </c>
      <c r="B3937" s="1" t="s">
        <v>5</v>
      </c>
      <c r="C3937" s="2">
        <f>IFERROR(__xludf.DUMMYFUNCTION("IFERROR(VLOOKUP(A3937, IMPORTRANGE(""https://docs.google.com/spreadsheets/d/1AVX9GT0dgogEBStecCXMMQ29tWz3gBrtNB8yIromXbY/edit?gid=741673867"", ""out1g!A:B""), 2, FALSE), 0)"),2612.0)</f>
        <v>2612</v>
      </c>
      <c r="D3937" s="2" t="str">
        <f>IFERROR(__xludf.DUMMYFUNCTION("IFERROR(VLOOKUP(A3937, IMPORTRANGE(""https://docs.google.com/spreadsheets/d/1-3Vjw2Cyy-mry5gbC8ypIR3YVGFfEpyFESummAta6sg/edit"", ""Sheet1!B:D""), 2, FALSE), ""Not Found"")"),"kæmp")</f>
        <v>kæmp</v>
      </c>
      <c r="E3937" s="2" t="str">
        <f>IFERROR(__xludf.DUMMYFUNCTION("IFERROR(VLOOKUP(A3937, IMPORTRANGE(""https://docs.google.com/spreadsheets/d/1-3Vjw2Cyy-mry5gbC8ypIR3YVGFfEpyFESummAta6sg/edit"", ""Sheet1!B:D""), 3, FALSE), ""Not Found"")"),"k æ m p ")</f>
        <v>k æ m p </v>
      </c>
    </row>
    <row r="3938">
      <c r="A3938" s="1" t="s">
        <v>3939</v>
      </c>
      <c r="B3938" s="1" t="s">
        <v>5</v>
      </c>
      <c r="C3938" s="2">
        <f>IFERROR(__xludf.DUMMYFUNCTION("IFERROR(VLOOKUP(A3938, IMPORTRANGE(""https://docs.google.com/spreadsheets/d/1AVX9GT0dgogEBStecCXMMQ29tWz3gBrtNB8yIromXbY/edit?gid=741673867"", ""out1g!A:B""), 2, FALSE), 0)"),1698.0)</f>
        <v>1698</v>
      </c>
      <c r="D3938" s="2" t="str">
        <f>IFERROR(__xludf.DUMMYFUNCTION("IFERROR(VLOOKUP(A3938, IMPORTRANGE(""https://docs.google.com/spreadsheets/d/1-3Vjw2Cyy-mry5gbC8ypIR3YVGFfEpyFESummAta6sg/edit"", ""Sheet1!B:D""), 2, FALSE), ""Not Found"")"),"mənde")</f>
        <v>mənde</v>
      </c>
      <c r="E3938" s="2" t="str">
        <f>IFERROR(__xludf.DUMMYFUNCTION("IFERROR(VLOOKUP(A3938, IMPORTRANGE(""https://docs.google.com/spreadsheets/d/1-3Vjw2Cyy-mry5gbC8ypIR3YVGFfEpyFESummAta6sg/edit"", ""Sheet1!B:D""), 3, FALSE), ""Not Found"")"),"m ə n d e ")</f>
        <v>m ə n d e </v>
      </c>
    </row>
    <row r="3939">
      <c r="A3939" s="1" t="s">
        <v>3940</v>
      </c>
      <c r="B3939" s="1" t="s">
        <v>5</v>
      </c>
      <c r="C3939" s="2">
        <f>IFERROR(__xludf.DUMMYFUNCTION("IFERROR(VLOOKUP(A3939, IMPORTRANGE(""https://docs.google.com/spreadsheets/d/1AVX9GT0dgogEBStecCXMMQ29tWz3gBrtNB8yIromXbY/edit?gid=741673867"", ""out1g!A:B""), 2, FALSE), 0)"),142.0)</f>
        <v>142</v>
      </c>
      <c r="D3939" s="2" t="str">
        <f>IFERROR(__xludf.DUMMYFUNCTION("IFERROR(VLOOKUP(A3939, IMPORTRANGE(""https://docs.google.com/spreadsheets/d/1-3Vjw2Cyy-mry5gbC8ypIR3YVGFfEpyFESummAta6sg/edit"", ""Sheet1!B:D""), 2, FALSE), ""Not Found"")"),"məgd")</f>
        <v>məgd</v>
      </c>
      <c r="E3939" s="2" t="str">
        <f>IFERROR(__xludf.DUMMYFUNCTION("IFERROR(VLOOKUP(A3939, IMPORTRANGE(""https://docs.google.com/spreadsheets/d/1-3Vjw2Cyy-mry5gbC8ypIR3YVGFfEpyFESummAta6sg/edit"", ""Sheet1!B:D""), 3, FALSE), ""Not Found"")"),"m ə g d ")</f>
        <v>m ə g d </v>
      </c>
    </row>
    <row r="3940">
      <c r="A3940" s="1" t="s">
        <v>3941</v>
      </c>
      <c r="B3940" s="1" t="s">
        <v>5</v>
      </c>
      <c r="C3940" s="2">
        <f>IFERROR(__xludf.DUMMYFUNCTION("IFERROR(VLOOKUP(A3940, IMPORTRANGE(""https://docs.google.com/spreadsheets/d/1AVX9GT0dgogEBStecCXMMQ29tWz3gBrtNB8yIromXbY/edit?gid=741673867"", ""out1g!A:B""), 2, FALSE), 0)"),81.0)</f>
        <v>81</v>
      </c>
      <c r="D3940" s="2" t="str">
        <f>IFERROR(__xludf.DUMMYFUNCTION("IFERROR(VLOOKUP(A3940, IMPORTRANGE(""https://docs.google.com/spreadsheets/d/1-3Vjw2Cyy-mry5gbC8ypIR3YVGFfEpyFESummAta6sg/edit"", ""Sheet1!B:D""), 2, FALSE), ""Not Found"")"),"hərs")</f>
        <v>hərs</v>
      </c>
      <c r="E3940" s="2" t="str">
        <f>IFERROR(__xludf.DUMMYFUNCTION("IFERROR(VLOOKUP(A3940, IMPORTRANGE(""https://docs.google.com/spreadsheets/d/1-3Vjw2Cyy-mry5gbC8ypIR3YVGFfEpyFESummAta6sg/edit"", ""Sheet1!B:D""), 3, FALSE), ""Not Found"")"),"h ə r s ")</f>
        <v>h ə r s </v>
      </c>
    </row>
    <row r="3941">
      <c r="A3941" s="1" t="s">
        <v>3942</v>
      </c>
      <c r="B3941" s="1" t="s">
        <v>5</v>
      </c>
      <c r="C3941" s="2">
        <f>IFERROR(__xludf.DUMMYFUNCTION("IFERROR(VLOOKUP(A3941, IMPORTRANGE(""https://docs.google.com/spreadsheets/d/1AVX9GT0dgogEBStecCXMMQ29tWz3gBrtNB8yIromXbY/edit?gid=741673867"", ""out1g!A:B""), 2, FALSE), 0)"),234.0)</f>
        <v>234</v>
      </c>
      <c r="D3941" s="2" t="str">
        <f>IFERROR(__xludf.DUMMYFUNCTION("IFERROR(VLOOKUP(A3941, IMPORTRANGE(""https://docs.google.com/spreadsheets/d/1-3Vjw2Cyy-mry5gbC8ypIR3YVGFfEpyFESummAta6sg/edit"", ""Sheet1!B:D""), 2, FALSE), ""Not Found"")"),"ekərz")</f>
        <v>ekərz</v>
      </c>
      <c r="E3941" s="2" t="str">
        <f>IFERROR(__xludf.DUMMYFUNCTION("IFERROR(VLOOKUP(A3941, IMPORTRANGE(""https://docs.google.com/spreadsheets/d/1-3Vjw2Cyy-mry5gbC8ypIR3YVGFfEpyFESummAta6sg/edit"", ""Sheet1!B:D""), 3, FALSE), ""Not Found"")"),"e k ə r z ")</f>
        <v>e k ə r z </v>
      </c>
    </row>
    <row r="3942">
      <c r="A3942" s="1" t="s">
        <v>3943</v>
      </c>
      <c r="B3942" s="1" t="s">
        <v>5</v>
      </c>
      <c r="C3942" s="2">
        <f>IFERROR(__xludf.DUMMYFUNCTION("IFERROR(VLOOKUP(A3942, IMPORTRANGE(""https://docs.google.com/spreadsheets/d/1AVX9GT0dgogEBStecCXMMQ29tWz3gBrtNB8yIromXbY/edit?gid=741673867"", ""out1g!A:B""), 2, FALSE), 0)"),69.0)</f>
        <v>69</v>
      </c>
      <c r="D3942" s="2" t="str">
        <f>IFERROR(__xludf.DUMMYFUNCTION("IFERROR(VLOOKUP(A3942, IMPORTRANGE(""https://docs.google.com/spreadsheets/d/1-3Vjw2Cyy-mry5gbC8ypIR3YVGFfEpyFESummAta6sg/edit"", ""Sheet1!B:D""), 2, FALSE), ""Not Found"")"),"bubiz")</f>
        <v>bubiz</v>
      </c>
      <c r="E3942" s="2" t="str">
        <f>IFERROR(__xludf.DUMMYFUNCTION("IFERROR(VLOOKUP(A3942, IMPORTRANGE(""https://docs.google.com/spreadsheets/d/1-3Vjw2Cyy-mry5gbC8ypIR3YVGFfEpyFESummAta6sg/edit"", ""Sheet1!B:D""), 3, FALSE), ""Not Found"")"),"b u b i z ")</f>
        <v>b u b i z </v>
      </c>
    </row>
    <row r="3943">
      <c r="A3943" s="1" t="s">
        <v>3944</v>
      </c>
      <c r="B3943" s="1" t="s">
        <v>5</v>
      </c>
      <c r="C3943" s="2">
        <f>IFERROR(__xludf.DUMMYFUNCTION("IFERROR(VLOOKUP(A3943, IMPORTRANGE(""https://docs.google.com/spreadsheets/d/1AVX9GT0dgogEBStecCXMMQ29tWz3gBrtNB8yIromXbY/edit?gid=741673867"", ""out1g!A:B""), 2, FALSE), 0)"),475.0)</f>
        <v>475</v>
      </c>
      <c r="D3943" s="2" t="str">
        <f>IFERROR(__xludf.DUMMYFUNCTION("IFERROR(VLOOKUP(A3943, IMPORTRANGE(""https://docs.google.com/spreadsheets/d/1-3Vjw2Cyy-mry5gbC8ypIR3YVGFfEpyFESummAta6sg/edit"", ""Sheet1!B:D""), 2, FALSE), ""Not Found"")"),"did")</f>
        <v>did</v>
      </c>
      <c r="E3943" s="2" t="str">
        <f>IFERROR(__xludf.DUMMYFUNCTION("IFERROR(VLOOKUP(A3943, IMPORTRANGE(""https://docs.google.com/spreadsheets/d/1-3Vjw2Cyy-mry5gbC8ypIR3YVGFfEpyFESummAta6sg/edit"", ""Sheet1!B:D""), 3, FALSE), ""Not Found"")"),"d i d ")</f>
        <v>d i d </v>
      </c>
    </row>
    <row r="3944">
      <c r="A3944" s="1" t="s">
        <v>3945</v>
      </c>
      <c r="B3944" s="1" t="s">
        <v>5</v>
      </c>
      <c r="C3944" s="2">
        <f>IFERROR(__xludf.DUMMYFUNCTION("IFERROR(VLOOKUP(A3944, IMPORTRANGE(""https://docs.google.com/spreadsheets/d/1AVX9GT0dgogEBStecCXMMQ29tWz3gBrtNB8yIromXbY/edit?gid=741673867"", ""out1g!A:B""), 2, FALSE), 0)"),218.0)</f>
        <v>218</v>
      </c>
      <c r="D3944" s="2" t="str">
        <f>IFERROR(__xludf.DUMMYFUNCTION("IFERROR(VLOOKUP(A3944, IMPORTRANGE(""https://docs.google.com/spreadsheets/d/1-3Vjw2Cyy-mry5gbC8ypIR3YVGFfEpyFESummAta6sg/edit"", ""Sheet1!B:D""), 2, FALSE), ""Not Found"")"),"blɛnd")</f>
        <v>blɛnd</v>
      </c>
      <c r="E3944" s="2" t="str">
        <f>IFERROR(__xludf.DUMMYFUNCTION("IFERROR(VLOOKUP(A3944, IMPORTRANGE(""https://docs.google.com/spreadsheets/d/1-3Vjw2Cyy-mry5gbC8ypIR3YVGFfEpyFESummAta6sg/edit"", ""Sheet1!B:D""), 3, FALSE), ""Not Found"")"),"b l ɛ n d ")</f>
        <v>b l ɛ n d </v>
      </c>
    </row>
    <row r="3945">
      <c r="A3945" s="1" t="s">
        <v>3946</v>
      </c>
      <c r="B3945" s="1" t="s">
        <v>5</v>
      </c>
      <c r="C3945" s="2">
        <f>IFERROR(__xludf.DUMMYFUNCTION("IFERROR(VLOOKUP(A3945, IMPORTRANGE(""https://docs.google.com/spreadsheets/d/1AVX9GT0dgogEBStecCXMMQ29tWz3gBrtNB8yIromXbY/edit?gid=741673867"", ""out1g!A:B""), 2, FALSE), 0)"),485.0)</f>
        <v>485</v>
      </c>
      <c r="D3945" s="2" t="str">
        <f>IFERROR(__xludf.DUMMYFUNCTION("IFERROR(VLOOKUP(A3945, IMPORTRANGE(""https://docs.google.com/spreadsheets/d/1-3Vjw2Cyy-mry5gbC8ypIR3YVGFfEpyFESummAta6sg/edit"", ""Sheet1!B:D""), 2, FALSE), ""Not Found"")"),"skel")</f>
        <v>skel</v>
      </c>
      <c r="E3945" s="2" t="str">
        <f>IFERROR(__xludf.DUMMYFUNCTION("IFERROR(VLOOKUP(A3945, IMPORTRANGE(""https://docs.google.com/spreadsheets/d/1-3Vjw2Cyy-mry5gbC8ypIR3YVGFfEpyFESummAta6sg/edit"", ""Sheet1!B:D""), 3, FALSE), ""Not Found"")"),"s k e l ")</f>
        <v>s k e l </v>
      </c>
    </row>
    <row r="3946">
      <c r="A3946" s="1" t="s">
        <v>3947</v>
      </c>
      <c r="B3946" s="1" t="s">
        <v>5</v>
      </c>
      <c r="C3946" s="2">
        <f>IFERROR(__xludf.DUMMYFUNCTION("IFERROR(VLOOKUP(A3946, IMPORTRANGE(""https://docs.google.com/spreadsheets/d/1AVX9GT0dgogEBStecCXMMQ29tWz3gBrtNB8yIromXbY/edit?gid=741673867"", ""out1g!A:B""), 2, FALSE), 0)"),17.0)</f>
        <v>17</v>
      </c>
      <c r="D3946" s="2" t="str">
        <f>IFERROR(__xludf.DUMMYFUNCTION("IFERROR(VLOOKUP(A3946, IMPORTRANGE(""https://docs.google.com/spreadsheets/d/1-3Vjw2Cyy-mry5gbC8ypIR3YVGFfEpyFESummAta6sg/edit"", ""Sheet1!B:D""), 2, FALSE), ""Not Found"")"),"ʃmuz")</f>
        <v>ʃmuz</v>
      </c>
      <c r="E3946" s="2" t="str">
        <f>IFERROR(__xludf.DUMMYFUNCTION("IFERROR(VLOOKUP(A3946, IMPORTRANGE(""https://docs.google.com/spreadsheets/d/1-3Vjw2Cyy-mry5gbC8ypIR3YVGFfEpyFESummAta6sg/edit"", ""Sheet1!B:D""), 3, FALSE), ""Not Found"")"),"ʃ m u z ")</f>
        <v>ʃ m u z </v>
      </c>
    </row>
    <row r="3947">
      <c r="A3947" s="1" t="s">
        <v>3948</v>
      </c>
      <c r="B3947" s="1" t="s">
        <v>5</v>
      </c>
      <c r="C3947" s="2">
        <f>IFERROR(__xludf.DUMMYFUNCTION("IFERROR(VLOOKUP(A3947, IMPORTRANGE(""https://docs.google.com/spreadsheets/d/1AVX9GT0dgogEBStecCXMMQ29tWz3gBrtNB8yIromXbY/edit?gid=741673867"", ""out1g!A:B""), 2, FALSE), 0)"),432.0)</f>
        <v>432</v>
      </c>
      <c r="D3947" s="2" t="str">
        <f>IFERROR(__xludf.DUMMYFUNCTION("IFERROR(VLOOKUP(A3947, IMPORTRANGE(""https://docs.google.com/spreadsheets/d/1-3Vjw2Cyy-mry5gbC8ypIR3YVGFfEpyFESummAta6sg/edit"", ""Sheet1!B:D""), 2, FALSE), ""Not Found"")"),"sɛnsɪz")</f>
        <v>sɛnsɪz</v>
      </c>
      <c r="E3947" s="2" t="str">
        <f>IFERROR(__xludf.DUMMYFUNCTION("IFERROR(VLOOKUP(A3947, IMPORTRANGE(""https://docs.google.com/spreadsheets/d/1-3Vjw2Cyy-mry5gbC8ypIR3YVGFfEpyFESummAta6sg/edit"", ""Sheet1!B:D""), 3, FALSE), ""Not Found"")"),"s ɛ n s ɪ z ")</f>
        <v>s ɛ n s ɪ z </v>
      </c>
    </row>
    <row r="3948">
      <c r="A3948" s="1" t="s">
        <v>3949</v>
      </c>
      <c r="B3948" s="1" t="s">
        <v>5</v>
      </c>
      <c r="C3948" s="2">
        <f>IFERROR(__xludf.DUMMYFUNCTION("IFERROR(VLOOKUP(A3948, IMPORTRANGE(""https://docs.google.com/spreadsheets/d/1AVX9GT0dgogEBStecCXMMQ29tWz3gBrtNB8yIromXbY/edit?gid=741673867"", ""out1g!A:B""), 2, FALSE), 0)"),125.0)</f>
        <v>125</v>
      </c>
      <c r="D3948" s="2" t="str">
        <f>IFERROR(__xludf.DUMMYFUNCTION("IFERROR(VLOOKUP(A3948, IMPORTRANGE(""https://docs.google.com/spreadsheets/d/1-3Vjw2Cyy-mry5gbC8ypIR3YVGFfEpyFESummAta6sg/edit"", ""Sheet1!B:D""), 2, FALSE), ""Not Found"")"),"wɛd")</f>
        <v>wɛd</v>
      </c>
      <c r="E3948" s="2" t="str">
        <f>IFERROR(__xludf.DUMMYFUNCTION("IFERROR(VLOOKUP(A3948, IMPORTRANGE(""https://docs.google.com/spreadsheets/d/1-3Vjw2Cyy-mry5gbC8ypIR3YVGFfEpyFESummAta6sg/edit"", ""Sheet1!B:D""), 3, FALSE), ""Not Found"")"),"w ɛ d ")</f>
        <v>w ɛ d </v>
      </c>
    </row>
    <row r="3949">
      <c r="A3949" s="1" t="s">
        <v>3950</v>
      </c>
      <c r="B3949" s="1" t="s">
        <v>5</v>
      </c>
      <c r="C3949" s="2">
        <f>IFERROR(__xludf.DUMMYFUNCTION("IFERROR(VLOOKUP(A3949, IMPORTRANGE(""https://docs.google.com/spreadsheets/d/1AVX9GT0dgogEBStecCXMMQ29tWz3gBrtNB8yIromXbY/edit?gid=741673867"", ""out1g!A:B""), 2, FALSE), 0)"),93.0)</f>
        <v>93</v>
      </c>
      <c r="D3949" s="2" t="str">
        <f>IFERROR(__xludf.DUMMYFUNCTION("IFERROR(VLOOKUP(A3949, IMPORTRANGE(""https://docs.google.com/spreadsheets/d/1-3Vjw2Cyy-mry5gbC8ypIR3YVGFfEpyFESummAta6sg/edit"", ""Sheet1!B:D""), 2, FALSE), ""Not Found"")"),"æmp")</f>
        <v>æmp</v>
      </c>
      <c r="E3949" s="2" t="str">
        <f>IFERROR(__xludf.DUMMYFUNCTION("IFERROR(VLOOKUP(A3949, IMPORTRANGE(""https://docs.google.com/spreadsheets/d/1-3Vjw2Cyy-mry5gbC8ypIR3YVGFfEpyFESummAta6sg/edit"", ""Sheet1!B:D""), 3, FALSE), ""Not Found"")"),"æ m p ")</f>
        <v>æ m p </v>
      </c>
    </row>
    <row r="3950">
      <c r="A3950" s="1" t="s">
        <v>3951</v>
      </c>
      <c r="B3950" s="1" t="s">
        <v>5</v>
      </c>
      <c r="C3950" s="2">
        <f>IFERROR(__xludf.DUMMYFUNCTION("IFERROR(VLOOKUP(A3950, IMPORTRANGE(""https://docs.google.com/spreadsheets/d/1AVX9GT0dgogEBStecCXMMQ29tWz3gBrtNB8yIromXbY/edit?gid=741673867"", ""out1g!A:B""), 2, FALSE), 0)"),296.0)</f>
        <v>296</v>
      </c>
      <c r="D3950" s="2" t="str">
        <f>IFERROR(__xludf.DUMMYFUNCTION("IFERROR(VLOOKUP(A3950, IMPORTRANGE(""https://docs.google.com/spreadsheets/d/1-3Vjw2Cyy-mry5gbC8ypIR3YVGFfEpyFESummAta6sg/edit"", ""Sheet1!B:D""), 2, FALSE), ""Not Found"")"),"kwɪr")</f>
        <v>kwɪr</v>
      </c>
      <c r="E3950" s="2" t="str">
        <f>IFERROR(__xludf.DUMMYFUNCTION("IFERROR(VLOOKUP(A3950, IMPORTRANGE(""https://docs.google.com/spreadsheets/d/1-3Vjw2Cyy-mry5gbC8ypIR3YVGFfEpyFESummAta6sg/edit"", ""Sheet1!B:D""), 3, FALSE), ""Not Found"")"),"k w ɪ r ")</f>
        <v>k w ɪ r </v>
      </c>
    </row>
    <row r="3951">
      <c r="A3951" s="1" t="s">
        <v>3952</v>
      </c>
      <c r="B3951" s="1" t="s">
        <v>5</v>
      </c>
      <c r="C3951" s="2">
        <f>IFERROR(__xludf.DUMMYFUNCTION("IFERROR(VLOOKUP(A3951, IMPORTRANGE(""https://docs.google.com/spreadsheets/d/1AVX9GT0dgogEBStecCXMMQ29tWz3gBrtNB8yIromXbY/edit?gid=741673867"", ""out1g!A:B""), 2, FALSE), 0)"),11656.0)</f>
        <v>11656</v>
      </c>
      <c r="D3951" s="2" t="str">
        <f>IFERROR(__xludf.DUMMYFUNCTION("IFERROR(VLOOKUP(A3951, IMPORTRANGE(""https://docs.google.com/spreadsheets/d/1-3Vjw2Cyy-mry5gbC8ypIR3YVGFfEpyFESummAta6sg/edit"", ""Sheet1!B:D""), 2, FALSE), ""Not Found"")"),"kəmz")</f>
        <v>kəmz</v>
      </c>
      <c r="E3951" s="2" t="str">
        <f>IFERROR(__xludf.DUMMYFUNCTION("IFERROR(VLOOKUP(A3951, IMPORTRANGE(""https://docs.google.com/spreadsheets/d/1-3Vjw2Cyy-mry5gbC8ypIR3YVGFfEpyFESummAta6sg/edit"", ""Sheet1!B:D""), 3, FALSE), ""Not Found"")"),"k ə m z ")</f>
        <v>k ə m z </v>
      </c>
    </row>
    <row r="3952">
      <c r="A3952" s="1" t="s">
        <v>3953</v>
      </c>
      <c r="B3952" s="1" t="s">
        <v>5</v>
      </c>
      <c r="C3952" s="2">
        <f>IFERROR(__xludf.DUMMYFUNCTION("IFERROR(VLOOKUP(A3952, IMPORTRANGE(""https://docs.google.com/spreadsheets/d/1AVX9GT0dgogEBStecCXMMQ29tWz3gBrtNB8yIromXbY/edit?gid=741673867"", ""out1g!A:B""), 2, FALSE), 0)"),1417.0)</f>
        <v>1417</v>
      </c>
      <c r="D3952" s="2" t="str">
        <f>IFERROR(__xludf.DUMMYFUNCTION("IFERROR(VLOOKUP(A3952, IMPORTRANGE(""https://docs.google.com/spreadsheets/d/1-3Vjw2Cyy-mry5gbC8ypIR3YVGFfEpyFESummAta6sg/edit"", ""Sheet1!B:D""), 2, FALSE), ""Not Found"")"),"loʊər")</f>
        <v>loʊər</v>
      </c>
      <c r="E3952" s="2" t="str">
        <f>IFERROR(__xludf.DUMMYFUNCTION("IFERROR(VLOOKUP(A3952, IMPORTRANGE(""https://docs.google.com/spreadsheets/d/1-3Vjw2Cyy-mry5gbC8ypIR3YVGFfEpyFESummAta6sg/edit"", ""Sheet1!B:D""), 3, FALSE), ""Not Found"")"),"l o ʊ ə r ")</f>
        <v>l o ʊ ə r </v>
      </c>
    </row>
    <row r="3953">
      <c r="A3953" s="1" t="s">
        <v>3954</v>
      </c>
      <c r="B3953" s="1" t="s">
        <v>5</v>
      </c>
      <c r="C3953" s="2">
        <f>IFERROR(__xludf.DUMMYFUNCTION("IFERROR(VLOOKUP(A3953, IMPORTRANGE(""https://docs.google.com/spreadsheets/d/1AVX9GT0dgogEBStecCXMMQ29tWz3gBrtNB8yIromXbY/edit?gid=741673867"", ""out1g!A:B""), 2, FALSE), 0)"),2631.0)</f>
        <v>2631</v>
      </c>
      <c r="D3953" s="2" t="str">
        <f>IFERROR(__xludf.DUMMYFUNCTION("IFERROR(VLOOKUP(A3953, IMPORTRANGE(""https://docs.google.com/spreadsheets/d/1-3Vjw2Cyy-mry5gbC8ypIR3YVGFfEpyFESummAta6sg/edit"", ""Sheet1!B:D""), 2, FALSE), ""Not Found"")"),"pæst")</f>
        <v>pæst</v>
      </c>
      <c r="E3953" s="2" t="str">
        <f>IFERROR(__xludf.DUMMYFUNCTION("IFERROR(VLOOKUP(A3953, IMPORTRANGE(""https://docs.google.com/spreadsheets/d/1-3Vjw2Cyy-mry5gbC8ypIR3YVGFfEpyFESummAta6sg/edit"", ""Sheet1!B:D""), 3, FALSE), ""Not Found"")"),"p æ s t ")</f>
        <v>p æ s t </v>
      </c>
    </row>
    <row r="3954">
      <c r="A3954" s="1" t="s">
        <v>3955</v>
      </c>
      <c r="B3954" s="1" t="s">
        <v>5</v>
      </c>
      <c r="C3954" s="2">
        <f>IFERROR(__xludf.DUMMYFUNCTION("IFERROR(VLOOKUP(A3954, IMPORTRANGE(""https://docs.google.com/spreadsheets/d/1AVX9GT0dgogEBStecCXMMQ29tWz3gBrtNB8yIromXbY/edit?gid=741673867"", ""out1g!A:B""), 2, FALSE), 0)"),18.0)</f>
        <v>18</v>
      </c>
      <c r="D3954" s="2" t="str">
        <f>IFERROR(__xludf.DUMMYFUNCTION("IFERROR(VLOOKUP(A3954, IMPORTRANGE(""https://docs.google.com/spreadsheets/d/1-3Vjw2Cyy-mry5gbC8ypIR3YVGFfEpyFESummAta6sg/edit"", ""Sheet1!B:D""), 2, FALSE), ""Not Found"")"),"loʊkə")</f>
        <v>loʊkə</v>
      </c>
      <c r="E3954" s="2" t="str">
        <f>IFERROR(__xludf.DUMMYFUNCTION("IFERROR(VLOOKUP(A3954, IMPORTRANGE(""https://docs.google.com/spreadsheets/d/1-3Vjw2Cyy-mry5gbC8ypIR3YVGFfEpyFESummAta6sg/edit"", ""Sheet1!B:D""), 3, FALSE), ""Not Found"")"),"l o ʊ k ə ")</f>
        <v>l o ʊ k ə </v>
      </c>
    </row>
    <row r="3955">
      <c r="A3955" s="1" t="s">
        <v>3956</v>
      </c>
      <c r="B3955" s="1" t="s">
        <v>5</v>
      </c>
      <c r="C3955" s="2">
        <f>IFERROR(__xludf.DUMMYFUNCTION("IFERROR(VLOOKUP(A3955, IMPORTRANGE(""https://docs.google.com/spreadsheets/d/1AVX9GT0dgogEBStecCXMMQ29tWz3gBrtNB8yIromXbY/edit?gid=741673867"", ""out1g!A:B""), 2, FALSE), 0)"),542.0)</f>
        <v>542</v>
      </c>
      <c r="D3955" s="2" t="str">
        <f>IFERROR(__xludf.DUMMYFUNCTION("IFERROR(VLOOKUP(A3955, IMPORTRANGE(""https://docs.google.com/spreadsheets/d/1-3Vjw2Cyy-mry5gbC8ypIR3YVGFfEpyFESummAta6sg/edit"", ""Sheet1!B:D""), 2, FALSE), ""Not Found"")"),"læm")</f>
        <v>læm</v>
      </c>
      <c r="E3955" s="2" t="str">
        <f>IFERROR(__xludf.DUMMYFUNCTION("IFERROR(VLOOKUP(A3955, IMPORTRANGE(""https://docs.google.com/spreadsheets/d/1-3Vjw2Cyy-mry5gbC8ypIR3YVGFfEpyFESummAta6sg/edit"", ""Sheet1!B:D""), 3, FALSE), ""Not Found"")"),"l æ m ")</f>
        <v>l æ m </v>
      </c>
    </row>
    <row r="3956">
      <c r="A3956" s="1" t="s">
        <v>3957</v>
      </c>
      <c r="B3956" s="1" t="s">
        <v>5</v>
      </c>
      <c r="C3956" s="2">
        <f>IFERROR(__xludf.DUMMYFUNCTION("IFERROR(VLOOKUP(A3956, IMPORTRANGE(""https://docs.google.com/spreadsheets/d/1AVX9GT0dgogEBStecCXMMQ29tWz3gBrtNB8yIromXbY/edit?gid=741673867"", ""out1g!A:B""), 2, FALSE), 0)"),502.0)</f>
        <v>502</v>
      </c>
      <c r="D3956" s="2" t="str">
        <f>IFERROR(__xludf.DUMMYFUNCTION("IFERROR(VLOOKUP(A3956, IMPORTRANGE(""https://docs.google.com/spreadsheets/d/1-3Vjw2Cyy-mry5gbC8ypIR3YVGFfEpyFESummAta6sg/edit"", ""Sheet1!B:D""), 2, FALSE), ""Not Found"")"),"kɔzɪŋ")</f>
        <v>kɔzɪŋ</v>
      </c>
      <c r="E3956" s="2" t="str">
        <f>IFERROR(__xludf.DUMMYFUNCTION("IFERROR(VLOOKUP(A3956, IMPORTRANGE(""https://docs.google.com/spreadsheets/d/1-3Vjw2Cyy-mry5gbC8ypIR3YVGFfEpyFESummAta6sg/edit"", ""Sheet1!B:D""), 3, FALSE), ""Not Found"")"),"k ɔ z ɪ ŋ ")</f>
        <v>k ɔ z ɪ ŋ </v>
      </c>
    </row>
    <row r="3957">
      <c r="A3957" s="1" t="s">
        <v>3958</v>
      </c>
      <c r="B3957" s="1" t="s">
        <v>5</v>
      </c>
      <c r="C3957" s="2">
        <f>IFERROR(__xludf.DUMMYFUNCTION("IFERROR(VLOOKUP(A3957, IMPORTRANGE(""https://docs.google.com/spreadsheets/d/1AVX9GT0dgogEBStecCXMMQ29tWz3gBrtNB8yIromXbY/edit?gid=741673867"", ""out1g!A:B""), 2, FALSE), 0)"),111.0)</f>
        <v>111</v>
      </c>
      <c r="D3957" s="2" t="str">
        <f>IFERROR(__xludf.DUMMYFUNCTION("IFERROR(VLOOKUP(A3957, IMPORTRANGE(""https://docs.google.com/spreadsheets/d/1-3Vjw2Cyy-mry5gbC8ypIR3YVGFfEpyFESummAta6sg/edit"", ""Sheet1!B:D""), 2, FALSE), ""Not Found"")"),"klɪfs")</f>
        <v>klɪfs</v>
      </c>
      <c r="E3957" s="2" t="str">
        <f>IFERROR(__xludf.DUMMYFUNCTION("IFERROR(VLOOKUP(A3957, IMPORTRANGE(""https://docs.google.com/spreadsheets/d/1-3Vjw2Cyy-mry5gbC8ypIR3YVGFfEpyFESummAta6sg/edit"", ""Sheet1!B:D""), 3, FALSE), ""Not Found"")"),"k l ɪ f s ")</f>
        <v>k l ɪ f s </v>
      </c>
    </row>
    <row r="3958">
      <c r="A3958" s="1" t="s">
        <v>3959</v>
      </c>
      <c r="B3958" s="1" t="s">
        <v>5</v>
      </c>
      <c r="C3958" s="2">
        <f>IFERROR(__xludf.DUMMYFUNCTION("IFERROR(VLOOKUP(A3958, IMPORTRANGE(""https://docs.google.com/spreadsheets/d/1AVX9GT0dgogEBStecCXMMQ29tWz3gBrtNB8yIromXbY/edit?gid=741673867"", ""out1g!A:B""), 2, FALSE), 0)"),354.0)</f>
        <v>354</v>
      </c>
      <c r="D3958" s="2" t="str">
        <f>IFERROR(__xludf.DUMMYFUNCTION("IFERROR(VLOOKUP(A3958, IMPORTRANGE(""https://docs.google.com/spreadsheets/d/1-3Vjw2Cyy-mry5gbC8ypIR3YVGFfEpyFESummAta6sg/edit"", ""Sheet1!B:D""), 2, FALSE), ""Not Found"")"),"hɑbi")</f>
        <v>hɑbi</v>
      </c>
      <c r="E3958" s="2" t="str">
        <f>IFERROR(__xludf.DUMMYFUNCTION("IFERROR(VLOOKUP(A3958, IMPORTRANGE(""https://docs.google.com/spreadsheets/d/1-3Vjw2Cyy-mry5gbC8ypIR3YVGFfEpyFESummAta6sg/edit"", ""Sheet1!B:D""), 3, FALSE), ""Not Found"")"),"h ɑ b i ")</f>
        <v>h ɑ b i </v>
      </c>
    </row>
    <row r="3959">
      <c r="A3959" s="1" t="s">
        <v>3960</v>
      </c>
      <c r="B3959" s="1" t="s">
        <v>5</v>
      </c>
      <c r="C3959" s="2">
        <f>IFERROR(__xludf.DUMMYFUNCTION("IFERROR(VLOOKUP(A3959, IMPORTRANGE(""https://docs.google.com/spreadsheets/d/1AVX9GT0dgogEBStecCXMMQ29tWz3gBrtNB8yIromXbY/edit?gid=741673867"", ""out1g!A:B""), 2, FALSE), 0)"),15.0)</f>
        <v>15</v>
      </c>
      <c r="D3959" s="2" t="str">
        <f>IFERROR(__xludf.DUMMYFUNCTION("IFERROR(VLOOKUP(A3959, IMPORTRANGE(""https://docs.google.com/spreadsheets/d/1-3Vjw2Cyy-mry5gbC8ypIR3YVGFfEpyFESummAta6sg/edit"", ""Sheet1!B:D""), 2, FALSE), ""Not Found"")"),"hʊdɪd")</f>
        <v>hʊdɪd</v>
      </c>
      <c r="E3959" s="2" t="str">
        <f>IFERROR(__xludf.DUMMYFUNCTION("IFERROR(VLOOKUP(A3959, IMPORTRANGE(""https://docs.google.com/spreadsheets/d/1-3Vjw2Cyy-mry5gbC8ypIR3YVGFfEpyFESummAta6sg/edit"", ""Sheet1!B:D""), 3, FALSE), ""Not Found"")"),"h ʊ d ɪ d ")</f>
        <v>h ʊ d ɪ d </v>
      </c>
    </row>
    <row r="3960">
      <c r="A3960" s="1" t="s">
        <v>3961</v>
      </c>
      <c r="B3960" s="1" t="s">
        <v>5</v>
      </c>
      <c r="C3960" s="2">
        <f>IFERROR(__xludf.DUMMYFUNCTION("IFERROR(VLOOKUP(A3960, IMPORTRANGE(""https://docs.google.com/spreadsheets/d/1AVX9GT0dgogEBStecCXMMQ29tWz3gBrtNB8yIromXbY/edit?gid=741673867"", ""out1g!A:B""), 2, FALSE), 0)"),99.0)</f>
        <v>99</v>
      </c>
      <c r="D3960" s="2" t="str">
        <f>IFERROR(__xludf.DUMMYFUNCTION("IFERROR(VLOOKUP(A3960, IMPORTRANGE(""https://docs.google.com/spreadsheets/d/1-3Vjw2Cyy-mry5gbC8ypIR3YVGFfEpyFESummAta6sg/edit"", ""Sheet1!B:D""), 2, FALSE), ""Not Found"")"),"emd")</f>
        <v>emd</v>
      </c>
      <c r="E3960" s="2" t="str">
        <f>IFERROR(__xludf.DUMMYFUNCTION("IFERROR(VLOOKUP(A3960, IMPORTRANGE(""https://docs.google.com/spreadsheets/d/1-3Vjw2Cyy-mry5gbC8ypIR3YVGFfEpyFESummAta6sg/edit"", ""Sheet1!B:D""), 3, FALSE), ""Not Found"")"),"e m d ")</f>
        <v>e m d </v>
      </c>
    </row>
    <row r="3961">
      <c r="A3961" s="1" t="s">
        <v>3962</v>
      </c>
      <c r="B3961" s="1" t="s">
        <v>5</v>
      </c>
      <c r="C3961" s="2">
        <f>IFERROR(__xludf.DUMMYFUNCTION("IFERROR(VLOOKUP(A3961, IMPORTRANGE(""https://docs.google.com/spreadsheets/d/1AVX9GT0dgogEBStecCXMMQ29tWz3gBrtNB8yIromXbY/edit?gid=741673867"", ""out1g!A:B""), 2, FALSE), 0)"),109.0)</f>
        <v>109</v>
      </c>
      <c r="D3961" s="2" t="str">
        <f>IFERROR(__xludf.DUMMYFUNCTION("IFERROR(VLOOKUP(A3961, IMPORTRANGE(""https://docs.google.com/spreadsheets/d/1-3Vjw2Cyy-mry5gbC8ypIR3YVGFfEpyFESummAta6sg/edit"", ""Sheet1!B:D""), 2, FALSE), ""Not Found"")"),"ʧitər")</f>
        <v>ʧitər</v>
      </c>
      <c r="E3961" s="2" t="str">
        <f>IFERROR(__xludf.DUMMYFUNCTION("IFERROR(VLOOKUP(A3961, IMPORTRANGE(""https://docs.google.com/spreadsheets/d/1-3Vjw2Cyy-mry5gbC8ypIR3YVGFfEpyFESummAta6sg/edit"", ""Sheet1!B:D""), 3, FALSE), ""Not Found"")"),"ʧ i t ə r ")</f>
        <v>ʧ i t ə r </v>
      </c>
    </row>
    <row r="3962">
      <c r="A3962" s="1" t="s">
        <v>3963</v>
      </c>
      <c r="B3962" s="1" t="s">
        <v>5</v>
      </c>
      <c r="C3962" s="2">
        <f>IFERROR(__xludf.DUMMYFUNCTION("IFERROR(VLOOKUP(A3962, IMPORTRANGE(""https://docs.google.com/spreadsheets/d/1AVX9GT0dgogEBStecCXMMQ29tWz3gBrtNB8yIromXbY/edit?gid=741673867"", ""out1g!A:B""), 2, FALSE), 0)"),119410.0)</f>
        <v>119410</v>
      </c>
      <c r="D3962" s="2" t="str">
        <f>IFERROR(__xludf.DUMMYFUNCTION("IFERROR(VLOOKUP(A3962, IMPORTRANGE(""https://docs.google.com/spreadsheets/d/1-3Vjw2Cyy-mry5gbC8ypIR3YVGFfEpyFESummAta6sg/edit"", ""Sheet1!B:D""), 2, FALSE), ""Not Found"")"),"dɪd")</f>
        <v>dɪd</v>
      </c>
      <c r="E3962" s="2" t="str">
        <f>IFERROR(__xludf.DUMMYFUNCTION("IFERROR(VLOOKUP(A3962, IMPORTRANGE(""https://docs.google.com/spreadsheets/d/1-3Vjw2Cyy-mry5gbC8ypIR3YVGFfEpyFESummAta6sg/edit"", ""Sheet1!B:D""), 3, FALSE), ""Not Found"")"),"d ɪ d ")</f>
        <v>d ɪ d </v>
      </c>
    </row>
    <row r="3963">
      <c r="A3963" s="1" t="s">
        <v>3964</v>
      </c>
      <c r="B3963" s="1" t="s">
        <v>5</v>
      </c>
      <c r="C3963" s="2">
        <f>IFERROR(__xludf.DUMMYFUNCTION("IFERROR(VLOOKUP(A3963, IMPORTRANGE(""https://docs.google.com/spreadsheets/d/1AVX9GT0dgogEBStecCXMMQ29tWz3gBrtNB8yIromXbY/edit?gid=741673867"", ""out1g!A:B""), 2, FALSE), 0)"),88.0)</f>
        <v>88</v>
      </c>
      <c r="D3963" s="2" t="str">
        <f>IFERROR(__xludf.DUMMYFUNCTION("IFERROR(VLOOKUP(A3963, IMPORTRANGE(""https://docs.google.com/spreadsheets/d/1-3Vjw2Cyy-mry5gbC8ypIR3YVGFfEpyFESummAta6sg/edit"", ""Sheet1!B:D""), 2, FALSE), ""Not Found"")"),"pɔrz")</f>
        <v>pɔrz</v>
      </c>
      <c r="E3963" s="2" t="str">
        <f>IFERROR(__xludf.DUMMYFUNCTION("IFERROR(VLOOKUP(A3963, IMPORTRANGE(""https://docs.google.com/spreadsheets/d/1-3Vjw2Cyy-mry5gbC8ypIR3YVGFfEpyFESummAta6sg/edit"", ""Sheet1!B:D""), 3, FALSE), ""Not Found"")"),"p ɔ r z ")</f>
        <v>p ɔ r z </v>
      </c>
    </row>
    <row r="3964">
      <c r="A3964" s="1" t="s">
        <v>3965</v>
      </c>
      <c r="B3964" s="1" t="s">
        <v>5</v>
      </c>
      <c r="C3964" s="2">
        <f>IFERROR(__xludf.DUMMYFUNCTION("IFERROR(VLOOKUP(A3964, IMPORTRANGE(""https://docs.google.com/spreadsheets/d/1AVX9GT0dgogEBStecCXMMQ29tWz3gBrtNB8yIromXbY/edit?gid=741673867"", ""out1g!A:B""), 2, FALSE), 0)"),72.0)</f>
        <v>72</v>
      </c>
      <c r="D3964" s="2" t="str">
        <f>IFERROR(__xludf.DUMMYFUNCTION("IFERROR(VLOOKUP(A3964, IMPORTRANGE(""https://docs.google.com/spreadsheets/d/1-3Vjw2Cyy-mry5gbC8ypIR3YVGFfEpyFESummAta6sg/edit"", ""Sheet1!B:D""), 2, FALSE), ""Not Found"")"),"fætər")</f>
        <v>fætər</v>
      </c>
      <c r="E3964" s="2" t="str">
        <f>IFERROR(__xludf.DUMMYFUNCTION("IFERROR(VLOOKUP(A3964, IMPORTRANGE(""https://docs.google.com/spreadsheets/d/1-3Vjw2Cyy-mry5gbC8ypIR3YVGFfEpyFESummAta6sg/edit"", ""Sheet1!B:D""), 3, FALSE), ""Not Found"")"),"f æ t ə r ")</f>
        <v>f æ t ə r </v>
      </c>
    </row>
    <row r="3965">
      <c r="A3965" s="1" t="s">
        <v>3966</v>
      </c>
      <c r="B3965" s="1" t="s">
        <v>5</v>
      </c>
      <c r="C3965" s="2">
        <f>IFERROR(__xludf.DUMMYFUNCTION("IFERROR(VLOOKUP(A3965, IMPORTRANGE(""https://docs.google.com/spreadsheets/d/1AVX9GT0dgogEBStecCXMMQ29tWz3gBrtNB8yIromXbY/edit?gid=741673867"", ""out1g!A:B""), 2, FALSE), 0)"),406.0)</f>
        <v>406</v>
      </c>
      <c r="D3965" s="2" t="str">
        <f>IFERROR(__xludf.DUMMYFUNCTION("IFERROR(VLOOKUP(A3965, IMPORTRANGE(""https://docs.google.com/spreadsheets/d/1-3Vjw2Cyy-mry5gbC8ypIR3YVGFfEpyFESummAta6sg/edit"", ""Sheet1!B:D""), 2, FALSE), ""Not Found"")"),"ʧæpəl")</f>
        <v>ʧæpəl</v>
      </c>
      <c r="E3965" s="2" t="str">
        <f>IFERROR(__xludf.DUMMYFUNCTION("IFERROR(VLOOKUP(A3965, IMPORTRANGE(""https://docs.google.com/spreadsheets/d/1-3Vjw2Cyy-mry5gbC8ypIR3YVGFfEpyFESummAta6sg/edit"", ""Sheet1!B:D""), 3, FALSE), ""Not Found"")"),"ʧ æ p ə l ")</f>
        <v>ʧ æ p ə l </v>
      </c>
    </row>
    <row r="3966">
      <c r="A3966" s="1" t="s">
        <v>3967</v>
      </c>
      <c r="B3966" s="1" t="s">
        <v>5</v>
      </c>
      <c r="C3966" s="2">
        <f>IFERROR(__xludf.DUMMYFUNCTION("IFERROR(VLOOKUP(A3966, IMPORTRANGE(""https://docs.google.com/spreadsheets/d/1AVX9GT0dgogEBStecCXMMQ29tWz3gBrtNB8yIromXbY/edit?gid=741673867"", ""out1g!A:B""), 2, FALSE), 0)"),190.0)</f>
        <v>190</v>
      </c>
      <c r="D3966" s="2" t="str">
        <f>IFERROR(__xludf.DUMMYFUNCTION("IFERROR(VLOOKUP(A3966, IMPORTRANGE(""https://docs.google.com/spreadsheets/d/1-3Vjw2Cyy-mry5gbC8ypIR3YVGFfEpyFESummAta6sg/edit"", ""Sheet1!B:D""), 2, FALSE), ""Not Found"")"),"lɛnt")</f>
        <v>lɛnt</v>
      </c>
      <c r="E3966" s="2" t="str">
        <f>IFERROR(__xludf.DUMMYFUNCTION("IFERROR(VLOOKUP(A3966, IMPORTRANGE(""https://docs.google.com/spreadsheets/d/1-3Vjw2Cyy-mry5gbC8ypIR3YVGFfEpyFESummAta6sg/edit"", ""Sheet1!B:D""), 3, FALSE), ""Not Found"")"),"l ɛ n t ")</f>
        <v>l ɛ n t </v>
      </c>
    </row>
    <row r="3967">
      <c r="A3967" s="1" t="s">
        <v>3968</v>
      </c>
      <c r="B3967" s="1" t="s">
        <v>5</v>
      </c>
      <c r="C3967" s="2">
        <f>IFERROR(__xludf.DUMMYFUNCTION("IFERROR(VLOOKUP(A3967, IMPORTRANGE(""https://docs.google.com/spreadsheets/d/1AVX9GT0dgogEBStecCXMMQ29tWz3gBrtNB8yIromXbY/edit?gid=741673867"", ""out1g!A:B""), 2, FALSE), 0)"),59.0)</f>
        <v>59</v>
      </c>
      <c r="D3967" s="2" t="str">
        <f>IFERROR(__xludf.DUMMYFUNCTION("IFERROR(VLOOKUP(A3967, IMPORTRANGE(""https://docs.google.com/spreadsheets/d/1-3Vjw2Cyy-mry5gbC8ypIR3YVGFfEpyFESummAta6sg/edit"", ""Sheet1!B:D""), 2, FALSE), ""Not Found"")"),"bɪldəp")</f>
        <v>bɪldəp</v>
      </c>
      <c r="E3967" s="2" t="str">
        <f>IFERROR(__xludf.DUMMYFUNCTION("IFERROR(VLOOKUP(A3967, IMPORTRANGE(""https://docs.google.com/spreadsheets/d/1-3Vjw2Cyy-mry5gbC8ypIR3YVGFfEpyFESummAta6sg/edit"", ""Sheet1!B:D""), 3, FALSE), ""Not Found"")"),"b ɪ l d ə p ")</f>
        <v>b ɪ l d ə p </v>
      </c>
    </row>
    <row r="3968">
      <c r="A3968" s="1" t="s">
        <v>3969</v>
      </c>
      <c r="B3968" s="1" t="s">
        <v>5</v>
      </c>
      <c r="C3968" s="2">
        <f>IFERROR(__xludf.DUMMYFUNCTION("IFERROR(VLOOKUP(A3968, IMPORTRANGE(""https://docs.google.com/spreadsheets/d/1AVX9GT0dgogEBStecCXMMQ29tWz3gBrtNB8yIromXbY/edit?gid=741673867"", ""out1g!A:B""), 2, FALSE), 0)"),74.0)</f>
        <v>74</v>
      </c>
      <c r="D3968" s="2" t="str">
        <f>IFERROR(__xludf.DUMMYFUNCTION("IFERROR(VLOOKUP(A3968, IMPORTRANGE(""https://docs.google.com/spreadsheets/d/1-3Vjw2Cyy-mry5gbC8ypIR3YVGFfEpyFESummAta6sg/edit"", ""Sheet1!B:D""), 2, FALSE), ""Not Found"")"),"nɑrk")</f>
        <v>nɑrk</v>
      </c>
      <c r="E3968" s="2" t="str">
        <f>IFERROR(__xludf.DUMMYFUNCTION("IFERROR(VLOOKUP(A3968, IMPORTRANGE(""https://docs.google.com/spreadsheets/d/1-3Vjw2Cyy-mry5gbC8ypIR3YVGFfEpyFESummAta6sg/edit"", ""Sheet1!B:D""), 3, FALSE), ""Not Found"")"),"n ɑ r k ")</f>
        <v>n ɑ r k </v>
      </c>
    </row>
    <row r="3969">
      <c r="A3969" s="1" t="s">
        <v>3970</v>
      </c>
      <c r="B3969" s="1" t="s">
        <v>5</v>
      </c>
      <c r="C3969" s="2">
        <f>IFERROR(__xludf.DUMMYFUNCTION("IFERROR(VLOOKUP(A3969, IMPORTRANGE(""https://docs.google.com/spreadsheets/d/1AVX9GT0dgogEBStecCXMMQ29tWz3gBrtNB8yIromXbY/edit?gid=741673867"", ""out1g!A:B""), 2, FALSE), 0)"),135.0)</f>
        <v>135</v>
      </c>
      <c r="D3969" s="2" t="str">
        <f>IFERROR(__xludf.DUMMYFUNCTION("IFERROR(VLOOKUP(A3969, IMPORTRANGE(""https://docs.google.com/spreadsheets/d/1-3Vjw2Cyy-mry5gbC8ypIR3YVGFfEpyFESummAta6sg/edit"", ""Sheet1!B:D""), 2, FALSE), ""Not Found"")"),"ʃəʃ")</f>
        <v>ʃəʃ</v>
      </c>
      <c r="E3969" s="2" t="str">
        <f>IFERROR(__xludf.DUMMYFUNCTION("IFERROR(VLOOKUP(A3969, IMPORTRANGE(""https://docs.google.com/spreadsheets/d/1-3Vjw2Cyy-mry5gbC8ypIR3YVGFfEpyFESummAta6sg/edit"", ""Sheet1!B:D""), 3, FALSE), ""Not Found"")"),"ʃ ə ʃ ")</f>
        <v>ʃ ə ʃ </v>
      </c>
    </row>
    <row r="3970">
      <c r="A3970" s="1" t="s">
        <v>3971</v>
      </c>
      <c r="B3970" s="1" t="s">
        <v>5</v>
      </c>
      <c r="C3970" s="2">
        <f>IFERROR(__xludf.DUMMYFUNCTION("IFERROR(VLOOKUP(A3970, IMPORTRANGE(""https://docs.google.com/spreadsheets/d/1AVX9GT0dgogEBStecCXMMQ29tWz3gBrtNB8yIromXbY/edit?gid=741673867"", ""out1g!A:B""), 2, FALSE), 0)"),247.0)</f>
        <v>247</v>
      </c>
      <c r="D3970" s="2" t="str">
        <f>IFERROR(__xludf.DUMMYFUNCTION("IFERROR(VLOOKUP(A3970, IMPORTRANGE(""https://docs.google.com/spreadsheets/d/1-3Vjw2Cyy-mry5gbC8ypIR3YVGFfEpyFESummAta6sg/edit"", ""Sheet1!B:D""), 2, FALSE), ""Not Found"")"),"skrimd")</f>
        <v>skrimd</v>
      </c>
      <c r="E3970" s="2" t="str">
        <f>IFERROR(__xludf.DUMMYFUNCTION("IFERROR(VLOOKUP(A3970, IMPORTRANGE(""https://docs.google.com/spreadsheets/d/1-3Vjw2Cyy-mry5gbC8ypIR3YVGFfEpyFESummAta6sg/edit"", ""Sheet1!B:D""), 3, FALSE), ""Not Found"")"),"s k r i m d ")</f>
        <v>s k r i m d </v>
      </c>
    </row>
    <row r="3971">
      <c r="A3971" s="1" t="s">
        <v>3972</v>
      </c>
      <c r="B3971" s="1" t="s">
        <v>5</v>
      </c>
      <c r="C3971" s="2">
        <f>IFERROR(__xludf.DUMMYFUNCTION("IFERROR(VLOOKUP(A3971, IMPORTRANGE(""https://docs.google.com/spreadsheets/d/1AVX9GT0dgogEBStecCXMMQ29tWz3gBrtNB8yIromXbY/edit?gid=741673867"", ""out1g!A:B""), 2, FALSE), 0)"),1403.0)</f>
        <v>1403</v>
      </c>
      <c r="D3971" s="2" t="str">
        <f>IFERROR(__xludf.DUMMYFUNCTION("IFERROR(VLOOKUP(A3971, IMPORTRANGE(""https://docs.google.com/spreadsheets/d/1-3Vjw2Cyy-mry5gbC8ypIR3YVGFfEpyFESummAta6sg/edit"", ""Sheet1!B:D""), 2, FALSE), ""Not Found"")"),"bʊl")</f>
        <v>bʊl</v>
      </c>
      <c r="E3971" s="2" t="str">
        <f>IFERROR(__xludf.DUMMYFUNCTION("IFERROR(VLOOKUP(A3971, IMPORTRANGE(""https://docs.google.com/spreadsheets/d/1-3Vjw2Cyy-mry5gbC8ypIR3YVGFfEpyFESummAta6sg/edit"", ""Sheet1!B:D""), 3, FALSE), ""Not Found"")"),"b ʊ l ")</f>
        <v>b ʊ l </v>
      </c>
    </row>
    <row r="3972">
      <c r="A3972" s="1" t="s">
        <v>3973</v>
      </c>
      <c r="B3972" s="1" t="s">
        <v>5</v>
      </c>
      <c r="C3972" s="2">
        <f>IFERROR(__xludf.DUMMYFUNCTION("IFERROR(VLOOKUP(A3972, IMPORTRANGE(""https://docs.google.com/spreadsheets/d/1AVX9GT0dgogEBStecCXMMQ29tWz3gBrtNB8yIromXbY/edit?gid=741673867"", ""out1g!A:B""), 2, FALSE), 0)"),792.0)</f>
        <v>792</v>
      </c>
      <c r="D3972" s="2" t="str">
        <f>IFERROR(__xludf.DUMMYFUNCTION("IFERROR(VLOOKUP(A3972, IMPORTRANGE(""https://docs.google.com/spreadsheets/d/1-3Vjw2Cyy-mry5gbC8ypIR3YVGFfEpyFESummAta6sg/edit"", ""Sheet1!B:D""), 2, FALSE), ""Not Found"")"),"pɪʧ")</f>
        <v>pɪʧ</v>
      </c>
      <c r="E3972" s="2" t="str">
        <f>IFERROR(__xludf.DUMMYFUNCTION("IFERROR(VLOOKUP(A3972, IMPORTRANGE(""https://docs.google.com/spreadsheets/d/1-3Vjw2Cyy-mry5gbC8ypIR3YVGFfEpyFESummAta6sg/edit"", ""Sheet1!B:D""), 3, FALSE), ""Not Found"")"),"p ɪ ʧ ")</f>
        <v>p ɪ ʧ </v>
      </c>
    </row>
    <row r="3973">
      <c r="A3973" s="1" t="s">
        <v>3974</v>
      </c>
      <c r="B3973" s="1" t="s">
        <v>5</v>
      </c>
      <c r="C3973" s="2">
        <f>IFERROR(__xludf.DUMMYFUNCTION("IFERROR(VLOOKUP(A3973, IMPORTRANGE(""https://docs.google.com/spreadsheets/d/1AVX9GT0dgogEBStecCXMMQ29tWz3gBrtNB8yIromXbY/edit?gid=741673867"", ""out1g!A:B""), 2, FALSE), 0)"),82.0)</f>
        <v>82</v>
      </c>
      <c r="D3973" s="2" t="str">
        <f>IFERROR(__xludf.DUMMYFUNCTION("IFERROR(VLOOKUP(A3973, IMPORTRANGE(""https://docs.google.com/spreadsheets/d/1-3Vjw2Cyy-mry5gbC8ypIR3YVGFfEpyFESummAta6sg/edit"", ""Sheet1!B:D""), 2, FALSE), ""Not Found"")"),"krimd")</f>
        <v>krimd</v>
      </c>
      <c r="E3973" s="2" t="str">
        <f>IFERROR(__xludf.DUMMYFUNCTION("IFERROR(VLOOKUP(A3973, IMPORTRANGE(""https://docs.google.com/spreadsheets/d/1-3Vjw2Cyy-mry5gbC8ypIR3YVGFfEpyFESummAta6sg/edit"", ""Sheet1!B:D""), 3, FALSE), ""Not Found"")"),"k r i m d ")</f>
        <v>k r i m d </v>
      </c>
    </row>
    <row r="3974">
      <c r="A3974" s="1" t="s">
        <v>3975</v>
      </c>
      <c r="B3974" s="1" t="s">
        <v>5</v>
      </c>
      <c r="C3974" s="2">
        <f>IFERROR(__xludf.DUMMYFUNCTION("IFERROR(VLOOKUP(A3974, IMPORTRANGE(""https://docs.google.com/spreadsheets/d/1AVX9GT0dgogEBStecCXMMQ29tWz3gBrtNB8yIromXbY/edit?gid=741673867"", ""out1g!A:B""), 2, FALSE), 0)"),190.0)</f>
        <v>190</v>
      </c>
      <c r="D3974" s="2" t="str">
        <f>IFERROR(__xludf.DUMMYFUNCTION("IFERROR(VLOOKUP(A3974, IMPORTRANGE(""https://docs.google.com/spreadsheets/d/1-3Vjw2Cyy-mry5gbC8ypIR3YVGFfEpyFESummAta6sg/edit"", ""Sheet1!B:D""), 2, FALSE), ""Not Found"")"),"frid")</f>
        <v>frid</v>
      </c>
      <c r="E3974" s="2" t="str">
        <f>IFERROR(__xludf.DUMMYFUNCTION("IFERROR(VLOOKUP(A3974, IMPORTRANGE(""https://docs.google.com/spreadsheets/d/1-3Vjw2Cyy-mry5gbC8ypIR3YVGFfEpyFESummAta6sg/edit"", ""Sheet1!B:D""), 3, FALSE), ""Not Found"")"),"f r i d ")</f>
        <v>f r i d </v>
      </c>
    </row>
    <row r="3975">
      <c r="A3975" s="1" t="s">
        <v>3976</v>
      </c>
      <c r="B3975" s="1" t="s">
        <v>5</v>
      </c>
      <c r="C3975" s="2">
        <f>IFERROR(__xludf.DUMMYFUNCTION("IFERROR(VLOOKUP(A3975, IMPORTRANGE(""https://docs.google.com/spreadsheets/d/1AVX9GT0dgogEBStecCXMMQ29tWz3gBrtNB8yIromXbY/edit?gid=741673867"", ""out1g!A:B""), 2, FALSE), 0)"),86.0)</f>
        <v>86</v>
      </c>
      <c r="D3975" s="2" t="str">
        <f>IFERROR(__xludf.DUMMYFUNCTION("IFERROR(VLOOKUP(A3975, IMPORTRANGE(""https://docs.google.com/spreadsheets/d/1-3Vjw2Cyy-mry5gbC8ypIR3YVGFfEpyFESummAta6sg/edit"", ""Sheet1!B:D""), 2, FALSE), ""Not Found"")"),"hɔɪ")</f>
        <v>hɔɪ</v>
      </c>
      <c r="E3975" s="2" t="str">
        <f>IFERROR(__xludf.DUMMYFUNCTION("IFERROR(VLOOKUP(A3975, IMPORTRANGE(""https://docs.google.com/spreadsheets/d/1-3Vjw2Cyy-mry5gbC8ypIR3YVGFfEpyFESummAta6sg/edit"", ""Sheet1!B:D""), 3, FALSE), ""Not Found"")"),"h ɔ ɪ ")</f>
        <v>h ɔ ɪ </v>
      </c>
    </row>
    <row r="3976">
      <c r="A3976" s="1" t="s">
        <v>3977</v>
      </c>
      <c r="B3976" s="1" t="s">
        <v>5</v>
      </c>
      <c r="C3976" s="2">
        <f>IFERROR(__xludf.DUMMYFUNCTION("IFERROR(VLOOKUP(A3976, IMPORTRANGE(""https://docs.google.com/spreadsheets/d/1AVX9GT0dgogEBStecCXMMQ29tWz3gBrtNB8yIromXbY/edit?gid=741673867"", ""out1g!A:B""), 2, FALSE), 0)"),178.0)</f>
        <v>178</v>
      </c>
      <c r="D3976" s="2" t="str">
        <f>IFERROR(__xludf.DUMMYFUNCTION("IFERROR(VLOOKUP(A3976, IMPORTRANGE(""https://docs.google.com/spreadsheets/d/1-3Vjw2Cyy-mry5gbC8ypIR3YVGFfEpyFESummAta6sg/edit"", ""Sheet1!B:D""), 2, FALSE), ""Not Found"")"),"spɛld")</f>
        <v>spɛld</v>
      </c>
      <c r="E3976" s="2" t="str">
        <f>IFERROR(__xludf.DUMMYFUNCTION("IFERROR(VLOOKUP(A3976, IMPORTRANGE(""https://docs.google.com/spreadsheets/d/1-3Vjw2Cyy-mry5gbC8ypIR3YVGFfEpyFESummAta6sg/edit"", ""Sheet1!B:D""), 3, FALSE), ""Not Found"")"),"s p ɛ l d ")</f>
        <v>s p ɛ l d </v>
      </c>
    </row>
    <row r="3977">
      <c r="A3977" s="1" t="s">
        <v>3978</v>
      </c>
      <c r="B3977" s="1" t="s">
        <v>5</v>
      </c>
      <c r="C3977" s="2">
        <f>IFERROR(__xludf.DUMMYFUNCTION("IFERROR(VLOOKUP(A3977, IMPORTRANGE(""https://docs.google.com/spreadsheets/d/1AVX9GT0dgogEBStecCXMMQ29tWz3gBrtNB8yIromXbY/edit?gid=741673867"", ""out1g!A:B""), 2, FALSE), 0)"),16.0)</f>
        <v>16</v>
      </c>
      <c r="D3977" s="2" t="str">
        <f>IFERROR(__xludf.DUMMYFUNCTION("IFERROR(VLOOKUP(A3977, IMPORTRANGE(""https://docs.google.com/spreadsheets/d/1-3Vjw2Cyy-mry5gbC8ypIR3YVGFfEpyFESummAta6sg/edit"", ""Sheet1!B:D""), 2, FALSE), ""Not Found"")"),"tɔki")</f>
        <v>tɔki</v>
      </c>
      <c r="E3977" s="2" t="str">
        <f>IFERROR(__xludf.DUMMYFUNCTION("IFERROR(VLOOKUP(A3977, IMPORTRANGE(""https://docs.google.com/spreadsheets/d/1-3Vjw2Cyy-mry5gbC8ypIR3YVGFfEpyFESummAta6sg/edit"", ""Sheet1!B:D""), 3, FALSE), ""Not Found"")"),"t ɔ k i ")</f>
        <v>t ɔ k i </v>
      </c>
    </row>
    <row r="3978">
      <c r="A3978" s="1" t="s">
        <v>3979</v>
      </c>
      <c r="B3978" s="1" t="s">
        <v>5</v>
      </c>
      <c r="C3978" s="2">
        <f>IFERROR(__xludf.DUMMYFUNCTION("IFERROR(VLOOKUP(A3978, IMPORTRANGE(""https://docs.google.com/spreadsheets/d/1AVX9GT0dgogEBStecCXMMQ29tWz3gBrtNB8yIromXbY/edit?gid=741673867"", ""out1g!A:B""), 2, FALSE), 0)"),41.0)</f>
        <v>41</v>
      </c>
      <c r="D3978" s="2" t="str">
        <f>IFERROR(__xludf.DUMMYFUNCTION("IFERROR(VLOOKUP(A3978, IMPORTRANGE(""https://docs.google.com/spreadsheets/d/1-3Vjw2Cyy-mry5gbC8ypIR3YVGFfEpyFESummAta6sg/edit"", ""Sheet1!B:D""), 2, FALSE), ""Not Found"")"),"fæloʊ")</f>
        <v>fæloʊ</v>
      </c>
      <c r="E3978" s="2" t="str">
        <f>IFERROR(__xludf.DUMMYFUNCTION("IFERROR(VLOOKUP(A3978, IMPORTRANGE(""https://docs.google.com/spreadsheets/d/1-3Vjw2Cyy-mry5gbC8ypIR3YVGFfEpyFESummAta6sg/edit"", ""Sheet1!B:D""), 3, FALSE), ""Not Found"")"),"f æ l o ʊ ")</f>
        <v>f æ l o ʊ </v>
      </c>
    </row>
    <row r="3979">
      <c r="A3979" s="1" t="s">
        <v>3980</v>
      </c>
      <c r="B3979" s="1" t="s">
        <v>5</v>
      </c>
      <c r="C3979" s="2">
        <f>IFERROR(__xludf.DUMMYFUNCTION("IFERROR(VLOOKUP(A3979, IMPORTRANGE(""https://docs.google.com/spreadsheets/d/1AVX9GT0dgogEBStecCXMMQ29tWz3gBrtNB8yIromXbY/edit?gid=741673867"", ""out1g!A:B""), 2, FALSE), 0)"),123.0)</f>
        <v>123</v>
      </c>
      <c r="D3979" s="2" t="str">
        <f>IFERROR(__xludf.DUMMYFUNCTION("IFERROR(VLOOKUP(A3979, IMPORTRANGE(""https://docs.google.com/spreadsheets/d/1-3Vjw2Cyy-mry5gbC8ypIR3YVGFfEpyFESummAta6sg/edit"", ""Sheet1!B:D""), 2, FALSE), ""Not Found"")"),"stɛrd")</f>
        <v>stɛrd</v>
      </c>
      <c r="E3979" s="2" t="str">
        <f>IFERROR(__xludf.DUMMYFUNCTION("IFERROR(VLOOKUP(A3979, IMPORTRANGE(""https://docs.google.com/spreadsheets/d/1-3Vjw2Cyy-mry5gbC8ypIR3YVGFfEpyFESummAta6sg/edit"", ""Sheet1!B:D""), 3, FALSE), ""Not Found"")"),"s t ɛ r d ")</f>
        <v>s t ɛ r d </v>
      </c>
    </row>
    <row r="3980">
      <c r="A3980" s="1" t="s">
        <v>3981</v>
      </c>
      <c r="B3980" s="1" t="s">
        <v>5</v>
      </c>
      <c r="C3980" s="2">
        <f>IFERROR(__xludf.DUMMYFUNCTION("IFERROR(VLOOKUP(A3980, IMPORTRANGE(""https://docs.google.com/spreadsheets/d/1AVX9GT0dgogEBStecCXMMQ29tWz3gBrtNB8yIromXbY/edit?gid=741673867"", ""out1g!A:B""), 2, FALSE), 0)"),60.0)</f>
        <v>60</v>
      </c>
      <c r="D3980" s="2" t="str">
        <f>IFERROR(__xludf.DUMMYFUNCTION("IFERROR(VLOOKUP(A3980, IMPORTRANGE(""https://docs.google.com/spreadsheets/d/1-3Vjw2Cyy-mry5gbC8ypIR3YVGFfEpyFESummAta6sg/edit"", ""Sheet1!B:D""), 2, FALSE), ""Not Found"")"),"sməðər")</f>
        <v>sməðər</v>
      </c>
      <c r="E3980" s="2" t="str">
        <f>IFERROR(__xludf.DUMMYFUNCTION("IFERROR(VLOOKUP(A3980, IMPORTRANGE(""https://docs.google.com/spreadsheets/d/1-3Vjw2Cyy-mry5gbC8ypIR3YVGFfEpyFESummAta6sg/edit"", ""Sheet1!B:D""), 3, FALSE), ""Not Found"")"),"s m ə ð ə r ")</f>
        <v>s m ə ð ə r </v>
      </c>
    </row>
    <row r="3981">
      <c r="A3981" s="1" t="s">
        <v>3982</v>
      </c>
      <c r="B3981" s="1" t="s">
        <v>5</v>
      </c>
      <c r="C3981" s="2">
        <f>IFERROR(__xludf.DUMMYFUNCTION("IFERROR(VLOOKUP(A3981, IMPORTRANGE(""https://docs.google.com/spreadsheets/d/1AVX9GT0dgogEBStecCXMMQ29tWz3gBrtNB8yIromXbY/edit?gid=741673867"", ""out1g!A:B""), 2, FALSE), 0)"),244.0)</f>
        <v>244</v>
      </c>
      <c r="D3981" s="2" t="str">
        <f>IFERROR(__xludf.DUMMYFUNCTION("IFERROR(VLOOKUP(A3981, IMPORTRANGE(""https://docs.google.com/spreadsheets/d/1-3Vjw2Cyy-mry5gbC8ypIR3YVGFfEpyFESummAta6sg/edit"", ""Sheet1!B:D""), 2, FALSE), ""Not Found"")"),"ɔltər")</f>
        <v>ɔltər</v>
      </c>
      <c r="E3981" s="2" t="str">
        <f>IFERROR(__xludf.DUMMYFUNCTION("IFERROR(VLOOKUP(A3981, IMPORTRANGE(""https://docs.google.com/spreadsheets/d/1-3Vjw2Cyy-mry5gbC8ypIR3YVGFfEpyFESummAta6sg/edit"", ""Sheet1!B:D""), 3, FALSE), ""Not Found"")"),"ɔ l t ə r ")</f>
        <v>ɔ l t ə r </v>
      </c>
    </row>
    <row r="3982">
      <c r="A3982" s="1" t="s">
        <v>3983</v>
      </c>
      <c r="B3982" s="1" t="s">
        <v>5</v>
      </c>
      <c r="C3982" s="2">
        <f>IFERROR(__xludf.DUMMYFUNCTION("IFERROR(VLOOKUP(A3982, IMPORTRANGE(""https://docs.google.com/spreadsheets/d/1AVX9GT0dgogEBStecCXMMQ29tWz3gBrtNB8yIromXbY/edit?gid=741673867"", ""out1g!A:B""), 2, FALSE), 0)"),104.0)</f>
        <v>104</v>
      </c>
      <c r="D3982" s="2" t="str">
        <f>IFERROR(__xludf.DUMMYFUNCTION("IFERROR(VLOOKUP(A3982, IMPORTRANGE(""https://docs.google.com/spreadsheets/d/1-3Vjw2Cyy-mry5gbC8ypIR3YVGFfEpyFESummAta6sg/edit"", ""Sheet1!B:D""), 2, FALSE), ""Not Found"")"),"bəʤ")</f>
        <v>bəʤ</v>
      </c>
      <c r="E3982" s="2" t="str">
        <f>IFERROR(__xludf.DUMMYFUNCTION("IFERROR(VLOOKUP(A3982, IMPORTRANGE(""https://docs.google.com/spreadsheets/d/1-3Vjw2Cyy-mry5gbC8ypIR3YVGFfEpyFESummAta6sg/edit"", ""Sheet1!B:D""), 3, FALSE), ""Not Found"")"),"b ə ʤ ")</f>
        <v>b ə ʤ </v>
      </c>
    </row>
    <row r="3983">
      <c r="A3983" s="1" t="s">
        <v>3984</v>
      </c>
      <c r="B3983" s="1" t="s">
        <v>5</v>
      </c>
      <c r="C3983" s="2">
        <f>IFERROR(__xludf.DUMMYFUNCTION("IFERROR(VLOOKUP(A3983, IMPORTRANGE(""https://docs.google.com/spreadsheets/d/1AVX9GT0dgogEBStecCXMMQ29tWz3gBrtNB8yIromXbY/edit?gid=741673867"", ""out1g!A:B""), 2, FALSE), 0)"),99.0)</f>
        <v>99</v>
      </c>
      <c r="D3983" s="2" t="str">
        <f>IFERROR(__xludf.DUMMYFUNCTION("IFERROR(VLOOKUP(A3983, IMPORTRANGE(""https://docs.google.com/spreadsheets/d/1-3Vjw2Cyy-mry5gbC8ypIR3YVGFfEpyFESummAta6sg/edit"", ""Sheet1!B:D""), 2, FALSE), ""Not Found"")"),"tinz")</f>
        <v>tinz</v>
      </c>
      <c r="E3983" s="2" t="str">
        <f>IFERROR(__xludf.DUMMYFUNCTION("IFERROR(VLOOKUP(A3983, IMPORTRANGE(""https://docs.google.com/spreadsheets/d/1-3Vjw2Cyy-mry5gbC8ypIR3YVGFfEpyFESummAta6sg/edit"", ""Sheet1!B:D""), 3, FALSE), ""Not Found"")"),"t i n z ")</f>
        <v>t i n z </v>
      </c>
    </row>
    <row r="3984">
      <c r="A3984" s="1" t="s">
        <v>3985</v>
      </c>
      <c r="B3984" s="1" t="s">
        <v>5</v>
      </c>
      <c r="C3984" s="2">
        <f>IFERROR(__xludf.DUMMYFUNCTION("IFERROR(VLOOKUP(A3984, IMPORTRANGE(""https://docs.google.com/spreadsheets/d/1AVX9GT0dgogEBStecCXMMQ29tWz3gBrtNB8yIromXbY/edit?gid=741673867"", ""out1g!A:B""), 2, FALSE), 0)"),189.0)</f>
        <v>189</v>
      </c>
      <c r="D3984" s="2" t="str">
        <f>IFERROR(__xludf.DUMMYFUNCTION("IFERROR(VLOOKUP(A3984, IMPORTRANGE(""https://docs.google.com/spreadsheets/d/1-3Vjw2Cyy-mry5gbC8ypIR3YVGFfEpyFESummAta6sg/edit"", ""Sheet1!B:D""), 2, FALSE), ""Not Found"")"),"mɪŋk")</f>
        <v>mɪŋk</v>
      </c>
      <c r="E3984" s="2" t="str">
        <f>IFERROR(__xludf.DUMMYFUNCTION("IFERROR(VLOOKUP(A3984, IMPORTRANGE(""https://docs.google.com/spreadsheets/d/1-3Vjw2Cyy-mry5gbC8ypIR3YVGFfEpyFESummAta6sg/edit"", ""Sheet1!B:D""), 3, FALSE), ""Not Found"")"),"m ɪ ŋ k ")</f>
        <v>m ɪ ŋ k </v>
      </c>
    </row>
    <row r="3985">
      <c r="A3985" s="1" t="s">
        <v>3986</v>
      </c>
      <c r="B3985" s="1" t="s">
        <v>5</v>
      </c>
      <c r="C3985" s="2">
        <f>IFERROR(__xludf.DUMMYFUNCTION("IFERROR(VLOOKUP(A3985, IMPORTRANGE(""https://docs.google.com/spreadsheets/d/1AVX9GT0dgogEBStecCXMMQ29tWz3gBrtNB8yIromXbY/edit?gid=741673867"", ""out1g!A:B""), 2, FALSE), 0)"),434.0)</f>
        <v>434</v>
      </c>
      <c r="D3985" s="2" t="str">
        <f>IFERROR(__xludf.DUMMYFUNCTION("IFERROR(VLOOKUP(A3985, IMPORTRANGE(""https://docs.google.com/spreadsheets/d/1-3Vjw2Cyy-mry5gbC8ypIR3YVGFfEpyFESummAta6sg/edit"", ""Sheet1!B:D""), 2, FALSE), ""Not Found"")"),"wi")</f>
        <v>wi</v>
      </c>
      <c r="E3985" s="2" t="str">
        <f>IFERROR(__xludf.DUMMYFUNCTION("IFERROR(VLOOKUP(A3985, IMPORTRANGE(""https://docs.google.com/spreadsheets/d/1-3Vjw2Cyy-mry5gbC8ypIR3YVGFfEpyFESummAta6sg/edit"", ""Sheet1!B:D""), 3, FALSE), ""Not Found"")"),"w i ")</f>
        <v>w i </v>
      </c>
    </row>
    <row r="3986">
      <c r="A3986" s="1" t="s">
        <v>3987</v>
      </c>
      <c r="B3986" s="1" t="s">
        <v>5</v>
      </c>
      <c r="C3986" s="2">
        <f>IFERROR(__xludf.DUMMYFUNCTION("IFERROR(VLOOKUP(A3986, IMPORTRANGE(""https://docs.google.com/spreadsheets/d/1AVX9GT0dgogEBStecCXMMQ29tWz3gBrtNB8yIromXbY/edit?gid=741673867"", ""out1g!A:B""), 2, FALSE), 0)"),17574.0)</f>
        <v>17574</v>
      </c>
      <c r="D3986" s="2" t="str">
        <f>IFERROR(__xludf.DUMMYFUNCTION("IFERROR(VLOOKUP(A3986, IMPORTRANGE(""https://docs.google.com/spreadsheets/d/1-3Vjw2Cyy-mry5gbC8ypIR3YVGFfEpyFESummAta6sg/edit"", ""Sheet1!B:D""), 2, FALSE), ""Not Found"")"),"lɪv")</f>
        <v>lɪv</v>
      </c>
      <c r="E3986" s="2" t="str">
        <f>IFERROR(__xludf.DUMMYFUNCTION("IFERROR(VLOOKUP(A3986, IMPORTRANGE(""https://docs.google.com/spreadsheets/d/1-3Vjw2Cyy-mry5gbC8ypIR3YVGFfEpyFESummAta6sg/edit"", ""Sheet1!B:D""), 3, FALSE), ""Not Found"")"),"l ɪ v ")</f>
        <v>l ɪ v </v>
      </c>
    </row>
    <row r="3987">
      <c r="A3987" s="1" t="s">
        <v>3988</v>
      </c>
      <c r="B3987" s="1" t="s">
        <v>5</v>
      </c>
      <c r="C3987" s="2">
        <f>IFERROR(__xludf.DUMMYFUNCTION("IFERROR(VLOOKUP(A3987, IMPORTRANGE(""https://docs.google.com/spreadsheets/d/1AVX9GT0dgogEBStecCXMMQ29tWz3gBrtNB8yIromXbY/edit?gid=741673867"", ""out1g!A:B""), 2, FALSE), 0)"),145.0)</f>
        <v>145</v>
      </c>
      <c r="D3987" s="2" t="str">
        <f>IFERROR(__xludf.DUMMYFUNCTION("IFERROR(VLOOKUP(A3987, IMPORTRANGE(""https://docs.google.com/spreadsheets/d/1-3Vjw2Cyy-mry5gbC8ypIR3YVGFfEpyFESummAta6sg/edit"", ""Sheet1!B:D""), 2, FALSE), ""Not Found"")"),"koʊ")</f>
        <v>koʊ</v>
      </c>
      <c r="E3987" s="2" t="str">
        <f>IFERROR(__xludf.DUMMYFUNCTION("IFERROR(VLOOKUP(A3987, IMPORTRANGE(""https://docs.google.com/spreadsheets/d/1-3Vjw2Cyy-mry5gbC8ypIR3YVGFfEpyFESummAta6sg/edit"", ""Sheet1!B:D""), 3, FALSE), ""Not Found"")"),"k o ʊ ")</f>
        <v>k o ʊ </v>
      </c>
    </row>
    <row r="3988">
      <c r="A3988" s="1" t="s">
        <v>3989</v>
      </c>
      <c r="B3988" s="1" t="s">
        <v>5</v>
      </c>
      <c r="C3988" s="2">
        <f>IFERROR(__xludf.DUMMYFUNCTION("IFERROR(VLOOKUP(A3988, IMPORTRANGE(""https://docs.google.com/spreadsheets/d/1AVX9GT0dgogEBStecCXMMQ29tWz3gBrtNB8yIromXbY/edit?gid=741673867"", ""out1g!A:B""), 2, FALSE), 0)"),104.0)</f>
        <v>104</v>
      </c>
      <c r="D3988" s="2" t="str">
        <f>IFERROR(__xludf.DUMMYFUNCTION("IFERROR(VLOOKUP(A3988, IMPORTRANGE(""https://docs.google.com/spreadsheets/d/1-3Vjw2Cyy-mry5gbC8ypIR3YVGFfEpyFESummAta6sg/edit"", ""Sheet1!B:D""), 2, FALSE), ""Not Found"")"),"pɪʧt")</f>
        <v>pɪʧt</v>
      </c>
      <c r="E3988" s="2" t="str">
        <f>IFERROR(__xludf.DUMMYFUNCTION("IFERROR(VLOOKUP(A3988, IMPORTRANGE(""https://docs.google.com/spreadsheets/d/1-3Vjw2Cyy-mry5gbC8ypIR3YVGFfEpyFESummAta6sg/edit"", ""Sheet1!B:D""), 3, FALSE), ""Not Found"")"),"p ɪ ʧ t ")</f>
        <v>p ɪ ʧ t </v>
      </c>
    </row>
    <row r="3989">
      <c r="A3989" s="1" t="s">
        <v>3990</v>
      </c>
      <c r="B3989" s="1" t="s">
        <v>5</v>
      </c>
      <c r="C3989" s="2">
        <f>IFERROR(__xludf.DUMMYFUNCTION("IFERROR(VLOOKUP(A3989, IMPORTRANGE(""https://docs.google.com/spreadsheets/d/1AVX9GT0dgogEBStecCXMMQ29tWz3gBrtNB8yIromXbY/edit?gid=741673867"", ""out1g!A:B""), 2, FALSE), 0)"),159.0)</f>
        <v>159</v>
      </c>
      <c r="D3989" s="2" t="str">
        <f>IFERROR(__xludf.DUMMYFUNCTION("IFERROR(VLOOKUP(A3989, IMPORTRANGE(""https://docs.google.com/spreadsheets/d/1-3Vjw2Cyy-mry5gbC8ypIR3YVGFfEpyFESummAta6sg/edit"", ""Sheet1!B:D""), 2, FALSE), ""Not Found"")"),"reʃəl")</f>
        <v>reʃəl</v>
      </c>
      <c r="E3989" s="2" t="str">
        <f>IFERROR(__xludf.DUMMYFUNCTION("IFERROR(VLOOKUP(A3989, IMPORTRANGE(""https://docs.google.com/spreadsheets/d/1-3Vjw2Cyy-mry5gbC8ypIR3YVGFfEpyFESummAta6sg/edit"", ""Sheet1!B:D""), 3, FALSE), ""Not Found"")"),"r e ʃ ə l ")</f>
        <v>r e ʃ ə l </v>
      </c>
    </row>
    <row r="3990">
      <c r="A3990" s="1" t="s">
        <v>3991</v>
      </c>
      <c r="B3990" s="1" t="s">
        <v>5</v>
      </c>
      <c r="C3990" s="2">
        <f>IFERROR(__xludf.DUMMYFUNCTION("IFERROR(VLOOKUP(A3990, IMPORTRANGE(""https://docs.google.com/spreadsheets/d/1AVX9GT0dgogEBStecCXMMQ29tWz3gBrtNB8yIromXbY/edit?gid=741673867"", ""out1g!A:B""), 2, FALSE), 0)"),147.0)</f>
        <v>147</v>
      </c>
      <c r="D3990" s="2" t="str">
        <f>IFERROR(__xludf.DUMMYFUNCTION("IFERROR(VLOOKUP(A3990, IMPORTRANGE(""https://docs.google.com/spreadsheets/d/1-3Vjw2Cyy-mry5gbC8ypIR3YVGFfEpyFESummAta6sg/edit"", ""Sheet1!B:D""), 2, FALSE), ""Not Found"")"),"griks")</f>
        <v>griks</v>
      </c>
      <c r="E3990" s="2" t="str">
        <f>IFERROR(__xludf.DUMMYFUNCTION("IFERROR(VLOOKUP(A3990, IMPORTRANGE(""https://docs.google.com/spreadsheets/d/1-3Vjw2Cyy-mry5gbC8ypIR3YVGFfEpyFESummAta6sg/edit"", ""Sheet1!B:D""), 3, FALSE), ""Not Found"")"),"g r i k s ")</f>
        <v>g r i k s </v>
      </c>
    </row>
    <row r="3991">
      <c r="A3991" s="1" t="s">
        <v>3992</v>
      </c>
      <c r="B3991" s="1" t="s">
        <v>5</v>
      </c>
      <c r="C3991" s="2">
        <f>IFERROR(__xludf.DUMMYFUNCTION("IFERROR(VLOOKUP(A3991, IMPORTRANGE(""https://docs.google.com/spreadsheets/d/1AVX9GT0dgogEBStecCXMMQ29tWz3gBrtNB8yIromXbY/edit?gid=741673867"", ""out1g!A:B""), 2, FALSE), 0)"),110.0)</f>
        <v>110</v>
      </c>
      <c r="D3991" s="2" t="str">
        <f>IFERROR(__xludf.DUMMYFUNCTION("IFERROR(VLOOKUP(A3991, IMPORTRANGE(""https://docs.google.com/spreadsheets/d/1-3Vjw2Cyy-mry5gbC8ypIR3YVGFfEpyFESummAta6sg/edit"", ""Sheet1!B:D""), 2, FALSE), ""Not Found"")"),"esi")</f>
        <v>esi</v>
      </c>
      <c r="E3991" s="2" t="str">
        <f>IFERROR(__xludf.DUMMYFUNCTION("IFERROR(VLOOKUP(A3991, IMPORTRANGE(""https://docs.google.com/spreadsheets/d/1-3Vjw2Cyy-mry5gbC8ypIR3YVGFfEpyFESummAta6sg/edit"", ""Sheet1!B:D""), 3, FALSE), ""Not Found"")"),"e s i ")</f>
        <v>e s i </v>
      </c>
    </row>
    <row r="3992">
      <c r="A3992" s="1" t="s">
        <v>3993</v>
      </c>
      <c r="B3992" s="1" t="s">
        <v>5</v>
      </c>
      <c r="C3992" s="2">
        <f>IFERROR(__xludf.DUMMYFUNCTION("IFERROR(VLOOKUP(A3992, IMPORTRANGE(""https://docs.google.com/spreadsheets/d/1AVX9GT0dgogEBStecCXMMQ29tWz3gBrtNB8yIromXbY/edit?gid=741673867"", ""out1g!A:B""), 2, FALSE), 0)"),1225.0)</f>
        <v>1225</v>
      </c>
      <c r="D3992" s="2" t="str">
        <f>IFERROR(__xludf.DUMMYFUNCTION("IFERROR(VLOOKUP(A3992, IMPORTRANGE(""https://docs.google.com/spreadsheets/d/1-3Vjw2Cyy-mry5gbC8ypIR3YVGFfEpyFESummAta6sg/edit"", ""Sheet1!B:D""), 2, FALSE), ""Not Found"")"),"lɛd")</f>
        <v>lɛd</v>
      </c>
      <c r="E3992" s="2" t="str">
        <f>IFERROR(__xludf.DUMMYFUNCTION("IFERROR(VLOOKUP(A3992, IMPORTRANGE(""https://docs.google.com/spreadsheets/d/1-3Vjw2Cyy-mry5gbC8ypIR3YVGFfEpyFESummAta6sg/edit"", ""Sheet1!B:D""), 3, FALSE), ""Not Found"")"),"l ɛ d ")</f>
        <v>l ɛ d </v>
      </c>
    </row>
    <row r="3993">
      <c r="A3993" s="1" t="s">
        <v>3994</v>
      </c>
      <c r="B3993" s="1" t="s">
        <v>5</v>
      </c>
      <c r="C3993" s="2">
        <f>IFERROR(__xludf.DUMMYFUNCTION("IFERROR(VLOOKUP(A3993, IMPORTRANGE(""https://docs.google.com/spreadsheets/d/1AVX9GT0dgogEBStecCXMMQ29tWz3gBrtNB8yIromXbY/edit?gid=741673867"", ""out1g!A:B""), 2, FALSE), 0)"),107.0)</f>
        <v>107</v>
      </c>
      <c r="D3993" s="2" t="str">
        <f>IFERROR(__xludf.DUMMYFUNCTION("IFERROR(VLOOKUP(A3993, IMPORTRANGE(""https://docs.google.com/spreadsheets/d/1-3Vjw2Cyy-mry5gbC8ypIR3YVGFfEpyFESummAta6sg/edit"", ""Sheet1!B:D""), 2, FALSE), ""Not Found"")"),"kəb")</f>
        <v>kəb</v>
      </c>
      <c r="E3993" s="2" t="str">
        <f>IFERROR(__xludf.DUMMYFUNCTION("IFERROR(VLOOKUP(A3993, IMPORTRANGE(""https://docs.google.com/spreadsheets/d/1-3Vjw2Cyy-mry5gbC8ypIR3YVGFfEpyFESummAta6sg/edit"", ""Sheet1!B:D""), 3, FALSE), ""Not Found"")"),"k ə b ")</f>
        <v>k ə b </v>
      </c>
    </row>
    <row r="3994">
      <c r="A3994" s="1" t="s">
        <v>3995</v>
      </c>
      <c r="B3994" s="1" t="s">
        <v>5</v>
      </c>
      <c r="C3994" s="2">
        <f>IFERROR(__xludf.DUMMYFUNCTION("IFERROR(VLOOKUP(A3994, IMPORTRANGE(""https://docs.google.com/spreadsheets/d/1AVX9GT0dgogEBStecCXMMQ29tWz3gBrtNB8yIromXbY/edit?gid=741673867"", ""out1g!A:B""), 2, FALSE), 0)"),64.0)</f>
        <v>64</v>
      </c>
      <c r="D3994" s="2" t="str">
        <f>IFERROR(__xludf.DUMMYFUNCTION("IFERROR(VLOOKUP(A3994, IMPORTRANGE(""https://docs.google.com/spreadsheets/d/1-3Vjw2Cyy-mry5gbC8ypIR3YVGFfEpyFESummAta6sg/edit"", ""Sheet1!B:D""), 2, FALSE), ""Not Found"")"),"voʊlts")</f>
        <v>voʊlts</v>
      </c>
      <c r="E3994" s="2" t="str">
        <f>IFERROR(__xludf.DUMMYFUNCTION("IFERROR(VLOOKUP(A3994, IMPORTRANGE(""https://docs.google.com/spreadsheets/d/1-3Vjw2Cyy-mry5gbC8ypIR3YVGFfEpyFESummAta6sg/edit"", ""Sheet1!B:D""), 3, FALSE), ""Not Found"")"),"v o ʊ l t s ")</f>
        <v>v o ʊ l t s </v>
      </c>
    </row>
    <row r="3995">
      <c r="A3995" s="1" t="s">
        <v>3996</v>
      </c>
      <c r="B3995" s="1" t="s">
        <v>5</v>
      </c>
      <c r="C3995" s="2">
        <f>IFERROR(__xludf.DUMMYFUNCTION("IFERROR(VLOOKUP(A3995, IMPORTRANGE(""https://docs.google.com/spreadsheets/d/1AVX9GT0dgogEBStecCXMMQ29tWz3gBrtNB8yIromXbY/edit?gid=741673867"", ""out1g!A:B""), 2, FALSE), 0)"),220.0)</f>
        <v>220</v>
      </c>
      <c r="D3995" s="2" t="str">
        <f>IFERROR(__xludf.DUMMYFUNCTION("IFERROR(VLOOKUP(A3995, IMPORTRANGE(""https://docs.google.com/spreadsheets/d/1-3Vjw2Cyy-mry5gbC8ypIR3YVGFfEpyFESummAta6sg/edit"", ""Sheet1!B:D""), 2, FALSE), ""Not Found"")"),"trest")</f>
        <v>trest</v>
      </c>
      <c r="E3995" s="2" t="str">
        <f>IFERROR(__xludf.DUMMYFUNCTION("IFERROR(VLOOKUP(A3995, IMPORTRANGE(""https://docs.google.com/spreadsheets/d/1-3Vjw2Cyy-mry5gbC8ypIR3YVGFfEpyFESummAta6sg/edit"", ""Sheet1!B:D""), 3, FALSE), ""Not Found"")"),"t r e s t ")</f>
        <v>t r e s t </v>
      </c>
    </row>
    <row r="3996">
      <c r="A3996" s="1" t="s">
        <v>3997</v>
      </c>
      <c r="B3996" s="1" t="s">
        <v>5</v>
      </c>
      <c r="C3996" s="2">
        <f>IFERROR(__xludf.DUMMYFUNCTION("IFERROR(VLOOKUP(A3996, IMPORTRANGE(""https://docs.google.com/spreadsheets/d/1AVX9GT0dgogEBStecCXMMQ29tWz3gBrtNB8yIromXbY/edit?gid=741673867"", ""out1g!A:B""), 2, FALSE), 0)"),1238.0)</f>
        <v>1238</v>
      </c>
      <c r="D3996" s="2" t="str">
        <f>IFERROR(__xludf.DUMMYFUNCTION("IFERROR(VLOOKUP(A3996, IMPORTRANGE(""https://docs.google.com/spreadsheets/d/1-3Vjw2Cyy-mry5gbC8ypIR3YVGFfEpyFESummAta6sg/edit"", ""Sheet1!B:D""), 2, FALSE), ""Not Found"")"),"θif")</f>
        <v>θif</v>
      </c>
      <c r="E3996" s="2" t="str">
        <f>IFERROR(__xludf.DUMMYFUNCTION("IFERROR(VLOOKUP(A3996, IMPORTRANGE(""https://docs.google.com/spreadsheets/d/1-3Vjw2Cyy-mry5gbC8ypIR3YVGFfEpyFESummAta6sg/edit"", ""Sheet1!B:D""), 3, FALSE), ""Not Found"")"),"θ i f ")</f>
        <v>θ i f </v>
      </c>
    </row>
    <row r="3997">
      <c r="A3997" s="1" t="s">
        <v>3998</v>
      </c>
      <c r="B3997" s="1" t="s">
        <v>5</v>
      </c>
      <c r="C3997" s="2">
        <f>IFERROR(__xludf.DUMMYFUNCTION("IFERROR(VLOOKUP(A3997, IMPORTRANGE(""https://docs.google.com/spreadsheets/d/1AVX9GT0dgogEBStecCXMMQ29tWz3gBrtNB8yIromXbY/edit?gid=741673867"", ""out1g!A:B""), 2, FALSE), 0)"),1136.0)</f>
        <v>1136</v>
      </c>
      <c r="D3997" s="2" t="str">
        <f>IFERROR(__xludf.DUMMYFUNCTION("IFERROR(VLOOKUP(A3997, IMPORTRANGE(""https://docs.google.com/spreadsheets/d/1-3Vjw2Cyy-mry5gbC8ypIR3YVGFfEpyFESummAta6sg/edit"", ""Sheet1!B:D""), 2, FALSE), ""Not Found"")"),"dɑnə")</f>
        <v>dɑnə</v>
      </c>
      <c r="E3997" s="2" t="str">
        <f>IFERROR(__xludf.DUMMYFUNCTION("IFERROR(VLOOKUP(A3997, IMPORTRANGE(""https://docs.google.com/spreadsheets/d/1-3Vjw2Cyy-mry5gbC8ypIR3YVGFfEpyFESummAta6sg/edit"", ""Sheet1!B:D""), 3, FALSE), ""Not Found"")"),"d ɑ n ə ")</f>
        <v>d ɑ n ə </v>
      </c>
    </row>
    <row r="3998">
      <c r="A3998" s="1" t="s">
        <v>3999</v>
      </c>
      <c r="B3998" s="1" t="s">
        <v>5</v>
      </c>
      <c r="C3998" s="2">
        <f>IFERROR(__xludf.DUMMYFUNCTION("IFERROR(VLOOKUP(A3998, IMPORTRANGE(""https://docs.google.com/spreadsheets/d/1AVX9GT0dgogEBStecCXMMQ29tWz3gBrtNB8yIromXbY/edit?gid=741673867"", ""out1g!A:B""), 2, FALSE), 0)"),183.0)</f>
        <v>183</v>
      </c>
      <c r="D3998" s="2" t="str">
        <f>IFERROR(__xludf.DUMMYFUNCTION("IFERROR(VLOOKUP(A3998, IMPORTRANGE(""https://docs.google.com/spreadsheets/d/1-3Vjw2Cyy-mry5gbC8ypIR3YVGFfEpyFESummAta6sg/edit"", ""Sheet1!B:D""), 2, FALSE), ""Not Found"")"),"wɛn")</f>
        <v>wɛn</v>
      </c>
      <c r="E3998" s="2" t="str">
        <f>IFERROR(__xludf.DUMMYFUNCTION("IFERROR(VLOOKUP(A3998, IMPORTRANGE(""https://docs.google.com/spreadsheets/d/1-3Vjw2Cyy-mry5gbC8ypIR3YVGFfEpyFESummAta6sg/edit"", ""Sheet1!B:D""), 3, FALSE), ""Not Found"")"),"w ɛ n ")</f>
        <v>w ɛ n </v>
      </c>
    </row>
    <row r="3999">
      <c r="A3999" s="1" t="s">
        <v>4000</v>
      </c>
      <c r="B3999" s="1" t="s">
        <v>5</v>
      </c>
      <c r="C3999" s="2">
        <f>IFERROR(__xludf.DUMMYFUNCTION("IFERROR(VLOOKUP(A3999, IMPORTRANGE(""https://docs.google.com/spreadsheets/d/1AVX9GT0dgogEBStecCXMMQ29tWz3gBrtNB8yIromXbY/edit?gid=741673867"", ""out1g!A:B""), 2, FALSE), 0)"),95.0)</f>
        <v>95</v>
      </c>
      <c r="D3999" s="2" t="str">
        <f>IFERROR(__xludf.DUMMYFUNCTION("IFERROR(VLOOKUP(A3999, IMPORTRANGE(""https://docs.google.com/spreadsheets/d/1-3Vjw2Cyy-mry5gbC8ypIR3YVGFfEpyFESummAta6sg/edit"", ""Sheet1!B:D""), 2, FALSE), ""Not Found"")"),"frɛt")</f>
        <v>frɛt</v>
      </c>
      <c r="E3999" s="2" t="str">
        <f>IFERROR(__xludf.DUMMYFUNCTION("IFERROR(VLOOKUP(A3999, IMPORTRANGE(""https://docs.google.com/spreadsheets/d/1-3Vjw2Cyy-mry5gbC8ypIR3YVGFfEpyFESummAta6sg/edit"", ""Sheet1!B:D""), 3, FALSE), ""Not Found"")"),"f r ɛ t ")</f>
        <v>f r ɛ t </v>
      </c>
    </row>
    <row r="4000">
      <c r="A4000" s="1" t="s">
        <v>4001</v>
      </c>
      <c r="B4000" s="1" t="s">
        <v>5</v>
      </c>
      <c r="C4000" s="2">
        <f>IFERROR(__xludf.DUMMYFUNCTION("IFERROR(VLOOKUP(A4000, IMPORTRANGE(""https://docs.google.com/spreadsheets/d/1AVX9GT0dgogEBStecCXMMQ29tWz3gBrtNB8yIromXbY/edit?gid=741673867"", ""out1g!A:B""), 2, FALSE), 0)"),63.0)</f>
        <v>63</v>
      </c>
      <c r="D4000" s="2" t="str">
        <f>IFERROR(__xludf.DUMMYFUNCTION("IFERROR(VLOOKUP(A4000, IMPORTRANGE(""https://docs.google.com/spreadsheets/d/1-3Vjw2Cyy-mry5gbC8ypIR3YVGFfEpyFESummAta6sg/edit"", ""Sheet1!B:D""), 2, FALSE), ""Not Found"")"),"lɛpər")</f>
        <v>lɛpər</v>
      </c>
      <c r="E4000" s="2" t="str">
        <f>IFERROR(__xludf.DUMMYFUNCTION("IFERROR(VLOOKUP(A4000, IMPORTRANGE(""https://docs.google.com/spreadsheets/d/1-3Vjw2Cyy-mry5gbC8ypIR3YVGFfEpyFESummAta6sg/edit"", ""Sheet1!B:D""), 3, FALSE), ""Not Found"")"),"l ɛ p ə r ")</f>
        <v>l ɛ p ə r </v>
      </c>
    </row>
    <row r="4001">
      <c r="A4001" s="1" t="s">
        <v>4002</v>
      </c>
      <c r="B4001" s="1" t="s">
        <v>5</v>
      </c>
      <c r="C4001" s="2">
        <f>IFERROR(__xludf.DUMMYFUNCTION("IFERROR(VLOOKUP(A4001, IMPORTRANGE(""https://docs.google.com/spreadsheets/d/1AVX9GT0dgogEBStecCXMMQ29tWz3gBrtNB8yIromXbY/edit?gid=741673867"", ""out1g!A:B""), 2, FALSE), 0)"),243.0)</f>
        <v>243</v>
      </c>
      <c r="D4001" s="2" t="str">
        <f>IFERROR(__xludf.DUMMYFUNCTION("IFERROR(VLOOKUP(A4001, IMPORTRANGE(""https://docs.google.com/spreadsheets/d/1-3Vjw2Cyy-mry5gbC8ypIR3YVGFfEpyFESummAta6sg/edit"", ""Sheet1!B:D""), 2, FALSE), ""Not Found"")"),"mets")</f>
        <v>mets</v>
      </c>
      <c r="E4001" s="2" t="str">
        <f>IFERROR(__xludf.DUMMYFUNCTION("IFERROR(VLOOKUP(A4001, IMPORTRANGE(""https://docs.google.com/spreadsheets/d/1-3Vjw2Cyy-mry5gbC8ypIR3YVGFfEpyFESummAta6sg/edit"", ""Sheet1!B:D""), 3, FALSE), ""Not Found"")"),"m e t s ")</f>
        <v>m e t s </v>
      </c>
    </row>
    <row r="4002">
      <c r="A4002" s="1" t="s">
        <v>4003</v>
      </c>
      <c r="B4002" s="1" t="s">
        <v>5</v>
      </c>
      <c r="C4002" s="2">
        <f>IFERROR(__xludf.DUMMYFUNCTION("IFERROR(VLOOKUP(A4002, IMPORTRANGE(""https://docs.google.com/spreadsheets/d/1AVX9GT0dgogEBStecCXMMQ29tWz3gBrtNB8yIromXbY/edit?gid=741673867"", ""out1g!A:B""), 2, FALSE), 0)"),70.0)</f>
        <v>70</v>
      </c>
      <c r="D4002" s="2" t="str">
        <f>IFERROR(__xludf.DUMMYFUNCTION("IFERROR(VLOOKUP(A4002, IMPORTRANGE(""https://docs.google.com/spreadsheets/d/1-3Vjw2Cyy-mry5gbC8ypIR3YVGFfEpyFESummAta6sg/edit"", ""Sheet1!B:D""), 2, FALSE), ""Not Found"")"),"krɪpt")</f>
        <v>krɪpt</v>
      </c>
      <c r="E4002" s="2" t="str">
        <f>IFERROR(__xludf.DUMMYFUNCTION("IFERROR(VLOOKUP(A4002, IMPORTRANGE(""https://docs.google.com/spreadsheets/d/1-3Vjw2Cyy-mry5gbC8ypIR3YVGFfEpyFESummAta6sg/edit"", ""Sheet1!B:D""), 3, FALSE), ""Not Found"")"),"k r ɪ p t ")</f>
        <v>k r ɪ p t </v>
      </c>
    </row>
    <row r="4003">
      <c r="A4003" s="1" t="s">
        <v>4004</v>
      </c>
      <c r="B4003" s="1" t="s">
        <v>5</v>
      </c>
      <c r="C4003" s="2">
        <f>IFERROR(__xludf.DUMMYFUNCTION("IFERROR(VLOOKUP(A4003, IMPORTRANGE(""https://docs.google.com/spreadsheets/d/1AVX9GT0dgogEBStecCXMMQ29tWz3gBrtNB8yIromXbY/edit?gid=741673867"", ""out1g!A:B""), 2, FALSE), 0)"),62.0)</f>
        <v>62</v>
      </c>
      <c r="D4003" s="2" t="str">
        <f>IFERROR(__xludf.DUMMYFUNCTION("IFERROR(VLOOKUP(A4003, IMPORTRANGE(""https://docs.google.com/spreadsheets/d/1-3Vjw2Cyy-mry5gbC8ypIR3YVGFfEpyFESummAta6sg/edit"", ""Sheet1!B:D""), 2, FALSE), ""Not Found"")"),"hɛfti")</f>
        <v>hɛfti</v>
      </c>
      <c r="E4003" s="2" t="str">
        <f>IFERROR(__xludf.DUMMYFUNCTION("IFERROR(VLOOKUP(A4003, IMPORTRANGE(""https://docs.google.com/spreadsheets/d/1-3Vjw2Cyy-mry5gbC8ypIR3YVGFfEpyFESummAta6sg/edit"", ""Sheet1!B:D""), 3, FALSE), ""Not Found"")"),"h ɛ f t i ")</f>
        <v>h ɛ f t i </v>
      </c>
    </row>
    <row r="4004">
      <c r="A4004" s="1" t="s">
        <v>4005</v>
      </c>
      <c r="B4004" s="1" t="s">
        <v>5</v>
      </c>
      <c r="C4004" s="2">
        <f>IFERROR(__xludf.DUMMYFUNCTION("IFERROR(VLOOKUP(A4004, IMPORTRANGE(""https://docs.google.com/spreadsheets/d/1AVX9GT0dgogEBStecCXMMQ29tWz3gBrtNB8yIromXbY/edit?gid=741673867"", ""out1g!A:B""), 2, FALSE), 0)"),114.0)</f>
        <v>114</v>
      </c>
      <c r="D4004" s="2" t="str">
        <f>IFERROR(__xludf.DUMMYFUNCTION("IFERROR(VLOOKUP(A4004, IMPORTRANGE(""https://docs.google.com/spreadsheets/d/1-3Vjw2Cyy-mry5gbC8ypIR3YVGFfEpyFESummAta6sg/edit"", ""Sheet1!B:D""), 2, FALSE), ""Not Found"")"),"ɑr")</f>
        <v>ɑr</v>
      </c>
      <c r="E4004" s="2" t="str">
        <f>IFERROR(__xludf.DUMMYFUNCTION("IFERROR(VLOOKUP(A4004, IMPORTRANGE(""https://docs.google.com/spreadsheets/d/1-3Vjw2Cyy-mry5gbC8ypIR3YVGFfEpyFESummAta6sg/edit"", ""Sheet1!B:D""), 3, FALSE), ""Not Found"")"),"ɑ r ")</f>
        <v>ɑ r </v>
      </c>
    </row>
    <row r="4005">
      <c r="A4005" s="1" t="s">
        <v>4006</v>
      </c>
      <c r="B4005" s="1" t="s">
        <v>5</v>
      </c>
      <c r="C4005" s="2">
        <f>IFERROR(__xludf.DUMMYFUNCTION("IFERROR(VLOOKUP(A4005, IMPORTRANGE(""https://docs.google.com/spreadsheets/d/1AVX9GT0dgogEBStecCXMMQ29tWz3gBrtNB8yIromXbY/edit?gid=741673867"", ""out1g!A:B""), 2, FALSE), 0)"),93.0)</f>
        <v>93</v>
      </c>
      <c r="D4005" s="2" t="str">
        <f>IFERROR(__xludf.DUMMYFUNCTION("IFERROR(VLOOKUP(A4005, IMPORTRANGE(""https://docs.google.com/spreadsheets/d/1-3Vjw2Cyy-mry5gbC8ypIR3YVGFfEpyFESummAta6sg/edit"", ""Sheet1!B:D""), 2, FALSE), ""Not Found"")"),"kɔrd")</f>
        <v>kɔrd</v>
      </c>
      <c r="E4005" s="2" t="str">
        <f>IFERROR(__xludf.DUMMYFUNCTION("IFERROR(VLOOKUP(A4005, IMPORTRANGE(""https://docs.google.com/spreadsheets/d/1-3Vjw2Cyy-mry5gbC8ypIR3YVGFfEpyFESummAta6sg/edit"", ""Sheet1!B:D""), 3, FALSE), ""Not Found"")"),"k ɔ r d ")</f>
        <v>k ɔ r d </v>
      </c>
    </row>
    <row r="4006">
      <c r="A4006" s="1" t="s">
        <v>4007</v>
      </c>
      <c r="B4006" s="1" t="s">
        <v>5</v>
      </c>
      <c r="C4006" s="2">
        <f>IFERROR(__xludf.DUMMYFUNCTION("IFERROR(VLOOKUP(A4006, IMPORTRANGE(""https://docs.google.com/spreadsheets/d/1AVX9GT0dgogEBStecCXMMQ29tWz3gBrtNB8yIromXbY/edit?gid=741673867"", ""out1g!A:B""), 2, FALSE), 0)"),195.0)</f>
        <v>195</v>
      </c>
      <c r="D4006" s="2" t="str">
        <f>IFERROR(__xludf.DUMMYFUNCTION("IFERROR(VLOOKUP(A4006, IMPORTRANGE(""https://docs.google.com/spreadsheets/d/1-3Vjw2Cyy-mry5gbC8ypIR3YVGFfEpyFESummAta6sg/edit"", ""Sheet1!B:D""), 2, FALSE), ""Not Found"")"),"rɪskt")</f>
        <v>rɪskt</v>
      </c>
      <c r="E4006" s="2" t="str">
        <f>IFERROR(__xludf.DUMMYFUNCTION("IFERROR(VLOOKUP(A4006, IMPORTRANGE(""https://docs.google.com/spreadsheets/d/1-3Vjw2Cyy-mry5gbC8ypIR3YVGFfEpyFESummAta6sg/edit"", ""Sheet1!B:D""), 3, FALSE), ""Not Found"")"),"r ɪ s k t ")</f>
        <v>r ɪ s k t </v>
      </c>
    </row>
    <row r="4007">
      <c r="A4007" s="1" t="s">
        <v>4008</v>
      </c>
      <c r="B4007" s="1" t="s">
        <v>5</v>
      </c>
      <c r="C4007" s="2">
        <f>IFERROR(__xludf.DUMMYFUNCTION("IFERROR(VLOOKUP(A4007, IMPORTRANGE(""https://docs.google.com/spreadsheets/d/1AVX9GT0dgogEBStecCXMMQ29tWz3gBrtNB8yIromXbY/edit?gid=741673867"", ""out1g!A:B""), 2, FALSE), 0)"),385.0)</f>
        <v>385</v>
      </c>
      <c r="D4007" s="2" t="str">
        <f>IFERROR(__xludf.DUMMYFUNCTION("IFERROR(VLOOKUP(A4007, IMPORTRANGE(""https://docs.google.com/spreadsheets/d/1-3Vjw2Cyy-mry5gbC8ypIR3YVGFfEpyFESummAta6sg/edit"", ""Sheet1!B:D""), 2, FALSE), ""Not Found"")"),"boʊld")</f>
        <v>boʊld</v>
      </c>
      <c r="E4007" s="2" t="str">
        <f>IFERROR(__xludf.DUMMYFUNCTION("IFERROR(VLOOKUP(A4007, IMPORTRANGE(""https://docs.google.com/spreadsheets/d/1-3Vjw2Cyy-mry5gbC8ypIR3YVGFfEpyFESummAta6sg/edit"", ""Sheet1!B:D""), 3, FALSE), ""Not Found"")"),"b o ʊ l d ")</f>
        <v>b o ʊ l d </v>
      </c>
    </row>
    <row r="4008">
      <c r="A4008" s="1" t="s">
        <v>4009</v>
      </c>
      <c r="B4008" s="1" t="s">
        <v>5</v>
      </c>
      <c r="C4008" s="2">
        <f>IFERROR(__xludf.DUMMYFUNCTION("IFERROR(VLOOKUP(A4008, IMPORTRANGE(""https://docs.google.com/spreadsheets/d/1AVX9GT0dgogEBStecCXMMQ29tWz3gBrtNB8yIromXbY/edit?gid=741673867"", ""out1g!A:B""), 2, FALSE), 0)"),43.0)</f>
        <v>43</v>
      </c>
      <c r="D4008" s="2" t="str">
        <f>IFERROR(__xludf.DUMMYFUNCTION("IFERROR(VLOOKUP(A4008, IMPORTRANGE(""https://docs.google.com/spreadsheets/d/1-3Vjw2Cyy-mry5gbC8ypIR3YVGFfEpyFESummAta6sg/edit"", ""Sheet1!B:D""), 2, FALSE), ""Not Found"")"),"pləndər")</f>
        <v>pləndər</v>
      </c>
      <c r="E4008" s="2" t="str">
        <f>IFERROR(__xludf.DUMMYFUNCTION("IFERROR(VLOOKUP(A4008, IMPORTRANGE(""https://docs.google.com/spreadsheets/d/1-3Vjw2Cyy-mry5gbC8ypIR3YVGFfEpyFESummAta6sg/edit"", ""Sheet1!B:D""), 3, FALSE), ""Not Found"")"),"p l ə n d ə r ")</f>
        <v>p l ə n d ə r </v>
      </c>
    </row>
    <row r="4009">
      <c r="A4009" s="1" t="s">
        <v>4010</v>
      </c>
      <c r="B4009" s="1" t="s">
        <v>5</v>
      </c>
      <c r="C4009" s="2">
        <f>IFERROR(__xludf.DUMMYFUNCTION("IFERROR(VLOOKUP(A4009, IMPORTRANGE(""https://docs.google.com/spreadsheets/d/1AVX9GT0dgogEBStecCXMMQ29tWz3gBrtNB8yIromXbY/edit?gid=741673867"", ""out1g!A:B""), 2, FALSE), 0)"),4912.0)</f>
        <v>4912</v>
      </c>
      <c r="D4009" s="2" t="str">
        <f>IFERROR(__xludf.DUMMYFUNCTION("IFERROR(VLOOKUP(A4009, IMPORTRANGE(""https://docs.google.com/spreadsheets/d/1-3Vjw2Cyy-mry5gbC8ypIR3YVGFfEpyFESummAta6sg/edit"", ""Sheet1!B:D""), 2, FALSE), ""Not Found"")"),"ɑnər")</f>
        <v>ɑnər</v>
      </c>
      <c r="E4009" s="2" t="str">
        <f>IFERROR(__xludf.DUMMYFUNCTION("IFERROR(VLOOKUP(A4009, IMPORTRANGE(""https://docs.google.com/spreadsheets/d/1-3Vjw2Cyy-mry5gbC8ypIR3YVGFfEpyFESummAta6sg/edit"", ""Sheet1!B:D""), 3, FALSE), ""Not Found"")"),"ɑ n ə r ")</f>
        <v>ɑ n ə r </v>
      </c>
    </row>
    <row r="4010">
      <c r="A4010" s="1" t="s">
        <v>4011</v>
      </c>
      <c r="B4010" s="1" t="s">
        <v>5</v>
      </c>
      <c r="C4010" s="2">
        <f>IFERROR(__xludf.DUMMYFUNCTION("IFERROR(VLOOKUP(A4010, IMPORTRANGE(""https://docs.google.com/spreadsheets/d/1AVX9GT0dgogEBStecCXMMQ29tWz3gBrtNB8yIromXbY/edit?gid=741673867"", ""out1g!A:B""), 2, FALSE), 0)"),120.0)</f>
        <v>120</v>
      </c>
      <c r="D4010" s="2" t="str">
        <f>IFERROR(__xludf.DUMMYFUNCTION("IFERROR(VLOOKUP(A4010, IMPORTRANGE(""https://docs.google.com/spreadsheets/d/1-3Vjw2Cyy-mry5gbC8ypIR3YVGFfEpyFESummAta6sg/edit"", ""Sheet1!B:D""), 2, FALSE), ""Not Found"")"),"kərl")</f>
        <v>kərl</v>
      </c>
      <c r="E4010" s="2" t="str">
        <f>IFERROR(__xludf.DUMMYFUNCTION("IFERROR(VLOOKUP(A4010, IMPORTRANGE(""https://docs.google.com/spreadsheets/d/1-3Vjw2Cyy-mry5gbC8ypIR3YVGFfEpyFESummAta6sg/edit"", ""Sheet1!B:D""), 3, FALSE), ""Not Found"")"),"k ə r l ")</f>
        <v>k ə r l </v>
      </c>
    </row>
    <row r="4011">
      <c r="A4011" s="1" t="s">
        <v>4012</v>
      </c>
      <c r="B4011" s="1" t="s">
        <v>5</v>
      </c>
      <c r="C4011" s="2">
        <f>IFERROR(__xludf.DUMMYFUNCTION("IFERROR(VLOOKUP(A4011, IMPORTRANGE(""https://docs.google.com/spreadsheets/d/1AVX9GT0dgogEBStecCXMMQ29tWz3gBrtNB8yIromXbY/edit?gid=741673867"", ""out1g!A:B""), 2, FALSE), 0)"),2484.0)</f>
        <v>2484</v>
      </c>
      <c r="D4011" s="2" t="str">
        <f>IFERROR(__xludf.DUMMYFUNCTION("IFERROR(VLOOKUP(A4011, IMPORTRANGE(""https://docs.google.com/spreadsheets/d/1-3Vjw2Cyy-mry5gbC8ypIR3YVGFfEpyFESummAta6sg/edit"", ""Sheet1!B:D""), 2, FALSE), ""Not Found"")"),"krim")</f>
        <v>krim</v>
      </c>
      <c r="E4011" s="2" t="str">
        <f>IFERROR(__xludf.DUMMYFUNCTION("IFERROR(VLOOKUP(A4011, IMPORTRANGE(""https://docs.google.com/spreadsheets/d/1-3Vjw2Cyy-mry5gbC8ypIR3YVGFfEpyFESummAta6sg/edit"", ""Sheet1!B:D""), 3, FALSE), ""Not Found"")"),"k r i m ")</f>
        <v>k r i m </v>
      </c>
    </row>
    <row r="4012">
      <c r="A4012" s="1" t="s">
        <v>4013</v>
      </c>
      <c r="B4012" s="1" t="s">
        <v>5</v>
      </c>
      <c r="C4012" s="2">
        <f>IFERROR(__xludf.DUMMYFUNCTION("IFERROR(VLOOKUP(A4012, IMPORTRANGE(""https://docs.google.com/spreadsheets/d/1AVX9GT0dgogEBStecCXMMQ29tWz3gBrtNB8yIromXbY/edit?gid=741673867"", ""out1g!A:B""), 2, FALSE), 0)"),527.0)</f>
        <v>527</v>
      </c>
      <c r="D4012" s="2" t="str">
        <f>IFERROR(__xludf.DUMMYFUNCTION("IFERROR(VLOOKUP(A4012, IMPORTRANGE(""https://docs.google.com/spreadsheets/d/1-3Vjw2Cyy-mry5gbC8ypIR3YVGFfEpyFESummAta6sg/edit"", ""Sheet1!B:D""), 2, FALSE), ""Not Found"")"),"spɑts")</f>
        <v>spɑts</v>
      </c>
      <c r="E4012" s="2" t="str">
        <f>IFERROR(__xludf.DUMMYFUNCTION("IFERROR(VLOOKUP(A4012, IMPORTRANGE(""https://docs.google.com/spreadsheets/d/1-3Vjw2Cyy-mry5gbC8ypIR3YVGFfEpyFESummAta6sg/edit"", ""Sheet1!B:D""), 3, FALSE), ""Not Found"")"),"s p ɑ t s ")</f>
        <v>s p ɑ t s </v>
      </c>
    </row>
    <row r="4013">
      <c r="A4013" s="1" t="s">
        <v>4014</v>
      </c>
      <c r="B4013" s="1" t="s">
        <v>5</v>
      </c>
      <c r="C4013" s="2">
        <f>IFERROR(__xludf.DUMMYFUNCTION("IFERROR(VLOOKUP(A4013, IMPORTRANGE(""https://docs.google.com/spreadsheets/d/1AVX9GT0dgogEBStecCXMMQ29tWz3gBrtNB8yIromXbY/edit?gid=741673867"", ""out1g!A:B""), 2, FALSE), 0)"),96.0)</f>
        <v>96</v>
      </c>
      <c r="D4013" s="2" t="str">
        <f>IFERROR(__xludf.DUMMYFUNCTION("IFERROR(VLOOKUP(A4013, IMPORTRANGE(""https://docs.google.com/spreadsheets/d/1-3Vjw2Cyy-mry5gbC8ypIR3YVGFfEpyFESummAta6sg/edit"", ""Sheet1!B:D""), 2, FALSE), ""Not Found"")"),"plaʊ")</f>
        <v>plaʊ</v>
      </c>
      <c r="E4013" s="2" t="str">
        <f>IFERROR(__xludf.DUMMYFUNCTION("IFERROR(VLOOKUP(A4013, IMPORTRANGE(""https://docs.google.com/spreadsheets/d/1-3Vjw2Cyy-mry5gbC8ypIR3YVGFfEpyFESummAta6sg/edit"", ""Sheet1!B:D""), 3, FALSE), ""Not Found"")"),"p l a ʊ ")</f>
        <v>p l a ʊ </v>
      </c>
    </row>
    <row r="4014">
      <c r="A4014" s="1" t="s">
        <v>4015</v>
      </c>
      <c r="B4014" s="1" t="s">
        <v>5</v>
      </c>
      <c r="C4014" s="2">
        <f>IFERROR(__xludf.DUMMYFUNCTION("IFERROR(VLOOKUP(A4014, IMPORTRANGE(""https://docs.google.com/spreadsheets/d/1AVX9GT0dgogEBStecCXMMQ29tWz3gBrtNB8yIromXbY/edit?gid=741673867"", ""out1g!A:B""), 2, FALSE), 0)"),3590.0)</f>
        <v>3590</v>
      </c>
      <c r="D4014" s="2" t="str">
        <f>IFERROR(__xludf.DUMMYFUNCTION("IFERROR(VLOOKUP(A4014, IMPORTRANGE(""https://docs.google.com/spreadsheets/d/1-3Vjw2Cyy-mry5gbC8ypIR3YVGFfEpyFESummAta6sg/edit"", ""Sheet1!B:D""), 2, FALSE), ""Not Found"")"),"pruv")</f>
        <v>pruv</v>
      </c>
      <c r="E4014" s="2" t="str">
        <f>IFERROR(__xludf.DUMMYFUNCTION("IFERROR(VLOOKUP(A4014, IMPORTRANGE(""https://docs.google.com/spreadsheets/d/1-3Vjw2Cyy-mry5gbC8ypIR3YVGFfEpyFESummAta6sg/edit"", ""Sheet1!B:D""), 3, FALSE), ""Not Found"")"),"p r u v ")</f>
        <v>p r u v </v>
      </c>
    </row>
    <row r="4015">
      <c r="A4015" s="1" t="s">
        <v>4016</v>
      </c>
      <c r="B4015" s="1" t="s">
        <v>5</v>
      </c>
      <c r="C4015" s="2">
        <f>IFERROR(__xludf.DUMMYFUNCTION("IFERROR(VLOOKUP(A4015, IMPORTRANGE(""https://docs.google.com/spreadsheets/d/1AVX9GT0dgogEBStecCXMMQ29tWz3gBrtNB8yIromXbY/edit?gid=741673867"", ""out1g!A:B""), 2, FALSE), 0)"),4289.0)</f>
        <v>4289</v>
      </c>
      <c r="D4015" s="2" t="str">
        <f>IFERROR(__xludf.DUMMYFUNCTION("IFERROR(VLOOKUP(A4015, IMPORTRANGE(""https://docs.google.com/spreadsheets/d/1-3Vjw2Cyy-mry5gbC8ypIR3YVGFfEpyFESummAta6sg/edit"", ""Sheet1!B:D""), 2, FALSE), ""Not Found"")"),"bi")</f>
        <v>bi</v>
      </c>
      <c r="E4015" s="2" t="str">
        <f>IFERROR(__xludf.DUMMYFUNCTION("IFERROR(VLOOKUP(A4015, IMPORTRANGE(""https://docs.google.com/spreadsheets/d/1-3Vjw2Cyy-mry5gbC8ypIR3YVGFfEpyFESummAta6sg/edit"", ""Sheet1!B:D""), 3, FALSE), ""Not Found"")"),"b i ")</f>
        <v>b i </v>
      </c>
    </row>
    <row r="4016">
      <c r="A4016" s="1" t="s">
        <v>4017</v>
      </c>
      <c r="B4016" s="1" t="s">
        <v>5</v>
      </c>
      <c r="C4016" s="2">
        <f>IFERROR(__xludf.DUMMYFUNCTION("IFERROR(VLOOKUP(A4016, IMPORTRANGE(""https://docs.google.com/spreadsheets/d/1AVX9GT0dgogEBStecCXMMQ29tWz3gBrtNB8yIromXbY/edit?gid=741673867"", ""out1g!A:B""), 2, FALSE), 0)"),1684.0)</f>
        <v>1684</v>
      </c>
      <c r="D4016" s="2" t="str">
        <f>IFERROR(__xludf.DUMMYFUNCTION("IFERROR(VLOOKUP(A4016, IMPORTRANGE(""https://docs.google.com/spreadsheets/d/1-3Vjw2Cyy-mry5gbC8ypIR3YVGFfEpyFESummAta6sg/edit"", ""Sheet1!B:D""), 2, FALSE), ""Not Found"")"),"rɪpit")</f>
        <v>rɪpit</v>
      </c>
      <c r="E4016" s="2" t="str">
        <f>IFERROR(__xludf.DUMMYFUNCTION("IFERROR(VLOOKUP(A4016, IMPORTRANGE(""https://docs.google.com/spreadsheets/d/1-3Vjw2Cyy-mry5gbC8ypIR3YVGFfEpyFESummAta6sg/edit"", ""Sheet1!B:D""), 3, FALSE), ""Not Found"")"),"r ɪ p i t ")</f>
        <v>r ɪ p i t </v>
      </c>
    </row>
    <row r="4017">
      <c r="A4017" s="1" t="s">
        <v>4018</v>
      </c>
      <c r="B4017" s="1" t="s">
        <v>5</v>
      </c>
      <c r="C4017" s="2">
        <f>IFERROR(__xludf.DUMMYFUNCTION("IFERROR(VLOOKUP(A4017, IMPORTRANGE(""https://docs.google.com/spreadsheets/d/1AVX9GT0dgogEBStecCXMMQ29tWz3gBrtNB8yIromXbY/edit?gid=741673867"", ""out1g!A:B""), 2, FALSE), 0)"),202.0)</f>
        <v>202</v>
      </c>
      <c r="D4017" s="2" t="str">
        <f>IFERROR(__xludf.DUMMYFUNCTION("IFERROR(VLOOKUP(A4017, IMPORTRANGE(""https://docs.google.com/spreadsheets/d/1-3Vjw2Cyy-mry5gbC8ypIR3YVGFfEpyFESummAta6sg/edit"", ""Sheet1!B:D""), 2, FALSE), ""Not Found"")"),"dɪ")</f>
        <v>dɪ</v>
      </c>
      <c r="E4017" s="2" t="str">
        <f>IFERROR(__xludf.DUMMYFUNCTION("IFERROR(VLOOKUP(A4017, IMPORTRANGE(""https://docs.google.com/spreadsheets/d/1-3Vjw2Cyy-mry5gbC8ypIR3YVGFfEpyFESummAta6sg/edit"", ""Sheet1!B:D""), 3, FALSE), ""Not Found"")"),"d ɪ ")</f>
        <v>d ɪ </v>
      </c>
    </row>
    <row r="4018">
      <c r="A4018" s="1" t="s">
        <v>4019</v>
      </c>
      <c r="B4018" s="1" t="s">
        <v>5</v>
      </c>
      <c r="C4018" s="2">
        <f>IFERROR(__xludf.DUMMYFUNCTION("IFERROR(VLOOKUP(A4018, IMPORTRANGE(""https://docs.google.com/spreadsheets/d/1AVX9GT0dgogEBStecCXMMQ29tWz3gBrtNB8yIromXbY/edit?gid=741673867"", ""out1g!A:B""), 2, FALSE), 0)"),10115.0)</f>
        <v>10115</v>
      </c>
      <c r="D4018" s="2" t="str">
        <f>IFERROR(__xludf.DUMMYFUNCTION("IFERROR(VLOOKUP(A4018, IMPORTRANGE(""https://docs.google.com/spreadsheets/d/1-3Vjw2Cyy-mry5gbC8ypIR3YVGFfEpyFESummAta6sg/edit"", ""Sheet1!B:D""), 2, FALSE), ""Not Found"")"),"maɪkəl")</f>
        <v>maɪkəl</v>
      </c>
      <c r="E4018" s="2" t="str">
        <f>IFERROR(__xludf.DUMMYFUNCTION("IFERROR(VLOOKUP(A4018, IMPORTRANGE(""https://docs.google.com/spreadsheets/d/1-3Vjw2Cyy-mry5gbC8ypIR3YVGFfEpyFESummAta6sg/edit"", ""Sheet1!B:D""), 3, FALSE), ""Not Found"")"),"m a ɪ k ə l ")</f>
        <v>m a ɪ k ə l </v>
      </c>
    </row>
    <row r="4019">
      <c r="A4019" s="1" t="s">
        <v>4020</v>
      </c>
      <c r="B4019" s="1" t="s">
        <v>5</v>
      </c>
      <c r="C4019" s="2">
        <f>IFERROR(__xludf.DUMMYFUNCTION("IFERROR(VLOOKUP(A4019, IMPORTRANGE(""https://docs.google.com/spreadsheets/d/1AVX9GT0dgogEBStecCXMMQ29tWz3gBrtNB8yIromXbY/edit?gid=741673867"", ""out1g!A:B""), 2, FALSE), 0)"),89.0)</f>
        <v>89</v>
      </c>
      <c r="D4019" s="2" t="str">
        <f>IFERROR(__xludf.DUMMYFUNCTION("IFERROR(VLOOKUP(A4019, IMPORTRANGE(""https://docs.google.com/spreadsheets/d/1-3Vjw2Cyy-mry5gbC8ypIR3YVGFfEpyFESummAta6sg/edit"", ""Sheet1!B:D""), 2, FALSE), ""Not Found"")"),"tɪgər")</f>
        <v>tɪgər</v>
      </c>
      <c r="E4019" s="2" t="str">
        <f>IFERROR(__xludf.DUMMYFUNCTION("IFERROR(VLOOKUP(A4019, IMPORTRANGE(""https://docs.google.com/spreadsheets/d/1-3Vjw2Cyy-mry5gbC8ypIR3YVGFfEpyFESummAta6sg/edit"", ""Sheet1!B:D""), 3, FALSE), ""Not Found"")"),"t ɪ g ə r ")</f>
        <v>t ɪ g ə r </v>
      </c>
    </row>
    <row r="4020">
      <c r="A4020" s="1" t="s">
        <v>4021</v>
      </c>
      <c r="B4020" s="1" t="s">
        <v>5</v>
      </c>
      <c r="C4020" s="2">
        <f>IFERROR(__xludf.DUMMYFUNCTION("IFERROR(VLOOKUP(A4020, IMPORTRANGE(""https://docs.google.com/spreadsheets/d/1AVX9GT0dgogEBStecCXMMQ29tWz3gBrtNB8yIromXbY/edit?gid=741673867"", ""out1g!A:B""), 2, FALSE), 0)"),2599.0)</f>
        <v>2599</v>
      </c>
      <c r="D4020" s="2" t="str">
        <f>IFERROR(__xludf.DUMMYFUNCTION("IFERROR(VLOOKUP(A4020, IMPORTRANGE(""https://docs.google.com/spreadsheets/d/1-3Vjw2Cyy-mry5gbC8ypIR3YVGFfEpyFESummAta6sg/edit"", ""Sheet1!B:D""), 2, FALSE), ""Not Found"")"),"mɪz")</f>
        <v>mɪz</v>
      </c>
      <c r="E4020" s="2" t="str">
        <f>IFERROR(__xludf.DUMMYFUNCTION("IFERROR(VLOOKUP(A4020, IMPORTRANGE(""https://docs.google.com/spreadsheets/d/1-3Vjw2Cyy-mry5gbC8ypIR3YVGFfEpyFESummAta6sg/edit"", ""Sheet1!B:D""), 3, FALSE), ""Not Found"")"),"m ɪ z ")</f>
        <v>m ɪ z </v>
      </c>
    </row>
    <row r="4021">
      <c r="A4021" s="1" t="s">
        <v>4022</v>
      </c>
      <c r="B4021" s="1" t="s">
        <v>5</v>
      </c>
      <c r="C4021" s="2">
        <f>IFERROR(__xludf.DUMMYFUNCTION("IFERROR(VLOOKUP(A4021, IMPORTRANGE(""https://docs.google.com/spreadsheets/d/1AVX9GT0dgogEBStecCXMMQ29tWz3gBrtNB8yIromXbY/edit?gid=741673867"", ""out1g!A:B""), 2, FALSE), 0)"),129.0)</f>
        <v>129</v>
      </c>
      <c r="D4021" s="2" t="str">
        <f>IFERROR(__xludf.DUMMYFUNCTION("IFERROR(VLOOKUP(A4021, IMPORTRANGE(""https://docs.google.com/spreadsheets/d/1-3Vjw2Cyy-mry5gbC8ypIR3YVGFfEpyFESummAta6sg/edit"", ""Sheet1!B:D""), 2, FALSE), ""Not Found"")"),"mɔrn")</f>
        <v>mɔrn</v>
      </c>
      <c r="E4021" s="2" t="str">
        <f>IFERROR(__xludf.DUMMYFUNCTION("IFERROR(VLOOKUP(A4021, IMPORTRANGE(""https://docs.google.com/spreadsheets/d/1-3Vjw2Cyy-mry5gbC8ypIR3YVGFfEpyFESummAta6sg/edit"", ""Sheet1!B:D""), 3, FALSE), ""Not Found"")"),"m ɔ r n ")</f>
        <v>m ɔ r n </v>
      </c>
    </row>
    <row r="4022">
      <c r="A4022" s="1" t="s">
        <v>4023</v>
      </c>
      <c r="B4022" s="1" t="s">
        <v>5</v>
      </c>
      <c r="C4022" s="2">
        <f>IFERROR(__xludf.DUMMYFUNCTION("IFERROR(VLOOKUP(A4022, IMPORTRANGE(""https://docs.google.com/spreadsheets/d/1AVX9GT0dgogEBStecCXMMQ29tWz3gBrtNB8yIromXbY/edit?gid=741673867"", ""out1g!A:B""), 2, FALSE), 0)"),374.0)</f>
        <v>374</v>
      </c>
      <c r="D4022" s="2" t="str">
        <f>IFERROR(__xludf.DUMMYFUNCTION("IFERROR(VLOOKUP(A4022, IMPORTRANGE(""https://docs.google.com/spreadsheets/d/1-3Vjw2Cyy-mry5gbC8ypIR3YVGFfEpyFESummAta6sg/edit"", ""Sheet1!B:D""), 2, FALSE), ""Not Found"")"),"bubz")</f>
        <v>bubz</v>
      </c>
      <c r="E4022" s="2" t="str">
        <f>IFERROR(__xludf.DUMMYFUNCTION("IFERROR(VLOOKUP(A4022, IMPORTRANGE(""https://docs.google.com/spreadsheets/d/1-3Vjw2Cyy-mry5gbC8ypIR3YVGFfEpyFESummAta6sg/edit"", ""Sheet1!B:D""), 3, FALSE), ""Not Found"")"),"b u b z ")</f>
        <v>b u b z </v>
      </c>
    </row>
    <row r="4023">
      <c r="A4023" s="1" t="s">
        <v>4024</v>
      </c>
      <c r="B4023" s="1" t="s">
        <v>5</v>
      </c>
      <c r="C4023" s="2">
        <f>IFERROR(__xludf.DUMMYFUNCTION("IFERROR(VLOOKUP(A4023, IMPORTRANGE(""https://docs.google.com/spreadsheets/d/1AVX9GT0dgogEBStecCXMMQ29tWz3gBrtNB8yIromXbY/edit?gid=741673867"", ""out1g!A:B""), 2, FALSE), 0)"),1593.0)</f>
        <v>1593</v>
      </c>
      <c r="D4023" s="2" t="str">
        <f>IFERROR(__xludf.DUMMYFUNCTION("IFERROR(VLOOKUP(A4023, IMPORTRANGE(""https://docs.google.com/spreadsheets/d/1-3Vjw2Cyy-mry5gbC8ypIR3YVGFfEpyFESummAta6sg/edit"", ""Sheet1!B:D""), 2, FALSE), ""Not Found"")"),"dimən")</f>
        <v>dimən</v>
      </c>
      <c r="E4023" s="2" t="str">
        <f>IFERROR(__xludf.DUMMYFUNCTION("IFERROR(VLOOKUP(A4023, IMPORTRANGE(""https://docs.google.com/spreadsheets/d/1-3Vjw2Cyy-mry5gbC8ypIR3YVGFfEpyFESummAta6sg/edit"", ""Sheet1!B:D""), 3, FALSE), ""Not Found"")"),"d i m ə n ")</f>
        <v>d i m ə n </v>
      </c>
    </row>
    <row r="4024">
      <c r="A4024" s="1" t="s">
        <v>4025</v>
      </c>
      <c r="B4024" s="1" t="s">
        <v>5</v>
      </c>
      <c r="C4024" s="2">
        <f>IFERROR(__xludf.DUMMYFUNCTION("IFERROR(VLOOKUP(A4024, IMPORTRANGE(""https://docs.google.com/spreadsheets/d/1AVX9GT0dgogEBStecCXMMQ29tWz3gBrtNB8yIromXbY/edit?gid=741673867"", ""out1g!A:B""), 2, FALSE), 0)"),4385.0)</f>
        <v>4385</v>
      </c>
      <c r="D4024" s="2" t="str">
        <f>IFERROR(__xludf.DUMMYFUNCTION("IFERROR(VLOOKUP(A4024, IMPORTRANGE(""https://docs.google.com/spreadsheets/d/1-3Vjw2Cyy-mry5gbC8ypIR3YVGFfEpyFESummAta6sg/edit"", ""Sheet1!B:D""), 2, FALSE), ""Not Found"")"),"bɑr")</f>
        <v>bɑr</v>
      </c>
      <c r="E4024" s="2" t="str">
        <f>IFERROR(__xludf.DUMMYFUNCTION("IFERROR(VLOOKUP(A4024, IMPORTRANGE(""https://docs.google.com/spreadsheets/d/1-3Vjw2Cyy-mry5gbC8ypIR3YVGFfEpyFESummAta6sg/edit"", ""Sheet1!B:D""), 3, FALSE), ""Not Found"")"),"b ɑ r ")</f>
        <v>b ɑ r </v>
      </c>
    </row>
    <row r="4025">
      <c r="A4025" s="1" t="s">
        <v>4026</v>
      </c>
      <c r="B4025" s="1" t="s">
        <v>5</v>
      </c>
      <c r="C4025" s="2">
        <f>IFERROR(__xludf.DUMMYFUNCTION("IFERROR(VLOOKUP(A4025, IMPORTRANGE(""https://docs.google.com/spreadsheets/d/1AVX9GT0dgogEBStecCXMMQ29tWz3gBrtNB8yIromXbY/edit?gid=741673867"", ""out1g!A:B""), 2, FALSE), 0)"),235.0)</f>
        <v>235</v>
      </c>
      <c r="D4025" s="2" t="str">
        <f>IFERROR(__xludf.DUMMYFUNCTION("IFERROR(VLOOKUP(A4025, IMPORTRANGE(""https://docs.google.com/spreadsheets/d/1-3Vjw2Cyy-mry5gbC8ypIR3YVGFfEpyFESummAta6sg/edit"", ""Sheet1!B:D""), 2, FALSE), ""Not Found"")"),"mɪʤət")</f>
        <v>mɪʤət</v>
      </c>
      <c r="E4025" s="2" t="str">
        <f>IFERROR(__xludf.DUMMYFUNCTION("IFERROR(VLOOKUP(A4025, IMPORTRANGE(""https://docs.google.com/spreadsheets/d/1-3Vjw2Cyy-mry5gbC8ypIR3YVGFfEpyFESummAta6sg/edit"", ""Sheet1!B:D""), 3, FALSE), ""Not Found"")"),"m ɪ ʤ ə t ")</f>
        <v>m ɪ ʤ ə t </v>
      </c>
    </row>
    <row r="4026">
      <c r="A4026" s="1" t="s">
        <v>4027</v>
      </c>
      <c r="B4026" s="1" t="s">
        <v>5</v>
      </c>
      <c r="C4026" s="2">
        <f>IFERROR(__xludf.DUMMYFUNCTION("IFERROR(VLOOKUP(A4026, IMPORTRANGE(""https://docs.google.com/spreadsheets/d/1AVX9GT0dgogEBStecCXMMQ29tWz3gBrtNB8yIromXbY/edit?gid=741673867"", ""out1g!A:B""), 2, FALSE), 0)"),468.0)</f>
        <v>468</v>
      </c>
      <c r="D4026" s="2" t="str">
        <f>IFERROR(__xludf.DUMMYFUNCTION("IFERROR(VLOOKUP(A4026, IMPORTRANGE(""https://docs.google.com/spreadsheets/d/1-3Vjw2Cyy-mry5gbC8ypIR3YVGFfEpyFESummAta6sg/edit"", ""Sheet1!B:D""), 2, FALSE), ""Not Found"")"),"rumərz")</f>
        <v>rumərz</v>
      </c>
      <c r="E4026" s="2" t="str">
        <f>IFERROR(__xludf.DUMMYFUNCTION("IFERROR(VLOOKUP(A4026, IMPORTRANGE(""https://docs.google.com/spreadsheets/d/1-3Vjw2Cyy-mry5gbC8ypIR3YVGFfEpyFESummAta6sg/edit"", ""Sheet1!B:D""), 3, FALSE), ""Not Found"")"),"r u m ə r z ")</f>
        <v>r u m ə r z </v>
      </c>
    </row>
    <row r="4027">
      <c r="A4027" s="1" t="s">
        <v>4028</v>
      </c>
      <c r="B4027" s="1" t="s">
        <v>5</v>
      </c>
      <c r="C4027" s="2">
        <f>IFERROR(__xludf.DUMMYFUNCTION("IFERROR(VLOOKUP(A4027, IMPORTRANGE(""https://docs.google.com/spreadsheets/d/1AVX9GT0dgogEBStecCXMMQ29tWz3gBrtNB8yIromXbY/edit?gid=741673867"", ""out1g!A:B""), 2, FALSE), 0)"),71.0)</f>
        <v>71</v>
      </c>
      <c r="D4027" s="2" t="str">
        <f>IFERROR(__xludf.DUMMYFUNCTION("IFERROR(VLOOKUP(A4027, IMPORTRANGE(""https://docs.google.com/spreadsheets/d/1-3Vjw2Cyy-mry5gbC8ypIR3YVGFfEpyFESummAta6sg/edit"", ""Sheet1!B:D""), 2, FALSE), ""Not Found"")"),"gaʊt")</f>
        <v>gaʊt</v>
      </c>
      <c r="E4027" s="2" t="str">
        <f>IFERROR(__xludf.DUMMYFUNCTION("IFERROR(VLOOKUP(A4027, IMPORTRANGE(""https://docs.google.com/spreadsheets/d/1-3Vjw2Cyy-mry5gbC8ypIR3YVGFfEpyFESummAta6sg/edit"", ""Sheet1!B:D""), 3, FALSE), ""Not Found"")"),"g a ʊ t ")</f>
        <v>g a ʊ t </v>
      </c>
    </row>
    <row r="4028">
      <c r="A4028" s="1" t="s">
        <v>4029</v>
      </c>
      <c r="B4028" s="1" t="s">
        <v>5</v>
      </c>
      <c r="C4028" s="2">
        <f>IFERROR(__xludf.DUMMYFUNCTION("IFERROR(VLOOKUP(A4028, IMPORTRANGE(""https://docs.google.com/spreadsheets/d/1AVX9GT0dgogEBStecCXMMQ29tWz3gBrtNB8yIromXbY/edit?gid=741673867"", ""out1g!A:B""), 2, FALSE), 0)"),114.0)</f>
        <v>114</v>
      </c>
      <c r="D4028" s="2" t="str">
        <f>IFERROR(__xludf.DUMMYFUNCTION("IFERROR(VLOOKUP(A4028, IMPORTRANGE(""https://docs.google.com/spreadsheets/d/1-3Vjw2Cyy-mry5gbC8ypIR3YVGFfEpyFESummAta6sg/edit"", ""Sheet1!B:D""), 2, FALSE), ""Not Found"")"),"stɛm")</f>
        <v>stɛm</v>
      </c>
      <c r="E4028" s="2" t="str">
        <f>IFERROR(__xludf.DUMMYFUNCTION("IFERROR(VLOOKUP(A4028, IMPORTRANGE(""https://docs.google.com/spreadsheets/d/1-3Vjw2Cyy-mry5gbC8ypIR3YVGFfEpyFESummAta6sg/edit"", ""Sheet1!B:D""), 3, FALSE), ""Not Found"")"),"s t ɛ m ")</f>
        <v>s t ɛ m </v>
      </c>
    </row>
    <row r="4029">
      <c r="A4029" s="1" t="s">
        <v>4030</v>
      </c>
      <c r="B4029" s="1" t="s">
        <v>5</v>
      </c>
      <c r="C4029" s="2">
        <f>IFERROR(__xludf.DUMMYFUNCTION("IFERROR(VLOOKUP(A4029, IMPORTRANGE(""https://docs.google.com/spreadsheets/d/1AVX9GT0dgogEBStecCXMMQ29tWz3gBrtNB8yIromXbY/edit?gid=741673867"", ""out1g!A:B""), 2, FALSE), 0)"),111.0)</f>
        <v>111</v>
      </c>
      <c r="D4029" s="2" t="str">
        <f>IFERROR(__xludf.DUMMYFUNCTION("IFERROR(VLOOKUP(A4029, IMPORTRANGE(""https://docs.google.com/spreadsheets/d/1-3Vjw2Cyy-mry5gbC8ypIR3YVGFfEpyFESummAta6sg/edit"", ""Sheet1!B:D""), 2, FALSE), ""Not Found"")"),"vɛstɪd")</f>
        <v>vɛstɪd</v>
      </c>
      <c r="E4029" s="2" t="str">
        <f>IFERROR(__xludf.DUMMYFUNCTION("IFERROR(VLOOKUP(A4029, IMPORTRANGE(""https://docs.google.com/spreadsheets/d/1-3Vjw2Cyy-mry5gbC8ypIR3YVGFfEpyFESummAta6sg/edit"", ""Sheet1!B:D""), 3, FALSE), ""Not Found"")"),"v ɛ s t ɪ d ")</f>
        <v>v ɛ s t ɪ d </v>
      </c>
    </row>
    <row r="4030">
      <c r="A4030" s="1" t="s">
        <v>4031</v>
      </c>
      <c r="B4030" s="1" t="s">
        <v>5</v>
      </c>
      <c r="C4030" s="2">
        <f>IFERROR(__xludf.DUMMYFUNCTION("IFERROR(VLOOKUP(A4030, IMPORTRANGE(""https://docs.google.com/spreadsheets/d/1AVX9GT0dgogEBStecCXMMQ29tWz3gBrtNB8yIromXbY/edit?gid=741673867"", ""out1g!A:B""), 2, FALSE), 0)"),177.0)</f>
        <v>177</v>
      </c>
      <c r="D4030" s="2" t="str">
        <f>IFERROR(__xludf.DUMMYFUNCTION("IFERROR(VLOOKUP(A4030, IMPORTRANGE(""https://docs.google.com/spreadsheets/d/1-3Vjw2Cyy-mry5gbC8ypIR3YVGFfEpyFESummAta6sg/edit"", ""Sheet1!B:D""), 2, FALSE), ""Not Found"")"),"bekɪŋ")</f>
        <v>bekɪŋ</v>
      </c>
      <c r="E4030" s="2" t="str">
        <f>IFERROR(__xludf.DUMMYFUNCTION("IFERROR(VLOOKUP(A4030, IMPORTRANGE(""https://docs.google.com/spreadsheets/d/1-3Vjw2Cyy-mry5gbC8ypIR3YVGFfEpyFESummAta6sg/edit"", ""Sheet1!B:D""), 3, FALSE), ""Not Found"")"),"b e k ɪ ŋ ")</f>
        <v>b e k ɪ ŋ </v>
      </c>
    </row>
    <row r="4031">
      <c r="A4031" s="1" t="s">
        <v>4032</v>
      </c>
      <c r="B4031" s="1" t="s">
        <v>5</v>
      </c>
      <c r="C4031" s="2">
        <f>IFERROR(__xludf.DUMMYFUNCTION("IFERROR(VLOOKUP(A4031, IMPORTRANGE(""https://docs.google.com/spreadsheets/d/1AVX9GT0dgogEBStecCXMMQ29tWz3gBrtNB8yIromXbY/edit?gid=741673867"", ""out1g!A:B""), 2, FALSE), 0)"),4408.0)</f>
        <v>4408</v>
      </c>
      <c r="D4031" s="2" t="str">
        <f>IFERROR(__xludf.DUMMYFUNCTION("IFERROR(VLOOKUP(A4031, IMPORTRANGE(""https://docs.google.com/spreadsheets/d/1-3Vjw2Cyy-mry5gbC8ypIR3YVGFfEpyFESummAta6sg/edit"", ""Sheet1!B:D""), 2, FALSE), ""Not Found"")"),"ʤɑni")</f>
        <v>ʤɑni</v>
      </c>
      <c r="E4031" s="2" t="str">
        <f>IFERROR(__xludf.DUMMYFUNCTION("IFERROR(VLOOKUP(A4031, IMPORTRANGE(""https://docs.google.com/spreadsheets/d/1-3Vjw2Cyy-mry5gbC8ypIR3YVGFfEpyFESummAta6sg/edit"", ""Sheet1!B:D""), 3, FALSE), ""Not Found"")"),"ʤ ɑ n i ")</f>
        <v>ʤ ɑ n i </v>
      </c>
    </row>
    <row r="4032">
      <c r="A4032" s="1" t="s">
        <v>4033</v>
      </c>
      <c r="B4032" s="1" t="s">
        <v>5</v>
      </c>
      <c r="C4032" s="2">
        <f>IFERROR(__xludf.DUMMYFUNCTION("IFERROR(VLOOKUP(A4032, IMPORTRANGE(""https://docs.google.com/spreadsheets/d/1AVX9GT0dgogEBStecCXMMQ29tWz3gBrtNB8yIromXbY/edit?gid=741673867"", ""out1g!A:B""), 2, FALSE), 0)"),133.0)</f>
        <v>133</v>
      </c>
      <c r="D4032" s="2" t="str">
        <f>IFERROR(__xludf.DUMMYFUNCTION("IFERROR(VLOOKUP(A4032, IMPORTRANGE(""https://docs.google.com/spreadsheets/d/1-3Vjw2Cyy-mry5gbC8ypIR3YVGFfEpyFESummAta6sg/edit"", ""Sheet1!B:D""), 2, FALSE), ""Not Found"")"),"krɑps")</f>
        <v>krɑps</v>
      </c>
      <c r="E4032" s="2" t="str">
        <f>IFERROR(__xludf.DUMMYFUNCTION("IFERROR(VLOOKUP(A4032, IMPORTRANGE(""https://docs.google.com/spreadsheets/d/1-3Vjw2Cyy-mry5gbC8ypIR3YVGFfEpyFESummAta6sg/edit"", ""Sheet1!B:D""), 3, FALSE), ""Not Found"")"),"k r ɑ p s ")</f>
        <v>k r ɑ p s </v>
      </c>
    </row>
    <row r="4033">
      <c r="A4033" s="1" t="s">
        <v>4034</v>
      </c>
      <c r="B4033" s="1" t="s">
        <v>5</v>
      </c>
      <c r="C4033" s="2">
        <f>IFERROR(__xludf.DUMMYFUNCTION("IFERROR(VLOOKUP(A4033, IMPORTRANGE(""https://docs.google.com/spreadsheets/d/1AVX9GT0dgogEBStecCXMMQ29tWz3gBrtNB8yIromXbY/edit?gid=741673867"", ""out1g!A:B""), 2, FALSE), 0)"),4110.0)</f>
        <v>4110</v>
      </c>
      <c r="D4033" s="2" t="str">
        <f>IFERROR(__xludf.DUMMYFUNCTION("IFERROR(VLOOKUP(A4033, IMPORTRANGE(""https://docs.google.com/spreadsheets/d/1-3Vjw2Cyy-mry5gbC8ypIR3YVGFfEpyFESummAta6sg/edit"", ""Sheet1!B:D""), 2, FALSE), ""Not Found"")"),"lɪst")</f>
        <v>lɪst</v>
      </c>
      <c r="E4033" s="2" t="str">
        <f>IFERROR(__xludf.DUMMYFUNCTION("IFERROR(VLOOKUP(A4033, IMPORTRANGE(""https://docs.google.com/spreadsheets/d/1-3Vjw2Cyy-mry5gbC8ypIR3YVGFfEpyFESummAta6sg/edit"", ""Sheet1!B:D""), 3, FALSE), ""Not Found"")"),"l ɪ s t ")</f>
        <v>l ɪ s t </v>
      </c>
    </row>
    <row r="4034">
      <c r="A4034" s="1" t="s">
        <v>4035</v>
      </c>
      <c r="B4034" s="1" t="s">
        <v>5</v>
      </c>
      <c r="C4034" s="2">
        <f>IFERROR(__xludf.DUMMYFUNCTION("IFERROR(VLOOKUP(A4034, IMPORTRANGE(""https://docs.google.com/spreadsheets/d/1AVX9GT0dgogEBStecCXMMQ29tWz3gBrtNB8yIromXbY/edit?gid=741673867"", ""out1g!A:B""), 2, FALSE), 0)"),169.0)</f>
        <v>169</v>
      </c>
      <c r="D4034" s="2" t="str">
        <f>IFERROR(__xludf.DUMMYFUNCTION("IFERROR(VLOOKUP(A4034, IMPORTRANGE(""https://docs.google.com/spreadsheets/d/1-3Vjw2Cyy-mry5gbC8ypIR3YVGFfEpyFESummAta6sg/edit"", ""Sheet1!B:D""), 2, FALSE), ""Not Found"")"),"spaɪsi")</f>
        <v>spaɪsi</v>
      </c>
      <c r="E4034" s="2" t="str">
        <f>IFERROR(__xludf.DUMMYFUNCTION("IFERROR(VLOOKUP(A4034, IMPORTRANGE(""https://docs.google.com/spreadsheets/d/1-3Vjw2Cyy-mry5gbC8ypIR3YVGFfEpyFESummAta6sg/edit"", ""Sheet1!B:D""), 3, FALSE), ""Not Found"")"),"s p a ɪ s i ")</f>
        <v>s p a ɪ s i </v>
      </c>
    </row>
    <row r="4035">
      <c r="A4035" s="1" t="s">
        <v>4036</v>
      </c>
      <c r="B4035" s="1" t="s">
        <v>5</v>
      </c>
      <c r="C4035" s="2">
        <f>IFERROR(__xludf.DUMMYFUNCTION("IFERROR(VLOOKUP(A4035, IMPORTRANGE(""https://docs.google.com/spreadsheets/d/1AVX9GT0dgogEBStecCXMMQ29tWz3gBrtNB8yIromXbY/edit?gid=741673867"", ""out1g!A:B""), 2, FALSE), 0)"),12800.0)</f>
        <v>12800</v>
      </c>
      <c r="D4035" s="2" t="str">
        <f>IFERROR(__xludf.DUMMYFUNCTION("IFERROR(VLOOKUP(A4035, IMPORTRANGE(""https://docs.google.com/spreadsheets/d/1-3Vjw2Cyy-mry5gbC8ypIR3YVGFfEpyFESummAta6sg/edit"", ""Sheet1!B:D""), 2, FALSE), ""Not Found"")"),"maɪn")</f>
        <v>maɪn</v>
      </c>
      <c r="E4035" s="2" t="str">
        <f>IFERROR(__xludf.DUMMYFUNCTION("IFERROR(VLOOKUP(A4035, IMPORTRANGE(""https://docs.google.com/spreadsheets/d/1-3Vjw2Cyy-mry5gbC8ypIR3YVGFfEpyFESummAta6sg/edit"", ""Sheet1!B:D""), 3, FALSE), ""Not Found"")"),"m a ɪ n ")</f>
        <v>m a ɪ n </v>
      </c>
    </row>
    <row r="4036">
      <c r="A4036" s="1" t="s">
        <v>4037</v>
      </c>
      <c r="B4036" s="1" t="s">
        <v>5</v>
      </c>
      <c r="C4036" s="2">
        <f>IFERROR(__xludf.DUMMYFUNCTION("IFERROR(VLOOKUP(A4036, IMPORTRANGE(""https://docs.google.com/spreadsheets/d/1AVX9GT0dgogEBStecCXMMQ29tWz3gBrtNB8yIromXbY/edit?gid=741673867"", ""out1g!A:B""), 2, FALSE), 0)"),284.0)</f>
        <v>284</v>
      </c>
      <c r="D4036" s="2" t="str">
        <f>IFERROR(__xludf.DUMMYFUNCTION("IFERROR(VLOOKUP(A4036, IMPORTRANGE(""https://docs.google.com/spreadsheets/d/1-3Vjw2Cyy-mry5gbC8ypIR3YVGFfEpyFESummAta6sg/edit"", ""Sheet1!B:D""), 2, FALSE), ""Not Found"")"),"tɔlər")</f>
        <v>tɔlər</v>
      </c>
      <c r="E4036" s="2" t="str">
        <f>IFERROR(__xludf.DUMMYFUNCTION("IFERROR(VLOOKUP(A4036, IMPORTRANGE(""https://docs.google.com/spreadsheets/d/1-3Vjw2Cyy-mry5gbC8ypIR3YVGFfEpyFESummAta6sg/edit"", ""Sheet1!B:D""), 3, FALSE), ""Not Found"")"),"t ɔ l ə r ")</f>
        <v>t ɔ l ə r </v>
      </c>
    </row>
    <row r="4037">
      <c r="A4037" s="1" t="s">
        <v>4038</v>
      </c>
      <c r="B4037" s="1" t="s">
        <v>5</v>
      </c>
      <c r="C4037" s="2">
        <f>IFERROR(__xludf.DUMMYFUNCTION("IFERROR(VLOOKUP(A4037, IMPORTRANGE(""https://docs.google.com/spreadsheets/d/1AVX9GT0dgogEBStecCXMMQ29tWz3gBrtNB8yIromXbY/edit?gid=741673867"", ""out1g!A:B""), 2, FALSE), 0)"),54.0)</f>
        <v>54</v>
      </c>
      <c r="D4037" s="2" t="str">
        <f>IFERROR(__xludf.DUMMYFUNCTION("IFERROR(VLOOKUP(A4037, IMPORTRANGE(""https://docs.google.com/spreadsheets/d/1-3Vjw2Cyy-mry5gbC8ypIR3YVGFfEpyFESummAta6sg/edit"", ""Sheet1!B:D""), 2, FALSE), ""Not Found"")"),"koʊlz")</f>
        <v>koʊlz</v>
      </c>
      <c r="E4037" s="2" t="str">
        <f>IFERROR(__xludf.DUMMYFUNCTION("IFERROR(VLOOKUP(A4037, IMPORTRANGE(""https://docs.google.com/spreadsheets/d/1-3Vjw2Cyy-mry5gbC8ypIR3YVGFfEpyFESummAta6sg/edit"", ""Sheet1!B:D""), 3, FALSE), ""Not Found"")"),"k o ʊ l z ")</f>
        <v>k o ʊ l z </v>
      </c>
    </row>
    <row r="4038">
      <c r="A4038" s="1" t="s">
        <v>4039</v>
      </c>
      <c r="B4038" s="1" t="s">
        <v>5</v>
      </c>
      <c r="C4038" s="2">
        <f>IFERROR(__xludf.DUMMYFUNCTION("IFERROR(VLOOKUP(A4038, IMPORTRANGE(""https://docs.google.com/spreadsheets/d/1AVX9GT0dgogEBStecCXMMQ29tWz3gBrtNB8yIromXbY/edit?gid=741673867"", ""out1g!A:B""), 2, FALSE), 0)"),2381.0)</f>
        <v>2381</v>
      </c>
      <c r="D4038" s="2" t="str">
        <f>IFERROR(__xludf.DUMMYFUNCTION("IFERROR(VLOOKUP(A4038, IMPORTRANGE(""https://docs.google.com/spreadsheets/d/1-3Vjw2Cyy-mry5gbC8ypIR3YVGFfEpyFESummAta6sg/edit"", ""Sheet1!B:D""), 2, FALSE), ""Not Found"")"),"sænə")</f>
        <v>sænə</v>
      </c>
      <c r="E4038" s="2" t="str">
        <f>IFERROR(__xludf.DUMMYFUNCTION("IFERROR(VLOOKUP(A4038, IMPORTRANGE(""https://docs.google.com/spreadsheets/d/1-3Vjw2Cyy-mry5gbC8ypIR3YVGFfEpyFESummAta6sg/edit"", ""Sheet1!B:D""), 3, FALSE), ""Not Found"")"),"s æ n ə ")</f>
        <v>s æ n ə </v>
      </c>
    </row>
    <row r="4039">
      <c r="A4039" s="1" t="s">
        <v>4040</v>
      </c>
      <c r="B4039" s="1" t="s">
        <v>5</v>
      </c>
      <c r="C4039" s="2">
        <f>IFERROR(__xludf.DUMMYFUNCTION("IFERROR(VLOOKUP(A4039, IMPORTRANGE(""https://docs.google.com/spreadsheets/d/1AVX9GT0dgogEBStecCXMMQ29tWz3gBrtNB8yIromXbY/edit?gid=741673867"", ""out1g!A:B""), 2, FALSE), 0)"),146.0)</f>
        <v>146</v>
      </c>
      <c r="D4039" s="2" t="str">
        <f>IFERROR(__xludf.DUMMYFUNCTION("IFERROR(VLOOKUP(A4039, IMPORTRANGE(""https://docs.google.com/spreadsheets/d/1-3Vjw2Cyy-mry5gbC8ypIR3YVGFfEpyFESummAta6sg/edit"", ""Sheet1!B:D""), 2, FALSE), ""Not Found"")"),"wɪts")</f>
        <v>wɪts</v>
      </c>
      <c r="E4039" s="2" t="str">
        <f>IFERROR(__xludf.DUMMYFUNCTION("IFERROR(VLOOKUP(A4039, IMPORTRANGE(""https://docs.google.com/spreadsheets/d/1-3Vjw2Cyy-mry5gbC8ypIR3YVGFfEpyFESummAta6sg/edit"", ""Sheet1!B:D""), 3, FALSE), ""Not Found"")"),"w ɪ t s ")</f>
        <v>w ɪ t s </v>
      </c>
    </row>
    <row r="4040">
      <c r="A4040" s="1" t="s">
        <v>4041</v>
      </c>
      <c r="B4040" s="1" t="s">
        <v>5</v>
      </c>
      <c r="C4040" s="2">
        <f>IFERROR(__xludf.DUMMYFUNCTION("IFERROR(VLOOKUP(A4040, IMPORTRANGE(""https://docs.google.com/spreadsheets/d/1AVX9GT0dgogEBStecCXMMQ29tWz3gBrtNB8yIromXbY/edit?gid=741673867"", ""out1g!A:B""), 2, FALSE), 0)"),161.0)</f>
        <v>161</v>
      </c>
      <c r="D4040" s="2" t="str">
        <f>IFERROR(__xludf.DUMMYFUNCTION("IFERROR(VLOOKUP(A4040, IMPORTRANGE(""https://docs.google.com/spreadsheets/d/1-3Vjw2Cyy-mry5gbC8ypIR3YVGFfEpyFESummAta6sg/edit"", ""Sheet1!B:D""), 2, FALSE), ""Not Found"")"),"snɪʧ")</f>
        <v>snɪʧ</v>
      </c>
      <c r="E4040" s="2" t="str">
        <f>IFERROR(__xludf.DUMMYFUNCTION("IFERROR(VLOOKUP(A4040, IMPORTRANGE(""https://docs.google.com/spreadsheets/d/1-3Vjw2Cyy-mry5gbC8ypIR3YVGFfEpyFESummAta6sg/edit"", ""Sheet1!B:D""), 3, FALSE), ""Not Found"")"),"s n ɪ ʧ ")</f>
        <v>s n ɪ ʧ </v>
      </c>
    </row>
    <row r="4041">
      <c r="A4041" s="1" t="s">
        <v>4042</v>
      </c>
      <c r="B4041" s="1" t="s">
        <v>5</v>
      </c>
      <c r="C4041" s="2">
        <f>IFERROR(__xludf.DUMMYFUNCTION("IFERROR(VLOOKUP(A4041, IMPORTRANGE(""https://docs.google.com/spreadsheets/d/1AVX9GT0dgogEBStecCXMMQ29tWz3gBrtNB8yIromXbY/edit?gid=741673867"", ""out1g!A:B""), 2, FALSE), 0)"),79.0)</f>
        <v>79</v>
      </c>
      <c r="D4041" s="2" t="str">
        <f>IFERROR(__xludf.DUMMYFUNCTION("IFERROR(VLOOKUP(A4041, IMPORTRANGE(""https://docs.google.com/spreadsheets/d/1-3Vjw2Cyy-mry5gbC8ypIR3YVGFfEpyFESummAta6sg/edit"", ""Sheet1!B:D""), 2, FALSE), ""Not Found"")"),"tɛnər")</f>
        <v>tɛnər</v>
      </c>
      <c r="E4041" s="2" t="str">
        <f>IFERROR(__xludf.DUMMYFUNCTION("IFERROR(VLOOKUP(A4041, IMPORTRANGE(""https://docs.google.com/spreadsheets/d/1-3Vjw2Cyy-mry5gbC8ypIR3YVGFfEpyFESummAta6sg/edit"", ""Sheet1!B:D""), 3, FALSE), ""Not Found"")"),"t ɛ n ə r ")</f>
        <v>t ɛ n ə r </v>
      </c>
    </row>
    <row r="4042">
      <c r="A4042" s="1" t="s">
        <v>4043</v>
      </c>
      <c r="B4042" s="1" t="s">
        <v>5</v>
      </c>
      <c r="C4042" s="2">
        <f>IFERROR(__xludf.DUMMYFUNCTION("IFERROR(VLOOKUP(A4042, IMPORTRANGE(""https://docs.google.com/spreadsheets/d/1AVX9GT0dgogEBStecCXMMQ29tWz3gBrtNB8yIromXbY/edit?gid=741673867"", ""out1g!A:B""), 2, FALSE), 0)"),79.0)</f>
        <v>79</v>
      </c>
      <c r="D4042" s="2" t="str">
        <f>IFERROR(__xludf.DUMMYFUNCTION("IFERROR(VLOOKUP(A4042, IMPORTRANGE(""https://docs.google.com/spreadsheets/d/1-3Vjw2Cyy-mry5gbC8ypIR3YVGFfEpyFESummAta6sg/edit"", ""Sheet1!B:D""), 2, FALSE), ""Not Found"")"),"frɪsk")</f>
        <v>frɪsk</v>
      </c>
      <c r="E4042" s="2" t="str">
        <f>IFERROR(__xludf.DUMMYFUNCTION("IFERROR(VLOOKUP(A4042, IMPORTRANGE(""https://docs.google.com/spreadsheets/d/1-3Vjw2Cyy-mry5gbC8ypIR3YVGFfEpyFESummAta6sg/edit"", ""Sheet1!B:D""), 3, FALSE), ""Not Found"")"),"f r ɪ s k ")</f>
        <v>f r ɪ s k </v>
      </c>
    </row>
    <row r="4043">
      <c r="A4043" s="1" t="s">
        <v>4044</v>
      </c>
      <c r="B4043" s="1" t="s">
        <v>5</v>
      </c>
      <c r="C4043" s="2">
        <f>IFERROR(__xludf.DUMMYFUNCTION("IFERROR(VLOOKUP(A4043, IMPORTRANGE(""https://docs.google.com/spreadsheets/d/1AVX9GT0dgogEBStecCXMMQ29tWz3gBrtNB8yIromXbY/edit?gid=741673867"", ""out1g!A:B""), 2, FALSE), 0)"),52.0)</f>
        <v>52</v>
      </c>
      <c r="D4043" s="2" t="str">
        <f>IFERROR(__xludf.DUMMYFUNCTION("IFERROR(VLOOKUP(A4043, IMPORTRANGE(""https://docs.google.com/spreadsheets/d/1-3Vjw2Cyy-mry5gbC8ypIR3YVGFfEpyFESummAta6sg/edit"", ""Sheet1!B:D""), 2, FALSE), ""Not Found"")"),"krɔlz")</f>
        <v>krɔlz</v>
      </c>
      <c r="E4043" s="2" t="str">
        <f>IFERROR(__xludf.DUMMYFUNCTION("IFERROR(VLOOKUP(A4043, IMPORTRANGE(""https://docs.google.com/spreadsheets/d/1-3Vjw2Cyy-mry5gbC8ypIR3YVGFfEpyFESummAta6sg/edit"", ""Sheet1!B:D""), 3, FALSE), ""Not Found"")"),"k r ɔ l z ")</f>
        <v>k r ɔ l z </v>
      </c>
    </row>
    <row r="4044">
      <c r="A4044" s="1" t="s">
        <v>4045</v>
      </c>
      <c r="B4044" s="1" t="s">
        <v>5</v>
      </c>
      <c r="C4044" s="2">
        <f>IFERROR(__xludf.DUMMYFUNCTION("IFERROR(VLOOKUP(A4044, IMPORTRANGE(""https://docs.google.com/spreadsheets/d/1AVX9GT0dgogEBStecCXMMQ29tWz3gBrtNB8yIromXbY/edit?gid=741673867"", ""out1g!A:B""), 2, FALSE), 0)"),90.0)</f>
        <v>90</v>
      </c>
      <c r="D4044" s="2" t="str">
        <f>IFERROR(__xludf.DUMMYFUNCTION("IFERROR(VLOOKUP(A4044, IMPORTRANGE(""https://docs.google.com/spreadsheets/d/1-3Vjw2Cyy-mry5gbC8ypIR3YVGFfEpyFESummAta6sg/edit"", ""Sheet1!B:D""), 2, FALSE), ""Not Found"")"),"mɛkə")</f>
        <v>mɛkə</v>
      </c>
      <c r="E4044" s="2" t="str">
        <f>IFERROR(__xludf.DUMMYFUNCTION("IFERROR(VLOOKUP(A4044, IMPORTRANGE(""https://docs.google.com/spreadsheets/d/1-3Vjw2Cyy-mry5gbC8ypIR3YVGFfEpyFESummAta6sg/edit"", ""Sheet1!B:D""), 3, FALSE), ""Not Found"")"),"m ɛ k ə ")</f>
        <v>m ɛ k ə </v>
      </c>
    </row>
    <row r="4045">
      <c r="A4045" s="1" t="s">
        <v>4046</v>
      </c>
      <c r="B4045" s="1" t="s">
        <v>5</v>
      </c>
      <c r="C4045" s="2">
        <f>IFERROR(__xludf.DUMMYFUNCTION("IFERROR(VLOOKUP(A4045, IMPORTRANGE(""https://docs.google.com/spreadsheets/d/1AVX9GT0dgogEBStecCXMMQ29tWz3gBrtNB8yIromXbY/edit?gid=741673867"", ""out1g!A:B""), 2, FALSE), 0)"),495.0)</f>
        <v>495</v>
      </c>
      <c r="D4045" s="2" t="str">
        <f>IFERROR(__xludf.DUMMYFUNCTION("IFERROR(VLOOKUP(A4045, IMPORTRANGE(""https://docs.google.com/spreadsheets/d/1-3Vjw2Cyy-mry5gbC8ypIR3YVGFfEpyFESummAta6sg/edit"", ""Sheet1!B:D""), 2, FALSE), ""Not Found"")"),"ris")</f>
        <v>ris</v>
      </c>
      <c r="E4045" s="2" t="str">
        <f>IFERROR(__xludf.DUMMYFUNCTION("IFERROR(VLOOKUP(A4045, IMPORTRANGE(""https://docs.google.com/spreadsheets/d/1-3Vjw2Cyy-mry5gbC8ypIR3YVGFfEpyFESummAta6sg/edit"", ""Sheet1!B:D""), 3, FALSE), ""Not Found"")"),"r i s ")</f>
        <v>r i s </v>
      </c>
    </row>
    <row r="4046">
      <c r="A4046" s="1" t="s">
        <v>4047</v>
      </c>
      <c r="B4046" s="1" t="s">
        <v>5</v>
      </c>
      <c r="C4046" s="2">
        <f>IFERROR(__xludf.DUMMYFUNCTION("IFERROR(VLOOKUP(A4046, IMPORTRANGE(""https://docs.google.com/spreadsheets/d/1AVX9GT0dgogEBStecCXMMQ29tWz3gBrtNB8yIromXbY/edit?gid=741673867"", ""out1g!A:B""), 2, FALSE), 0)"),107.0)</f>
        <v>107</v>
      </c>
      <c r="D4046" s="2" t="str">
        <f>IFERROR(__xludf.DUMMYFUNCTION("IFERROR(VLOOKUP(A4046, IMPORTRANGE(""https://docs.google.com/spreadsheets/d/1-3Vjw2Cyy-mry5gbC8ypIR3YVGFfEpyFESummAta6sg/edit"", ""Sheet1!B:D""), 2, FALSE), ""Not Found"")"),"prɪnər")</f>
        <v>prɪnər</v>
      </c>
      <c r="E4046" s="2" t="str">
        <f>IFERROR(__xludf.DUMMYFUNCTION("IFERROR(VLOOKUP(A4046, IMPORTRANGE(""https://docs.google.com/spreadsheets/d/1-3Vjw2Cyy-mry5gbC8ypIR3YVGFfEpyFESummAta6sg/edit"", ""Sheet1!B:D""), 3, FALSE), ""Not Found"")"),"p r ɪ n ə r ")</f>
        <v>p r ɪ n ə r </v>
      </c>
    </row>
    <row r="4047">
      <c r="A4047" s="1" t="s">
        <v>4048</v>
      </c>
      <c r="B4047" s="1" t="s">
        <v>5</v>
      </c>
      <c r="C4047" s="2">
        <f>IFERROR(__xludf.DUMMYFUNCTION("IFERROR(VLOOKUP(A4047, IMPORTRANGE(""https://docs.google.com/spreadsheets/d/1AVX9GT0dgogEBStecCXMMQ29tWz3gBrtNB8yIromXbY/edit?gid=741673867"", ""out1g!A:B""), 2, FALSE), 0)"),230.0)</f>
        <v>230</v>
      </c>
      <c r="D4047" s="2" t="str">
        <f>IFERROR(__xludf.DUMMYFUNCTION("IFERROR(VLOOKUP(A4047, IMPORTRANGE(""https://docs.google.com/spreadsheets/d/1-3Vjw2Cyy-mry5gbC8ypIR3YVGFfEpyFESummAta6sg/edit"", ""Sheet1!B:D""), 2, FALSE), ""Not Found"")"),"fɑrmərz")</f>
        <v>fɑrmərz</v>
      </c>
      <c r="E4047" s="2" t="str">
        <f>IFERROR(__xludf.DUMMYFUNCTION("IFERROR(VLOOKUP(A4047, IMPORTRANGE(""https://docs.google.com/spreadsheets/d/1-3Vjw2Cyy-mry5gbC8ypIR3YVGFfEpyFESummAta6sg/edit"", ""Sheet1!B:D""), 3, FALSE), ""Not Found"")"),"f ɑ r m ə r z ")</f>
        <v>f ɑ r m ə r z </v>
      </c>
    </row>
    <row r="4048">
      <c r="A4048" s="1" t="s">
        <v>4049</v>
      </c>
      <c r="B4048" s="1" t="s">
        <v>5</v>
      </c>
      <c r="C4048" s="2">
        <f>IFERROR(__xludf.DUMMYFUNCTION("IFERROR(VLOOKUP(A4048, IMPORTRANGE(""https://docs.google.com/spreadsheets/d/1AVX9GT0dgogEBStecCXMMQ29tWz3gBrtNB8yIromXbY/edit?gid=741673867"", ""out1g!A:B""), 2, FALSE), 0)"),828.0)</f>
        <v>828</v>
      </c>
      <c r="D4048" s="2" t="str">
        <f>IFERROR(__xludf.DUMMYFUNCTION("IFERROR(VLOOKUP(A4048, IMPORTRANGE(""https://docs.google.com/spreadsheets/d/1-3Vjw2Cyy-mry5gbC8ypIR3YVGFfEpyFESummAta6sg/edit"", ""Sheet1!B:D""), 2, FALSE), ""Not Found"")"),"gləvz")</f>
        <v>gləvz</v>
      </c>
      <c r="E4048" s="2" t="str">
        <f>IFERROR(__xludf.DUMMYFUNCTION("IFERROR(VLOOKUP(A4048, IMPORTRANGE(""https://docs.google.com/spreadsheets/d/1-3Vjw2Cyy-mry5gbC8ypIR3YVGFfEpyFESummAta6sg/edit"", ""Sheet1!B:D""), 3, FALSE), ""Not Found"")"),"g l ə v z ")</f>
        <v>g l ə v z </v>
      </c>
    </row>
    <row r="4049">
      <c r="A4049" s="1" t="s">
        <v>4050</v>
      </c>
      <c r="B4049" s="1" t="s">
        <v>5</v>
      </c>
      <c r="C4049" s="2">
        <f>IFERROR(__xludf.DUMMYFUNCTION("IFERROR(VLOOKUP(A4049, IMPORTRANGE(""https://docs.google.com/spreadsheets/d/1AVX9GT0dgogEBStecCXMMQ29tWz3gBrtNB8yIromXbY/edit?gid=741673867"", ""out1g!A:B""), 2, FALSE), 0)"),2285.0)</f>
        <v>2285</v>
      </c>
      <c r="D4049" s="2" t="str">
        <f>IFERROR(__xludf.DUMMYFUNCTION("IFERROR(VLOOKUP(A4049, IMPORTRANGE(""https://docs.google.com/spreadsheets/d/1-3Vjw2Cyy-mry5gbC8ypIR3YVGFfEpyFESummAta6sg/edit"", ""Sheet1!B:D""), 2, FALSE), ""Not Found"")"),"skaɪ")</f>
        <v>skaɪ</v>
      </c>
      <c r="E4049" s="2" t="str">
        <f>IFERROR(__xludf.DUMMYFUNCTION("IFERROR(VLOOKUP(A4049, IMPORTRANGE(""https://docs.google.com/spreadsheets/d/1-3Vjw2Cyy-mry5gbC8ypIR3YVGFfEpyFESummAta6sg/edit"", ""Sheet1!B:D""), 3, FALSE), ""Not Found"")"),"s k a ɪ ")</f>
        <v>s k a ɪ </v>
      </c>
    </row>
    <row r="4050">
      <c r="A4050" s="1" t="s">
        <v>4051</v>
      </c>
      <c r="B4050" s="1" t="s">
        <v>5</v>
      </c>
      <c r="C4050" s="2">
        <f>IFERROR(__xludf.DUMMYFUNCTION("IFERROR(VLOOKUP(A4050, IMPORTRANGE(""https://docs.google.com/spreadsheets/d/1AVX9GT0dgogEBStecCXMMQ29tWz3gBrtNB8yIromXbY/edit?gid=741673867"", ""out1g!A:B""), 2, FALSE), 0)"),170.0)</f>
        <v>170</v>
      </c>
      <c r="D4050" s="2" t="str">
        <f>IFERROR(__xludf.DUMMYFUNCTION("IFERROR(VLOOKUP(A4050, IMPORTRANGE(""https://docs.google.com/spreadsheets/d/1-3Vjw2Cyy-mry5gbC8ypIR3YVGFfEpyFESummAta6sg/edit"", ""Sheet1!B:D""), 2, FALSE), ""Not Found"")"),"blæks")</f>
        <v>blæks</v>
      </c>
      <c r="E4050" s="2" t="str">
        <f>IFERROR(__xludf.DUMMYFUNCTION("IFERROR(VLOOKUP(A4050, IMPORTRANGE(""https://docs.google.com/spreadsheets/d/1-3Vjw2Cyy-mry5gbC8ypIR3YVGFfEpyFESummAta6sg/edit"", ""Sheet1!B:D""), 3, FALSE), ""Not Found"")"),"b l æ k s ")</f>
        <v>b l æ k s </v>
      </c>
    </row>
    <row r="4051">
      <c r="A4051" s="1" t="s">
        <v>4052</v>
      </c>
      <c r="B4051" s="1" t="s">
        <v>5</v>
      </c>
      <c r="C4051" s="2">
        <f>IFERROR(__xludf.DUMMYFUNCTION("IFERROR(VLOOKUP(A4051, IMPORTRANGE(""https://docs.google.com/spreadsheets/d/1AVX9GT0dgogEBStecCXMMQ29tWz3gBrtNB8yIromXbY/edit?gid=741673867"", ""out1g!A:B""), 2, FALSE), 0)"),173.0)</f>
        <v>173</v>
      </c>
      <c r="D4051" s="2" t="str">
        <f>IFERROR(__xludf.DUMMYFUNCTION("IFERROR(VLOOKUP(A4051, IMPORTRANGE(""https://docs.google.com/spreadsheets/d/1-3Vjw2Cyy-mry5gbC8ypIR3YVGFfEpyFESummAta6sg/edit"", ""Sheet1!B:D""), 2, FALSE), ""Not Found"")"),"snæks")</f>
        <v>snæks</v>
      </c>
      <c r="E4051" s="2" t="str">
        <f>IFERROR(__xludf.DUMMYFUNCTION("IFERROR(VLOOKUP(A4051, IMPORTRANGE(""https://docs.google.com/spreadsheets/d/1-3Vjw2Cyy-mry5gbC8ypIR3YVGFfEpyFESummAta6sg/edit"", ""Sheet1!B:D""), 3, FALSE), ""Not Found"")"),"s n æ k s ")</f>
        <v>s n æ k s </v>
      </c>
    </row>
    <row r="4052">
      <c r="A4052" s="1" t="s">
        <v>4053</v>
      </c>
      <c r="B4052" s="1" t="s">
        <v>5</v>
      </c>
      <c r="C4052" s="2">
        <f>IFERROR(__xludf.DUMMYFUNCTION("IFERROR(VLOOKUP(A4052, IMPORTRANGE(""https://docs.google.com/spreadsheets/d/1AVX9GT0dgogEBStecCXMMQ29tWz3gBrtNB8yIromXbY/edit?gid=741673867"", ""out1g!A:B""), 2, FALSE), 0)"),104.0)</f>
        <v>104</v>
      </c>
      <c r="D4052" s="2" t="str">
        <f>IFERROR(__xludf.DUMMYFUNCTION("IFERROR(VLOOKUP(A4052, IMPORTRANGE(""https://docs.google.com/spreadsheets/d/1-3Vjw2Cyy-mry5gbC8ypIR3YVGFfEpyFESummAta6sg/edit"", ""Sheet1!B:D""), 2, FALSE), ""Not Found"")"),"brʊk")</f>
        <v>brʊk</v>
      </c>
      <c r="E4052" s="2" t="str">
        <f>IFERROR(__xludf.DUMMYFUNCTION("IFERROR(VLOOKUP(A4052, IMPORTRANGE(""https://docs.google.com/spreadsheets/d/1-3Vjw2Cyy-mry5gbC8ypIR3YVGFfEpyFESummAta6sg/edit"", ""Sheet1!B:D""), 3, FALSE), ""Not Found"")"),"b r ʊ k ")</f>
        <v>b r ʊ k </v>
      </c>
    </row>
    <row r="4053">
      <c r="A4053" s="1" t="s">
        <v>4054</v>
      </c>
      <c r="B4053" s="1" t="s">
        <v>5</v>
      </c>
      <c r="C4053" s="2">
        <f>IFERROR(__xludf.DUMMYFUNCTION("IFERROR(VLOOKUP(A4053, IMPORTRANGE(""https://docs.google.com/spreadsheets/d/1AVX9GT0dgogEBStecCXMMQ29tWz3gBrtNB8yIromXbY/edit?gid=741673867"", ""out1g!A:B""), 2, FALSE), 0)"),388.0)</f>
        <v>388</v>
      </c>
      <c r="D4053" s="2" t="str">
        <f>IFERROR(__xludf.DUMMYFUNCTION("IFERROR(VLOOKUP(A4053, IMPORTRANGE(""https://docs.google.com/spreadsheets/d/1-3Vjw2Cyy-mry5gbC8ypIR3YVGFfEpyFESummAta6sg/edit"", ""Sheet1!B:D""), 2, FALSE), ""Not Found"")"),"spun")</f>
        <v>spun</v>
      </c>
      <c r="E4053" s="2" t="str">
        <f>IFERROR(__xludf.DUMMYFUNCTION("IFERROR(VLOOKUP(A4053, IMPORTRANGE(""https://docs.google.com/spreadsheets/d/1-3Vjw2Cyy-mry5gbC8ypIR3YVGFfEpyFESummAta6sg/edit"", ""Sheet1!B:D""), 3, FALSE), ""Not Found"")"),"s p u n ")</f>
        <v>s p u n </v>
      </c>
    </row>
    <row r="4054">
      <c r="A4054" s="1" t="s">
        <v>4055</v>
      </c>
      <c r="B4054" s="1" t="s">
        <v>5</v>
      </c>
      <c r="C4054" s="2">
        <f>IFERROR(__xludf.DUMMYFUNCTION("IFERROR(VLOOKUP(A4054, IMPORTRANGE(""https://docs.google.com/spreadsheets/d/1AVX9GT0dgogEBStecCXMMQ29tWz3gBrtNB8yIromXbY/edit?gid=741673867"", ""out1g!A:B""), 2, FALSE), 0)"),215.0)</f>
        <v>215</v>
      </c>
      <c r="D4054" s="2" t="str">
        <f>IFERROR(__xludf.DUMMYFUNCTION("IFERROR(VLOOKUP(A4054, IMPORTRANGE(""https://docs.google.com/spreadsheets/d/1-3Vjw2Cyy-mry5gbC8ypIR3YVGFfEpyFESummAta6sg/edit"", ""Sheet1!B:D""), 2, FALSE), ""Not Found"")"),"koʊkoʊ")</f>
        <v>koʊkoʊ</v>
      </c>
      <c r="E4054" s="2" t="str">
        <f>IFERROR(__xludf.DUMMYFUNCTION("IFERROR(VLOOKUP(A4054, IMPORTRANGE(""https://docs.google.com/spreadsheets/d/1-3Vjw2Cyy-mry5gbC8ypIR3YVGFfEpyFESummAta6sg/edit"", ""Sheet1!B:D""), 3, FALSE), ""Not Found"")"),"k o ʊ k o ʊ ")</f>
        <v>k o ʊ k o ʊ </v>
      </c>
    </row>
    <row r="4055">
      <c r="A4055" s="1" t="s">
        <v>4056</v>
      </c>
      <c r="B4055" s="1" t="s">
        <v>5</v>
      </c>
      <c r="C4055" s="2">
        <f>IFERROR(__xludf.DUMMYFUNCTION("IFERROR(VLOOKUP(A4055, IMPORTRANGE(""https://docs.google.com/spreadsheets/d/1AVX9GT0dgogEBStecCXMMQ29tWz3gBrtNB8yIromXbY/edit?gid=741673867"", ""out1g!A:B""), 2, FALSE), 0)"),156.0)</f>
        <v>156</v>
      </c>
      <c r="D4055" s="2" t="str">
        <f>IFERROR(__xludf.DUMMYFUNCTION("IFERROR(VLOOKUP(A4055, IMPORTRANGE(""https://docs.google.com/spreadsheets/d/1-3Vjw2Cyy-mry5gbC8ypIR3YVGFfEpyFESummAta6sg/edit"", ""Sheet1!B:D""), 2, FALSE), ""Not Found"")"),"vɪn")</f>
        <v>vɪn</v>
      </c>
      <c r="E4055" s="2" t="str">
        <f>IFERROR(__xludf.DUMMYFUNCTION("IFERROR(VLOOKUP(A4055, IMPORTRANGE(""https://docs.google.com/spreadsheets/d/1-3Vjw2Cyy-mry5gbC8ypIR3YVGFfEpyFESummAta6sg/edit"", ""Sheet1!B:D""), 3, FALSE), ""Not Found"")"),"v ɪ n ")</f>
        <v>v ɪ n </v>
      </c>
    </row>
    <row r="4056">
      <c r="A4056" s="1" t="s">
        <v>4057</v>
      </c>
      <c r="B4056" s="1" t="s">
        <v>5</v>
      </c>
      <c r="C4056" s="2">
        <f>IFERROR(__xludf.DUMMYFUNCTION("IFERROR(VLOOKUP(A4056, IMPORTRANGE(""https://docs.google.com/spreadsheets/d/1AVX9GT0dgogEBStecCXMMQ29tWz3gBrtNB8yIromXbY/edit?gid=741673867"", ""out1g!A:B""), 2, FALSE), 0)"),76.0)</f>
        <v>76</v>
      </c>
      <c r="D4056" s="2" t="str">
        <f>IFERROR(__xludf.DUMMYFUNCTION("IFERROR(VLOOKUP(A4056, IMPORTRANGE(""https://docs.google.com/spreadsheets/d/1-3Vjw2Cyy-mry5gbC8ypIR3YVGFfEpyFESummAta6sg/edit"", ""Sheet1!B:D""), 2, FALSE), ""Not Found"")"),"əstre")</f>
        <v>əstre</v>
      </c>
      <c r="E4056" s="2" t="str">
        <f>IFERROR(__xludf.DUMMYFUNCTION("IFERROR(VLOOKUP(A4056, IMPORTRANGE(""https://docs.google.com/spreadsheets/d/1-3Vjw2Cyy-mry5gbC8ypIR3YVGFfEpyFESummAta6sg/edit"", ""Sheet1!B:D""), 3, FALSE), ""Not Found"")"),"ə s t r e ")</f>
        <v>ə s t r e </v>
      </c>
    </row>
    <row r="4057">
      <c r="A4057" s="1" t="s">
        <v>4058</v>
      </c>
      <c r="B4057" s="1" t="s">
        <v>5</v>
      </c>
      <c r="C4057" s="2">
        <f>IFERROR(__xludf.DUMMYFUNCTION("IFERROR(VLOOKUP(A4057, IMPORTRANGE(""https://docs.google.com/spreadsheets/d/1AVX9GT0dgogEBStecCXMMQ29tWz3gBrtNB8yIromXbY/edit?gid=741673867"", ""out1g!A:B""), 2, FALSE), 0)"),31.0)</f>
        <v>31</v>
      </c>
      <c r="D4057" s="2" t="str">
        <f>IFERROR(__xludf.DUMMYFUNCTION("IFERROR(VLOOKUP(A4057, IMPORTRANGE(""https://docs.google.com/spreadsheets/d/1-3Vjw2Cyy-mry5gbC8ypIR3YVGFfEpyFESummAta6sg/edit"", ""Sheet1!B:D""), 2, FALSE), ""Not Found"")"),"foʊz")</f>
        <v>foʊz</v>
      </c>
      <c r="E4057" s="2" t="str">
        <f>IFERROR(__xludf.DUMMYFUNCTION("IFERROR(VLOOKUP(A4057, IMPORTRANGE(""https://docs.google.com/spreadsheets/d/1-3Vjw2Cyy-mry5gbC8ypIR3YVGFfEpyFESummAta6sg/edit"", ""Sheet1!B:D""), 3, FALSE), ""Not Found"")"),"f o ʊ z ")</f>
        <v>f o ʊ z </v>
      </c>
    </row>
    <row r="4058">
      <c r="A4058" s="1" t="s">
        <v>4059</v>
      </c>
      <c r="B4058" s="1" t="s">
        <v>5</v>
      </c>
      <c r="C4058" s="2">
        <f>IFERROR(__xludf.DUMMYFUNCTION("IFERROR(VLOOKUP(A4058, IMPORTRANGE(""https://docs.google.com/spreadsheets/d/1AVX9GT0dgogEBStecCXMMQ29tWz3gBrtNB8yIromXbY/edit?gid=741673867"", ""out1g!A:B""), 2, FALSE), 0)"),537.0)</f>
        <v>537</v>
      </c>
      <c r="D4058" s="2" t="str">
        <f>IFERROR(__xludf.DUMMYFUNCTION("IFERROR(VLOOKUP(A4058, IMPORTRANGE(""https://docs.google.com/spreadsheets/d/1-3Vjw2Cyy-mry5gbC8ypIR3YVGFfEpyFESummAta6sg/edit"", ""Sheet1!B:D""), 2, FALSE), ""Not Found"")"),"tɛstɪd")</f>
        <v>tɛstɪd</v>
      </c>
      <c r="E4058" s="2" t="str">
        <f>IFERROR(__xludf.DUMMYFUNCTION("IFERROR(VLOOKUP(A4058, IMPORTRANGE(""https://docs.google.com/spreadsheets/d/1-3Vjw2Cyy-mry5gbC8ypIR3YVGFfEpyFESummAta6sg/edit"", ""Sheet1!B:D""), 3, FALSE), ""Not Found"")"),"t ɛ s t ɪ d ")</f>
        <v>t ɛ s t ɪ d </v>
      </c>
    </row>
    <row r="4059">
      <c r="A4059" s="1" t="s">
        <v>4060</v>
      </c>
      <c r="B4059" s="1" t="s">
        <v>5</v>
      </c>
      <c r="C4059" s="2">
        <f>IFERROR(__xludf.DUMMYFUNCTION("IFERROR(VLOOKUP(A4059, IMPORTRANGE(""https://docs.google.com/spreadsheets/d/1AVX9GT0dgogEBStecCXMMQ29tWz3gBrtNB8yIromXbY/edit?gid=741673867"", ""out1g!A:B""), 2, FALSE), 0)"),237.0)</f>
        <v>237</v>
      </c>
      <c r="D4059" s="2" t="str">
        <f>IFERROR(__xludf.DUMMYFUNCTION("IFERROR(VLOOKUP(A4059, IMPORTRANGE(""https://docs.google.com/spreadsheets/d/1-3Vjw2Cyy-mry5gbC8ypIR3YVGFfEpyFESummAta6sg/edit"", ""Sheet1!B:D""), 2, FALSE), ""Not Found"")"),"frɪts")</f>
        <v>frɪts</v>
      </c>
      <c r="E4059" s="2" t="str">
        <f>IFERROR(__xludf.DUMMYFUNCTION("IFERROR(VLOOKUP(A4059, IMPORTRANGE(""https://docs.google.com/spreadsheets/d/1-3Vjw2Cyy-mry5gbC8ypIR3YVGFfEpyFESummAta6sg/edit"", ""Sheet1!B:D""), 3, FALSE), ""Not Found"")"),"f r ɪ t s ")</f>
        <v>f r ɪ t s </v>
      </c>
    </row>
    <row r="4060">
      <c r="A4060" s="1" t="s">
        <v>4061</v>
      </c>
      <c r="B4060" s="1" t="s">
        <v>5</v>
      </c>
      <c r="C4060" s="2">
        <f>IFERROR(__xludf.DUMMYFUNCTION("IFERROR(VLOOKUP(A4060, IMPORTRANGE(""https://docs.google.com/spreadsheets/d/1AVX9GT0dgogEBStecCXMMQ29tWz3gBrtNB8yIromXbY/edit?gid=741673867"", ""out1g!A:B""), 2, FALSE), 0)"),849.0)</f>
        <v>849</v>
      </c>
      <c r="D4060" s="2" t="str">
        <f>IFERROR(__xludf.DUMMYFUNCTION("IFERROR(VLOOKUP(A4060, IMPORTRANGE(""https://docs.google.com/spreadsheets/d/1-3Vjw2Cyy-mry5gbC8ypIR3YVGFfEpyFESummAta6sg/edit"", ""Sheet1!B:D""), 2, FALSE), ""Not Found"")"),"bɛni")</f>
        <v>bɛni</v>
      </c>
      <c r="E4060" s="2" t="str">
        <f>IFERROR(__xludf.DUMMYFUNCTION("IFERROR(VLOOKUP(A4060, IMPORTRANGE(""https://docs.google.com/spreadsheets/d/1-3Vjw2Cyy-mry5gbC8ypIR3YVGFfEpyFESummAta6sg/edit"", ""Sheet1!B:D""), 3, FALSE), ""Not Found"")"),"b ɛ n i ")</f>
        <v>b ɛ n i </v>
      </c>
    </row>
    <row r="4061">
      <c r="A4061" s="1" t="s">
        <v>4062</v>
      </c>
      <c r="B4061" s="1" t="s">
        <v>5</v>
      </c>
      <c r="C4061" s="2">
        <f>IFERROR(__xludf.DUMMYFUNCTION("IFERROR(VLOOKUP(A4061, IMPORTRANGE(""https://docs.google.com/spreadsheets/d/1AVX9GT0dgogEBStecCXMMQ29tWz3gBrtNB8yIromXbY/edit?gid=741673867"", ""out1g!A:B""), 2, FALSE), 0)"),382.0)</f>
        <v>382</v>
      </c>
      <c r="D4061" s="2" t="str">
        <f>IFERROR(__xludf.DUMMYFUNCTION("IFERROR(VLOOKUP(A4061, IMPORTRANGE(""https://docs.google.com/spreadsheets/d/1-3Vjw2Cyy-mry5gbC8ypIR3YVGFfEpyFESummAta6sg/edit"", ""Sheet1!B:D""), 2, FALSE), ""Not Found"")"),"flemz")</f>
        <v>flemz</v>
      </c>
      <c r="E4061" s="2" t="str">
        <f>IFERROR(__xludf.DUMMYFUNCTION("IFERROR(VLOOKUP(A4061, IMPORTRANGE(""https://docs.google.com/spreadsheets/d/1-3Vjw2Cyy-mry5gbC8ypIR3YVGFfEpyFESummAta6sg/edit"", ""Sheet1!B:D""), 3, FALSE), ""Not Found"")"),"f l e m z ")</f>
        <v>f l e m z </v>
      </c>
    </row>
    <row r="4062">
      <c r="A4062" s="1" t="s">
        <v>4063</v>
      </c>
      <c r="B4062" s="1" t="s">
        <v>5</v>
      </c>
      <c r="C4062" s="2">
        <f>IFERROR(__xludf.DUMMYFUNCTION("IFERROR(VLOOKUP(A4062, IMPORTRANGE(""https://docs.google.com/spreadsheets/d/1AVX9GT0dgogEBStecCXMMQ29tWz3gBrtNB8yIromXbY/edit?gid=741673867"", ""out1g!A:B""), 2, FALSE), 0)"),169.0)</f>
        <v>169</v>
      </c>
      <c r="D4062" s="2" t="str">
        <f>IFERROR(__xludf.DUMMYFUNCTION("IFERROR(VLOOKUP(A4062, IMPORTRANGE(""https://docs.google.com/spreadsheets/d/1-3Vjw2Cyy-mry5gbC8ypIR3YVGFfEpyFESummAta6sg/edit"", ""Sheet1!B:D""), 2, FALSE), ""Not Found"")"),"paʊ")</f>
        <v>paʊ</v>
      </c>
      <c r="E4062" s="2" t="str">
        <f>IFERROR(__xludf.DUMMYFUNCTION("IFERROR(VLOOKUP(A4062, IMPORTRANGE(""https://docs.google.com/spreadsheets/d/1-3Vjw2Cyy-mry5gbC8ypIR3YVGFfEpyFESummAta6sg/edit"", ""Sheet1!B:D""), 3, FALSE), ""Not Found"")"),"p a ʊ ")</f>
        <v>p a ʊ </v>
      </c>
    </row>
    <row r="4063">
      <c r="A4063" s="1" t="s">
        <v>4064</v>
      </c>
      <c r="B4063" s="1" t="s">
        <v>5</v>
      </c>
      <c r="C4063" s="2">
        <f>IFERROR(__xludf.DUMMYFUNCTION("IFERROR(VLOOKUP(A4063, IMPORTRANGE(""https://docs.google.com/spreadsheets/d/1AVX9GT0dgogEBStecCXMMQ29tWz3gBrtNB8yIromXbY/edit?gid=741673867"", ""out1g!A:B""), 2, FALSE), 0)"),111.0)</f>
        <v>111</v>
      </c>
      <c r="D4063" s="2" t="str">
        <f>IFERROR(__xludf.DUMMYFUNCTION("IFERROR(VLOOKUP(A4063, IMPORTRANGE(""https://docs.google.com/spreadsheets/d/1-3Vjw2Cyy-mry5gbC8ypIR3YVGFfEpyFESummAta6sg/edit"", ""Sheet1!B:D""), 2, FALSE), ""Not Found"")"),"smɪr")</f>
        <v>smɪr</v>
      </c>
      <c r="E4063" s="2" t="str">
        <f>IFERROR(__xludf.DUMMYFUNCTION("IFERROR(VLOOKUP(A4063, IMPORTRANGE(""https://docs.google.com/spreadsheets/d/1-3Vjw2Cyy-mry5gbC8ypIR3YVGFfEpyFESummAta6sg/edit"", ""Sheet1!B:D""), 3, FALSE), ""Not Found"")"),"s m ɪ r ")</f>
        <v>s m ɪ r </v>
      </c>
    </row>
    <row r="4064">
      <c r="A4064" s="1" t="s">
        <v>4065</v>
      </c>
      <c r="B4064" s="1" t="s">
        <v>5</v>
      </c>
      <c r="C4064" s="2">
        <f>IFERROR(__xludf.DUMMYFUNCTION("IFERROR(VLOOKUP(A4064, IMPORTRANGE(""https://docs.google.com/spreadsheets/d/1AVX9GT0dgogEBStecCXMMQ29tWz3gBrtNB8yIromXbY/edit?gid=741673867"", ""out1g!A:B""), 2, FALSE), 0)"),21.0)</f>
        <v>21</v>
      </c>
      <c r="D4064" s="2" t="str">
        <f>IFERROR(__xludf.DUMMYFUNCTION("IFERROR(VLOOKUP(A4064, IMPORTRANGE(""https://docs.google.com/spreadsheets/d/1-3Vjw2Cyy-mry5gbC8ypIR3YVGFfEpyFESummAta6sg/edit"", ""Sheet1!B:D""), 2, FALSE), ""Not Found"")"),"ʃɪr")</f>
        <v>ʃɪr</v>
      </c>
      <c r="E4064" s="2" t="str">
        <f>IFERROR(__xludf.DUMMYFUNCTION("IFERROR(VLOOKUP(A4064, IMPORTRANGE(""https://docs.google.com/spreadsheets/d/1-3Vjw2Cyy-mry5gbC8ypIR3YVGFfEpyFESummAta6sg/edit"", ""Sheet1!B:D""), 3, FALSE), ""Not Found"")"),"ʃ ɪ r ")</f>
        <v>ʃ ɪ r </v>
      </c>
    </row>
    <row r="4065">
      <c r="A4065" s="1" t="s">
        <v>4066</v>
      </c>
      <c r="B4065" s="1" t="s">
        <v>5</v>
      </c>
      <c r="C4065" s="2">
        <f>IFERROR(__xludf.DUMMYFUNCTION("IFERROR(VLOOKUP(A4065, IMPORTRANGE(""https://docs.google.com/spreadsheets/d/1AVX9GT0dgogEBStecCXMMQ29tWz3gBrtNB8yIromXbY/edit?gid=741673867"", ""out1g!A:B""), 2, FALSE), 0)"),425.0)</f>
        <v>425</v>
      </c>
      <c r="D4065" s="2" t="str">
        <f>IFERROR(__xludf.DUMMYFUNCTION("IFERROR(VLOOKUP(A4065, IMPORTRANGE(""https://docs.google.com/spreadsheets/d/1-3Vjw2Cyy-mry5gbC8ypIR3YVGFfEpyFESummAta6sg/edit"", ""Sheet1!B:D""), 2, FALSE), ""Not Found"")"),"pɔɪntɪŋ")</f>
        <v>pɔɪntɪŋ</v>
      </c>
      <c r="E4065" s="2" t="str">
        <f>IFERROR(__xludf.DUMMYFUNCTION("IFERROR(VLOOKUP(A4065, IMPORTRANGE(""https://docs.google.com/spreadsheets/d/1-3Vjw2Cyy-mry5gbC8ypIR3YVGFfEpyFESummAta6sg/edit"", ""Sheet1!B:D""), 3, FALSE), ""Not Found"")"),"p ɔ ɪ n t ɪ ŋ ")</f>
        <v>p ɔ ɪ n t ɪ ŋ </v>
      </c>
    </row>
    <row r="4066">
      <c r="A4066" s="1" t="s">
        <v>4067</v>
      </c>
      <c r="B4066" s="1" t="s">
        <v>5</v>
      </c>
      <c r="C4066" s="2">
        <f>IFERROR(__xludf.DUMMYFUNCTION("IFERROR(VLOOKUP(A4066, IMPORTRANGE(""https://docs.google.com/spreadsheets/d/1AVX9GT0dgogEBStecCXMMQ29tWz3gBrtNB8yIromXbY/edit?gid=741673867"", ""out1g!A:B""), 2, FALSE), 0)"),47.0)</f>
        <v>47</v>
      </c>
      <c r="D4066" s="2" t="str">
        <f>IFERROR(__xludf.DUMMYFUNCTION("IFERROR(VLOOKUP(A4066, IMPORTRANGE(""https://docs.google.com/spreadsheets/d/1-3Vjw2Cyy-mry5gbC8ypIR3YVGFfEpyFESummAta6sg/edit"", ""Sheet1!B:D""), 2, FALSE), ""Not Found"")"),"s")</f>
        <v>s</v>
      </c>
      <c r="E4066" s="2" t="str">
        <f>IFERROR(__xludf.DUMMYFUNCTION("IFERROR(VLOOKUP(A4066, IMPORTRANGE(""https://docs.google.com/spreadsheets/d/1-3Vjw2Cyy-mry5gbC8ypIR3YVGFfEpyFESummAta6sg/edit"", ""Sheet1!B:D""), 3, FALSE), ""Not Found"")"),"s ")</f>
        <v>s </v>
      </c>
    </row>
    <row r="4067">
      <c r="A4067" s="1" t="s">
        <v>4068</v>
      </c>
      <c r="B4067" s="1" t="s">
        <v>5</v>
      </c>
      <c r="C4067" s="2">
        <f>IFERROR(__xludf.DUMMYFUNCTION("IFERROR(VLOOKUP(A4067, IMPORTRANGE(""https://docs.google.com/spreadsheets/d/1AVX9GT0dgogEBStecCXMMQ29tWz3gBrtNB8yIromXbY/edit?gid=741673867"", ""out1g!A:B""), 2, FALSE), 0)"),1590.0)</f>
        <v>1590</v>
      </c>
      <c r="D4067" s="2" t="str">
        <f>IFERROR(__xludf.DUMMYFUNCTION("IFERROR(VLOOKUP(A4067, IMPORTRANGE(""https://docs.google.com/spreadsheets/d/1-3Vjw2Cyy-mry5gbC8ypIR3YVGFfEpyFESummAta6sg/edit"", ""Sheet1!B:D""), 2, FALSE), ""Not Found"")"),"lɪps")</f>
        <v>lɪps</v>
      </c>
      <c r="E4067" s="2" t="str">
        <f>IFERROR(__xludf.DUMMYFUNCTION("IFERROR(VLOOKUP(A4067, IMPORTRANGE(""https://docs.google.com/spreadsheets/d/1-3Vjw2Cyy-mry5gbC8ypIR3YVGFfEpyFESummAta6sg/edit"", ""Sheet1!B:D""), 3, FALSE), ""Not Found"")"),"l ɪ p s ")</f>
        <v>l ɪ p s </v>
      </c>
    </row>
    <row r="4068">
      <c r="A4068" s="1" t="s">
        <v>4069</v>
      </c>
      <c r="B4068" s="1" t="s">
        <v>5</v>
      </c>
      <c r="C4068" s="2">
        <f>IFERROR(__xludf.DUMMYFUNCTION("IFERROR(VLOOKUP(A4068, IMPORTRANGE(""https://docs.google.com/spreadsheets/d/1AVX9GT0dgogEBStecCXMMQ29tWz3gBrtNB8yIromXbY/edit?gid=741673867"", ""out1g!A:B""), 2, FALSE), 0)"),124.0)</f>
        <v>124</v>
      </c>
      <c r="D4068" s="2" t="str">
        <f>IFERROR(__xludf.DUMMYFUNCTION("IFERROR(VLOOKUP(A4068, IMPORTRANGE(""https://docs.google.com/spreadsheets/d/1-3Vjw2Cyy-mry5gbC8ypIR3YVGFfEpyFESummAta6sg/edit"", ""Sheet1!B:D""), 2, FALSE), ""Not Found"")"),"skəlz")</f>
        <v>skəlz</v>
      </c>
      <c r="E4068" s="2" t="str">
        <f>IFERROR(__xludf.DUMMYFUNCTION("IFERROR(VLOOKUP(A4068, IMPORTRANGE(""https://docs.google.com/spreadsheets/d/1-3Vjw2Cyy-mry5gbC8ypIR3YVGFfEpyFESummAta6sg/edit"", ""Sheet1!B:D""), 3, FALSE), ""Not Found"")"),"s k ə l z ")</f>
        <v>s k ə l z </v>
      </c>
    </row>
    <row r="4069">
      <c r="A4069" s="1" t="s">
        <v>4070</v>
      </c>
      <c r="B4069" s="1" t="s">
        <v>5</v>
      </c>
      <c r="C4069" s="2">
        <f>IFERROR(__xludf.DUMMYFUNCTION("IFERROR(VLOOKUP(A4069, IMPORTRANGE(""https://docs.google.com/spreadsheets/d/1AVX9GT0dgogEBStecCXMMQ29tWz3gBrtNB8yIromXbY/edit?gid=741673867"", ""out1g!A:B""), 2, FALSE), 0)"),47.0)</f>
        <v>47</v>
      </c>
      <c r="D4069" s="2" t="str">
        <f>IFERROR(__xludf.DUMMYFUNCTION("IFERROR(VLOOKUP(A4069, IMPORTRANGE(""https://docs.google.com/spreadsheets/d/1-3Vjw2Cyy-mry5gbC8ypIR3YVGFfEpyFESummAta6sg/edit"", ""Sheet1!B:D""), 2, FALSE), ""Not Found"")"),"mɔrg")</f>
        <v>mɔrg</v>
      </c>
      <c r="E4069" s="2" t="str">
        <f>IFERROR(__xludf.DUMMYFUNCTION("IFERROR(VLOOKUP(A4069, IMPORTRANGE(""https://docs.google.com/spreadsheets/d/1-3Vjw2Cyy-mry5gbC8ypIR3YVGFfEpyFESummAta6sg/edit"", ""Sheet1!B:D""), 3, FALSE), ""Not Found"")"),"m ɔ r g ")</f>
        <v>m ɔ r g </v>
      </c>
    </row>
    <row r="4070">
      <c r="A4070" s="1" t="s">
        <v>4071</v>
      </c>
      <c r="B4070" s="1" t="s">
        <v>5</v>
      </c>
      <c r="C4070" s="2">
        <f>IFERROR(__xludf.DUMMYFUNCTION("IFERROR(VLOOKUP(A4070, IMPORTRANGE(""https://docs.google.com/spreadsheets/d/1AVX9GT0dgogEBStecCXMMQ29tWz3gBrtNB8yIromXbY/edit?gid=741673867"", ""out1g!A:B""), 2, FALSE), 0)"),78.0)</f>
        <v>78</v>
      </c>
      <c r="D4070" s="2" t="str">
        <f>IFERROR(__xludf.DUMMYFUNCTION("IFERROR(VLOOKUP(A4070, IMPORTRANGE(""https://docs.google.com/spreadsheets/d/1-3Vjw2Cyy-mry5gbC8ypIR3YVGFfEpyFESummAta6sg/edit"", ""Sheet1!B:D""), 2, FALSE), ""Not Found"")"),"stəŋ")</f>
        <v>stəŋ</v>
      </c>
      <c r="E4070" s="2" t="str">
        <f>IFERROR(__xludf.DUMMYFUNCTION("IFERROR(VLOOKUP(A4070, IMPORTRANGE(""https://docs.google.com/spreadsheets/d/1-3Vjw2Cyy-mry5gbC8ypIR3YVGFfEpyFESummAta6sg/edit"", ""Sheet1!B:D""), 3, FALSE), ""Not Found"")"),"s t ə ŋ ")</f>
        <v>s t ə ŋ </v>
      </c>
    </row>
    <row r="4071">
      <c r="A4071" s="1" t="s">
        <v>4072</v>
      </c>
      <c r="B4071" s="1" t="s">
        <v>5</v>
      </c>
      <c r="C4071" s="2">
        <f>IFERROR(__xludf.DUMMYFUNCTION("IFERROR(VLOOKUP(A4071, IMPORTRANGE(""https://docs.google.com/spreadsheets/d/1AVX9GT0dgogEBStecCXMMQ29tWz3gBrtNB8yIromXbY/edit?gid=741673867"", ""out1g!A:B""), 2, FALSE), 0)"),67.0)</f>
        <v>67</v>
      </c>
      <c r="D4071" s="2" t="str">
        <f>IFERROR(__xludf.DUMMYFUNCTION("IFERROR(VLOOKUP(A4071, IMPORTRANGE(""https://docs.google.com/spreadsheets/d/1-3Vjw2Cyy-mry5gbC8ypIR3YVGFfEpyFESummAta6sg/edit"", ""Sheet1!B:D""), 2, FALSE), ""Not Found"")"),"ɑməʤ")</f>
        <v>ɑməʤ</v>
      </c>
      <c r="E4071" s="2" t="str">
        <f>IFERROR(__xludf.DUMMYFUNCTION("IFERROR(VLOOKUP(A4071, IMPORTRANGE(""https://docs.google.com/spreadsheets/d/1-3Vjw2Cyy-mry5gbC8ypIR3YVGFfEpyFESummAta6sg/edit"", ""Sheet1!B:D""), 3, FALSE), ""Not Found"")"),"ɑ m ə ʤ ")</f>
        <v>ɑ m ə ʤ </v>
      </c>
    </row>
    <row r="4072">
      <c r="A4072" s="1" t="s">
        <v>4073</v>
      </c>
      <c r="B4072" s="1" t="s">
        <v>5</v>
      </c>
      <c r="C4072" s="2">
        <f>IFERROR(__xludf.DUMMYFUNCTION("IFERROR(VLOOKUP(A4072, IMPORTRANGE(""https://docs.google.com/spreadsheets/d/1AVX9GT0dgogEBStecCXMMQ29tWz3gBrtNB8yIromXbY/edit?gid=741673867"", ""out1g!A:B""), 2, FALSE), 0)"),286.0)</f>
        <v>286</v>
      </c>
      <c r="D4072" s="2" t="str">
        <f>IFERROR(__xludf.DUMMYFUNCTION("IFERROR(VLOOKUP(A4072, IMPORTRANGE(""https://docs.google.com/spreadsheets/d/1-3Vjw2Cyy-mry5gbC8ypIR3YVGFfEpyFESummAta6sg/edit"", ""Sheet1!B:D""), 2, FALSE), ""Not Found"")"),"sliv")</f>
        <v>sliv</v>
      </c>
      <c r="E4072" s="2" t="str">
        <f>IFERROR(__xludf.DUMMYFUNCTION("IFERROR(VLOOKUP(A4072, IMPORTRANGE(""https://docs.google.com/spreadsheets/d/1-3Vjw2Cyy-mry5gbC8ypIR3YVGFfEpyFESummAta6sg/edit"", ""Sheet1!B:D""), 3, FALSE), ""Not Found"")"),"s l i v ")</f>
        <v>s l i v </v>
      </c>
    </row>
    <row r="4073">
      <c r="A4073" s="1" t="s">
        <v>4074</v>
      </c>
      <c r="B4073" s="1" t="s">
        <v>5</v>
      </c>
      <c r="C4073" s="2">
        <f>IFERROR(__xludf.DUMMYFUNCTION("IFERROR(VLOOKUP(A4073, IMPORTRANGE(""https://docs.google.com/spreadsheets/d/1AVX9GT0dgogEBStecCXMMQ29tWz3gBrtNB8yIromXbY/edit?gid=741673867"", ""out1g!A:B""), 2, FALSE), 0)"),180.0)</f>
        <v>180</v>
      </c>
      <c r="D4073" s="2" t="str">
        <f>IFERROR(__xludf.DUMMYFUNCTION("IFERROR(VLOOKUP(A4073, IMPORTRANGE(""https://docs.google.com/spreadsheets/d/1-3Vjw2Cyy-mry5gbC8ypIR3YVGFfEpyFESummAta6sg/edit"", ""Sheet1!B:D""), 2, FALSE), ""Not Found"")"),"æft")</f>
        <v>æft</v>
      </c>
      <c r="E4073" s="2" t="str">
        <f>IFERROR(__xludf.DUMMYFUNCTION("IFERROR(VLOOKUP(A4073, IMPORTRANGE(""https://docs.google.com/spreadsheets/d/1-3Vjw2Cyy-mry5gbC8ypIR3YVGFfEpyFESummAta6sg/edit"", ""Sheet1!B:D""), 3, FALSE), ""Not Found"")"),"æ f t ")</f>
        <v>æ f t </v>
      </c>
    </row>
    <row r="4074">
      <c r="A4074" s="1" t="s">
        <v>4075</v>
      </c>
      <c r="B4074" s="1" t="s">
        <v>5</v>
      </c>
      <c r="C4074" s="2">
        <f>IFERROR(__xludf.DUMMYFUNCTION("IFERROR(VLOOKUP(A4074, IMPORTRANGE(""https://docs.google.com/spreadsheets/d/1AVX9GT0dgogEBStecCXMMQ29tWz3gBrtNB8yIromXbY/edit?gid=741673867"", ""out1g!A:B""), 2, FALSE), 0)"),456.0)</f>
        <v>456</v>
      </c>
      <c r="D4074" s="2" t="str">
        <f>IFERROR(__xludf.DUMMYFUNCTION("IFERROR(VLOOKUP(A4074, IMPORTRANGE(""https://docs.google.com/spreadsheets/d/1-3Vjw2Cyy-mry5gbC8ypIR3YVGFfEpyFESummAta6sg/edit"", ""Sheet1!B:D""), 2, FALSE), ""Not Found"")"),"plænɪd")</f>
        <v>plænɪd</v>
      </c>
      <c r="E4074" s="2" t="str">
        <f>IFERROR(__xludf.DUMMYFUNCTION("IFERROR(VLOOKUP(A4074, IMPORTRANGE(""https://docs.google.com/spreadsheets/d/1-3Vjw2Cyy-mry5gbC8ypIR3YVGFfEpyFESummAta6sg/edit"", ""Sheet1!B:D""), 3, FALSE), ""Not Found"")"),"p l æ n ɪ d ")</f>
        <v>p l æ n ɪ d </v>
      </c>
    </row>
    <row r="4075">
      <c r="A4075" s="1" t="s">
        <v>4076</v>
      </c>
      <c r="B4075" s="1" t="s">
        <v>5</v>
      </c>
      <c r="C4075" s="2">
        <f>IFERROR(__xludf.DUMMYFUNCTION("IFERROR(VLOOKUP(A4075, IMPORTRANGE(""https://docs.google.com/spreadsheets/d/1AVX9GT0dgogEBStecCXMMQ29tWz3gBrtNB8yIromXbY/edit?gid=741673867"", ""out1g!A:B""), 2, FALSE), 0)"),627.0)</f>
        <v>627</v>
      </c>
      <c r="D4075" s="2" t="str">
        <f>IFERROR(__xludf.DUMMYFUNCTION("IFERROR(VLOOKUP(A4075, IMPORTRANGE(""https://docs.google.com/spreadsheets/d/1-3Vjw2Cyy-mry5gbC8ypIR3YVGFfEpyFESummAta6sg/edit"", ""Sheet1!B:D""), 2, FALSE), ""Not Found"")"),"stɪŋks")</f>
        <v>stɪŋks</v>
      </c>
      <c r="E4075" s="2" t="str">
        <f>IFERROR(__xludf.DUMMYFUNCTION("IFERROR(VLOOKUP(A4075, IMPORTRANGE(""https://docs.google.com/spreadsheets/d/1-3Vjw2Cyy-mry5gbC8ypIR3YVGFfEpyFESummAta6sg/edit"", ""Sheet1!B:D""), 3, FALSE), ""Not Found"")"),"s t ɪ ŋ k s ")</f>
        <v>s t ɪ ŋ k s </v>
      </c>
    </row>
    <row r="4076">
      <c r="A4076" s="1" t="s">
        <v>4077</v>
      </c>
      <c r="B4076" s="1" t="s">
        <v>5</v>
      </c>
      <c r="C4076" s="2">
        <f>IFERROR(__xludf.DUMMYFUNCTION("IFERROR(VLOOKUP(A4076, IMPORTRANGE(""https://docs.google.com/spreadsheets/d/1AVX9GT0dgogEBStecCXMMQ29tWz3gBrtNB8yIromXbY/edit?gid=741673867"", ""out1g!A:B""), 2, FALSE), 0)"),1165.0)</f>
        <v>1165</v>
      </c>
      <c r="D4076" s="2" t="str">
        <f>IFERROR(__xludf.DUMMYFUNCTION("IFERROR(VLOOKUP(A4076, IMPORTRANGE(""https://docs.google.com/spreadsheets/d/1-3Vjw2Cyy-mry5gbC8ypIR3YVGFfEpyFESummAta6sg/edit"", ""Sheet1!B:D""), 2, FALSE), ""Not Found"")"),"foʊtoʊ")</f>
        <v>foʊtoʊ</v>
      </c>
      <c r="E4076" s="2" t="str">
        <f>IFERROR(__xludf.DUMMYFUNCTION("IFERROR(VLOOKUP(A4076, IMPORTRANGE(""https://docs.google.com/spreadsheets/d/1-3Vjw2Cyy-mry5gbC8ypIR3YVGFfEpyFESummAta6sg/edit"", ""Sheet1!B:D""), 3, FALSE), ""Not Found"")"),"f o ʊ t o ʊ ")</f>
        <v>f o ʊ t o ʊ </v>
      </c>
    </row>
    <row r="4077">
      <c r="A4077" s="1" t="s">
        <v>4078</v>
      </c>
      <c r="B4077" s="1" t="s">
        <v>5</v>
      </c>
      <c r="C4077" s="2">
        <f>IFERROR(__xludf.DUMMYFUNCTION("IFERROR(VLOOKUP(A4077, IMPORTRANGE(""https://docs.google.com/spreadsheets/d/1AVX9GT0dgogEBStecCXMMQ29tWz3gBrtNB8yIromXbY/edit?gid=741673867"", ""out1g!A:B""), 2, FALSE), 0)"),7432.0)</f>
        <v>7432</v>
      </c>
      <c r="D4077" s="2" t="str">
        <f>IFERROR(__xludf.DUMMYFUNCTION("IFERROR(VLOOKUP(A4077, IMPORTRANGE(""https://docs.google.com/spreadsheets/d/1-3Vjw2Cyy-mry5gbC8ypIR3YVGFfEpyFESummAta6sg/edit"", ""Sheet1!B:D""), 2, FALSE), ""Not Found"")"),"plæn")</f>
        <v>plæn</v>
      </c>
      <c r="E4077" s="2" t="str">
        <f>IFERROR(__xludf.DUMMYFUNCTION("IFERROR(VLOOKUP(A4077, IMPORTRANGE(""https://docs.google.com/spreadsheets/d/1-3Vjw2Cyy-mry5gbC8ypIR3YVGFfEpyFESummAta6sg/edit"", ""Sheet1!B:D""), 3, FALSE), ""Not Found"")"),"p l æ n ")</f>
        <v>p l æ n </v>
      </c>
    </row>
    <row r="4078">
      <c r="A4078" s="1" t="s">
        <v>4079</v>
      </c>
      <c r="B4078" s="1" t="s">
        <v>5</v>
      </c>
      <c r="C4078" s="2">
        <f>IFERROR(__xludf.DUMMYFUNCTION("IFERROR(VLOOKUP(A4078, IMPORTRANGE(""https://docs.google.com/spreadsheets/d/1AVX9GT0dgogEBStecCXMMQ29tWz3gBrtNB8yIromXbY/edit?gid=741673867"", ""out1g!A:B""), 2, FALSE), 0)"),135.0)</f>
        <v>135</v>
      </c>
      <c r="D4078" s="2" t="str">
        <f>IFERROR(__xludf.DUMMYFUNCTION("IFERROR(VLOOKUP(A4078, IMPORTRANGE(""https://docs.google.com/spreadsheets/d/1-3Vjw2Cyy-mry5gbC8ypIR3YVGFfEpyFESummAta6sg/edit"", ""Sheet1!B:D""), 2, FALSE), ""Not Found"")"),"klaɪv")</f>
        <v>klaɪv</v>
      </c>
      <c r="E4078" s="2" t="str">
        <f>IFERROR(__xludf.DUMMYFUNCTION("IFERROR(VLOOKUP(A4078, IMPORTRANGE(""https://docs.google.com/spreadsheets/d/1-3Vjw2Cyy-mry5gbC8ypIR3YVGFfEpyFESummAta6sg/edit"", ""Sheet1!B:D""), 3, FALSE), ""Not Found"")"),"k l a ɪ v ")</f>
        <v>k l a ɪ v </v>
      </c>
    </row>
    <row r="4079">
      <c r="A4079" s="1" t="s">
        <v>4080</v>
      </c>
      <c r="B4079" s="1" t="s">
        <v>5</v>
      </c>
      <c r="C4079" s="2">
        <f>IFERROR(__xludf.DUMMYFUNCTION("IFERROR(VLOOKUP(A4079, IMPORTRANGE(""https://docs.google.com/spreadsheets/d/1AVX9GT0dgogEBStecCXMMQ29tWz3gBrtNB8yIromXbY/edit?gid=741673867"", ""out1g!A:B""), 2, FALSE), 0)"),430.0)</f>
        <v>430</v>
      </c>
      <c r="D4079" s="2" t="str">
        <f>IFERROR(__xludf.DUMMYFUNCTION("IFERROR(VLOOKUP(A4079, IMPORTRANGE(""https://docs.google.com/spreadsheets/d/1-3Vjw2Cyy-mry5gbC8ypIR3YVGFfEpyFESummAta6sg/edit"", ""Sheet1!B:D""), 2, FALSE), ""Not Found"")"),"dɪzi")</f>
        <v>dɪzi</v>
      </c>
      <c r="E4079" s="2" t="str">
        <f>IFERROR(__xludf.DUMMYFUNCTION("IFERROR(VLOOKUP(A4079, IMPORTRANGE(""https://docs.google.com/spreadsheets/d/1-3Vjw2Cyy-mry5gbC8ypIR3YVGFfEpyFESummAta6sg/edit"", ""Sheet1!B:D""), 3, FALSE), ""Not Found"")"),"d ɪ z i ")</f>
        <v>d ɪ z i </v>
      </c>
    </row>
    <row r="4080">
      <c r="A4080" s="1" t="s">
        <v>4081</v>
      </c>
      <c r="B4080" s="1" t="s">
        <v>5</v>
      </c>
      <c r="C4080" s="2">
        <f>IFERROR(__xludf.DUMMYFUNCTION("IFERROR(VLOOKUP(A4080, IMPORTRANGE(""https://docs.google.com/spreadsheets/d/1AVX9GT0dgogEBStecCXMMQ29tWz3gBrtNB8yIromXbY/edit?gid=741673867"", ""out1g!A:B""), 2, FALSE), 0)"),1489.0)</f>
        <v>1489</v>
      </c>
      <c r="D4080" s="2" t="str">
        <f>IFERROR(__xludf.DUMMYFUNCTION("IFERROR(VLOOKUP(A4080, IMPORTRANGE(""https://docs.google.com/spreadsheets/d/1-3Vjw2Cyy-mry5gbC8ypIR3YVGFfEpyFESummAta6sg/edit"", ""Sheet1!B:D""), 2, FALSE), ""Not Found"")"),"penɪŋ")</f>
        <v>penɪŋ</v>
      </c>
      <c r="E4080" s="2" t="str">
        <f>IFERROR(__xludf.DUMMYFUNCTION("IFERROR(VLOOKUP(A4080, IMPORTRANGE(""https://docs.google.com/spreadsheets/d/1-3Vjw2Cyy-mry5gbC8ypIR3YVGFfEpyFESummAta6sg/edit"", ""Sheet1!B:D""), 3, FALSE), ""Not Found"")"),"p e n ɪ ŋ ")</f>
        <v>p e n ɪ ŋ </v>
      </c>
    </row>
    <row r="4081">
      <c r="A4081" s="1" t="s">
        <v>4082</v>
      </c>
      <c r="B4081" s="1" t="s">
        <v>5</v>
      </c>
      <c r="C4081" s="2">
        <f>IFERROR(__xludf.DUMMYFUNCTION("IFERROR(VLOOKUP(A4081, IMPORTRANGE(""https://docs.google.com/spreadsheets/d/1AVX9GT0dgogEBStecCXMMQ29tWz3gBrtNB8yIromXbY/edit?gid=741673867"", ""out1g!A:B""), 2, FALSE), 0)"),141.0)</f>
        <v>141</v>
      </c>
      <c r="D4081" s="2" t="str">
        <f>IFERROR(__xludf.DUMMYFUNCTION("IFERROR(VLOOKUP(A4081, IMPORTRANGE(""https://docs.google.com/spreadsheets/d/1-3Vjw2Cyy-mry5gbC8ypIR3YVGFfEpyFESummAta6sg/edit"", ""Sheet1!B:D""), 2, FALSE), ""Not Found"")"),"wərkaʊt")</f>
        <v>wərkaʊt</v>
      </c>
      <c r="E4081" s="2" t="str">
        <f>IFERROR(__xludf.DUMMYFUNCTION("IFERROR(VLOOKUP(A4081, IMPORTRANGE(""https://docs.google.com/spreadsheets/d/1-3Vjw2Cyy-mry5gbC8ypIR3YVGFfEpyFESummAta6sg/edit"", ""Sheet1!B:D""), 3, FALSE), ""Not Found"")"),"w ə r k a ʊ t ")</f>
        <v>w ə r k a ʊ t </v>
      </c>
    </row>
    <row r="4082">
      <c r="A4082" s="1" t="s">
        <v>4083</v>
      </c>
      <c r="B4082" s="1" t="s">
        <v>5</v>
      </c>
      <c r="C4082" s="2">
        <f>IFERROR(__xludf.DUMMYFUNCTION("IFERROR(VLOOKUP(A4082, IMPORTRANGE(""https://docs.google.com/spreadsheets/d/1AVX9GT0dgogEBStecCXMMQ29tWz3gBrtNB8yIromXbY/edit?gid=741673867"", ""out1g!A:B""), 2, FALSE), 0)"),61.0)</f>
        <v>61</v>
      </c>
      <c r="D4082" s="2" t="str">
        <f>IFERROR(__xludf.DUMMYFUNCTION("IFERROR(VLOOKUP(A4082, IMPORTRANGE(""https://docs.google.com/spreadsheets/d/1-3Vjw2Cyy-mry5gbC8ypIR3YVGFfEpyFESummAta6sg/edit"", ""Sheet1!B:D""), 2, FALSE), ""Not Found"")"),"flævər")</f>
        <v>flævər</v>
      </c>
      <c r="E4082" s="2" t="str">
        <f>IFERROR(__xludf.DUMMYFUNCTION("IFERROR(VLOOKUP(A4082, IMPORTRANGE(""https://docs.google.com/spreadsheets/d/1-3Vjw2Cyy-mry5gbC8ypIR3YVGFfEpyFESummAta6sg/edit"", ""Sheet1!B:D""), 3, FALSE), ""Not Found"")"),"f l æ v ə r ")</f>
        <v>f l æ v ə r </v>
      </c>
    </row>
    <row r="4083">
      <c r="A4083" s="1" t="s">
        <v>4084</v>
      </c>
      <c r="B4083" s="1" t="s">
        <v>5</v>
      </c>
      <c r="C4083" s="2">
        <f>IFERROR(__xludf.DUMMYFUNCTION("IFERROR(VLOOKUP(A4083, IMPORTRANGE(""https://docs.google.com/spreadsheets/d/1AVX9GT0dgogEBStecCXMMQ29tWz3gBrtNB8yIromXbY/edit?gid=741673867"", ""out1g!A:B""), 2, FALSE), 0)"),214.0)</f>
        <v>214</v>
      </c>
      <c r="D4083" s="2" t="str">
        <f>IFERROR(__xludf.DUMMYFUNCTION("IFERROR(VLOOKUP(A4083, IMPORTRANGE(""https://docs.google.com/spreadsheets/d/1-3Vjw2Cyy-mry5gbC8ypIR3YVGFfEpyFESummAta6sg/edit"", ""Sheet1!B:D""), 2, FALSE), ""Not Found"")"),"ɑps")</f>
        <v>ɑps</v>
      </c>
      <c r="E4083" s="2" t="str">
        <f>IFERROR(__xludf.DUMMYFUNCTION("IFERROR(VLOOKUP(A4083, IMPORTRANGE(""https://docs.google.com/spreadsheets/d/1-3Vjw2Cyy-mry5gbC8ypIR3YVGFfEpyFESummAta6sg/edit"", ""Sheet1!B:D""), 3, FALSE), ""Not Found"")"),"ɑ p s ")</f>
        <v>ɑ p s </v>
      </c>
    </row>
    <row r="4084">
      <c r="A4084" s="1" t="s">
        <v>4085</v>
      </c>
      <c r="B4084" s="1" t="s">
        <v>5</v>
      </c>
      <c r="C4084" s="2">
        <f>IFERROR(__xludf.DUMMYFUNCTION("IFERROR(VLOOKUP(A4084, IMPORTRANGE(""https://docs.google.com/spreadsheets/d/1AVX9GT0dgogEBStecCXMMQ29tWz3gBrtNB8yIromXbY/edit?gid=741673867"", ""out1g!A:B""), 2, FALSE), 0)"),901.0)</f>
        <v>901</v>
      </c>
      <c r="D4084" s="2" t="str">
        <f>IFERROR(__xludf.DUMMYFUNCTION("IFERROR(VLOOKUP(A4084, IMPORTRANGE(""https://docs.google.com/spreadsheets/d/1-3Vjw2Cyy-mry5gbC8ypIR3YVGFfEpyFESummAta6sg/edit"", ""Sheet1!B:D""), 2, FALSE), ""Not Found"")"),"ʧit")</f>
        <v>ʧit</v>
      </c>
      <c r="E4084" s="2" t="str">
        <f>IFERROR(__xludf.DUMMYFUNCTION("IFERROR(VLOOKUP(A4084, IMPORTRANGE(""https://docs.google.com/spreadsheets/d/1-3Vjw2Cyy-mry5gbC8ypIR3YVGFfEpyFESummAta6sg/edit"", ""Sheet1!B:D""), 3, FALSE), ""Not Found"")"),"ʧ i t ")</f>
        <v>ʧ i t </v>
      </c>
    </row>
    <row r="4085">
      <c r="A4085" s="1" t="s">
        <v>4086</v>
      </c>
      <c r="B4085" s="1" t="s">
        <v>5</v>
      </c>
      <c r="C4085" s="2">
        <f>IFERROR(__xludf.DUMMYFUNCTION("IFERROR(VLOOKUP(A4085, IMPORTRANGE(""https://docs.google.com/spreadsheets/d/1AVX9GT0dgogEBStecCXMMQ29tWz3gBrtNB8yIromXbY/edit?gid=741673867"", ""out1g!A:B""), 2, FALSE), 0)"),60.0)</f>
        <v>60</v>
      </c>
      <c r="D4085" s="2" t="str">
        <f>IFERROR(__xludf.DUMMYFUNCTION("IFERROR(VLOOKUP(A4085, IMPORTRANGE(""https://docs.google.com/spreadsheets/d/1-3Vjw2Cyy-mry5gbC8ypIR3YVGFfEpyFESummAta6sg/edit"", ""Sheet1!B:D""), 2, FALSE), ""Not Found"")"),"mɔsk")</f>
        <v>mɔsk</v>
      </c>
      <c r="E4085" s="2" t="str">
        <f>IFERROR(__xludf.DUMMYFUNCTION("IFERROR(VLOOKUP(A4085, IMPORTRANGE(""https://docs.google.com/spreadsheets/d/1-3Vjw2Cyy-mry5gbC8ypIR3YVGFfEpyFESummAta6sg/edit"", ""Sheet1!B:D""), 3, FALSE), ""Not Found"")"),"m ɔ s k ")</f>
        <v>m ɔ s k </v>
      </c>
    </row>
    <row r="4086">
      <c r="A4086" s="1" t="s">
        <v>4087</v>
      </c>
      <c r="B4086" s="1" t="s">
        <v>5</v>
      </c>
      <c r="C4086" s="2">
        <f>IFERROR(__xludf.DUMMYFUNCTION("IFERROR(VLOOKUP(A4086, IMPORTRANGE(""https://docs.google.com/spreadsheets/d/1AVX9GT0dgogEBStecCXMMQ29tWz3gBrtNB8yIromXbY/edit?gid=741673867"", ""out1g!A:B""), 2, FALSE), 0)"),1074.0)</f>
        <v>1074</v>
      </c>
      <c r="D4086" s="2" t="str">
        <f>IFERROR(__xludf.DUMMYFUNCTION("IFERROR(VLOOKUP(A4086, IMPORTRANGE(""https://docs.google.com/spreadsheets/d/1-3Vjw2Cyy-mry5gbC8ypIR3YVGFfEpyFESummAta6sg/edit"", ""Sheet1!B:D""), 2, FALSE), ""Not Found"")"),"ʤɛs")</f>
        <v>ʤɛs</v>
      </c>
      <c r="E4086" s="2" t="str">
        <f>IFERROR(__xludf.DUMMYFUNCTION("IFERROR(VLOOKUP(A4086, IMPORTRANGE(""https://docs.google.com/spreadsheets/d/1-3Vjw2Cyy-mry5gbC8ypIR3YVGFfEpyFESummAta6sg/edit"", ""Sheet1!B:D""), 3, FALSE), ""Not Found"")"),"ʤ ɛ s ")</f>
        <v>ʤ ɛ s </v>
      </c>
    </row>
    <row r="4087">
      <c r="A4087" s="1" t="s">
        <v>4088</v>
      </c>
      <c r="B4087" s="1" t="s">
        <v>5</v>
      </c>
      <c r="C4087" s="2">
        <f>IFERROR(__xludf.DUMMYFUNCTION("IFERROR(VLOOKUP(A4087, IMPORTRANGE(""https://docs.google.com/spreadsheets/d/1AVX9GT0dgogEBStecCXMMQ29tWz3gBrtNB8yIromXbY/edit?gid=741673867"", ""out1g!A:B""), 2, FALSE), 0)"),92.0)</f>
        <v>92</v>
      </c>
      <c r="D4087" s="2" t="str">
        <f>IFERROR(__xludf.DUMMYFUNCTION("IFERROR(VLOOKUP(A4087, IMPORTRANGE(""https://docs.google.com/spreadsheets/d/1-3Vjw2Cyy-mry5gbC8ypIR3YVGFfEpyFESummAta6sg/edit"", ""Sheet1!B:D""), 2, FALSE), ""Not Found"")"),"krəm")</f>
        <v>krəm</v>
      </c>
      <c r="E4087" s="2" t="str">
        <f>IFERROR(__xludf.DUMMYFUNCTION("IFERROR(VLOOKUP(A4087, IMPORTRANGE(""https://docs.google.com/spreadsheets/d/1-3Vjw2Cyy-mry5gbC8ypIR3YVGFfEpyFESummAta6sg/edit"", ""Sheet1!B:D""), 3, FALSE), ""Not Found"")"),"k r ə m ")</f>
        <v>k r ə m </v>
      </c>
    </row>
    <row r="4088">
      <c r="A4088" s="1" t="s">
        <v>4089</v>
      </c>
      <c r="B4088" s="1" t="s">
        <v>5</v>
      </c>
      <c r="C4088" s="2">
        <f>IFERROR(__xludf.DUMMYFUNCTION("IFERROR(VLOOKUP(A4088, IMPORTRANGE(""https://docs.google.com/spreadsheets/d/1AVX9GT0dgogEBStecCXMMQ29tWz3gBrtNB8yIromXbY/edit?gid=741673867"", ""out1g!A:B""), 2, FALSE), 0)"),177710.0)</f>
        <v>177710</v>
      </c>
      <c r="D4088" s="2" t="str">
        <f>IFERROR(__xludf.DUMMYFUNCTION("IFERROR(VLOOKUP(A4088, IMPORTRANGE(""https://docs.google.com/spreadsheets/d/1-3Vjw2Cyy-mry5gbC8ypIR3YVGFfEpyFESummAta6sg/edit"", ""Sheet1!B:D""), 2, FALSE), ""Not Found"")"),"ɪm")</f>
        <v>ɪm</v>
      </c>
      <c r="E4088" s="2" t="str">
        <f>IFERROR(__xludf.DUMMYFUNCTION("IFERROR(VLOOKUP(A4088, IMPORTRANGE(""https://docs.google.com/spreadsheets/d/1-3Vjw2Cyy-mry5gbC8ypIR3YVGFfEpyFESummAta6sg/edit"", ""Sheet1!B:D""), 3, FALSE), ""Not Found"")"),"ɪ m ")</f>
        <v>ɪ m </v>
      </c>
    </row>
    <row r="4089">
      <c r="A4089" s="1" t="s">
        <v>4090</v>
      </c>
      <c r="B4089" s="1" t="s">
        <v>5</v>
      </c>
      <c r="C4089" s="2">
        <f>IFERROR(__xludf.DUMMYFUNCTION("IFERROR(VLOOKUP(A4089, IMPORTRANGE(""https://docs.google.com/spreadsheets/d/1AVX9GT0dgogEBStecCXMMQ29tWz3gBrtNB8yIromXbY/edit?gid=741673867"", ""out1g!A:B""), 2, FALSE), 0)"),432.0)</f>
        <v>432</v>
      </c>
      <c r="D4089" s="2" t="str">
        <f>IFERROR(__xludf.DUMMYFUNCTION("IFERROR(VLOOKUP(A4089, IMPORTRANGE(""https://docs.google.com/spreadsheets/d/1-3Vjw2Cyy-mry5gbC8ypIR3YVGFfEpyFESummAta6sg/edit"", ""Sheet1!B:D""), 2, FALSE), ""Not Found"")"),"lɪmoʊ")</f>
        <v>lɪmoʊ</v>
      </c>
      <c r="E4089" s="2" t="str">
        <f>IFERROR(__xludf.DUMMYFUNCTION("IFERROR(VLOOKUP(A4089, IMPORTRANGE(""https://docs.google.com/spreadsheets/d/1-3Vjw2Cyy-mry5gbC8ypIR3YVGFfEpyFESummAta6sg/edit"", ""Sheet1!B:D""), 3, FALSE), ""Not Found"")"),"l ɪ m o ʊ ")</f>
        <v>l ɪ m o ʊ </v>
      </c>
    </row>
    <row r="4090">
      <c r="A4090" s="1" t="s">
        <v>4091</v>
      </c>
      <c r="B4090" s="1" t="s">
        <v>5</v>
      </c>
      <c r="C4090" s="2">
        <f>IFERROR(__xludf.DUMMYFUNCTION("IFERROR(VLOOKUP(A4090, IMPORTRANGE(""https://docs.google.com/spreadsheets/d/1AVX9GT0dgogEBStecCXMMQ29tWz3gBrtNB8yIromXbY/edit?gid=741673867"", ""out1g!A:B""), 2, FALSE), 0)"),828.0)</f>
        <v>828</v>
      </c>
      <c r="D4090" s="2" t="str">
        <f>IFERROR(__xludf.DUMMYFUNCTION("IFERROR(VLOOKUP(A4090, IMPORTRANGE(""https://docs.google.com/spreadsheets/d/1-3Vjw2Cyy-mry5gbC8ypIR3YVGFfEpyFESummAta6sg/edit"", ""Sheet1!B:D""), 2, FALSE), ""Not Found"")"),"ʧɪps")</f>
        <v>ʧɪps</v>
      </c>
      <c r="E4090" s="2" t="str">
        <f>IFERROR(__xludf.DUMMYFUNCTION("IFERROR(VLOOKUP(A4090, IMPORTRANGE(""https://docs.google.com/spreadsheets/d/1-3Vjw2Cyy-mry5gbC8ypIR3YVGFfEpyFESummAta6sg/edit"", ""Sheet1!B:D""), 3, FALSE), ""Not Found"")"),"ʧ ɪ p s ")</f>
        <v>ʧ ɪ p s </v>
      </c>
    </row>
    <row r="4091">
      <c r="A4091" s="1" t="s">
        <v>4092</v>
      </c>
      <c r="B4091" s="1" t="s">
        <v>5</v>
      </c>
      <c r="C4091" s="2">
        <f>IFERROR(__xludf.DUMMYFUNCTION("IFERROR(VLOOKUP(A4091, IMPORTRANGE(""https://docs.google.com/spreadsheets/d/1AVX9GT0dgogEBStecCXMMQ29tWz3gBrtNB8yIromXbY/edit?gid=741673867"", ""out1g!A:B""), 2, FALSE), 0)"),54.0)</f>
        <v>54</v>
      </c>
      <c r="D4091" s="2" t="str">
        <f>IFERROR(__xludf.DUMMYFUNCTION("IFERROR(VLOOKUP(A4091, IMPORTRANGE(""https://docs.google.com/spreadsheets/d/1-3Vjw2Cyy-mry5gbC8ypIR3YVGFfEpyFESummAta6sg/edit"", ""Sheet1!B:D""), 2, FALSE), ""Not Found"")"),"daʊnd")</f>
        <v>daʊnd</v>
      </c>
      <c r="E4091" s="2" t="str">
        <f>IFERROR(__xludf.DUMMYFUNCTION("IFERROR(VLOOKUP(A4091, IMPORTRANGE(""https://docs.google.com/spreadsheets/d/1-3Vjw2Cyy-mry5gbC8ypIR3YVGFfEpyFESummAta6sg/edit"", ""Sheet1!B:D""), 3, FALSE), ""Not Found"")"),"d a ʊ n d ")</f>
        <v>d a ʊ n d </v>
      </c>
    </row>
    <row r="4092">
      <c r="A4092" s="1" t="s">
        <v>4093</v>
      </c>
      <c r="B4092" s="1" t="s">
        <v>5</v>
      </c>
      <c r="C4092" s="2">
        <f>IFERROR(__xludf.DUMMYFUNCTION("IFERROR(VLOOKUP(A4092, IMPORTRANGE(""https://docs.google.com/spreadsheets/d/1AVX9GT0dgogEBStecCXMMQ29tWz3gBrtNB8yIromXbY/edit?gid=741673867"", ""out1g!A:B""), 2, FALSE), 0)"),174.0)</f>
        <v>174</v>
      </c>
      <c r="D4092" s="2" t="str">
        <f>IFERROR(__xludf.DUMMYFUNCTION("IFERROR(VLOOKUP(A4092, IMPORTRANGE(""https://docs.google.com/spreadsheets/d/1-3Vjw2Cyy-mry5gbC8ypIR3YVGFfEpyFESummAta6sg/edit"", ""Sheet1!B:D""), 2, FALSE), ""Not Found"")"),"næm")</f>
        <v>næm</v>
      </c>
      <c r="E4092" s="2" t="str">
        <f>IFERROR(__xludf.DUMMYFUNCTION("IFERROR(VLOOKUP(A4092, IMPORTRANGE(""https://docs.google.com/spreadsheets/d/1-3Vjw2Cyy-mry5gbC8ypIR3YVGFfEpyFESummAta6sg/edit"", ""Sheet1!B:D""), 3, FALSE), ""Not Found"")"),"n æ m ")</f>
        <v>n æ m </v>
      </c>
    </row>
    <row r="4093">
      <c r="A4093" s="1" t="s">
        <v>4094</v>
      </c>
      <c r="B4093" s="1" t="s">
        <v>5</v>
      </c>
      <c r="C4093" s="2">
        <f>IFERROR(__xludf.DUMMYFUNCTION("IFERROR(VLOOKUP(A4093, IMPORTRANGE(""https://docs.google.com/spreadsheets/d/1AVX9GT0dgogEBStecCXMMQ29tWz3gBrtNB8yIromXbY/edit?gid=741673867"", ""out1g!A:B""), 2, FALSE), 0)"),14.0)</f>
        <v>14</v>
      </c>
      <c r="D4093" s="2" t="str">
        <f>IFERROR(__xludf.DUMMYFUNCTION("IFERROR(VLOOKUP(A4093, IMPORTRANGE(""https://docs.google.com/spreadsheets/d/1-3Vjw2Cyy-mry5gbC8ypIR3YVGFfEpyFESummAta6sg/edit"", ""Sheet1!B:D""), 2, FALSE), ""Not Found"")"),"dər")</f>
        <v>dər</v>
      </c>
      <c r="E4093" s="2" t="str">
        <f>IFERROR(__xludf.DUMMYFUNCTION("IFERROR(VLOOKUP(A4093, IMPORTRANGE(""https://docs.google.com/spreadsheets/d/1-3Vjw2Cyy-mry5gbC8ypIR3YVGFfEpyFESummAta6sg/edit"", ""Sheet1!B:D""), 3, FALSE), ""Not Found"")"),"d ə r ")</f>
        <v>d ə r </v>
      </c>
    </row>
    <row r="4094">
      <c r="A4094" s="1" t="s">
        <v>4095</v>
      </c>
      <c r="B4094" s="1" t="s">
        <v>5</v>
      </c>
      <c r="C4094" s="2">
        <f>IFERROR(__xludf.DUMMYFUNCTION("IFERROR(VLOOKUP(A4094, IMPORTRANGE(""https://docs.google.com/spreadsheets/d/1AVX9GT0dgogEBStecCXMMQ29tWz3gBrtNB8yIromXbY/edit?gid=741673867"", ""out1g!A:B""), 2, FALSE), 0)"),303.0)</f>
        <v>303</v>
      </c>
      <c r="D4094" s="2" t="str">
        <f>IFERROR(__xludf.DUMMYFUNCTION("IFERROR(VLOOKUP(A4094, IMPORTRANGE(""https://docs.google.com/spreadsheets/d/1-3Vjw2Cyy-mry5gbC8ypIR3YVGFfEpyFESummAta6sg/edit"", ""Sheet1!B:D""), 2, FALSE), ""Not Found"")"),"ʃʊk")</f>
        <v>ʃʊk</v>
      </c>
      <c r="E4094" s="2" t="str">
        <f>IFERROR(__xludf.DUMMYFUNCTION("IFERROR(VLOOKUP(A4094, IMPORTRANGE(""https://docs.google.com/spreadsheets/d/1-3Vjw2Cyy-mry5gbC8ypIR3YVGFfEpyFESummAta6sg/edit"", ""Sheet1!B:D""), 3, FALSE), ""Not Found"")"),"ʃ ʊ k ")</f>
        <v>ʃ ʊ k </v>
      </c>
    </row>
    <row r="4095">
      <c r="A4095" s="1" t="s">
        <v>4096</v>
      </c>
      <c r="B4095" s="1" t="s">
        <v>5</v>
      </c>
      <c r="C4095" s="2">
        <f>IFERROR(__xludf.DUMMYFUNCTION("IFERROR(VLOOKUP(A4095, IMPORTRANGE(""https://docs.google.com/spreadsheets/d/1AVX9GT0dgogEBStecCXMMQ29tWz3gBrtNB8yIromXbY/edit?gid=741673867"", ""out1g!A:B""), 2, FALSE), 0)"),421.0)</f>
        <v>421</v>
      </c>
      <c r="D4095" s="2" t="str">
        <f>IFERROR(__xludf.DUMMYFUNCTION("IFERROR(VLOOKUP(A4095, IMPORTRANGE(""https://docs.google.com/spreadsheets/d/1-3Vjw2Cyy-mry5gbC8ypIR3YVGFfEpyFESummAta6sg/edit"", ""Sheet1!B:D""), 2, FALSE), ""Not Found"")"),"raɪts")</f>
        <v>raɪts</v>
      </c>
      <c r="E4095" s="2" t="str">
        <f>IFERROR(__xludf.DUMMYFUNCTION("IFERROR(VLOOKUP(A4095, IMPORTRANGE(""https://docs.google.com/spreadsheets/d/1-3Vjw2Cyy-mry5gbC8ypIR3YVGFfEpyFESummAta6sg/edit"", ""Sheet1!B:D""), 3, FALSE), ""Not Found"")"),"r a ɪ t s ")</f>
        <v>r a ɪ t s </v>
      </c>
    </row>
    <row r="4096">
      <c r="A4096" s="1" t="s">
        <v>4097</v>
      </c>
      <c r="B4096" s="1" t="s">
        <v>5</v>
      </c>
      <c r="C4096" s="2">
        <f>IFERROR(__xludf.DUMMYFUNCTION("IFERROR(VLOOKUP(A4096, IMPORTRANGE(""https://docs.google.com/spreadsheets/d/1AVX9GT0dgogEBStecCXMMQ29tWz3gBrtNB8yIromXbY/edit?gid=741673867"", ""out1g!A:B""), 2, FALSE), 0)"),82.0)</f>
        <v>82</v>
      </c>
      <c r="D4096" s="2" t="str">
        <f>IFERROR(__xludf.DUMMYFUNCTION("IFERROR(VLOOKUP(A4096, IMPORTRANGE(""https://docs.google.com/spreadsheets/d/1-3Vjw2Cyy-mry5gbC8ypIR3YVGFfEpyFESummAta6sg/edit"", ""Sheet1!B:D""), 2, FALSE), ""Not Found"")"),"wupi")</f>
        <v>wupi</v>
      </c>
      <c r="E4096" s="2" t="str">
        <f>IFERROR(__xludf.DUMMYFUNCTION("IFERROR(VLOOKUP(A4096, IMPORTRANGE(""https://docs.google.com/spreadsheets/d/1-3Vjw2Cyy-mry5gbC8ypIR3YVGFfEpyFESummAta6sg/edit"", ""Sheet1!B:D""), 3, FALSE), ""Not Found"")"),"w u p i ")</f>
        <v>w u p i </v>
      </c>
    </row>
    <row r="4097">
      <c r="A4097" s="1" t="s">
        <v>4098</v>
      </c>
      <c r="B4097" s="1" t="s">
        <v>5</v>
      </c>
      <c r="C4097" s="2">
        <f>IFERROR(__xludf.DUMMYFUNCTION("IFERROR(VLOOKUP(A4097, IMPORTRANGE(""https://docs.google.com/spreadsheets/d/1AVX9GT0dgogEBStecCXMMQ29tWz3gBrtNB8yIromXbY/edit?gid=741673867"", ""out1g!A:B""), 2, FALSE), 0)"),79.0)</f>
        <v>79</v>
      </c>
      <c r="D4097" s="2" t="str">
        <f>IFERROR(__xludf.DUMMYFUNCTION("IFERROR(VLOOKUP(A4097, IMPORTRANGE(""https://docs.google.com/spreadsheets/d/1-3Vjw2Cyy-mry5gbC8ypIR3YVGFfEpyFESummAta6sg/edit"", ""Sheet1!B:D""), 2, FALSE), ""Not Found"")"),"ɔnts")</f>
        <v>ɔnts</v>
      </c>
      <c r="E4097" s="2" t="str">
        <f>IFERROR(__xludf.DUMMYFUNCTION("IFERROR(VLOOKUP(A4097, IMPORTRANGE(""https://docs.google.com/spreadsheets/d/1-3Vjw2Cyy-mry5gbC8ypIR3YVGFfEpyFESummAta6sg/edit"", ""Sheet1!B:D""), 3, FALSE), ""Not Found"")"),"ɔ n t s ")</f>
        <v>ɔ n t s </v>
      </c>
    </row>
    <row r="4098">
      <c r="A4098" s="1" t="s">
        <v>4099</v>
      </c>
      <c r="B4098" s="1" t="s">
        <v>5</v>
      </c>
      <c r="C4098" s="2">
        <f>IFERROR(__xludf.DUMMYFUNCTION("IFERROR(VLOOKUP(A4098, IMPORTRANGE(""https://docs.google.com/spreadsheets/d/1AVX9GT0dgogEBStecCXMMQ29tWz3gBrtNB8yIromXbY/edit?gid=741673867"", ""out1g!A:B""), 2, FALSE), 0)"),429.0)</f>
        <v>429</v>
      </c>
      <c r="D4098" s="2" t="str">
        <f>IFERROR(__xludf.DUMMYFUNCTION("IFERROR(VLOOKUP(A4098, IMPORTRANGE(""https://docs.google.com/spreadsheets/d/1-3Vjw2Cyy-mry5gbC8ypIR3YVGFfEpyFESummAta6sg/edit"", ""Sheet1!B:D""), 2, FALSE), ""Not Found"")"),"lædz")</f>
        <v>lædz</v>
      </c>
      <c r="E4098" s="2" t="str">
        <f>IFERROR(__xludf.DUMMYFUNCTION("IFERROR(VLOOKUP(A4098, IMPORTRANGE(""https://docs.google.com/spreadsheets/d/1-3Vjw2Cyy-mry5gbC8ypIR3YVGFfEpyFESummAta6sg/edit"", ""Sheet1!B:D""), 3, FALSE), ""Not Found"")"),"l æ d z ")</f>
        <v>l æ d z </v>
      </c>
    </row>
    <row r="4099">
      <c r="A4099" s="1" t="s">
        <v>4100</v>
      </c>
      <c r="B4099" s="1" t="s">
        <v>5</v>
      </c>
      <c r="C4099" s="2">
        <f>IFERROR(__xludf.DUMMYFUNCTION("IFERROR(VLOOKUP(A4099, IMPORTRANGE(""https://docs.google.com/spreadsheets/d/1AVX9GT0dgogEBStecCXMMQ29tWz3gBrtNB8yIromXbY/edit?gid=741673867"", ""out1g!A:B""), 2, FALSE), 0)"),858.0)</f>
        <v>858</v>
      </c>
      <c r="D4099" s="2" t="str">
        <f>IFERROR(__xludf.DUMMYFUNCTION("IFERROR(VLOOKUP(A4099, IMPORTRANGE(""https://docs.google.com/spreadsheets/d/1-3Vjw2Cyy-mry5gbC8ypIR3YVGFfEpyFESummAta6sg/edit"", ""Sheet1!B:D""), 2, FALSE), ""Not Found"")"),"juθ")</f>
        <v>juθ</v>
      </c>
      <c r="E4099" s="2" t="str">
        <f>IFERROR(__xludf.DUMMYFUNCTION("IFERROR(VLOOKUP(A4099, IMPORTRANGE(""https://docs.google.com/spreadsheets/d/1-3Vjw2Cyy-mry5gbC8ypIR3YVGFfEpyFESummAta6sg/edit"", ""Sheet1!B:D""), 3, FALSE), ""Not Found"")"),"j u θ ")</f>
        <v>j u θ </v>
      </c>
    </row>
    <row r="4100">
      <c r="A4100" s="1" t="s">
        <v>4101</v>
      </c>
      <c r="B4100" s="1" t="s">
        <v>5</v>
      </c>
      <c r="C4100" s="2">
        <f>IFERROR(__xludf.DUMMYFUNCTION("IFERROR(VLOOKUP(A4100, IMPORTRANGE(""https://docs.google.com/spreadsheets/d/1AVX9GT0dgogEBStecCXMMQ29tWz3gBrtNB8yIromXbY/edit?gid=741673867"", ""out1g!A:B""), 2, FALSE), 0)"),81.0)</f>
        <v>81</v>
      </c>
      <c r="D4100" s="2" t="str">
        <f>IFERROR(__xludf.DUMMYFUNCTION("IFERROR(VLOOKUP(A4100, IMPORTRANGE(""https://docs.google.com/spreadsheets/d/1-3Vjw2Cyy-mry5gbC8ypIR3YVGFfEpyFESummAta6sg/edit"", ""Sheet1!B:D""), 2, FALSE), ""Not Found"")"),"menʤi")</f>
        <v>menʤi</v>
      </c>
      <c r="E4100" s="2" t="str">
        <f>IFERROR(__xludf.DUMMYFUNCTION("IFERROR(VLOOKUP(A4100, IMPORTRANGE(""https://docs.google.com/spreadsheets/d/1-3Vjw2Cyy-mry5gbC8ypIR3YVGFfEpyFESummAta6sg/edit"", ""Sheet1!B:D""), 3, FALSE), ""Not Found"")"),"m e n ʤ i ")</f>
        <v>m e n ʤ i </v>
      </c>
    </row>
    <row r="4101">
      <c r="A4101" s="1" t="s">
        <v>4102</v>
      </c>
      <c r="B4101" s="1" t="s">
        <v>5</v>
      </c>
      <c r="C4101" s="2">
        <f>IFERROR(__xludf.DUMMYFUNCTION("IFERROR(VLOOKUP(A4101, IMPORTRANGE(""https://docs.google.com/spreadsheets/d/1AVX9GT0dgogEBStecCXMMQ29tWz3gBrtNB8yIromXbY/edit?gid=741673867"", ""out1g!A:B""), 2, FALSE), 0)"),66.0)</f>
        <v>66</v>
      </c>
      <c r="D4101" s="2" t="str">
        <f>IFERROR(__xludf.DUMMYFUNCTION("IFERROR(VLOOKUP(A4101, IMPORTRANGE(""https://docs.google.com/spreadsheets/d/1-3Vjw2Cyy-mry5gbC8ypIR3YVGFfEpyFESummAta6sg/edit"", ""Sheet1!B:D""), 2, FALSE), ""Not Found"")"),"ɛkoʊz")</f>
        <v>ɛkoʊz</v>
      </c>
      <c r="E4101" s="2" t="str">
        <f>IFERROR(__xludf.DUMMYFUNCTION("IFERROR(VLOOKUP(A4101, IMPORTRANGE(""https://docs.google.com/spreadsheets/d/1-3Vjw2Cyy-mry5gbC8ypIR3YVGFfEpyFESummAta6sg/edit"", ""Sheet1!B:D""), 3, FALSE), ""Not Found"")"),"ɛ k o ʊ z ")</f>
        <v>ɛ k o ʊ z </v>
      </c>
    </row>
    <row r="4102">
      <c r="A4102" s="1" t="s">
        <v>4103</v>
      </c>
      <c r="B4102" s="1" t="s">
        <v>5</v>
      </c>
      <c r="C4102" s="2">
        <f>IFERROR(__xludf.DUMMYFUNCTION("IFERROR(VLOOKUP(A4102, IMPORTRANGE(""https://docs.google.com/spreadsheets/d/1AVX9GT0dgogEBStecCXMMQ29tWz3gBrtNB8yIromXbY/edit?gid=741673867"", ""out1g!A:B""), 2, FALSE), 0)"),690.0)</f>
        <v>690</v>
      </c>
      <c r="D4102" s="2" t="str">
        <f>IFERROR(__xludf.DUMMYFUNCTION("IFERROR(VLOOKUP(A4102, IMPORTRANGE(""https://docs.google.com/spreadsheets/d/1-3Vjw2Cyy-mry5gbC8ypIR3YVGFfEpyFESummAta6sg/edit"", ""Sheet1!B:D""), 2, FALSE), ""Not Found"")"),"ʤæm")</f>
        <v>ʤæm</v>
      </c>
      <c r="E4102" s="2" t="str">
        <f>IFERROR(__xludf.DUMMYFUNCTION("IFERROR(VLOOKUP(A4102, IMPORTRANGE(""https://docs.google.com/spreadsheets/d/1-3Vjw2Cyy-mry5gbC8ypIR3YVGFfEpyFESummAta6sg/edit"", ""Sheet1!B:D""), 3, FALSE), ""Not Found"")"),"ʤ æ m ")</f>
        <v>ʤ æ m </v>
      </c>
    </row>
    <row r="4103">
      <c r="A4103" s="1" t="s">
        <v>4104</v>
      </c>
      <c r="B4103" s="1" t="s">
        <v>5</v>
      </c>
      <c r="C4103" s="2">
        <f>IFERROR(__xludf.DUMMYFUNCTION("IFERROR(VLOOKUP(A4103, IMPORTRANGE(""https://docs.google.com/spreadsheets/d/1AVX9GT0dgogEBStecCXMMQ29tWz3gBrtNB8yIromXbY/edit?gid=741673867"", ""out1g!A:B""), 2, FALSE), 0)"),56.0)</f>
        <v>56</v>
      </c>
      <c r="D4103" s="2" t="str">
        <f>IFERROR(__xludf.DUMMYFUNCTION("IFERROR(VLOOKUP(A4103, IMPORTRANGE(""https://docs.google.com/spreadsheets/d/1-3Vjw2Cyy-mry5gbC8ypIR3YVGFfEpyFESummAta6sg/edit"", ""Sheet1!B:D""), 2, FALSE), ""Not Found"")"),"ʤɪst")</f>
        <v>ʤɪst</v>
      </c>
      <c r="E4103" s="2" t="str">
        <f>IFERROR(__xludf.DUMMYFUNCTION("IFERROR(VLOOKUP(A4103, IMPORTRANGE(""https://docs.google.com/spreadsheets/d/1-3Vjw2Cyy-mry5gbC8ypIR3YVGFfEpyFESummAta6sg/edit"", ""Sheet1!B:D""), 3, FALSE), ""Not Found"")"),"ʤ ɪ s t ")</f>
        <v>ʤ ɪ s t </v>
      </c>
    </row>
    <row r="4104">
      <c r="A4104" s="1" t="s">
        <v>4105</v>
      </c>
      <c r="B4104" s="1" t="s">
        <v>5</v>
      </c>
      <c r="C4104" s="2">
        <f>IFERROR(__xludf.DUMMYFUNCTION("IFERROR(VLOOKUP(A4104, IMPORTRANGE(""https://docs.google.com/spreadsheets/d/1AVX9GT0dgogEBStecCXMMQ29tWz3gBrtNB8yIromXbY/edit?gid=741673867"", ""out1g!A:B""), 2, FALSE), 0)"),32.0)</f>
        <v>32</v>
      </c>
      <c r="D4104" s="2" t="str">
        <f>IFERROR(__xludf.DUMMYFUNCTION("IFERROR(VLOOKUP(A4104, IMPORTRANGE(""https://docs.google.com/spreadsheets/d/1-3Vjw2Cyy-mry5gbC8ypIR3YVGFfEpyFESummAta6sg/edit"", ""Sheet1!B:D""), 2, FALSE), ""Not Found"")"),"noʊm")</f>
        <v>noʊm</v>
      </c>
      <c r="E4104" s="2" t="str">
        <f>IFERROR(__xludf.DUMMYFUNCTION("IFERROR(VLOOKUP(A4104, IMPORTRANGE(""https://docs.google.com/spreadsheets/d/1-3Vjw2Cyy-mry5gbC8ypIR3YVGFfEpyFESummAta6sg/edit"", ""Sheet1!B:D""), 3, FALSE), ""Not Found"")"),"n o ʊ m ")</f>
        <v>n o ʊ m </v>
      </c>
    </row>
    <row r="4105">
      <c r="A4105" s="1" t="s">
        <v>4106</v>
      </c>
      <c r="B4105" s="1" t="s">
        <v>5</v>
      </c>
      <c r="C4105" s="2">
        <f>IFERROR(__xludf.DUMMYFUNCTION("IFERROR(VLOOKUP(A4105, IMPORTRANGE(""https://docs.google.com/spreadsheets/d/1AVX9GT0dgogEBStecCXMMQ29tWz3gBrtNB8yIromXbY/edit?gid=741673867"", ""out1g!A:B""), 2, FALSE), 0)"),314232.0)</f>
        <v>314232</v>
      </c>
      <c r="D4105" s="2" t="str">
        <f>IFERROR(__xludf.DUMMYFUNCTION("IFERROR(VLOOKUP(A4105, IMPORTRANGE(""https://docs.google.com/spreadsheets/d/1-3Vjw2Cyy-mry5gbC8ypIR3YVGFfEpyFESummAta6sg/edit"", ""Sheet1!B:D""), 2, FALSE), ""Not Found"")"),"hæv")</f>
        <v>hæv</v>
      </c>
      <c r="E4105" s="2" t="str">
        <f>IFERROR(__xludf.DUMMYFUNCTION("IFERROR(VLOOKUP(A4105, IMPORTRANGE(""https://docs.google.com/spreadsheets/d/1-3Vjw2Cyy-mry5gbC8ypIR3YVGFfEpyFESummAta6sg/edit"", ""Sheet1!B:D""), 3, FALSE), ""Not Found"")"),"h æ v ")</f>
        <v>h æ v </v>
      </c>
    </row>
    <row r="4106">
      <c r="A4106" s="1" t="s">
        <v>4107</v>
      </c>
      <c r="B4106" s="1" t="s">
        <v>5</v>
      </c>
      <c r="C4106" s="2">
        <f>IFERROR(__xludf.DUMMYFUNCTION("IFERROR(VLOOKUP(A4106, IMPORTRANGE(""https://docs.google.com/spreadsheets/d/1AVX9GT0dgogEBStecCXMMQ29tWz3gBrtNB8yIromXbY/edit?gid=741673867"", ""out1g!A:B""), 2, FALSE), 0)"),3553.0)</f>
        <v>3553</v>
      </c>
      <c r="D4106" s="2" t="str">
        <f>IFERROR(__xludf.DUMMYFUNCTION("IFERROR(VLOOKUP(A4106, IMPORTRANGE(""https://docs.google.com/spreadsheets/d/1-3Vjw2Cyy-mry5gbC8ypIR3YVGFfEpyFESummAta6sg/edit"", ""Sheet1!B:D""), 2, FALSE), ""Not Found"")"),"sən")</f>
        <v>sən</v>
      </c>
      <c r="E4106" s="2" t="str">
        <f>IFERROR(__xludf.DUMMYFUNCTION("IFERROR(VLOOKUP(A4106, IMPORTRANGE(""https://docs.google.com/spreadsheets/d/1-3Vjw2Cyy-mry5gbC8ypIR3YVGFfEpyFESummAta6sg/edit"", ""Sheet1!B:D""), 3, FALSE), ""Not Found"")"),"s ə n ")</f>
        <v>s ə n </v>
      </c>
    </row>
    <row r="4107">
      <c r="A4107" s="1" t="s">
        <v>4108</v>
      </c>
      <c r="B4107" s="1" t="s">
        <v>5</v>
      </c>
      <c r="C4107" s="2">
        <f>IFERROR(__xludf.DUMMYFUNCTION("IFERROR(VLOOKUP(A4107, IMPORTRANGE(""https://docs.google.com/spreadsheets/d/1AVX9GT0dgogEBStecCXMMQ29tWz3gBrtNB8yIromXbY/edit?gid=741673867"", ""out1g!A:B""), 2, FALSE), 0)"),83.0)</f>
        <v>83</v>
      </c>
      <c r="D4107" s="2" t="str">
        <f>IFERROR(__xludf.DUMMYFUNCTION("IFERROR(VLOOKUP(A4107, IMPORTRANGE(""https://docs.google.com/spreadsheets/d/1-3Vjw2Cyy-mry5gbC8ypIR3YVGFfEpyFESummAta6sg/edit"", ""Sheet1!B:D""), 2, FALSE), ""Not Found"")"),"fɔlti")</f>
        <v>fɔlti</v>
      </c>
      <c r="E4107" s="2" t="str">
        <f>IFERROR(__xludf.DUMMYFUNCTION("IFERROR(VLOOKUP(A4107, IMPORTRANGE(""https://docs.google.com/spreadsheets/d/1-3Vjw2Cyy-mry5gbC8ypIR3YVGFfEpyFESummAta6sg/edit"", ""Sheet1!B:D""), 3, FALSE), ""Not Found"")"),"f ɔ l t i ")</f>
        <v>f ɔ l t i </v>
      </c>
    </row>
    <row r="4108">
      <c r="A4108" s="1" t="s">
        <v>4109</v>
      </c>
      <c r="B4108" s="1" t="s">
        <v>5</v>
      </c>
      <c r="C4108" s="2">
        <f>IFERROR(__xludf.DUMMYFUNCTION("IFERROR(VLOOKUP(A4108, IMPORTRANGE(""https://docs.google.com/spreadsheets/d/1AVX9GT0dgogEBStecCXMMQ29tWz3gBrtNB8yIromXbY/edit?gid=741673867"", ""out1g!A:B""), 2, FALSE), 0)"),63.0)</f>
        <v>63</v>
      </c>
      <c r="D4108" s="2" t="str">
        <f>IFERROR(__xludf.DUMMYFUNCTION("IFERROR(VLOOKUP(A4108, IMPORTRANGE(""https://docs.google.com/spreadsheets/d/1-3Vjw2Cyy-mry5gbC8ypIR3YVGFfEpyFESummAta6sg/edit"", ""Sheet1!B:D""), 2, FALSE), ""Not Found"")"),"wɑts")</f>
        <v>wɑts</v>
      </c>
      <c r="E4108" s="2" t="str">
        <f>IFERROR(__xludf.DUMMYFUNCTION("IFERROR(VLOOKUP(A4108, IMPORTRANGE(""https://docs.google.com/spreadsheets/d/1-3Vjw2Cyy-mry5gbC8ypIR3YVGFfEpyFESummAta6sg/edit"", ""Sheet1!B:D""), 3, FALSE), ""Not Found"")"),"w ɑ t s ")</f>
        <v>w ɑ t s </v>
      </c>
    </row>
    <row r="4109">
      <c r="A4109" s="1" t="s">
        <v>4110</v>
      </c>
      <c r="B4109" s="1" t="s">
        <v>5</v>
      </c>
      <c r="C4109" s="2">
        <f>IFERROR(__xludf.DUMMYFUNCTION("IFERROR(VLOOKUP(A4109, IMPORTRANGE(""https://docs.google.com/spreadsheets/d/1AVX9GT0dgogEBStecCXMMQ29tWz3gBrtNB8yIromXbY/edit?gid=741673867"", ""out1g!A:B""), 2, FALSE), 0)"),648.0)</f>
        <v>648</v>
      </c>
      <c r="D4109" s="2" t="str">
        <f>IFERROR(__xludf.DUMMYFUNCTION("IFERROR(VLOOKUP(A4109, IMPORTRANGE(""https://docs.google.com/spreadsheets/d/1-3Vjw2Cyy-mry5gbC8ypIR3YVGFfEpyFESummAta6sg/edit"", ""Sheet1!B:D""), 2, FALSE), ""Not Found"")"),"selz")</f>
        <v>selz</v>
      </c>
      <c r="E4109" s="2" t="str">
        <f>IFERROR(__xludf.DUMMYFUNCTION("IFERROR(VLOOKUP(A4109, IMPORTRANGE(""https://docs.google.com/spreadsheets/d/1-3Vjw2Cyy-mry5gbC8ypIR3YVGFfEpyFESummAta6sg/edit"", ""Sheet1!B:D""), 3, FALSE), ""Not Found"")"),"s e l z ")</f>
        <v>s e l z </v>
      </c>
    </row>
    <row r="4110">
      <c r="A4110" s="1" t="s">
        <v>4111</v>
      </c>
      <c r="B4110" s="1" t="s">
        <v>5</v>
      </c>
      <c r="C4110" s="2">
        <f>IFERROR(__xludf.DUMMYFUNCTION("IFERROR(VLOOKUP(A4110, IMPORTRANGE(""https://docs.google.com/spreadsheets/d/1AVX9GT0dgogEBStecCXMMQ29tWz3gBrtNB8yIromXbY/edit?gid=741673867"", ""out1g!A:B""), 2, FALSE), 0)"),752.0)</f>
        <v>752</v>
      </c>
      <c r="D4110" s="2" t="str">
        <f>IFERROR(__xludf.DUMMYFUNCTION("IFERROR(VLOOKUP(A4110, IMPORTRANGE(""https://docs.google.com/spreadsheets/d/1-3Vjw2Cyy-mry5gbC8ypIR3YVGFfEpyFESummAta6sg/edit"", ""Sheet1!B:D""), 2, FALSE), ""Not Found"")"),"sil")</f>
        <v>sil</v>
      </c>
      <c r="E4110" s="2" t="str">
        <f>IFERROR(__xludf.DUMMYFUNCTION("IFERROR(VLOOKUP(A4110, IMPORTRANGE(""https://docs.google.com/spreadsheets/d/1-3Vjw2Cyy-mry5gbC8ypIR3YVGFfEpyFESummAta6sg/edit"", ""Sheet1!B:D""), 3, FALSE), ""Not Found"")"),"s i l ")</f>
        <v>s i l </v>
      </c>
    </row>
    <row r="4111">
      <c r="A4111" s="1" t="s">
        <v>4112</v>
      </c>
      <c r="B4111" s="1" t="s">
        <v>5</v>
      </c>
      <c r="C4111" s="2">
        <f>IFERROR(__xludf.DUMMYFUNCTION("IFERROR(VLOOKUP(A4111, IMPORTRANGE(""https://docs.google.com/spreadsheets/d/1AVX9GT0dgogEBStecCXMMQ29tWz3gBrtNB8yIromXbY/edit?gid=741673867"", ""out1g!A:B""), 2, FALSE), 0)"),1328.0)</f>
        <v>1328</v>
      </c>
      <c r="D4111" s="2" t="str">
        <f>IFERROR(__xludf.DUMMYFUNCTION("IFERROR(VLOOKUP(A4111, IMPORTRANGE(""https://docs.google.com/spreadsheets/d/1-3Vjw2Cyy-mry5gbC8ypIR3YVGFfEpyFESummAta6sg/edit"", ""Sheet1!B:D""), 2, FALSE), ""Not Found"")"),"ɛg")</f>
        <v>ɛg</v>
      </c>
      <c r="E4111" s="2" t="str">
        <f>IFERROR(__xludf.DUMMYFUNCTION("IFERROR(VLOOKUP(A4111, IMPORTRANGE(""https://docs.google.com/spreadsheets/d/1-3Vjw2Cyy-mry5gbC8ypIR3YVGFfEpyFESummAta6sg/edit"", ""Sheet1!B:D""), 3, FALSE), ""Not Found"")"),"ɛ g ")</f>
        <v>ɛ g </v>
      </c>
    </row>
    <row r="4112">
      <c r="A4112" s="1" t="s">
        <v>4113</v>
      </c>
      <c r="B4112" s="1" t="s">
        <v>5</v>
      </c>
      <c r="C4112" s="2">
        <f>IFERROR(__xludf.DUMMYFUNCTION("IFERROR(VLOOKUP(A4112, IMPORTRANGE(""https://docs.google.com/spreadsheets/d/1AVX9GT0dgogEBStecCXMMQ29tWz3gBrtNB8yIromXbY/edit?gid=741673867"", ""out1g!A:B""), 2, FALSE), 0)"),88079.0)</f>
        <v>88079</v>
      </c>
      <c r="D4112" s="2" t="str">
        <f>IFERROR(__xludf.DUMMYFUNCTION("IFERROR(VLOOKUP(A4112, IMPORTRANGE(""https://docs.google.com/spreadsheets/d/1-3Vjw2Cyy-mry5gbC8ypIR3YVGFfEpyFESummAta6sg/edit"", ""Sheet1!B:D""), 2, FALSE), ""Not Found"")"),"he")</f>
        <v>he</v>
      </c>
      <c r="E4112" s="2" t="str">
        <f>IFERROR(__xludf.DUMMYFUNCTION("IFERROR(VLOOKUP(A4112, IMPORTRANGE(""https://docs.google.com/spreadsheets/d/1-3Vjw2Cyy-mry5gbC8ypIR3YVGFfEpyFESummAta6sg/edit"", ""Sheet1!B:D""), 3, FALSE), ""Not Found"")"),"h e ")</f>
        <v>h e </v>
      </c>
    </row>
    <row r="4113">
      <c r="A4113" s="1" t="s">
        <v>4114</v>
      </c>
      <c r="B4113" s="1" t="s">
        <v>5</v>
      </c>
      <c r="C4113" s="2">
        <f>IFERROR(__xludf.DUMMYFUNCTION("IFERROR(VLOOKUP(A4113, IMPORTRANGE(""https://docs.google.com/spreadsheets/d/1AVX9GT0dgogEBStecCXMMQ29tWz3gBrtNB8yIromXbY/edit?gid=741673867"", ""out1g!A:B""), 2, FALSE), 0)"),167.0)</f>
        <v>167</v>
      </c>
      <c r="D4113" s="2" t="str">
        <f>IFERROR(__xludf.DUMMYFUNCTION("IFERROR(VLOOKUP(A4113, IMPORTRANGE(""https://docs.google.com/spreadsheets/d/1-3Vjw2Cyy-mry5gbC8ypIR3YVGFfEpyFESummAta6sg/edit"", ""Sheet1!B:D""), 2, FALSE), ""Not Found"")"),"taɪ")</f>
        <v>taɪ</v>
      </c>
      <c r="E4113" s="2" t="str">
        <f>IFERROR(__xludf.DUMMYFUNCTION("IFERROR(VLOOKUP(A4113, IMPORTRANGE(""https://docs.google.com/spreadsheets/d/1-3Vjw2Cyy-mry5gbC8ypIR3YVGFfEpyFESummAta6sg/edit"", ""Sheet1!B:D""), 3, FALSE), ""Not Found"")"),"t a ɪ ")</f>
        <v>t a ɪ </v>
      </c>
    </row>
    <row r="4114">
      <c r="A4114" s="1" t="s">
        <v>4115</v>
      </c>
      <c r="B4114" s="1" t="s">
        <v>5</v>
      </c>
      <c r="C4114" s="2">
        <f>IFERROR(__xludf.DUMMYFUNCTION("IFERROR(VLOOKUP(A4114, IMPORTRANGE(""https://docs.google.com/spreadsheets/d/1AVX9GT0dgogEBStecCXMMQ29tWz3gBrtNB8yIromXbY/edit?gid=741673867"", ""out1g!A:B""), 2, FALSE), 0)"),133.0)</f>
        <v>133</v>
      </c>
      <c r="D4114" s="2" t="str">
        <f>IFERROR(__xludf.DUMMYFUNCTION("IFERROR(VLOOKUP(A4114, IMPORTRANGE(""https://docs.google.com/spreadsheets/d/1-3Vjw2Cyy-mry5gbC8ypIR3YVGFfEpyFESummAta6sg/edit"", ""Sheet1!B:D""), 2, FALSE), ""Not Found"")"),"fliz")</f>
        <v>fliz</v>
      </c>
      <c r="E4114" s="2" t="str">
        <f>IFERROR(__xludf.DUMMYFUNCTION("IFERROR(VLOOKUP(A4114, IMPORTRANGE(""https://docs.google.com/spreadsheets/d/1-3Vjw2Cyy-mry5gbC8ypIR3YVGFfEpyFESummAta6sg/edit"", ""Sheet1!B:D""), 3, FALSE), ""Not Found"")"),"f l i z ")</f>
        <v>f l i z </v>
      </c>
    </row>
    <row r="4115">
      <c r="A4115" s="1" t="s">
        <v>4116</v>
      </c>
      <c r="B4115" s="1" t="s">
        <v>5</v>
      </c>
      <c r="C4115" s="2">
        <f>IFERROR(__xludf.DUMMYFUNCTION("IFERROR(VLOOKUP(A4115, IMPORTRANGE(""https://docs.google.com/spreadsheets/d/1AVX9GT0dgogEBStecCXMMQ29tWz3gBrtNB8yIromXbY/edit?gid=741673867"", ""out1g!A:B""), 2, FALSE), 0)"),963712.0)</f>
        <v>963712</v>
      </c>
      <c r="D4115" s="2" t="str">
        <f>IFERROR(__xludf.DUMMYFUNCTION("IFERROR(VLOOKUP(A4115, IMPORTRANGE(""https://docs.google.com/spreadsheets/d/1-3Vjw2Cyy-mry5gbC8ypIR3YVGFfEpyFESummAta6sg/edit"", ""Sheet1!B:D""), 2, FALSE), ""Not Found"")"),"ɪt")</f>
        <v>ɪt</v>
      </c>
      <c r="E4115" s="2" t="str">
        <f>IFERROR(__xludf.DUMMYFUNCTION("IFERROR(VLOOKUP(A4115, IMPORTRANGE(""https://docs.google.com/spreadsheets/d/1-3Vjw2Cyy-mry5gbC8ypIR3YVGFfEpyFESummAta6sg/edit"", ""Sheet1!B:D""), 3, FALSE), ""Not Found"")"),"ɪ t ")</f>
        <v>ɪ t </v>
      </c>
    </row>
    <row r="4116">
      <c r="A4116" s="1" t="s">
        <v>4117</v>
      </c>
      <c r="B4116" s="1" t="s">
        <v>5</v>
      </c>
      <c r="C4116" s="2">
        <f>IFERROR(__xludf.DUMMYFUNCTION("IFERROR(VLOOKUP(A4116, IMPORTRANGE(""https://docs.google.com/spreadsheets/d/1AVX9GT0dgogEBStecCXMMQ29tWz3gBrtNB8yIromXbY/edit?gid=741673867"", ""out1g!A:B""), 2, FALSE), 0)"),1009.0)</f>
        <v>1009</v>
      </c>
      <c r="D4116" s="2" t="str">
        <f>IFERROR(__xludf.DUMMYFUNCTION("IFERROR(VLOOKUP(A4116, IMPORTRANGE(""https://docs.google.com/spreadsheets/d/1-3Vjw2Cyy-mry5gbC8ypIR3YVGFfEpyFESummAta6sg/edit"", ""Sheet1!B:D""), 2, FALSE), ""Not Found"")"),"lidz")</f>
        <v>lidz</v>
      </c>
      <c r="E4116" s="2" t="str">
        <f>IFERROR(__xludf.DUMMYFUNCTION("IFERROR(VLOOKUP(A4116, IMPORTRANGE(""https://docs.google.com/spreadsheets/d/1-3Vjw2Cyy-mry5gbC8ypIR3YVGFfEpyFESummAta6sg/edit"", ""Sheet1!B:D""), 3, FALSE), ""Not Found"")"),"l i d z ")</f>
        <v>l i d z </v>
      </c>
    </row>
    <row r="4117">
      <c r="A4117" s="1" t="s">
        <v>4118</v>
      </c>
      <c r="B4117" s="1" t="s">
        <v>5</v>
      </c>
      <c r="C4117" s="2">
        <f>IFERROR(__xludf.DUMMYFUNCTION("IFERROR(VLOOKUP(A4117, IMPORTRANGE(""https://docs.google.com/spreadsheets/d/1AVX9GT0dgogEBStecCXMMQ29tWz3gBrtNB8yIromXbY/edit?gid=741673867"", ""out1g!A:B""), 2, FALSE), 0)"),36170.0)</f>
        <v>36170</v>
      </c>
      <c r="D4117" s="2" t="str">
        <f>IFERROR(__xludf.DUMMYFUNCTION("IFERROR(VLOOKUP(A4117, IMPORTRANGE(""https://docs.google.com/spreadsheets/d/1-3Vjw2Cyy-mry5gbC8ypIR3YVGFfEpyFESummAta6sg/edit"", ""Sheet1!B:D""), 2, FALSE), ""Not Found"")"),"ɛvər")</f>
        <v>ɛvər</v>
      </c>
      <c r="E4117" s="2" t="str">
        <f>IFERROR(__xludf.DUMMYFUNCTION("IFERROR(VLOOKUP(A4117, IMPORTRANGE(""https://docs.google.com/spreadsheets/d/1-3Vjw2Cyy-mry5gbC8ypIR3YVGFfEpyFESummAta6sg/edit"", ""Sheet1!B:D""), 3, FALSE), ""Not Found"")"),"ɛ v ə r ")</f>
        <v>ɛ v ə r </v>
      </c>
    </row>
    <row r="4118">
      <c r="A4118" s="1" t="s">
        <v>4119</v>
      </c>
      <c r="B4118" s="1" t="s">
        <v>5</v>
      </c>
      <c r="C4118" s="2">
        <f>IFERROR(__xludf.DUMMYFUNCTION("IFERROR(VLOOKUP(A4118, IMPORTRANGE(""https://docs.google.com/spreadsheets/d/1AVX9GT0dgogEBStecCXMMQ29tWz3gBrtNB8yIromXbY/edit?gid=741673867"", ""out1g!A:B""), 2, FALSE), 0)"),105.0)</f>
        <v>105</v>
      </c>
      <c r="D4118" s="2" t="str">
        <f>IFERROR(__xludf.DUMMYFUNCTION("IFERROR(VLOOKUP(A4118, IMPORTRANGE(""https://docs.google.com/spreadsheets/d/1-3Vjw2Cyy-mry5gbC8ypIR3YVGFfEpyFESummAta6sg/edit"", ""Sheet1!B:D""), 2, FALSE), ""Not Found"")"),"piʧi")</f>
        <v>piʧi</v>
      </c>
      <c r="E4118" s="2" t="str">
        <f>IFERROR(__xludf.DUMMYFUNCTION("IFERROR(VLOOKUP(A4118, IMPORTRANGE(""https://docs.google.com/spreadsheets/d/1-3Vjw2Cyy-mry5gbC8ypIR3YVGFfEpyFESummAta6sg/edit"", ""Sheet1!B:D""), 3, FALSE), ""Not Found"")"),"p i ʧ i ")</f>
        <v>p i ʧ i </v>
      </c>
    </row>
    <row r="4119">
      <c r="A4119" s="1" t="s">
        <v>4120</v>
      </c>
      <c r="B4119" s="1" t="s">
        <v>5</v>
      </c>
      <c r="C4119" s="2">
        <f>IFERROR(__xludf.DUMMYFUNCTION("IFERROR(VLOOKUP(A4119, IMPORTRANGE(""https://docs.google.com/spreadsheets/d/1AVX9GT0dgogEBStecCXMMQ29tWz3gBrtNB8yIromXbY/edit?gid=741673867"", ""out1g!A:B""), 2, FALSE), 0)"),1743.0)</f>
        <v>1743</v>
      </c>
      <c r="D4119" s="2" t="str">
        <f>IFERROR(__xludf.DUMMYFUNCTION("IFERROR(VLOOKUP(A4119, IMPORTRANGE(""https://docs.google.com/spreadsheets/d/1-3Vjw2Cyy-mry5gbC8ypIR3YVGFfEpyFESummAta6sg/edit"", ""Sheet1!B:D""), 2, FALSE), ""Not Found"")"),"ke")</f>
        <v>ke</v>
      </c>
      <c r="E4119" s="2" t="str">
        <f>IFERROR(__xludf.DUMMYFUNCTION("IFERROR(VLOOKUP(A4119, IMPORTRANGE(""https://docs.google.com/spreadsheets/d/1-3Vjw2Cyy-mry5gbC8ypIR3YVGFfEpyFESummAta6sg/edit"", ""Sheet1!B:D""), 3, FALSE), ""Not Found"")"),"k e ")</f>
        <v>k e </v>
      </c>
    </row>
    <row r="4120">
      <c r="A4120" s="1" t="s">
        <v>4121</v>
      </c>
      <c r="B4120" s="1" t="s">
        <v>5</v>
      </c>
      <c r="C4120" s="2">
        <f>IFERROR(__xludf.DUMMYFUNCTION("IFERROR(VLOOKUP(A4120, IMPORTRANGE(""https://docs.google.com/spreadsheets/d/1AVX9GT0dgogEBStecCXMMQ29tWz3gBrtNB8yIromXbY/edit?gid=741673867"", ""out1g!A:B""), 2, FALSE), 0)"),154.0)</f>
        <v>154</v>
      </c>
      <c r="D4120" s="2" t="str">
        <f>IFERROR(__xludf.DUMMYFUNCTION("IFERROR(VLOOKUP(A4120, IMPORTRANGE(""https://docs.google.com/spreadsheets/d/1-3Vjw2Cyy-mry5gbC8ypIR3YVGFfEpyFESummAta6sg/edit"", ""Sheet1!B:D""), 2, FALSE), ""Not Found"")"),"fiænsi")</f>
        <v>fiænsi</v>
      </c>
      <c r="E4120" s="2" t="str">
        <f>IFERROR(__xludf.DUMMYFUNCTION("IFERROR(VLOOKUP(A4120, IMPORTRANGE(""https://docs.google.com/spreadsheets/d/1-3Vjw2Cyy-mry5gbC8ypIR3YVGFfEpyFESummAta6sg/edit"", ""Sheet1!B:D""), 3, FALSE), ""Not Found"")"),"f i æ n s i ")</f>
        <v>f i æ n s i </v>
      </c>
    </row>
    <row r="4121">
      <c r="A4121" s="1" t="s">
        <v>4122</v>
      </c>
      <c r="B4121" s="1" t="s">
        <v>5</v>
      </c>
      <c r="C4121" s="2">
        <f>IFERROR(__xludf.DUMMYFUNCTION("IFERROR(VLOOKUP(A4121, IMPORTRANGE(""https://docs.google.com/spreadsheets/d/1AVX9GT0dgogEBStecCXMMQ29tWz3gBrtNB8yIromXbY/edit?gid=741673867"", ""out1g!A:B""), 2, FALSE), 0)"),86.0)</f>
        <v>86</v>
      </c>
      <c r="D4121" s="2" t="str">
        <f>IFERROR(__xludf.DUMMYFUNCTION("IFERROR(VLOOKUP(A4121, IMPORTRANGE(""https://docs.google.com/spreadsheets/d/1-3Vjw2Cyy-mry5gbC8ypIR3YVGFfEpyFESummAta6sg/edit"", ""Sheet1!B:D""), 2, FALSE), ""Not Found"")"),"hɑrk")</f>
        <v>hɑrk</v>
      </c>
      <c r="E4121" s="2" t="str">
        <f>IFERROR(__xludf.DUMMYFUNCTION("IFERROR(VLOOKUP(A4121, IMPORTRANGE(""https://docs.google.com/spreadsheets/d/1-3Vjw2Cyy-mry5gbC8ypIR3YVGFfEpyFESummAta6sg/edit"", ""Sheet1!B:D""), 3, FALSE), ""Not Found"")"),"h ɑ r k ")</f>
        <v>h ɑ r k </v>
      </c>
    </row>
    <row r="4122">
      <c r="A4122" s="1" t="s">
        <v>4123</v>
      </c>
      <c r="B4122" s="1" t="s">
        <v>5</v>
      </c>
      <c r="C4122" s="2">
        <f>IFERROR(__xludf.DUMMYFUNCTION("IFERROR(VLOOKUP(A4122, IMPORTRANGE(""https://docs.google.com/spreadsheets/d/1AVX9GT0dgogEBStecCXMMQ29tWz3gBrtNB8yIromXbY/edit?gid=741673867"", ""out1g!A:B""), 2, FALSE), 0)"),410.0)</f>
        <v>410</v>
      </c>
      <c r="D4122" s="2" t="str">
        <f>IFERROR(__xludf.DUMMYFUNCTION("IFERROR(VLOOKUP(A4122, IMPORTRANGE(""https://docs.google.com/spreadsheets/d/1-3Vjw2Cyy-mry5gbC8ypIR3YVGFfEpyFESummAta6sg/edit"", ""Sheet1!B:D""), 2, FALSE), ""Not Found"")"),"briz")</f>
        <v>briz</v>
      </c>
      <c r="E4122" s="2" t="str">
        <f>IFERROR(__xludf.DUMMYFUNCTION("IFERROR(VLOOKUP(A4122, IMPORTRANGE(""https://docs.google.com/spreadsheets/d/1-3Vjw2Cyy-mry5gbC8ypIR3YVGFfEpyFESummAta6sg/edit"", ""Sheet1!B:D""), 3, FALSE), ""Not Found"")"),"b r i z ")</f>
        <v>b r i z </v>
      </c>
    </row>
    <row r="4123">
      <c r="A4123" s="1" t="s">
        <v>4124</v>
      </c>
      <c r="B4123" s="1" t="s">
        <v>5</v>
      </c>
      <c r="C4123" s="2">
        <f>IFERROR(__xludf.DUMMYFUNCTION("IFERROR(VLOOKUP(A4123, IMPORTRANGE(""https://docs.google.com/spreadsheets/d/1AVX9GT0dgogEBStecCXMMQ29tWz3gBrtNB8yIromXbY/edit?gid=741673867"", ""out1g!A:B""), 2, FALSE), 0)"),72.0)</f>
        <v>72</v>
      </c>
      <c r="D4123" s="2" t="str">
        <f>IFERROR(__xludf.DUMMYFUNCTION("IFERROR(VLOOKUP(A4123, IMPORTRANGE(""https://docs.google.com/spreadsheets/d/1-3Vjw2Cyy-mry5gbC8ypIR3YVGFfEpyFESummAta6sg/edit"", ""Sheet1!B:D""), 2, FALSE), ""Not Found"")"),"bɛgz")</f>
        <v>bɛgz</v>
      </c>
      <c r="E4123" s="2" t="str">
        <f>IFERROR(__xludf.DUMMYFUNCTION("IFERROR(VLOOKUP(A4123, IMPORTRANGE(""https://docs.google.com/spreadsheets/d/1-3Vjw2Cyy-mry5gbC8ypIR3YVGFfEpyFESummAta6sg/edit"", ""Sheet1!B:D""), 3, FALSE), ""Not Found"")"),"b ɛ g z ")</f>
        <v>b ɛ g z </v>
      </c>
    </row>
    <row r="4124">
      <c r="A4124" s="1" t="s">
        <v>4125</v>
      </c>
      <c r="B4124" s="1" t="s">
        <v>5</v>
      </c>
      <c r="C4124" s="2">
        <f>IFERROR(__xludf.DUMMYFUNCTION("IFERROR(VLOOKUP(A4124, IMPORTRANGE(""https://docs.google.com/spreadsheets/d/1AVX9GT0dgogEBStecCXMMQ29tWz3gBrtNB8yIromXbY/edit?gid=741673867"", ""out1g!A:B""), 2, FALSE), 0)"),6803.0)</f>
        <v>6803</v>
      </c>
      <c r="D4124" s="2" t="str">
        <f>IFERROR(__xludf.DUMMYFUNCTION("IFERROR(VLOOKUP(A4124, IMPORTRANGE(""https://docs.google.com/spreadsheets/d/1-3Vjw2Cyy-mry5gbC8ypIR3YVGFfEpyFESummAta6sg/edit"", ""Sheet1!B:D""), 2, FALSE), ""Not Found"")"),"skɛrd")</f>
        <v>skɛrd</v>
      </c>
      <c r="E4124" s="2" t="str">
        <f>IFERROR(__xludf.DUMMYFUNCTION("IFERROR(VLOOKUP(A4124, IMPORTRANGE(""https://docs.google.com/spreadsheets/d/1-3Vjw2Cyy-mry5gbC8ypIR3YVGFfEpyFESummAta6sg/edit"", ""Sheet1!B:D""), 3, FALSE), ""Not Found"")"),"s k ɛ r d ")</f>
        <v>s k ɛ r d </v>
      </c>
    </row>
    <row r="4125">
      <c r="A4125" s="1" t="s">
        <v>4126</v>
      </c>
      <c r="B4125" s="1" t="s">
        <v>5</v>
      </c>
      <c r="C4125" s="2">
        <f>IFERROR(__xludf.DUMMYFUNCTION("IFERROR(VLOOKUP(A4125, IMPORTRANGE(""https://docs.google.com/spreadsheets/d/1AVX9GT0dgogEBStecCXMMQ29tWz3gBrtNB8yIromXbY/edit?gid=741673867"", ""out1g!A:B""), 2, FALSE), 0)"),11364.0)</f>
        <v>11364</v>
      </c>
      <c r="D4125" s="2" t="str">
        <f>IFERROR(__xludf.DUMMYFUNCTION("IFERROR(VLOOKUP(A4125, IMPORTRANGE(""https://docs.google.com/spreadsheets/d/1-3Vjw2Cyy-mry5gbC8ypIR3YVGFfEpyFESummAta6sg/edit"", ""Sheet1!B:D""), 2, FALSE), ""Not Found"")"),"gɪts")</f>
        <v>gɪts</v>
      </c>
      <c r="E4125" s="2" t="str">
        <f>IFERROR(__xludf.DUMMYFUNCTION("IFERROR(VLOOKUP(A4125, IMPORTRANGE(""https://docs.google.com/spreadsheets/d/1-3Vjw2Cyy-mry5gbC8ypIR3YVGFfEpyFESummAta6sg/edit"", ""Sheet1!B:D""), 3, FALSE), ""Not Found"")"),"g ɪ t s ")</f>
        <v>g ɪ t s </v>
      </c>
    </row>
    <row r="4126">
      <c r="A4126" s="1" t="s">
        <v>4127</v>
      </c>
      <c r="B4126" s="1" t="s">
        <v>5</v>
      </c>
      <c r="C4126" s="2">
        <f>IFERROR(__xludf.DUMMYFUNCTION("IFERROR(VLOOKUP(A4126, IMPORTRANGE(""https://docs.google.com/spreadsheets/d/1AVX9GT0dgogEBStecCXMMQ29tWz3gBrtNB8yIromXbY/edit?gid=741673867"", ""out1g!A:B""), 2, FALSE), 0)"),47.0)</f>
        <v>47</v>
      </c>
      <c r="D4126" s="2" t="str">
        <f>IFERROR(__xludf.DUMMYFUNCTION("IFERROR(VLOOKUP(A4126, IMPORTRANGE(""https://docs.google.com/spreadsheets/d/1-3Vjw2Cyy-mry5gbC8ypIR3YVGFfEpyFESummAta6sg/edit"", ""Sheet1!B:D""), 2, FALSE), ""Not Found"")"),"klɛr")</f>
        <v>klɛr</v>
      </c>
      <c r="E4126" s="2" t="str">
        <f>IFERROR(__xludf.DUMMYFUNCTION("IFERROR(VLOOKUP(A4126, IMPORTRANGE(""https://docs.google.com/spreadsheets/d/1-3Vjw2Cyy-mry5gbC8ypIR3YVGFfEpyFESummAta6sg/edit"", ""Sheet1!B:D""), 3, FALSE), ""Not Found"")"),"k l ɛ r ")</f>
        <v>k l ɛ r </v>
      </c>
    </row>
    <row r="4127">
      <c r="A4127" s="1" t="s">
        <v>4128</v>
      </c>
      <c r="B4127" s="1" t="s">
        <v>5</v>
      </c>
      <c r="C4127" s="2">
        <f>IFERROR(__xludf.DUMMYFUNCTION("IFERROR(VLOOKUP(A4127, IMPORTRANGE(""https://docs.google.com/spreadsheets/d/1AVX9GT0dgogEBStecCXMMQ29tWz3gBrtNB8yIromXbY/edit?gid=741673867"", ""out1g!A:B""), 2, FALSE), 0)"),388.0)</f>
        <v>388</v>
      </c>
      <c r="D4127" s="2" t="str">
        <f>IFERROR(__xludf.DUMMYFUNCTION("IFERROR(VLOOKUP(A4127, IMPORTRANGE(""https://docs.google.com/spreadsheets/d/1-3Vjw2Cyy-mry5gbC8ypIR3YVGFfEpyFESummAta6sg/edit"", ""Sheet1!B:D""), 2, FALSE), ""Not Found"")"),"həʃ")</f>
        <v>həʃ</v>
      </c>
      <c r="E4127" s="2" t="str">
        <f>IFERROR(__xludf.DUMMYFUNCTION("IFERROR(VLOOKUP(A4127, IMPORTRANGE(""https://docs.google.com/spreadsheets/d/1-3Vjw2Cyy-mry5gbC8ypIR3YVGFfEpyFESummAta6sg/edit"", ""Sheet1!B:D""), 3, FALSE), ""Not Found"")"),"h ə ʃ ")</f>
        <v>h ə ʃ </v>
      </c>
    </row>
    <row r="4128">
      <c r="A4128" s="1" t="s">
        <v>4129</v>
      </c>
      <c r="B4128" s="1" t="s">
        <v>5</v>
      </c>
      <c r="C4128" s="2">
        <f>IFERROR(__xludf.DUMMYFUNCTION("IFERROR(VLOOKUP(A4128, IMPORTRANGE(""https://docs.google.com/spreadsheets/d/1AVX9GT0dgogEBStecCXMMQ29tWz3gBrtNB8yIromXbY/edit?gid=741673867"", ""out1g!A:B""), 2, FALSE), 0)"),3227.0)</f>
        <v>3227</v>
      </c>
      <c r="D4128" s="2" t="str">
        <f>IFERROR(__xludf.DUMMYFUNCTION("IFERROR(VLOOKUP(A4128, IMPORTRANGE(""https://docs.google.com/spreadsheets/d/1-3Vjw2Cyy-mry5gbC8ypIR3YVGFfEpyFESummAta6sg/edit"", ""Sheet1!B:D""), 2, FALSE), ""Not Found"")"),"roʊl")</f>
        <v>roʊl</v>
      </c>
      <c r="E4128" s="2" t="str">
        <f>IFERROR(__xludf.DUMMYFUNCTION("IFERROR(VLOOKUP(A4128, IMPORTRANGE(""https://docs.google.com/spreadsheets/d/1-3Vjw2Cyy-mry5gbC8ypIR3YVGFfEpyFESummAta6sg/edit"", ""Sheet1!B:D""), 3, FALSE), ""Not Found"")"),"r o ʊ l ")</f>
        <v>r o ʊ l </v>
      </c>
    </row>
    <row r="4129">
      <c r="A4129" s="1" t="s">
        <v>4130</v>
      </c>
      <c r="B4129" s="1" t="s">
        <v>5</v>
      </c>
      <c r="C4129" s="2">
        <f>IFERROR(__xludf.DUMMYFUNCTION("IFERROR(VLOOKUP(A4129, IMPORTRANGE(""https://docs.google.com/spreadsheets/d/1AVX9GT0dgogEBStecCXMMQ29tWz3gBrtNB8yIromXbY/edit?gid=741673867"", ""out1g!A:B""), 2, FALSE), 0)"),1094.0)</f>
        <v>1094</v>
      </c>
      <c r="D4129" s="2" t="str">
        <f>IFERROR(__xludf.DUMMYFUNCTION("IFERROR(VLOOKUP(A4129, IMPORTRANGE(""https://docs.google.com/spreadsheets/d/1-3Vjw2Cyy-mry5gbC8ypIR3YVGFfEpyFESummAta6sg/edit"", ""Sheet1!B:D""), 2, FALSE), ""Not Found"")"),"boʊl")</f>
        <v>boʊl</v>
      </c>
      <c r="E4129" s="2" t="str">
        <f>IFERROR(__xludf.DUMMYFUNCTION("IFERROR(VLOOKUP(A4129, IMPORTRANGE(""https://docs.google.com/spreadsheets/d/1-3Vjw2Cyy-mry5gbC8ypIR3YVGFfEpyFESummAta6sg/edit"", ""Sheet1!B:D""), 3, FALSE), ""Not Found"")"),"b o ʊ l ")</f>
        <v>b o ʊ l </v>
      </c>
    </row>
    <row r="4130">
      <c r="A4130" s="1" t="s">
        <v>4131</v>
      </c>
      <c r="B4130" s="1" t="s">
        <v>5</v>
      </c>
      <c r="C4130" s="2">
        <f>IFERROR(__xludf.DUMMYFUNCTION("IFERROR(VLOOKUP(A4130, IMPORTRANGE(""https://docs.google.com/spreadsheets/d/1AVX9GT0dgogEBStecCXMMQ29tWz3gBrtNB8yIromXbY/edit?gid=741673867"", ""out1g!A:B""), 2, FALSE), 0)"),415.0)</f>
        <v>415</v>
      </c>
      <c r="D4130" s="2" t="str">
        <f>IFERROR(__xludf.DUMMYFUNCTION("IFERROR(VLOOKUP(A4130, IMPORTRANGE(""https://docs.google.com/spreadsheets/d/1-3Vjw2Cyy-mry5gbC8ypIR3YVGFfEpyFESummAta6sg/edit"", ""Sheet1!B:D""), 2, FALSE), ""Not Found"")"),"pæd")</f>
        <v>pæd</v>
      </c>
      <c r="E4130" s="2" t="str">
        <f>IFERROR(__xludf.DUMMYFUNCTION("IFERROR(VLOOKUP(A4130, IMPORTRANGE(""https://docs.google.com/spreadsheets/d/1-3Vjw2Cyy-mry5gbC8ypIR3YVGFfEpyFESummAta6sg/edit"", ""Sheet1!B:D""), 3, FALSE), ""Not Found"")"),"p æ d ")</f>
        <v>p æ d </v>
      </c>
    </row>
    <row r="4131">
      <c r="A4131" s="1" t="s">
        <v>4132</v>
      </c>
      <c r="B4131" s="1" t="s">
        <v>5</v>
      </c>
      <c r="C4131" s="2">
        <f>IFERROR(__xludf.DUMMYFUNCTION("IFERROR(VLOOKUP(A4131, IMPORTRANGE(""https://docs.google.com/spreadsheets/d/1AVX9GT0dgogEBStecCXMMQ29tWz3gBrtNB8yIromXbY/edit?gid=741673867"", ""out1g!A:B""), 2, FALSE), 0)"),55.0)</f>
        <v>55</v>
      </c>
      <c r="D4131" s="2" t="str">
        <f>IFERROR(__xludf.DUMMYFUNCTION("IFERROR(VLOOKUP(A4131, IMPORTRANGE(""https://docs.google.com/spreadsheets/d/1-3Vjw2Cyy-mry5gbC8ypIR3YVGFfEpyFESummAta6sg/edit"", ""Sheet1!B:D""), 2, FALSE), ""Not Found"")"),"vərʤ")</f>
        <v>vərʤ</v>
      </c>
      <c r="E4131" s="2" t="str">
        <f>IFERROR(__xludf.DUMMYFUNCTION("IFERROR(VLOOKUP(A4131, IMPORTRANGE(""https://docs.google.com/spreadsheets/d/1-3Vjw2Cyy-mry5gbC8ypIR3YVGFfEpyFESummAta6sg/edit"", ""Sheet1!B:D""), 3, FALSE), ""Not Found"")"),"v ə r ʤ ")</f>
        <v>v ə r ʤ </v>
      </c>
    </row>
    <row r="4132">
      <c r="A4132" s="1" t="s">
        <v>4133</v>
      </c>
      <c r="B4132" s="1" t="s">
        <v>5</v>
      </c>
      <c r="C4132" s="2">
        <f>IFERROR(__xludf.DUMMYFUNCTION("IFERROR(VLOOKUP(A4132, IMPORTRANGE(""https://docs.google.com/spreadsheets/d/1AVX9GT0dgogEBStecCXMMQ29tWz3gBrtNB8yIromXbY/edit?gid=741673867"", ""out1g!A:B""), 2, FALSE), 0)"),372.0)</f>
        <v>372</v>
      </c>
      <c r="D4132" s="2" t="str">
        <f>IFERROR(__xludf.DUMMYFUNCTION("IFERROR(VLOOKUP(A4132, IMPORTRANGE(""https://docs.google.com/spreadsheets/d/1-3Vjw2Cyy-mry5gbC8ypIR3YVGFfEpyFESummAta6sg/edit"", ""Sheet1!B:D""), 2, FALSE), ""Not Found"")"),"bɪzɑr")</f>
        <v>bɪzɑr</v>
      </c>
      <c r="E4132" s="2" t="str">
        <f>IFERROR(__xludf.DUMMYFUNCTION("IFERROR(VLOOKUP(A4132, IMPORTRANGE(""https://docs.google.com/spreadsheets/d/1-3Vjw2Cyy-mry5gbC8ypIR3YVGFfEpyFESummAta6sg/edit"", ""Sheet1!B:D""), 3, FALSE), ""Not Found"")"),"b ɪ z ɑ r ")</f>
        <v>b ɪ z ɑ r </v>
      </c>
    </row>
    <row r="4133">
      <c r="A4133" s="1" t="s">
        <v>4134</v>
      </c>
      <c r="B4133" s="1" t="s">
        <v>5</v>
      </c>
      <c r="C4133" s="2">
        <f>IFERROR(__xludf.DUMMYFUNCTION("IFERROR(VLOOKUP(A4133, IMPORTRANGE(""https://docs.google.com/spreadsheets/d/1AVX9GT0dgogEBStecCXMMQ29tWz3gBrtNB8yIromXbY/edit?gid=741673867"", ""out1g!A:B""), 2, FALSE), 0)"),201.0)</f>
        <v>201</v>
      </c>
      <c r="D4133" s="2" t="str">
        <f>IFERROR(__xludf.DUMMYFUNCTION("IFERROR(VLOOKUP(A4133, IMPORTRANGE(""https://docs.google.com/spreadsheets/d/1-3Vjw2Cyy-mry5gbC8ypIR3YVGFfEpyFESummAta6sg/edit"", ""Sheet1!B:D""), 2, FALSE), ""Not Found"")"),"ædz")</f>
        <v>ædz</v>
      </c>
      <c r="E4133" s="2" t="str">
        <f>IFERROR(__xludf.DUMMYFUNCTION("IFERROR(VLOOKUP(A4133, IMPORTRANGE(""https://docs.google.com/spreadsheets/d/1-3Vjw2Cyy-mry5gbC8ypIR3YVGFfEpyFESummAta6sg/edit"", ""Sheet1!B:D""), 3, FALSE), ""Not Found"")"),"æ d z ")</f>
        <v>æ d z </v>
      </c>
    </row>
    <row r="4134">
      <c r="A4134" s="1" t="s">
        <v>4135</v>
      </c>
      <c r="B4134" s="1" t="s">
        <v>5</v>
      </c>
      <c r="C4134" s="2">
        <f>IFERROR(__xludf.DUMMYFUNCTION("IFERROR(VLOOKUP(A4134, IMPORTRANGE(""https://docs.google.com/spreadsheets/d/1AVX9GT0dgogEBStecCXMMQ29tWz3gBrtNB8yIromXbY/edit?gid=741673867"", ""out1g!A:B""), 2, FALSE), 0)"),629.0)</f>
        <v>629</v>
      </c>
      <c r="D4134" s="2" t="str">
        <f>IFERROR(__xludf.DUMMYFUNCTION("IFERROR(VLOOKUP(A4134, IMPORTRANGE(""https://docs.google.com/spreadsheets/d/1-3Vjw2Cyy-mry5gbC8ypIR3YVGFfEpyFESummAta6sg/edit"", ""Sheet1!B:D""), 2, FALSE), ""Not Found"")"),"fɑnd")</f>
        <v>fɑnd</v>
      </c>
      <c r="E4134" s="2" t="str">
        <f>IFERROR(__xludf.DUMMYFUNCTION("IFERROR(VLOOKUP(A4134, IMPORTRANGE(""https://docs.google.com/spreadsheets/d/1-3Vjw2Cyy-mry5gbC8ypIR3YVGFfEpyFESummAta6sg/edit"", ""Sheet1!B:D""), 3, FALSE), ""Not Found"")"),"f ɑ n d ")</f>
        <v>f ɑ n d </v>
      </c>
    </row>
    <row r="4135">
      <c r="A4135" s="1" t="s">
        <v>4136</v>
      </c>
      <c r="B4135" s="1" t="s">
        <v>5</v>
      </c>
      <c r="C4135" s="2">
        <f>IFERROR(__xludf.DUMMYFUNCTION("IFERROR(VLOOKUP(A4135, IMPORTRANGE(""https://docs.google.com/spreadsheets/d/1AVX9GT0dgogEBStecCXMMQ29tWz3gBrtNB8yIromXbY/edit?gid=741673867"", ""out1g!A:B""), 2, FALSE), 0)"),4559.0)</f>
        <v>4559</v>
      </c>
      <c r="D4135" s="2" t="str">
        <f>IFERROR(__xludf.DUMMYFUNCTION("IFERROR(VLOOKUP(A4135, IMPORTRANGE(""https://docs.google.com/spreadsheets/d/1-3Vjw2Cyy-mry5gbC8ypIR3YVGFfEpyFESummAta6sg/edit"", ""Sheet1!B:D""), 2, FALSE), ""Not Found"")"),"kɛpt")</f>
        <v>kɛpt</v>
      </c>
      <c r="E4135" s="2" t="str">
        <f>IFERROR(__xludf.DUMMYFUNCTION("IFERROR(VLOOKUP(A4135, IMPORTRANGE(""https://docs.google.com/spreadsheets/d/1-3Vjw2Cyy-mry5gbC8ypIR3YVGFfEpyFESummAta6sg/edit"", ""Sheet1!B:D""), 3, FALSE), ""Not Found"")"),"k ɛ p t ")</f>
        <v>k ɛ p t </v>
      </c>
    </row>
    <row r="4136">
      <c r="A4136" s="1" t="s">
        <v>4137</v>
      </c>
      <c r="B4136" s="1" t="s">
        <v>5</v>
      </c>
      <c r="C4136" s="2">
        <f>IFERROR(__xludf.DUMMYFUNCTION("IFERROR(VLOOKUP(A4136, IMPORTRANGE(""https://docs.google.com/spreadsheets/d/1AVX9GT0dgogEBStecCXMMQ29tWz3gBrtNB8yIromXbY/edit?gid=741673867"", ""out1g!A:B""), 2, FALSE), 0)"),626.0)</f>
        <v>626</v>
      </c>
      <c r="D4136" s="2" t="str">
        <f>IFERROR(__xludf.DUMMYFUNCTION("IFERROR(VLOOKUP(A4136, IMPORTRANGE(""https://docs.google.com/spreadsheets/d/1-3Vjw2Cyy-mry5gbC8ypIR3YVGFfEpyFESummAta6sg/edit"", ""Sheet1!B:D""), 2, FALSE), ""Not Found"")"),"kruz")</f>
        <v>kruz</v>
      </c>
      <c r="E4136" s="2" t="str">
        <f>IFERROR(__xludf.DUMMYFUNCTION("IFERROR(VLOOKUP(A4136, IMPORTRANGE(""https://docs.google.com/spreadsheets/d/1-3Vjw2Cyy-mry5gbC8ypIR3YVGFfEpyFESummAta6sg/edit"", ""Sheet1!B:D""), 3, FALSE), ""Not Found"")"),"k r u z ")</f>
        <v>k r u z </v>
      </c>
    </row>
    <row r="4137">
      <c r="A4137" s="1" t="s">
        <v>4138</v>
      </c>
      <c r="B4137" s="1" t="s">
        <v>5</v>
      </c>
      <c r="C4137" s="2">
        <f>IFERROR(__xludf.DUMMYFUNCTION("IFERROR(VLOOKUP(A4137, IMPORTRANGE(""https://docs.google.com/spreadsheets/d/1AVX9GT0dgogEBStecCXMMQ29tWz3gBrtNB8yIromXbY/edit?gid=741673867"", ""out1g!A:B""), 2, FALSE), 0)"),977.0)</f>
        <v>977</v>
      </c>
      <c r="D4137" s="2" t="str">
        <f>IFERROR(__xludf.DUMMYFUNCTION("IFERROR(VLOOKUP(A4137, IMPORTRANGE(""https://docs.google.com/spreadsheets/d/1-3Vjw2Cyy-mry5gbC8ypIR3YVGFfEpyFESummAta6sg/edit"", ""Sheet1!B:D""), 2, FALSE), ""Not Found"")"),"hɑp")</f>
        <v>hɑp</v>
      </c>
      <c r="E4137" s="2" t="str">
        <f>IFERROR(__xludf.DUMMYFUNCTION("IFERROR(VLOOKUP(A4137, IMPORTRANGE(""https://docs.google.com/spreadsheets/d/1-3Vjw2Cyy-mry5gbC8ypIR3YVGFfEpyFESummAta6sg/edit"", ""Sheet1!B:D""), 3, FALSE), ""Not Found"")"),"h ɑ p ")</f>
        <v>h ɑ p </v>
      </c>
    </row>
    <row r="4138">
      <c r="A4138" s="1" t="s">
        <v>4139</v>
      </c>
      <c r="B4138" s="1" t="s">
        <v>5</v>
      </c>
      <c r="C4138" s="2">
        <f>IFERROR(__xludf.DUMMYFUNCTION("IFERROR(VLOOKUP(A4138, IMPORTRANGE(""https://docs.google.com/spreadsheets/d/1AVX9GT0dgogEBStecCXMMQ29tWz3gBrtNB8yIromXbY/edit?gid=741673867"", ""out1g!A:B""), 2, FALSE), 0)"),107.0)</f>
        <v>107</v>
      </c>
      <c r="D4138" s="2" t="str">
        <f>IFERROR(__xludf.DUMMYFUNCTION("IFERROR(VLOOKUP(A4138, IMPORTRANGE(""https://docs.google.com/spreadsheets/d/1-3Vjw2Cyy-mry5gbC8ypIR3YVGFfEpyFESummAta6sg/edit"", ""Sheet1!B:D""), 2, FALSE), ""Not Found"")"),"bik")</f>
        <v>bik</v>
      </c>
      <c r="E4138" s="2" t="str">
        <f>IFERROR(__xludf.DUMMYFUNCTION("IFERROR(VLOOKUP(A4138, IMPORTRANGE(""https://docs.google.com/spreadsheets/d/1-3Vjw2Cyy-mry5gbC8ypIR3YVGFfEpyFESummAta6sg/edit"", ""Sheet1!B:D""), 3, FALSE), ""Not Found"")"),"b i k ")</f>
        <v>b i k </v>
      </c>
    </row>
    <row r="4139">
      <c r="A4139" s="1" t="s">
        <v>4140</v>
      </c>
      <c r="B4139" s="1" t="s">
        <v>5</v>
      </c>
      <c r="C4139" s="2">
        <f>IFERROR(__xludf.DUMMYFUNCTION("IFERROR(VLOOKUP(A4139, IMPORTRANGE(""https://docs.google.com/spreadsheets/d/1AVX9GT0dgogEBStecCXMMQ29tWz3gBrtNB8yIromXbY/edit?gid=741673867"", ""out1g!A:B""), 2, FALSE), 0)"),73.0)</f>
        <v>73</v>
      </c>
      <c r="D4139" s="2" t="str">
        <f>IFERROR(__xludf.DUMMYFUNCTION("IFERROR(VLOOKUP(A4139, IMPORTRANGE(""https://docs.google.com/spreadsheets/d/1-3Vjw2Cyy-mry5gbC8ypIR3YVGFfEpyFESummAta6sg/edit"", ""Sheet1!B:D""), 2, FALSE), ""Not Found"")"),"trækt")</f>
        <v>trækt</v>
      </c>
      <c r="E4139" s="2" t="str">
        <f>IFERROR(__xludf.DUMMYFUNCTION("IFERROR(VLOOKUP(A4139, IMPORTRANGE(""https://docs.google.com/spreadsheets/d/1-3Vjw2Cyy-mry5gbC8ypIR3YVGFfEpyFESummAta6sg/edit"", ""Sheet1!B:D""), 3, FALSE), ""Not Found"")"),"t r æ k t ")</f>
        <v>t r æ k t </v>
      </c>
    </row>
    <row r="4140">
      <c r="A4140" s="1" t="s">
        <v>4141</v>
      </c>
      <c r="B4140" s="1" t="s">
        <v>5</v>
      </c>
      <c r="C4140" s="2">
        <f>IFERROR(__xludf.DUMMYFUNCTION("IFERROR(VLOOKUP(A4140, IMPORTRANGE(""https://docs.google.com/spreadsheets/d/1AVX9GT0dgogEBStecCXMMQ29tWz3gBrtNB8yIromXbY/edit?gid=741673867"", ""out1g!A:B""), 2, FALSE), 0)"),219.0)</f>
        <v>219</v>
      </c>
      <c r="D4140" s="2" t="str">
        <f>IFERROR(__xludf.DUMMYFUNCTION("IFERROR(VLOOKUP(A4140, IMPORTRANGE(""https://docs.google.com/spreadsheets/d/1-3Vjw2Cyy-mry5gbC8ypIR3YVGFfEpyFESummAta6sg/edit"", ""Sheet1!B:D""), 2, FALSE), ""Not Found"")"),"liʃ")</f>
        <v>liʃ</v>
      </c>
      <c r="E4140" s="2" t="str">
        <f>IFERROR(__xludf.DUMMYFUNCTION("IFERROR(VLOOKUP(A4140, IMPORTRANGE(""https://docs.google.com/spreadsheets/d/1-3Vjw2Cyy-mry5gbC8ypIR3YVGFfEpyFESummAta6sg/edit"", ""Sheet1!B:D""), 3, FALSE), ""Not Found"")"),"l i ʃ ")</f>
        <v>l i ʃ </v>
      </c>
    </row>
    <row r="4141">
      <c r="A4141" s="1" t="s">
        <v>4142</v>
      </c>
      <c r="B4141" s="1" t="s">
        <v>5</v>
      </c>
      <c r="C4141" s="2">
        <f>IFERROR(__xludf.DUMMYFUNCTION("IFERROR(VLOOKUP(A4141, IMPORTRANGE(""https://docs.google.com/spreadsheets/d/1AVX9GT0dgogEBStecCXMMQ29tWz3gBrtNB8yIromXbY/edit?gid=741673867"", ""out1g!A:B""), 2, FALSE), 0)"),379.0)</f>
        <v>379</v>
      </c>
      <c r="D4141" s="2" t="str">
        <f>IFERROR(__xludf.DUMMYFUNCTION("IFERROR(VLOOKUP(A4141, IMPORTRANGE(""https://docs.google.com/spreadsheets/d/1-3Vjw2Cyy-mry5gbC8ypIR3YVGFfEpyFESummAta6sg/edit"", ""Sheet1!B:D""), 2, FALSE), ""Not Found"")"),"bɪli")</f>
        <v>bɪli</v>
      </c>
      <c r="E4141" s="2" t="str">
        <f>IFERROR(__xludf.DUMMYFUNCTION("IFERROR(VLOOKUP(A4141, IMPORTRANGE(""https://docs.google.com/spreadsheets/d/1-3Vjw2Cyy-mry5gbC8ypIR3YVGFfEpyFESummAta6sg/edit"", ""Sheet1!B:D""), 3, FALSE), ""Not Found"")"),"b ɪ l i ")</f>
        <v>b ɪ l i </v>
      </c>
    </row>
    <row r="4142">
      <c r="A4142" s="1" t="s">
        <v>4143</v>
      </c>
      <c r="B4142" s="1" t="s">
        <v>5</v>
      </c>
      <c r="C4142" s="2">
        <f>IFERROR(__xludf.DUMMYFUNCTION("IFERROR(VLOOKUP(A4142, IMPORTRANGE(""https://docs.google.com/spreadsheets/d/1AVX9GT0dgogEBStecCXMMQ29tWz3gBrtNB8yIromXbY/edit?gid=741673867"", ""out1g!A:B""), 2, FALSE), 0)"),311.0)</f>
        <v>311</v>
      </c>
      <c r="D4142" s="2" t="str">
        <f>IFERROR(__xludf.DUMMYFUNCTION("IFERROR(VLOOKUP(A4142, IMPORTRANGE(""https://docs.google.com/spreadsheets/d/1-3Vjw2Cyy-mry5gbC8ypIR3YVGFfEpyFESummAta6sg/edit"", ""Sheet1!B:D""), 2, FALSE), ""Not Found"")"),"zus")</f>
        <v>zus</v>
      </c>
      <c r="E4142" s="2" t="str">
        <f>IFERROR(__xludf.DUMMYFUNCTION("IFERROR(VLOOKUP(A4142, IMPORTRANGE(""https://docs.google.com/spreadsheets/d/1-3Vjw2Cyy-mry5gbC8ypIR3YVGFfEpyFESummAta6sg/edit"", ""Sheet1!B:D""), 3, FALSE), ""Not Found"")"),"z u s ")</f>
        <v>z u s </v>
      </c>
    </row>
    <row r="4143">
      <c r="A4143" s="1" t="s">
        <v>4144</v>
      </c>
      <c r="B4143" s="1" t="s">
        <v>5</v>
      </c>
      <c r="C4143" s="2">
        <f>IFERROR(__xludf.DUMMYFUNCTION("IFERROR(VLOOKUP(A4143, IMPORTRANGE(""https://docs.google.com/spreadsheets/d/1AVX9GT0dgogEBStecCXMMQ29tWz3gBrtNB8yIromXbY/edit?gid=741673867"", ""out1g!A:B""), 2, FALSE), 0)"),186.0)</f>
        <v>186</v>
      </c>
      <c r="D4143" s="2" t="str">
        <f>IFERROR(__xludf.DUMMYFUNCTION("IFERROR(VLOOKUP(A4143, IMPORTRANGE(""https://docs.google.com/spreadsheets/d/1-3Vjw2Cyy-mry5gbC8ypIR3YVGFfEpyFESummAta6sg/edit"", ""Sheet1!B:D""), 2, FALSE), ""Not Found"")"),"seld")</f>
        <v>seld</v>
      </c>
      <c r="E4143" s="2" t="str">
        <f>IFERROR(__xludf.DUMMYFUNCTION("IFERROR(VLOOKUP(A4143, IMPORTRANGE(""https://docs.google.com/spreadsheets/d/1-3Vjw2Cyy-mry5gbC8ypIR3YVGFfEpyFESummAta6sg/edit"", ""Sheet1!B:D""), 3, FALSE), ""Not Found"")"),"s e l d ")</f>
        <v>s e l d </v>
      </c>
    </row>
    <row r="4144">
      <c r="A4144" s="1" t="s">
        <v>4145</v>
      </c>
      <c r="B4144" s="1" t="s">
        <v>5</v>
      </c>
      <c r="C4144" s="2">
        <f>IFERROR(__xludf.DUMMYFUNCTION("IFERROR(VLOOKUP(A4144, IMPORTRANGE(""https://docs.google.com/spreadsheets/d/1AVX9GT0dgogEBStecCXMMQ29tWz3gBrtNB8yIromXbY/edit?gid=741673867"", ""out1g!A:B""), 2, FALSE), 0)"),2597.0)</f>
        <v>2597</v>
      </c>
      <c r="D4144" s="2" t="str">
        <f>IFERROR(__xludf.DUMMYFUNCTION("IFERROR(VLOOKUP(A4144, IMPORTRANGE(""https://docs.google.com/spreadsheets/d/1-3Vjw2Cyy-mry5gbC8ypIR3YVGFfEpyFESummAta6sg/edit"", ""Sheet1!B:D""), 2, FALSE), ""Not Found"")"),"taɪt")</f>
        <v>taɪt</v>
      </c>
      <c r="E4144" s="2" t="str">
        <f>IFERROR(__xludf.DUMMYFUNCTION("IFERROR(VLOOKUP(A4144, IMPORTRANGE(""https://docs.google.com/spreadsheets/d/1-3Vjw2Cyy-mry5gbC8ypIR3YVGFfEpyFESummAta6sg/edit"", ""Sheet1!B:D""), 3, FALSE), ""Not Found"")"),"t a ɪ t ")</f>
        <v>t a ɪ t </v>
      </c>
    </row>
    <row r="4145">
      <c r="A4145" s="1" t="s">
        <v>4146</v>
      </c>
      <c r="B4145" s="1" t="s">
        <v>5</v>
      </c>
      <c r="C4145" s="2">
        <f>IFERROR(__xludf.DUMMYFUNCTION("IFERROR(VLOOKUP(A4145, IMPORTRANGE(""https://docs.google.com/spreadsheets/d/1AVX9GT0dgogEBStecCXMMQ29tWz3gBrtNB8yIromXbY/edit?gid=741673867"", ""out1g!A:B""), 2, FALSE), 0)"),784.0)</f>
        <v>784</v>
      </c>
      <c r="D4145" s="2" t="str">
        <f>IFERROR(__xludf.DUMMYFUNCTION("IFERROR(VLOOKUP(A4145, IMPORTRANGE(""https://docs.google.com/spreadsheets/d/1-3Vjw2Cyy-mry5gbC8ypIR3YVGFfEpyFESummAta6sg/edit"", ""Sheet1!B:D""), 2, FALSE), ""Not Found"")"),"drimd")</f>
        <v>drimd</v>
      </c>
      <c r="E4145" s="2" t="str">
        <f>IFERROR(__xludf.DUMMYFUNCTION("IFERROR(VLOOKUP(A4145, IMPORTRANGE(""https://docs.google.com/spreadsheets/d/1-3Vjw2Cyy-mry5gbC8ypIR3YVGFfEpyFESummAta6sg/edit"", ""Sheet1!B:D""), 3, FALSE), ""Not Found"")"),"d r i m d ")</f>
        <v>d r i m d </v>
      </c>
    </row>
    <row r="4146">
      <c r="A4146" s="1" t="s">
        <v>4147</v>
      </c>
      <c r="B4146" s="1" t="s">
        <v>5</v>
      </c>
      <c r="C4146" s="2">
        <f>IFERROR(__xludf.DUMMYFUNCTION("IFERROR(VLOOKUP(A4146, IMPORTRANGE(""https://docs.google.com/spreadsheets/d/1AVX9GT0dgogEBStecCXMMQ29tWz3gBrtNB8yIromXbY/edit?gid=741673867"", ""out1g!A:B""), 2, FALSE), 0)"),63.0)</f>
        <v>63</v>
      </c>
      <c r="D4146" s="2" t="str">
        <f>IFERROR(__xludf.DUMMYFUNCTION("IFERROR(VLOOKUP(A4146, IMPORTRANGE(""https://docs.google.com/spreadsheets/d/1-3Vjw2Cyy-mry5gbC8ypIR3YVGFfEpyFESummAta6sg/edit"", ""Sheet1!B:D""), 2, FALSE), ""Not Found"")"),"pɔl")</f>
        <v>pɔl</v>
      </c>
      <c r="E4146" s="2" t="str">
        <f>IFERROR(__xludf.DUMMYFUNCTION("IFERROR(VLOOKUP(A4146, IMPORTRANGE(""https://docs.google.com/spreadsheets/d/1-3Vjw2Cyy-mry5gbC8ypIR3YVGFfEpyFESummAta6sg/edit"", ""Sheet1!B:D""), 3, FALSE), ""Not Found"")"),"p ɔ l ")</f>
        <v>p ɔ l </v>
      </c>
    </row>
    <row r="4147">
      <c r="A4147" s="1" t="s">
        <v>4148</v>
      </c>
      <c r="B4147" s="1" t="s">
        <v>5</v>
      </c>
      <c r="C4147" s="2">
        <f>IFERROR(__xludf.DUMMYFUNCTION("IFERROR(VLOOKUP(A4147, IMPORTRANGE(""https://docs.google.com/spreadsheets/d/1AVX9GT0dgogEBStecCXMMQ29tWz3gBrtNB8yIromXbY/edit?gid=741673867"", ""out1g!A:B""), 2, FALSE), 0)"),630.0)</f>
        <v>630</v>
      </c>
      <c r="D4147" s="2" t="str">
        <f>IFERROR(__xludf.DUMMYFUNCTION("IFERROR(VLOOKUP(A4147, IMPORTRANGE(""https://docs.google.com/spreadsheets/d/1-3Vjw2Cyy-mry5gbC8ypIR3YVGFfEpyFESummAta6sg/edit"", ""Sheet1!B:D""), 2, FALSE), ""Not Found"")"),"lɔn")</f>
        <v>lɔn</v>
      </c>
      <c r="E4147" s="2" t="str">
        <f>IFERROR(__xludf.DUMMYFUNCTION("IFERROR(VLOOKUP(A4147, IMPORTRANGE(""https://docs.google.com/spreadsheets/d/1-3Vjw2Cyy-mry5gbC8ypIR3YVGFfEpyFESummAta6sg/edit"", ""Sheet1!B:D""), 3, FALSE), ""Not Found"")"),"l ɔ n ")</f>
        <v>l ɔ n </v>
      </c>
    </row>
    <row r="4148">
      <c r="A4148" s="1" t="s">
        <v>4149</v>
      </c>
      <c r="B4148" s="1" t="s">
        <v>5</v>
      </c>
      <c r="C4148" s="2">
        <f>IFERROR(__xludf.DUMMYFUNCTION("IFERROR(VLOOKUP(A4148, IMPORTRANGE(""https://docs.google.com/spreadsheets/d/1AVX9GT0dgogEBStecCXMMQ29tWz3gBrtNB8yIromXbY/edit?gid=741673867"", ""out1g!A:B""), 2, FALSE), 0)"),308.0)</f>
        <v>308</v>
      </c>
      <c r="D4148" s="2" t="str">
        <f>IFERROR(__xludf.DUMMYFUNCTION("IFERROR(VLOOKUP(A4148, IMPORTRANGE(""https://docs.google.com/spreadsheets/d/1-3Vjw2Cyy-mry5gbC8ypIR3YVGFfEpyFESummAta6sg/edit"", ""Sheet1!B:D""), 2, FALSE), ""Not Found"")"),"braɪb")</f>
        <v>braɪb</v>
      </c>
      <c r="E4148" s="2" t="str">
        <f>IFERROR(__xludf.DUMMYFUNCTION("IFERROR(VLOOKUP(A4148, IMPORTRANGE(""https://docs.google.com/spreadsheets/d/1-3Vjw2Cyy-mry5gbC8ypIR3YVGFfEpyFESummAta6sg/edit"", ""Sheet1!B:D""), 3, FALSE), ""Not Found"")"),"b r a ɪ b ")</f>
        <v>b r a ɪ b </v>
      </c>
    </row>
    <row r="4149">
      <c r="A4149" s="1" t="s">
        <v>4150</v>
      </c>
      <c r="B4149" s="1" t="s">
        <v>5</v>
      </c>
      <c r="C4149" s="2">
        <f>IFERROR(__xludf.DUMMYFUNCTION("IFERROR(VLOOKUP(A4149, IMPORTRANGE(""https://docs.google.com/spreadsheets/d/1AVX9GT0dgogEBStecCXMMQ29tWz3gBrtNB8yIromXbY/edit?gid=741673867"", ""out1g!A:B""), 2, FALSE), 0)"),1779.0)</f>
        <v>1779</v>
      </c>
      <c r="D4149" s="2" t="str">
        <f>IFERROR(__xludf.DUMMYFUNCTION("IFERROR(VLOOKUP(A4149, IMPORTRANGE(""https://docs.google.com/spreadsheets/d/1-3Vjw2Cyy-mry5gbC8ypIR3YVGFfEpyFESummAta6sg/edit"", ""Sheet1!B:D""), 2, FALSE), ""Not Found"")"),"sək")</f>
        <v>sək</v>
      </c>
      <c r="E4149" s="2" t="str">
        <f>IFERROR(__xludf.DUMMYFUNCTION("IFERROR(VLOOKUP(A4149, IMPORTRANGE(""https://docs.google.com/spreadsheets/d/1-3Vjw2Cyy-mry5gbC8ypIR3YVGFfEpyFESummAta6sg/edit"", ""Sheet1!B:D""), 3, FALSE), ""Not Found"")"),"s ə k ")</f>
        <v>s ə k </v>
      </c>
    </row>
    <row r="4150">
      <c r="A4150" s="1" t="s">
        <v>4151</v>
      </c>
      <c r="B4150" s="1" t="s">
        <v>5</v>
      </c>
      <c r="C4150" s="2">
        <f>IFERROR(__xludf.DUMMYFUNCTION("IFERROR(VLOOKUP(A4150, IMPORTRANGE(""https://docs.google.com/spreadsheets/d/1AVX9GT0dgogEBStecCXMMQ29tWz3gBrtNB8yIromXbY/edit?gid=741673867"", ""out1g!A:B""), 2, FALSE), 0)"),66.0)</f>
        <v>66</v>
      </c>
      <c r="D4150" s="2" t="str">
        <f>IFERROR(__xludf.DUMMYFUNCTION("IFERROR(VLOOKUP(A4150, IMPORTRANGE(""https://docs.google.com/spreadsheets/d/1-3Vjw2Cyy-mry5gbC8ypIR3YVGFfEpyFESummAta6sg/edit"", ""Sheet1!B:D""), 2, FALSE), ""Not Found"")"),"puʧ")</f>
        <v>puʧ</v>
      </c>
      <c r="E4150" s="2" t="str">
        <f>IFERROR(__xludf.DUMMYFUNCTION("IFERROR(VLOOKUP(A4150, IMPORTRANGE(""https://docs.google.com/spreadsheets/d/1-3Vjw2Cyy-mry5gbC8ypIR3YVGFfEpyFESummAta6sg/edit"", ""Sheet1!B:D""), 3, FALSE), ""Not Found"")"),"p u ʧ ")</f>
        <v>p u ʧ </v>
      </c>
    </row>
    <row r="4151">
      <c r="A4151" s="1" t="s">
        <v>4152</v>
      </c>
      <c r="B4151" s="1" t="s">
        <v>5</v>
      </c>
      <c r="C4151" s="2">
        <f>IFERROR(__xludf.DUMMYFUNCTION("IFERROR(VLOOKUP(A4151, IMPORTRANGE(""https://docs.google.com/spreadsheets/d/1AVX9GT0dgogEBStecCXMMQ29tWz3gBrtNB8yIromXbY/edit?gid=741673867"", ""out1g!A:B""), 2, FALSE), 0)"),101.0)</f>
        <v>101</v>
      </c>
      <c r="D4151" s="2" t="str">
        <f>IFERROR(__xludf.DUMMYFUNCTION("IFERROR(VLOOKUP(A4151, IMPORTRANGE(""https://docs.google.com/spreadsheets/d/1-3Vjw2Cyy-mry5gbC8ypIR3YVGFfEpyFESummAta6sg/edit"", ""Sheet1!B:D""), 2, FALSE), ""Not Found"")"),"bɪlɪŋ")</f>
        <v>bɪlɪŋ</v>
      </c>
      <c r="E4151" s="2" t="str">
        <f>IFERROR(__xludf.DUMMYFUNCTION("IFERROR(VLOOKUP(A4151, IMPORTRANGE(""https://docs.google.com/spreadsheets/d/1-3Vjw2Cyy-mry5gbC8ypIR3YVGFfEpyFESummAta6sg/edit"", ""Sheet1!B:D""), 3, FALSE), ""Not Found"")"),"b ɪ l ɪ ŋ ")</f>
        <v>b ɪ l ɪ ŋ </v>
      </c>
    </row>
    <row r="4152">
      <c r="A4152" s="1" t="s">
        <v>4153</v>
      </c>
      <c r="B4152" s="1" t="s">
        <v>5</v>
      </c>
      <c r="C4152" s="2">
        <f>IFERROR(__xludf.DUMMYFUNCTION("IFERROR(VLOOKUP(A4152, IMPORTRANGE(""https://docs.google.com/spreadsheets/d/1AVX9GT0dgogEBStecCXMMQ29tWz3gBrtNB8yIromXbY/edit?gid=741673867"", ""out1g!A:B""), 2, FALSE), 0)"),2666.0)</f>
        <v>2666</v>
      </c>
      <c r="D4152" s="2" t="str">
        <f>IFERROR(__xludf.DUMMYFUNCTION("IFERROR(VLOOKUP(A4152, IMPORTRANGE(""https://docs.google.com/spreadsheets/d/1-3Vjw2Cyy-mry5gbC8ypIR3YVGFfEpyFESummAta6sg/edit"", ""Sheet1!B:D""), 2, FALSE), ""Not Found"")"),"ædrɛs")</f>
        <v>ædrɛs</v>
      </c>
      <c r="E4152" s="2" t="str">
        <f>IFERROR(__xludf.DUMMYFUNCTION("IFERROR(VLOOKUP(A4152, IMPORTRANGE(""https://docs.google.com/spreadsheets/d/1-3Vjw2Cyy-mry5gbC8ypIR3YVGFfEpyFESummAta6sg/edit"", ""Sheet1!B:D""), 3, FALSE), ""Not Found"")"),"æ d r ɛ s ")</f>
        <v>æ d r ɛ s </v>
      </c>
    </row>
    <row r="4153">
      <c r="A4153" s="1" t="s">
        <v>4154</v>
      </c>
      <c r="B4153" s="1" t="s">
        <v>5</v>
      </c>
      <c r="C4153" s="2">
        <f>IFERROR(__xludf.DUMMYFUNCTION("IFERROR(VLOOKUP(A4153, IMPORTRANGE(""https://docs.google.com/spreadsheets/d/1AVX9GT0dgogEBStecCXMMQ29tWz3gBrtNB8yIromXbY/edit?gid=741673867"", ""out1g!A:B""), 2, FALSE), 0)"),59.0)</f>
        <v>59</v>
      </c>
      <c r="D4153" s="2" t="str">
        <f>IFERROR(__xludf.DUMMYFUNCTION("IFERROR(VLOOKUP(A4153, IMPORTRANGE(""https://docs.google.com/spreadsheets/d/1-3Vjw2Cyy-mry5gbC8ypIR3YVGFfEpyFESummAta6sg/edit"", ""Sheet1!B:D""), 2, FALSE), ""Not Found"")"),"hiz")</f>
        <v>hiz</v>
      </c>
      <c r="E4153" s="2" t="str">
        <f>IFERROR(__xludf.DUMMYFUNCTION("IFERROR(VLOOKUP(A4153, IMPORTRANGE(""https://docs.google.com/spreadsheets/d/1-3Vjw2Cyy-mry5gbC8ypIR3YVGFfEpyFESummAta6sg/edit"", ""Sheet1!B:D""), 3, FALSE), ""Not Found"")"),"h i z ")</f>
        <v>h i z </v>
      </c>
    </row>
    <row r="4154">
      <c r="A4154" s="1" t="s">
        <v>4155</v>
      </c>
      <c r="B4154" s="1" t="s">
        <v>5</v>
      </c>
      <c r="C4154" s="2">
        <f>IFERROR(__xludf.DUMMYFUNCTION("IFERROR(VLOOKUP(A4154, IMPORTRANGE(""https://docs.google.com/spreadsheets/d/1AVX9GT0dgogEBStecCXMMQ29tWz3gBrtNB8yIromXbY/edit?gid=741673867"", ""out1g!A:B""), 2, FALSE), 0)"),137.0)</f>
        <v>137</v>
      </c>
      <c r="D4154" s="2" t="str">
        <f>IFERROR(__xludf.DUMMYFUNCTION("IFERROR(VLOOKUP(A4154, IMPORTRANGE(""https://docs.google.com/spreadsheets/d/1-3Vjw2Cyy-mry5gbC8ypIR3YVGFfEpyFESummAta6sg/edit"", ""Sheet1!B:D""), 2, FALSE), ""Not Found"")"),"ɑlɪvz")</f>
        <v>ɑlɪvz</v>
      </c>
      <c r="E4154" s="2" t="str">
        <f>IFERROR(__xludf.DUMMYFUNCTION("IFERROR(VLOOKUP(A4154, IMPORTRANGE(""https://docs.google.com/spreadsheets/d/1-3Vjw2Cyy-mry5gbC8ypIR3YVGFfEpyFESummAta6sg/edit"", ""Sheet1!B:D""), 3, FALSE), ""Not Found"")"),"ɑ l ɪ v z ")</f>
        <v>ɑ l ɪ v z </v>
      </c>
    </row>
    <row r="4155">
      <c r="A4155" s="1" t="s">
        <v>4156</v>
      </c>
      <c r="B4155" s="1" t="s">
        <v>5</v>
      </c>
      <c r="C4155" s="2">
        <f>IFERROR(__xludf.DUMMYFUNCTION("IFERROR(VLOOKUP(A4155, IMPORTRANGE(""https://docs.google.com/spreadsheets/d/1AVX9GT0dgogEBStecCXMMQ29tWz3gBrtNB8yIromXbY/edit?gid=741673867"", ""out1g!A:B""), 2, FALSE), 0)"),86478.0)</f>
        <v>86478</v>
      </c>
      <c r="D4155" s="2" t="str">
        <f>IFERROR(__xludf.DUMMYFUNCTION("IFERROR(VLOOKUP(A4155, IMPORTRANGE(""https://docs.google.com/spreadsheets/d/1-3Vjw2Cyy-mry5gbC8ypIR3YVGFfEpyFESummAta6sg/edit"", ""Sheet1!B:D""), 2, FALSE), ""Not Found"")"),"juɛs")</f>
        <v>juɛs</v>
      </c>
      <c r="E4155" s="2" t="str">
        <f>IFERROR(__xludf.DUMMYFUNCTION("IFERROR(VLOOKUP(A4155, IMPORTRANGE(""https://docs.google.com/spreadsheets/d/1-3Vjw2Cyy-mry5gbC8ypIR3YVGFfEpyFESummAta6sg/edit"", ""Sheet1!B:D""), 3, FALSE), ""Not Found"")"),"j u ɛ s ")</f>
        <v>j u ɛ s </v>
      </c>
    </row>
    <row r="4156">
      <c r="A4156" s="1" t="s">
        <v>4157</v>
      </c>
      <c r="B4156" s="1" t="s">
        <v>5</v>
      </c>
      <c r="C4156" s="2">
        <f>IFERROR(__xludf.DUMMYFUNCTION("IFERROR(VLOOKUP(A4156, IMPORTRANGE(""https://docs.google.com/spreadsheets/d/1AVX9GT0dgogEBStecCXMMQ29tWz3gBrtNB8yIromXbY/edit?gid=741673867"", ""out1g!A:B""), 2, FALSE), 0)"),361.0)</f>
        <v>361</v>
      </c>
      <c r="D4156" s="2" t="str">
        <f>IFERROR(__xludf.DUMMYFUNCTION("IFERROR(VLOOKUP(A4156, IMPORTRANGE(""https://docs.google.com/spreadsheets/d/1-3Vjw2Cyy-mry5gbC8ypIR3YVGFfEpyFESummAta6sg/edit"", ""Sheet1!B:D""), 2, FALSE), ""Not Found"")"),"hɔl")</f>
        <v>hɔl</v>
      </c>
      <c r="E4156" s="2" t="str">
        <f>IFERROR(__xludf.DUMMYFUNCTION("IFERROR(VLOOKUP(A4156, IMPORTRANGE(""https://docs.google.com/spreadsheets/d/1-3Vjw2Cyy-mry5gbC8ypIR3YVGFfEpyFESummAta6sg/edit"", ""Sheet1!B:D""), 3, FALSE), ""Not Found"")"),"h ɔ l ")</f>
        <v>h ɔ l </v>
      </c>
    </row>
    <row r="4157">
      <c r="A4157" s="1" t="s">
        <v>4158</v>
      </c>
      <c r="B4157" s="1" t="s">
        <v>5</v>
      </c>
      <c r="C4157" s="2">
        <f>IFERROR(__xludf.DUMMYFUNCTION("IFERROR(VLOOKUP(A4157, IMPORTRANGE(""https://docs.google.com/spreadsheets/d/1AVX9GT0dgogEBStecCXMMQ29tWz3gBrtNB8yIromXbY/edit?gid=741673867"", ""out1g!A:B""), 2, FALSE), 0)"),696.0)</f>
        <v>696</v>
      </c>
      <c r="D4157" s="2" t="str">
        <f>IFERROR(__xludf.DUMMYFUNCTION("IFERROR(VLOOKUP(A4157, IMPORTRANGE(""https://docs.google.com/spreadsheets/d/1-3Vjw2Cyy-mry5gbC8ypIR3YVGFfEpyFESummAta6sg/edit"", ""Sheet1!B:D""), 2, FALSE), ""Not Found"")"),"bɑni")</f>
        <v>bɑni</v>
      </c>
      <c r="E4157" s="2" t="str">
        <f>IFERROR(__xludf.DUMMYFUNCTION("IFERROR(VLOOKUP(A4157, IMPORTRANGE(""https://docs.google.com/spreadsheets/d/1-3Vjw2Cyy-mry5gbC8ypIR3YVGFfEpyFESummAta6sg/edit"", ""Sheet1!B:D""), 3, FALSE), ""Not Found"")"),"b ɑ n i ")</f>
        <v>b ɑ n i </v>
      </c>
    </row>
    <row r="4158">
      <c r="A4158" s="1" t="s">
        <v>4159</v>
      </c>
      <c r="B4158" s="1" t="s">
        <v>5</v>
      </c>
      <c r="C4158" s="2">
        <f>IFERROR(__xludf.DUMMYFUNCTION("IFERROR(VLOOKUP(A4158, IMPORTRANGE(""https://docs.google.com/spreadsheets/d/1AVX9GT0dgogEBStecCXMMQ29tWz3gBrtNB8yIromXbY/edit?gid=741673867"", ""out1g!A:B""), 2, FALSE), 0)"),3093.0)</f>
        <v>3093</v>
      </c>
      <c r="D4158" s="2" t="str">
        <f>IFERROR(__xludf.DUMMYFUNCTION("IFERROR(VLOOKUP(A4158, IMPORTRANGE(""https://docs.google.com/spreadsheets/d/1-3Vjw2Cyy-mry5gbC8ypIR3YVGFfEpyFESummAta6sg/edit"", ""Sheet1!B:D""), 2, FALSE), ""Not Found"")"),"taɪp")</f>
        <v>taɪp</v>
      </c>
      <c r="E4158" s="2" t="str">
        <f>IFERROR(__xludf.DUMMYFUNCTION("IFERROR(VLOOKUP(A4158, IMPORTRANGE(""https://docs.google.com/spreadsheets/d/1-3Vjw2Cyy-mry5gbC8ypIR3YVGFfEpyFESummAta6sg/edit"", ""Sheet1!B:D""), 3, FALSE), ""Not Found"")"),"t a ɪ p ")</f>
        <v>t a ɪ p </v>
      </c>
    </row>
    <row r="4159">
      <c r="A4159" s="1" t="s">
        <v>4160</v>
      </c>
      <c r="B4159" s="1" t="s">
        <v>5</v>
      </c>
      <c r="C4159" s="2">
        <f>IFERROR(__xludf.DUMMYFUNCTION("IFERROR(VLOOKUP(A4159, IMPORTRANGE(""https://docs.google.com/spreadsheets/d/1AVX9GT0dgogEBStecCXMMQ29tWz3gBrtNB8yIromXbY/edit?gid=741673867"", ""out1g!A:B""), 2, FALSE), 0)"),127.0)</f>
        <v>127</v>
      </c>
      <c r="D4159" s="2" t="str">
        <f>IFERROR(__xludf.DUMMYFUNCTION("IFERROR(VLOOKUP(A4159, IMPORTRANGE(""https://docs.google.com/spreadsheets/d/1-3Vjw2Cyy-mry5gbC8ypIR3YVGFfEpyFESummAta6sg/edit"", ""Sheet1!B:D""), 2, FALSE), ""Not Found"")"),"bəgi")</f>
        <v>bəgi</v>
      </c>
      <c r="E4159" s="2" t="str">
        <f>IFERROR(__xludf.DUMMYFUNCTION("IFERROR(VLOOKUP(A4159, IMPORTRANGE(""https://docs.google.com/spreadsheets/d/1-3Vjw2Cyy-mry5gbC8ypIR3YVGFfEpyFESummAta6sg/edit"", ""Sheet1!B:D""), 3, FALSE), ""Not Found"")"),"b ə g i ")</f>
        <v>b ə g i </v>
      </c>
    </row>
    <row r="4160">
      <c r="A4160" s="1" t="s">
        <v>4161</v>
      </c>
      <c r="B4160" s="1" t="s">
        <v>5</v>
      </c>
      <c r="C4160" s="2">
        <f>IFERROR(__xludf.DUMMYFUNCTION("IFERROR(VLOOKUP(A4160, IMPORTRANGE(""https://docs.google.com/spreadsheets/d/1AVX9GT0dgogEBStecCXMMQ29tWz3gBrtNB8yIromXbY/edit?gid=741673867"", ""out1g!A:B""), 2, FALSE), 0)"),117.0)</f>
        <v>117</v>
      </c>
      <c r="D4160" s="2" t="str">
        <f>IFERROR(__xludf.DUMMYFUNCTION("IFERROR(VLOOKUP(A4160, IMPORTRANGE(""https://docs.google.com/spreadsheets/d/1-3Vjw2Cyy-mry5gbC8ypIR3YVGFfEpyFESummAta6sg/edit"", ""Sheet1!B:D""), 2, FALSE), ""Not Found"")"),"ræps")</f>
        <v>ræps</v>
      </c>
      <c r="E4160" s="2" t="str">
        <f>IFERROR(__xludf.DUMMYFUNCTION("IFERROR(VLOOKUP(A4160, IMPORTRANGE(""https://docs.google.com/spreadsheets/d/1-3Vjw2Cyy-mry5gbC8ypIR3YVGFfEpyFESummAta6sg/edit"", ""Sheet1!B:D""), 3, FALSE), ""Not Found"")"),"r æ p s ")</f>
        <v>r æ p s </v>
      </c>
    </row>
    <row r="4161">
      <c r="A4161" s="1" t="s">
        <v>4162</v>
      </c>
      <c r="B4161" s="1" t="s">
        <v>5</v>
      </c>
      <c r="C4161" s="2">
        <f>IFERROR(__xludf.DUMMYFUNCTION("IFERROR(VLOOKUP(A4161, IMPORTRANGE(""https://docs.google.com/spreadsheets/d/1AVX9GT0dgogEBStecCXMMQ29tWz3gBrtNB8yIromXbY/edit?gid=741673867"", ""out1g!A:B""), 2, FALSE), 0)"),963.0)</f>
        <v>963</v>
      </c>
      <c r="D4161" s="2" t="str">
        <f>IFERROR(__xludf.DUMMYFUNCTION("IFERROR(VLOOKUP(A4161, IMPORTRANGE(""https://docs.google.com/spreadsheets/d/1-3Vjw2Cyy-mry5gbC8ypIR3YVGFfEpyFESummAta6sg/edit"", ""Sheet1!B:D""), 2, FALSE), ""Not Found"")"),"fɔrɪst")</f>
        <v>fɔrɪst</v>
      </c>
      <c r="E4161" s="2" t="str">
        <f>IFERROR(__xludf.DUMMYFUNCTION("IFERROR(VLOOKUP(A4161, IMPORTRANGE(""https://docs.google.com/spreadsheets/d/1-3Vjw2Cyy-mry5gbC8ypIR3YVGFfEpyFESummAta6sg/edit"", ""Sheet1!B:D""), 3, FALSE), ""Not Found"")"),"f ɔ r ɪ s t ")</f>
        <v>f ɔ r ɪ s t </v>
      </c>
    </row>
    <row r="4162">
      <c r="A4162" s="1" t="s">
        <v>4163</v>
      </c>
      <c r="B4162" s="1" t="s">
        <v>5</v>
      </c>
      <c r="C4162" s="2">
        <f>IFERROR(__xludf.DUMMYFUNCTION("IFERROR(VLOOKUP(A4162, IMPORTRANGE(""https://docs.google.com/spreadsheets/d/1AVX9GT0dgogEBStecCXMMQ29tWz3gBrtNB8yIromXbY/edit?gid=741673867"", ""out1g!A:B""), 2, FALSE), 0)"),43.0)</f>
        <v>43</v>
      </c>
      <c r="D4162" s="2" t="str">
        <f>IFERROR(__xludf.DUMMYFUNCTION("IFERROR(VLOOKUP(A4162, IMPORTRANGE(""https://docs.google.com/spreadsheets/d/1-3Vjw2Cyy-mry5gbC8ypIR3YVGFfEpyFESummAta6sg/edit"", ""Sheet1!B:D""), 2, FALSE), ""Not Found"")"),"lɑʤɪŋ")</f>
        <v>lɑʤɪŋ</v>
      </c>
      <c r="E4162" s="2" t="str">
        <f>IFERROR(__xludf.DUMMYFUNCTION("IFERROR(VLOOKUP(A4162, IMPORTRANGE(""https://docs.google.com/spreadsheets/d/1-3Vjw2Cyy-mry5gbC8ypIR3YVGFfEpyFESummAta6sg/edit"", ""Sheet1!B:D""), 3, FALSE), ""Not Found"")"),"l ɑ ʤ ɪ ŋ ")</f>
        <v>l ɑ ʤ ɪ ŋ </v>
      </c>
    </row>
    <row r="4163">
      <c r="A4163" s="1" t="s">
        <v>4164</v>
      </c>
      <c r="B4163" s="1" t="s">
        <v>5</v>
      </c>
      <c r="C4163" s="2">
        <f>IFERROR(__xludf.DUMMYFUNCTION("IFERROR(VLOOKUP(A4163, IMPORTRANGE(""https://docs.google.com/spreadsheets/d/1AVX9GT0dgogEBStecCXMMQ29tWz3gBrtNB8yIromXbY/edit?gid=741673867"", ""out1g!A:B""), 2, FALSE), 0)"),135.0)</f>
        <v>135</v>
      </c>
      <c r="D4163" s="2" t="str">
        <f>IFERROR(__xludf.DUMMYFUNCTION("IFERROR(VLOOKUP(A4163, IMPORTRANGE(""https://docs.google.com/spreadsheets/d/1-3Vjw2Cyy-mry5gbC8ypIR3YVGFfEpyFESummAta6sg/edit"", ""Sheet1!B:D""), 2, FALSE), ""Not Found"")"),"roʊʧ")</f>
        <v>roʊʧ</v>
      </c>
      <c r="E4163" s="2" t="str">
        <f>IFERROR(__xludf.DUMMYFUNCTION("IFERROR(VLOOKUP(A4163, IMPORTRANGE(""https://docs.google.com/spreadsheets/d/1-3Vjw2Cyy-mry5gbC8ypIR3YVGFfEpyFESummAta6sg/edit"", ""Sheet1!B:D""), 3, FALSE), ""Not Found"")"),"r o ʊ ʧ ")</f>
        <v>r o ʊ ʧ </v>
      </c>
    </row>
    <row r="4164">
      <c r="A4164" s="1" t="s">
        <v>4165</v>
      </c>
      <c r="B4164" s="1" t="s">
        <v>5</v>
      </c>
      <c r="C4164" s="2">
        <f>IFERROR(__xludf.DUMMYFUNCTION("IFERROR(VLOOKUP(A4164, IMPORTRANGE(""https://docs.google.com/spreadsheets/d/1AVX9GT0dgogEBStecCXMMQ29tWz3gBrtNB8yIromXbY/edit?gid=741673867"", ""out1g!A:B""), 2, FALSE), 0)"),33125.0)</f>
        <v>33125</v>
      </c>
      <c r="D4164" s="2" t="str">
        <f>IFERROR(__xludf.DUMMYFUNCTION("IFERROR(VLOOKUP(A4164, IMPORTRANGE(""https://docs.google.com/spreadsheets/d/1-3Vjw2Cyy-mry5gbC8ypIR3YVGFfEpyFESummAta6sg/edit"", ""Sheet1!B:D""), 2, FALSE), ""Not Found"")"),"nis")</f>
        <v>nis</v>
      </c>
      <c r="E4164" s="2" t="str">
        <f>IFERROR(__xludf.DUMMYFUNCTION("IFERROR(VLOOKUP(A4164, IMPORTRANGE(""https://docs.google.com/spreadsheets/d/1-3Vjw2Cyy-mry5gbC8ypIR3YVGFfEpyFESummAta6sg/edit"", ""Sheet1!B:D""), 3, FALSE), ""Not Found"")"),"n i s ")</f>
        <v>n i s </v>
      </c>
    </row>
    <row r="4165">
      <c r="A4165" s="1" t="s">
        <v>4166</v>
      </c>
      <c r="B4165" s="1" t="s">
        <v>5</v>
      </c>
      <c r="C4165" s="2">
        <f>IFERROR(__xludf.DUMMYFUNCTION("IFERROR(VLOOKUP(A4165, IMPORTRANGE(""https://docs.google.com/spreadsheets/d/1AVX9GT0dgogEBStecCXMMQ29tWz3gBrtNB8yIromXbY/edit?gid=741673867"", ""out1g!A:B""), 2, FALSE), 0)"),17889.0)</f>
        <v>17889</v>
      </c>
      <c r="D4165" s="2" t="str">
        <f>IFERROR(__xludf.DUMMYFUNCTION("IFERROR(VLOOKUP(A4165, IMPORTRANGE(""https://docs.google.com/spreadsheets/d/1-3Vjw2Cyy-mry5gbC8ypIR3YVGFfEpyFESummAta6sg/edit"", ""Sheet1!B:D""), 2, FALSE), ""Not Found"")"),"moʊst")</f>
        <v>moʊst</v>
      </c>
      <c r="E4165" s="2" t="str">
        <f>IFERROR(__xludf.DUMMYFUNCTION("IFERROR(VLOOKUP(A4165, IMPORTRANGE(""https://docs.google.com/spreadsheets/d/1-3Vjw2Cyy-mry5gbC8ypIR3YVGFfEpyFESummAta6sg/edit"", ""Sheet1!B:D""), 3, FALSE), ""Not Found"")"),"m o ʊ s t ")</f>
        <v>m o ʊ s t </v>
      </c>
    </row>
    <row r="4166">
      <c r="A4166" s="1" t="s">
        <v>4167</v>
      </c>
      <c r="B4166" s="1" t="s">
        <v>5</v>
      </c>
      <c r="C4166" s="2">
        <f>IFERROR(__xludf.DUMMYFUNCTION("IFERROR(VLOOKUP(A4166, IMPORTRANGE(""https://docs.google.com/spreadsheets/d/1AVX9GT0dgogEBStecCXMMQ29tWz3gBrtNB8yIromXbY/edit?gid=741673867"", ""out1g!A:B""), 2, FALSE), 0)"),808.0)</f>
        <v>808</v>
      </c>
      <c r="D4166" s="2" t="str">
        <f>IFERROR(__xludf.DUMMYFUNCTION("IFERROR(VLOOKUP(A4166, IMPORTRANGE(""https://docs.google.com/spreadsheets/d/1-3Vjw2Cyy-mry5gbC8ypIR3YVGFfEpyFESummAta6sg/edit"", ""Sheet1!B:D""), 2, FALSE), ""Not Found"")"),"wɔrnd")</f>
        <v>wɔrnd</v>
      </c>
      <c r="E4166" s="2" t="str">
        <f>IFERROR(__xludf.DUMMYFUNCTION("IFERROR(VLOOKUP(A4166, IMPORTRANGE(""https://docs.google.com/spreadsheets/d/1-3Vjw2Cyy-mry5gbC8ypIR3YVGFfEpyFESummAta6sg/edit"", ""Sheet1!B:D""), 3, FALSE), ""Not Found"")"),"w ɔ r n d ")</f>
        <v>w ɔ r n d </v>
      </c>
    </row>
    <row r="4167">
      <c r="A4167" s="1" t="s">
        <v>4168</v>
      </c>
      <c r="B4167" s="1" t="s">
        <v>5</v>
      </c>
      <c r="C4167" s="2">
        <f>IFERROR(__xludf.DUMMYFUNCTION("IFERROR(VLOOKUP(A4167, IMPORTRANGE(""https://docs.google.com/spreadsheets/d/1AVX9GT0dgogEBStecCXMMQ29tWz3gBrtNB8yIromXbY/edit?gid=741673867"", ""out1g!A:B""), 2, FALSE), 0)"),65.0)</f>
        <v>65</v>
      </c>
      <c r="D4167" s="2" t="str">
        <f>IFERROR(__xludf.DUMMYFUNCTION("IFERROR(VLOOKUP(A4167, IMPORTRANGE(""https://docs.google.com/spreadsheets/d/1-3Vjw2Cyy-mry5gbC8ypIR3YVGFfEpyFESummAta6sg/edit"", ""Sheet1!B:D""), 2, FALSE), ""Not Found"")"),"əprɛst")</f>
        <v>əprɛst</v>
      </c>
      <c r="E4167" s="2" t="str">
        <f>IFERROR(__xludf.DUMMYFUNCTION("IFERROR(VLOOKUP(A4167, IMPORTRANGE(""https://docs.google.com/spreadsheets/d/1-3Vjw2Cyy-mry5gbC8ypIR3YVGFfEpyFESummAta6sg/edit"", ""Sheet1!B:D""), 3, FALSE), ""Not Found"")"),"ə p r ɛ s t ")</f>
        <v>ə p r ɛ s t </v>
      </c>
    </row>
    <row r="4168">
      <c r="A4168" s="1" t="s">
        <v>4169</v>
      </c>
      <c r="B4168" s="1" t="s">
        <v>5</v>
      </c>
      <c r="C4168" s="2">
        <f>IFERROR(__xludf.DUMMYFUNCTION("IFERROR(VLOOKUP(A4168, IMPORTRANGE(""https://docs.google.com/spreadsheets/d/1AVX9GT0dgogEBStecCXMMQ29tWz3gBrtNB8yIromXbY/edit?gid=741673867"", ""out1g!A:B""), 2, FALSE), 0)"),261.0)</f>
        <v>261</v>
      </c>
      <c r="D4168" s="2" t="str">
        <f>IFERROR(__xludf.DUMMYFUNCTION("IFERROR(VLOOKUP(A4168, IMPORTRANGE(""https://docs.google.com/spreadsheets/d/1-3Vjw2Cyy-mry5gbC8ypIR3YVGFfEpyFESummAta6sg/edit"", ""Sheet1!B:D""), 2, FALSE), ""Not Found"")"),"hɑg")</f>
        <v>hɑg</v>
      </c>
      <c r="E4168" s="2" t="str">
        <f>IFERROR(__xludf.DUMMYFUNCTION("IFERROR(VLOOKUP(A4168, IMPORTRANGE(""https://docs.google.com/spreadsheets/d/1-3Vjw2Cyy-mry5gbC8ypIR3YVGFfEpyFESummAta6sg/edit"", ""Sheet1!B:D""), 3, FALSE), ""Not Found"")"),"h ɑ g ")</f>
        <v>h ɑ g </v>
      </c>
    </row>
    <row r="4169">
      <c r="A4169" s="1" t="s">
        <v>4170</v>
      </c>
      <c r="B4169" s="1" t="s">
        <v>5</v>
      </c>
      <c r="C4169" s="2">
        <f>IFERROR(__xludf.DUMMYFUNCTION("IFERROR(VLOOKUP(A4169, IMPORTRANGE(""https://docs.google.com/spreadsheets/d/1AVX9GT0dgogEBStecCXMMQ29tWz3gBrtNB8yIromXbY/edit?gid=741673867"", ""out1g!A:B""), 2, FALSE), 0)"),147.0)</f>
        <v>147</v>
      </c>
      <c r="D4169" s="2" t="str">
        <f>IFERROR(__xludf.DUMMYFUNCTION("IFERROR(VLOOKUP(A4169, IMPORTRANGE(""https://docs.google.com/spreadsheets/d/1-3Vjw2Cyy-mry5gbC8ypIR3YVGFfEpyFESummAta6sg/edit"", ""Sheet1!B:D""), 2, FALSE), ""Not Found"")"),"ælaɪd")</f>
        <v>ælaɪd</v>
      </c>
      <c r="E4169" s="2" t="str">
        <f>IFERROR(__xludf.DUMMYFUNCTION("IFERROR(VLOOKUP(A4169, IMPORTRANGE(""https://docs.google.com/spreadsheets/d/1-3Vjw2Cyy-mry5gbC8ypIR3YVGFfEpyFESummAta6sg/edit"", ""Sheet1!B:D""), 3, FALSE), ""Not Found"")"),"æ l a ɪ d ")</f>
        <v>æ l a ɪ d </v>
      </c>
    </row>
    <row r="4170">
      <c r="A4170" s="1" t="s">
        <v>4171</v>
      </c>
      <c r="B4170" s="1" t="s">
        <v>5</v>
      </c>
      <c r="C4170" s="2">
        <f>IFERROR(__xludf.DUMMYFUNCTION("IFERROR(VLOOKUP(A4170, IMPORTRANGE(""https://docs.google.com/spreadsheets/d/1AVX9GT0dgogEBStecCXMMQ29tWz3gBrtNB8yIromXbY/edit?gid=741673867"", ""out1g!A:B""), 2, FALSE), 0)"),312.0)</f>
        <v>312</v>
      </c>
      <c r="D4170" s="2" t="str">
        <f>IFERROR(__xludf.DUMMYFUNCTION("IFERROR(VLOOKUP(A4170, IMPORTRANGE(""https://docs.google.com/spreadsheets/d/1-3Vjw2Cyy-mry5gbC8ypIR3YVGFfEpyFESummAta6sg/edit"", ""Sheet1!B:D""), 2, FALSE), ""Not Found"")"),"jɛn")</f>
        <v>jɛn</v>
      </c>
      <c r="E4170" s="2" t="str">
        <f>IFERROR(__xludf.DUMMYFUNCTION("IFERROR(VLOOKUP(A4170, IMPORTRANGE(""https://docs.google.com/spreadsheets/d/1-3Vjw2Cyy-mry5gbC8ypIR3YVGFfEpyFESummAta6sg/edit"", ""Sheet1!B:D""), 3, FALSE), ""Not Found"")"),"j ɛ n ")</f>
        <v>j ɛ n </v>
      </c>
    </row>
    <row r="4171">
      <c r="A4171" s="1" t="s">
        <v>4172</v>
      </c>
      <c r="B4171" s="1" t="s">
        <v>5</v>
      </c>
      <c r="C4171" s="2">
        <f>IFERROR(__xludf.DUMMYFUNCTION("IFERROR(VLOOKUP(A4171, IMPORTRANGE(""https://docs.google.com/spreadsheets/d/1AVX9GT0dgogEBStecCXMMQ29tWz3gBrtNB8yIromXbY/edit?gid=741673867"", ""out1g!A:B""), 2, FALSE), 0)"),397.0)</f>
        <v>397</v>
      </c>
      <c r="D4171" s="2" t="str">
        <f>IFERROR(__xludf.DUMMYFUNCTION("IFERROR(VLOOKUP(A4171, IMPORTRANGE(""https://docs.google.com/spreadsheets/d/1-3Vjw2Cyy-mry5gbC8ypIR3YVGFfEpyFESummAta6sg/edit"", ""Sheet1!B:D""), 2, FALSE), ""Not Found"")"),"ɑks")</f>
        <v>ɑks</v>
      </c>
      <c r="E4171" s="2" t="str">
        <f>IFERROR(__xludf.DUMMYFUNCTION("IFERROR(VLOOKUP(A4171, IMPORTRANGE(""https://docs.google.com/spreadsheets/d/1-3Vjw2Cyy-mry5gbC8ypIR3YVGFfEpyFESummAta6sg/edit"", ""Sheet1!B:D""), 3, FALSE), ""Not Found"")"),"ɑ k s ")</f>
        <v>ɑ k s </v>
      </c>
    </row>
    <row r="4172">
      <c r="A4172" s="1" t="s">
        <v>4173</v>
      </c>
      <c r="B4172" s="1" t="s">
        <v>5</v>
      </c>
      <c r="C4172" s="2">
        <f>IFERROR(__xludf.DUMMYFUNCTION("IFERROR(VLOOKUP(A4172, IMPORTRANGE(""https://docs.google.com/spreadsheets/d/1AVX9GT0dgogEBStecCXMMQ29tWz3gBrtNB8yIromXbY/edit?gid=741673867"", ""out1g!A:B""), 2, FALSE), 0)"),172.0)</f>
        <v>172</v>
      </c>
      <c r="D4172" s="2" t="str">
        <f>IFERROR(__xludf.DUMMYFUNCTION("IFERROR(VLOOKUP(A4172, IMPORTRANGE(""https://docs.google.com/spreadsheets/d/1-3Vjw2Cyy-mry5gbC8ypIR3YVGFfEpyFESummAta6sg/edit"", ""Sheet1!B:D""), 2, FALSE), ""Not Found"")"),"ɪŋk")</f>
        <v>ɪŋk</v>
      </c>
      <c r="E4172" s="2" t="str">
        <f>IFERROR(__xludf.DUMMYFUNCTION("IFERROR(VLOOKUP(A4172, IMPORTRANGE(""https://docs.google.com/spreadsheets/d/1-3Vjw2Cyy-mry5gbC8ypIR3YVGFfEpyFESummAta6sg/edit"", ""Sheet1!B:D""), 3, FALSE), ""Not Found"")"),"ɪ ŋ k ")</f>
        <v>ɪ ŋ k </v>
      </c>
    </row>
    <row r="4173">
      <c r="A4173" s="1" t="s">
        <v>4174</v>
      </c>
      <c r="B4173" s="1" t="s">
        <v>5</v>
      </c>
      <c r="C4173" s="2">
        <f>IFERROR(__xludf.DUMMYFUNCTION("IFERROR(VLOOKUP(A4173, IMPORTRANGE(""https://docs.google.com/spreadsheets/d/1AVX9GT0dgogEBStecCXMMQ29tWz3gBrtNB8yIromXbY/edit?gid=741673867"", ""out1g!A:B""), 2, FALSE), 0)"),9529.0)</f>
        <v>9529</v>
      </c>
      <c r="D4173" s="2" t="str">
        <f>IFERROR(__xludf.DUMMYFUNCTION("IFERROR(VLOOKUP(A4173, IMPORTRANGE(""https://docs.google.com/spreadsheets/d/1-3Vjw2Cyy-mry5gbC8ypIR3YVGFfEpyFESummAta6sg/edit"", ""Sheet1!B:D""), 2, FALSE), ""Not Found"")"),"traɪd")</f>
        <v>traɪd</v>
      </c>
      <c r="E4173" s="2" t="str">
        <f>IFERROR(__xludf.DUMMYFUNCTION("IFERROR(VLOOKUP(A4173, IMPORTRANGE(""https://docs.google.com/spreadsheets/d/1-3Vjw2Cyy-mry5gbC8ypIR3YVGFfEpyFESummAta6sg/edit"", ""Sheet1!B:D""), 3, FALSE), ""Not Found"")"),"t r a ɪ d ")</f>
        <v>t r a ɪ d </v>
      </c>
    </row>
    <row r="4174">
      <c r="A4174" s="1" t="s">
        <v>4175</v>
      </c>
      <c r="B4174" s="1" t="s">
        <v>5</v>
      </c>
      <c r="C4174" s="2">
        <f>IFERROR(__xludf.DUMMYFUNCTION("IFERROR(VLOOKUP(A4174, IMPORTRANGE(""https://docs.google.com/spreadsheets/d/1AVX9GT0dgogEBStecCXMMQ29tWz3gBrtNB8yIromXbY/edit?gid=741673867"", ""out1g!A:B""), 2, FALSE), 0)"),223.0)</f>
        <v>223</v>
      </c>
      <c r="D4174" s="2" t="str">
        <f>IFERROR(__xludf.DUMMYFUNCTION("IFERROR(VLOOKUP(A4174, IMPORTRANGE(""https://docs.google.com/spreadsheets/d/1-3Vjw2Cyy-mry5gbC8ypIR3YVGFfEpyFESummAta6sg/edit"", ""Sheet1!B:D""), 2, FALSE), ""Not Found"")"),"siz")</f>
        <v>siz</v>
      </c>
      <c r="E4174" s="2" t="str">
        <f>IFERROR(__xludf.DUMMYFUNCTION("IFERROR(VLOOKUP(A4174, IMPORTRANGE(""https://docs.google.com/spreadsheets/d/1-3Vjw2Cyy-mry5gbC8ypIR3YVGFfEpyFESummAta6sg/edit"", ""Sheet1!B:D""), 3, FALSE), ""Not Found"")"),"s i z ")</f>
        <v>s i z </v>
      </c>
    </row>
    <row r="4175">
      <c r="A4175" s="1" t="s">
        <v>4176</v>
      </c>
      <c r="B4175" s="1" t="s">
        <v>5</v>
      </c>
      <c r="C4175" s="2">
        <f>IFERROR(__xludf.DUMMYFUNCTION("IFERROR(VLOOKUP(A4175, IMPORTRANGE(""https://docs.google.com/spreadsheets/d/1AVX9GT0dgogEBStecCXMMQ29tWz3gBrtNB8yIromXbY/edit?gid=741673867"", ""out1g!A:B""), 2, FALSE), 0)"),3925.0)</f>
        <v>3925</v>
      </c>
      <c r="D4175" s="2" t="str">
        <f>IFERROR(__xludf.DUMMYFUNCTION("IFERROR(VLOOKUP(A4175, IMPORTRANGE(""https://docs.google.com/spreadsheets/d/1-3Vjw2Cyy-mry5gbC8ypIR3YVGFfEpyFESummAta6sg/edit"", ""Sheet1!B:D""), 2, FALSE), ""Not Found"")"),"soʊl")</f>
        <v>soʊl</v>
      </c>
      <c r="E4175" s="2" t="str">
        <f>IFERROR(__xludf.DUMMYFUNCTION("IFERROR(VLOOKUP(A4175, IMPORTRANGE(""https://docs.google.com/spreadsheets/d/1-3Vjw2Cyy-mry5gbC8ypIR3YVGFfEpyFESummAta6sg/edit"", ""Sheet1!B:D""), 3, FALSE), ""Not Found"")"),"s o ʊ l ")</f>
        <v>s o ʊ l </v>
      </c>
    </row>
    <row r="4176">
      <c r="A4176" s="1" t="s">
        <v>4177</v>
      </c>
      <c r="B4176" s="1" t="s">
        <v>5</v>
      </c>
      <c r="C4176" s="2">
        <f>IFERROR(__xludf.DUMMYFUNCTION("IFERROR(VLOOKUP(A4176, IMPORTRANGE(""https://docs.google.com/spreadsheets/d/1AVX9GT0dgogEBStecCXMMQ29tWz3gBrtNB8yIromXbY/edit?gid=741673867"", ""out1g!A:B""), 2, FALSE), 0)"),105.0)</f>
        <v>105</v>
      </c>
      <c r="D4176" s="2" t="str">
        <f>IFERROR(__xludf.DUMMYFUNCTION("IFERROR(VLOOKUP(A4176, IMPORTRANGE(""https://docs.google.com/spreadsheets/d/1-3Vjw2Cyy-mry5gbC8ypIR3YVGFfEpyFESummAta6sg/edit"", ""Sheet1!B:D""), 2, FALSE), ""Not Found"")"),"wupɪŋ")</f>
        <v>wupɪŋ</v>
      </c>
      <c r="E4176" s="2" t="str">
        <f>IFERROR(__xludf.DUMMYFUNCTION("IFERROR(VLOOKUP(A4176, IMPORTRANGE(""https://docs.google.com/spreadsheets/d/1-3Vjw2Cyy-mry5gbC8ypIR3YVGFfEpyFESummAta6sg/edit"", ""Sheet1!B:D""), 3, FALSE), ""Not Found"")"),"w u p ɪ ŋ ")</f>
        <v>w u p ɪ ŋ </v>
      </c>
    </row>
    <row r="4177">
      <c r="A4177" s="1" t="s">
        <v>4178</v>
      </c>
      <c r="B4177" s="1" t="s">
        <v>5</v>
      </c>
      <c r="C4177" s="2">
        <f>IFERROR(__xludf.DUMMYFUNCTION("IFERROR(VLOOKUP(A4177, IMPORTRANGE(""https://docs.google.com/spreadsheets/d/1AVX9GT0dgogEBStecCXMMQ29tWz3gBrtNB8yIromXbY/edit?gid=741673867"", ""out1g!A:B""), 2, FALSE), 0)"),117.0)</f>
        <v>117</v>
      </c>
      <c r="D4177" s="2" t="str">
        <f>IFERROR(__xludf.DUMMYFUNCTION("IFERROR(VLOOKUP(A4177, IMPORTRANGE(""https://docs.google.com/spreadsheets/d/1-3Vjw2Cyy-mry5gbC8ypIR3YVGFfEpyFESummAta6sg/edit"", ""Sheet1!B:D""), 2, FALSE), ""Not Found"")"),"slɪŋ")</f>
        <v>slɪŋ</v>
      </c>
      <c r="E4177" s="2" t="str">
        <f>IFERROR(__xludf.DUMMYFUNCTION("IFERROR(VLOOKUP(A4177, IMPORTRANGE(""https://docs.google.com/spreadsheets/d/1-3Vjw2Cyy-mry5gbC8ypIR3YVGFfEpyFESummAta6sg/edit"", ""Sheet1!B:D""), 3, FALSE), ""Not Found"")"),"s l ɪ ŋ ")</f>
        <v>s l ɪ ŋ </v>
      </c>
    </row>
    <row r="4178">
      <c r="A4178" s="1" t="s">
        <v>4179</v>
      </c>
      <c r="B4178" s="1" t="s">
        <v>5</v>
      </c>
      <c r="C4178" s="2">
        <f>IFERROR(__xludf.DUMMYFUNCTION("IFERROR(VLOOKUP(A4178, IMPORTRANGE(""https://docs.google.com/spreadsheets/d/1AVX9GT0dgogEBStecCXMMQ29tWz3gBrtNB8yIromXbY/edit?gid=741673867"", ""out1g!A:B""), 2, FALSE), 0)"),1527.0)</f>
        <v>1527</v>
      </c>
      <c r="D4178" s="2" t="str">
        <f>IFERROR(__xludf.DUMMYFUNCTION("IFERROR(VLOOKUP(A4178, IMPORTRANGE(""https://docs.google.com/spreadsheets/d/1-3Vjw2Cyy-mry5gbC8ypIR3YVGFfEpyFESummAta6sg/edit"", ""Sheet1!B:D""), 2, FALSE), ""Not Found"")"),"led")</f>
        <v>led</v>
      </c>
      <c r="E4178" s="2" t="str">
        <f>IFERROR(__xludf.DUMMYFUNCTION("IFERROR(VLOOKUP(A4178, IMPORTRANGE(""https://docs.google.com/spreadsheets/d/1-3Vjw2Cyy-mry5gbC8ypIR3YVGFfEpyFESummAta6sg/edit"", ""Sheet1!B:D""), 3, FALSE), ""Not Found"")"),"l e d ")</f>
        <v>l e d </v>
      </c>
    </row>
    <row r="4179">
      <c r="A4179" s="1" t="s">
        <v>4180</v>
      </c>
      <c r="B4179" s="1" t="s">
        <v>5</v>
      </c>
      <c r="C4179" s="2">
        <f>IFERROR(__xludf.DUMMYFUNCTION("IFERROR(VLOOKUP(A4179, IMPORTRANGE(""https://docs.google.com/spreadsheets/d/1AVX9GT0dgogEBStecCXMMQ29tWz3gBrtNB8yIromXbY/edit?gid=741673867"", ""out1g!A:B""), 2, FALSE), 0)"),268.0)</f>
        <v>268</v>
      </c>
      <c r="D4179" s="2" t="str">
        <f>IFERROR(__xludf.DUMMYFUNCTION("IFERROR(VLOOKUP(A4179, IMPORTRANGE(""https://docs.google.com/spreadsheets/d/1-3Vjw2Cyy-mry5gbC8ypIR3YVGFfEpyFESummAta6sg/edit"", ""Sheet1!B:D""), 2, FALSE), ""Not Found"")"),"grit")</f>
        <v>grit</v>
      </c>
      <c r="E4179" s="2" t="str">
        <f>IFERROR(__xludf.DUMMYFUNCTION("IFERROR(VLOOKUP(A4179, IMPORTRANGE(""https://docs.google.com/spreadsheets/d/1-3Vjw2Cyy-mry5gbC8ypIR3YVGFfEpyFESummAta6sg/edit"", ""Sheet1!B:D""), 3, FALSE), ""Not Found"")"),"g r i t ")</f>
        <v>g r i t </v>
      </c>
    </row>
    <row r="4180">
      <c r="A4180" s="1" t="s">
        <v>4181</v>
      </c>
      <c r="B4180" s="1" t="s">
        <v>5</v>
      </c>
      <c r="C4180" s="2">
        <f>IFERROR(__xludf.DUMMYFUNCTION("IFERROR(VLOOKUP(A4180, IMPORTRANGE(""https://docs.google.com/spreadsheets/d/1AVX9GT0dgogEBStecCXMMQ29tWz3gBrtNB8yIromXbY/edit?gid=741673867"", ""out1g!A:B""), 2, FALSE), 0)"),71.0)</f>
        <v>71</v>
      </c>
      <c r="D4180" s="2" t="str">
        <f>IFERROR(__xludf.DUMMYFUNCTION("IFERROR(VLOOKUP(A4180, IMPORTRANGE(""https://docs.google.com/spreadsheets/d/1-3Vjw2Cyy-mry5gbC8ypIR3YVGFfEpyFESummAta6sg/edit"", ""Sheet1!B:D""), 2, FALSE), ""Not Found"")"),"hæloʊ")</f>
        <v>hæloʊ</v>
      </c>
      <c r="E4180" s="2" t="str">
        <f>IFERROR(__xludf.DUMMYFUNCTION("IFERROR(VLOOKUP(A4180, IMPORTRANGE(""https://docs.google.com/spreadsheets/d/1-3Vjw2Cyy-mry5gbC8ypIR3YVGFfEpyFESummAta6sg/edit"", ""Sheet1!B:D""), 3, FALSE), ""Not Found"")"),"h æ l o ʊ ")</f>
        <v>h æ l o ʊ </v>
      </c>
    </row>
    <row r="4181">
      <c r="A4181" s="1" t="s">
        <v>4182</v>
      </c>
      <c r="B4181" s="1" t="s">
        <v>5</v>
      </c>
      <c r="C4181" s="2">
        <f>IFERROR(__xludf.DUMMYFUNCTION("IFERROR(VLOOKUP(A4181, IMPORTRANGE(""https://docs.google.com/spreadsheets/d/1AVX9GT0dgogEBStecCXMMQ29tWz3gBrtNB8yIromXbY/edit?gid=741673867"", ""out1g!A:B""), 2, FALSE), 0)"),151.0)</f>
        <v>151</v>
      </c>
      <c r="D4181" s="2" t="str">
        <f>IFERROR(__xludf.DUMMYFUNCTION("IFERROR(VLOOKUP(A4181, IMPORTRANGE(""https://docs.google.com/spreadsheets/d/1-3Vjw2Cyy-mry5gbC8ypIR3YVGFfEpyFESummAta6sg/edit"", ""Sheet1!B:D""), 2, FALSE), ""Not Found"")"),"ʃraɪn")</f>
        <v>ʃraɪn</v>
      </c>
      <c r="E4181" s="2" t="str">
        <f>IFERROR(__xludf.DUMMYFUNCTION("IFERROR(VLOOKUP(A4181, IMPORTRANGE(""https://docs.google.com/spreadsheets/d/1-3Vjw2Cyy-mry5gbC8ypIR3YVGFfEpyFESummAta6sg/edit"", ""Sheet1!B:D""), 3, FALSE), ""Not Found"")"),"ʃ r a ɪ n ")</f>
        <v>ʃ r a ɪ n </v>
      </c>
    </row>
    <row r="4182">
      <c r="A4182" s="1" t="s">
        <v>4183</v>
      </c>
      <c r="B4182" s="1" t="s">
        <v>5</v>
      </c>
      <c r="C4182" s="2">
        <f>IFERROR(__xludf.DUMMYFUNCTION("IFERROR(VLOOKUP(A4182, IMPORTRANGE(""https://docs.google.com/spreadsheets/d/1AVX9GT0dgogEBStecCXMMQ29tWz3gBrtNB8yIromXbY/edit?gid=741673867"", ""out1g!A:B""), 2, FALSE), 0)"),165.0)</f>
        <v>165</v>
      </c>
      <c r="D4182" s="2" t="str">
        <f>IFERROR(__xludf.DUMMYFUNCTION("IFERROR(VLOOKUP(A4182, IMPORTRANGE(""https://docs.google.com/spreadsheets/d/1-3Vjw2Cyy-mry5gbC8ypIR3YVGFfEpyFESummAta6sg/edit"", ""Sheet1!B:D""), 2, FALSE), ""Not Found"")"),"reʤɪŋ")</f>
        <v>reʤɪŋ</v>
      </c>
      <c r="E4182" s="2" t="str">
        <f>IFERROR(__xludf.DUMMYFUNCTION("IFERROR(VLOOKUP(A4182, IMPORTRANGE(""https://docs.google.com/spreadsheets/d/1-3Vjw2Cyy-mry5gbC8ypIR3YVGFfEpyFESummAta6sg/edit"", ""Sheet1!B:D""), 3, FALSE), ""Not Found"")"),"r e ʤ ɪ ŋ ")</f>
        <v>r e ʤ ɪ ŋ </v>
      </c>
    </row>
    <row r="4183">
      <c r="A4183" s="1" t="s">
        <v>4184</v>
      </c>
      <c r="B4183" s="1" t="s">
        <v>5</v>
      </c>
      <c r="C4183" s="2">
        <f>IFERROR(__xludf.DUMMYFUNCTION("IFERROR(VLOOKUP(A4183, IMPORTRANGE(""https://docs.google.com/spreadsheets/d/1AVX9GT0dgogEBStecCXMMQ29tWz3gBrtNB8yIromXbY/edit?gid=741673867"", ""out1g!A:B""), 2, FALSE), 0)"),929.0)</f>
        <v>929</v>
      </c>
      <c r="D4183" s="2" t="str">
        <f>IFERROR(__xludf.DUMMYFUNCTION("IFERROR(VLOOKUP(A4183, IMPORTRANGE(""https://docs.google.com/spreadsheets/d/1-3Vjw2Cyy-mry5gbC8ypIR3YVGFfEpyFESummAta6sg/edit"", ""Sheet1!B:D""), 2, FALSE), ""Not Found"")"),"roʊl")</f>
        <v>roʊl</v>
      </c>
      <c r="E4183" s="2" t="str">
        <f>IFERROR(__xludf.DUMMYFUNCTION("IFERROR(VLOOKUP(A4183, IMPORTRANGE(""https://docs.google.com/spreadsheets/d/1-3Vjw2Cyy-mry5gbC8ypIR3YVGFfEpyFESummAta6sg/edit"", ""Sheet1!B:D""), 3, FALSE), ""Not Found"")"),"r o ʊ l ")</f>
        <v>r o ʊ l </v>
      </c>
    </row>
    <row r="4184">
      <c r="A4184" s="1" t="s">
        <v>4185</v>
      </c>
      <c r="B4184" s="1" t="s">
        <v>5</v>
      </c>
      <c r="C4184" s="2">
        <f>IFERROR(__xludf.DUMMYFUNCTION("IFERROR(VLOOKUP(A4184, IMPORTRANGE(""https://docs.google.com/spreadsheets/d/1AVX9GT0dgogEBStecCXMMQ29tWz3gBrtNB8yIromXbY/edit?gid=741673867"", ""out1g!A:B""), 2, FALSE), 0)"),114.0)</f>
        <v>114</v>
      </c>
      <c r="D4184" s="2" t="str">
        <f>IFERROR(__xludf.DUMMYFUNCTION("IFERROR(VLOOKUP(A4184, IMPORTRANGE(""https://docs.google.com/spreadsheets/d/1-3Vjw2Cyy-mry5gbC8ypIR3YVGFfEpyFESummAta6sg/edit"", ""Sheet1!B:D""), 2, FALSE), ""Not Found"")"),"tɛnz")</f>
        <v>tɛnz</v>
      </c>
      <c r="E4184" s="2" t="str">
        <f>IFERROR(__xludf.DUMMYFUNCTION("IFERROR(VLOOKUP(A4184, IMPORTRANGE(""https://docs.google.com/spreadsheets/d/1-3Vjw2Cyy-mry5gbC8ypIR3YVGFfEpyFESummAta6sg/edit"", ""Sheet1!B:D""), 3, FALSE), ""Not Found"")"),"t ɛ n z ")</f>
        <v>t ɛ n z </v>
      </c>
    </row>
    <row r="4185">
      <c r="A4185" s="1" t="s">
        <v>4186</v>
      </c>
      <c r="B4185" s="1" t="s">
        <v>5</v>
      </c>
      <c r="C4185" s="2">
        <f>IFERROR(__xludf.DUMMYFUNCTION("IFERROR(VLOOKUP(A4185, IMPORTRANGE(""https://docs.google.com/spreadsheets/d/1AVX9GT0dgogEBStecCXMMQ29tWz3gBrtNB8yIromXbY/edit?gid=741673867"", ""out1g!A:B""), 2, FALSE), 0)"),140.0)</f>
        <v>140</v>
      </c>
      <c r="D4185" s="2" t="str">
        <f>IFERROR(__xludf.DUMMYFUNCTION("IFERROR(VLOOKUP(A4185, IMPORTRANGE(""https://docs.google.com/spreadsheets/d/1-3Vjw2Cyy-mry5gbC8ypIR3YVGFfEpyFESummAta6sg/edit"", ""Sheet1!B:D""), 2, FALSE), ""Not Found"")"),"saɪki")</f>
        <v>saɪki</v>
      </c>
      <c r="E4185" s="2" t="str">
        <f>IFERROR(__xludf.DUMMYFUNCTION("IFERROR(VLOOKUP(A4185, IMPORTRANGE(""https://docs.google.com/spreadsheets/d/1-3Vjw2Cyy-mry5gbC8ypIR3YVGFfEpyFESummAta6sg/edit"", ""Sheet1!B:D""), 3, FALSE), ""Not Found"")"),"s a ɪ k i ")</f>
        <v>s a ɪ k i </v>
      </c>
    </row>
    <row r="4186">
      <c r="A4186" s="1" t="s">
        <v>4187</v>
      </c>
      <c r="B4186" s="1" t="s">
        <v>5</v>
      </c>
      <c r="C4186" s="2">
        <f>IFERROR(__xludf.DUMMYFUNCTION("IFERROR(VLOOKUP(A4186, IMPORTRANGE(""https://docs.google.com/spreadsheets/d/1AVX9GT0dgogEBStecCXMMQ29tWz3gBrtNB8yIromXbY/edit?gid=741673867"", ""out1g!A:B""), 2, FALSE), 0)"),45.0)</f>
        <v>45</v>
      </c>
      <c r="D4186" s="2" t="str">
        <f>IFERROR(__xludf.DUMMYFUNCTION("IFERROR(VLOOKUP(A4186, IMPORTRANGE(""https://docs.google.com/spreadsheets/d/1-3Vjw2Cyy-mry5gbC8ypIR3YVGFfEpyFESummAta6sg/edit"", ""Sheet1!B:D""), 2, FALSE), ""Not Found"")"),"brɪt")</f>
        <v>brɪt</v>
      </c>
      <c r="E4186" s="2" t="str">
        <f>IFERROR(__xludf.DUMMYFUNCTION("IFERROR(VLOOKUP(A4186, IMPORTRANGE(""https://docs.google.com/spreadsheets/d/1-3Vjw2Cyy-mry5gbC8ypIR3YVGFfEpyFESummAta6sg/edit"", ""Sheet1!B:D""), 3, FALSE), ""Not Found"")"),"b r ɪ t ")</f>
        <v>b r ɪ t </v>
      </c>
    </row>
    <row r="4187">
      <c r="A4187" s="1" t="s">
        <v>4188</v>
      </c>
      <c r="B4187" s="1" t="s">
        <v>5</v>
      </c>
      <c r="C4187" s="2">
        <f>IFERROR(__xludf.DUMMYFUNCTION("IFERROR(VLOOKUP(A4187, IMPORTRANGE(""https://docs.google.com/spreadsheets/d/1AVX9GT0dgogEBStecCXMMQ29tWz3gBrtNB8yIromXbY/edit?gid=741673867"", ""out1g!A:B""), 2, FALSE), 0)"),97.0)</f>
        <v>97</v>
      </c>
      <c r="D4187" s="2" t="str">
        <f>IFERROR(__xludf.DUMMYFUNCTION("IFERROR(VLOOKUP(A4187, IMPORTRANGE(""https://docs.google.com/spreadsheets/d/1-3Vjw2Cyy-mry5gbC8ypIR3YVGFfEpyFESummAta6sg/edit"", ""Sheet1!B:D""), 2, FALSE), ""Not Found"")"),"snæg")</f>
        <v>snæg</v>
      </c>
      <c r="E4187" s="2" t="str">
        <f>IFERROR(__xludf.DUMMYFUNCTION("IFERROR(VLOOKUP(A4187, IMPORTRANGE(""https://docs.google.com/spreadsheets/d/1-3Vjw2Cyy-mry5gbC8ypIR3YVGFfEpyFESummAta6sg/edit"", ""Sheet1!B:D""), 3, FALSE), ""Not Found"")"),"s n æ g ")</f>
        <v>s n æ g </v>
      </c>
    </row>
    <row r="4188">
      <c r="A4188" s="1" t="s">
        <v>4189</v>
      </c>
      <c r="B4188" s="1" t="s">
        <v>5</v>
      </c>
      <c r="C4188" s="2">
        <f>IFERROR(__xludf.DUMMYFUNCTION("IFERROR(VLOOKUP(A4188, IMPORTRANGE(""https://docs.google.com/spreadsheets/d/1AVX9GT0dgogEBStecCXMMQ29tWz3gBrtNB8yIromXbY/edit?gid=741673867"", ""out1g!A:B""), 2, FALSE), 0)"),49.0)</f>
        <v>49</v>
      </c>
      <c r="D4188" s="2" t="str">
        <f>IFERROR(__xludf.DUMMYFUNCTION("IFERROR(VLOOKUP(A4188, IMPORTRANGE(""https://docs.google.com/spreadsheets/d/1-3Vjw2Cyy-mry5gbC8ypIR3YVGFfEpyFESummAta6sg/edit"", ""Sheet1!B:D""), 2, FALSE), ""Not Found"")"),"smuðər")</f>
        <v>smuðər</v>
      </c>
      <c r="E4188" s="2" t="str">
        <f>IFERROR(__xludf.DUMMYFUNCTION("IFERROR(VLOOKUP(A4188, IMPORTRANGE(""https://docs.google.com/spreadsheets/d/1-3Vjw2Cyy-mry5gbC8ypIR3YVGFfEpyFESummAta6sg/edit"", ""Sheet1!B:D""), 3, FALSE), ""Not Found"")"),"s m u ð ə r ")</f>
        <v>s m u ð ə r </v>
      </c>
    </row>
    <row r="4189">
      <c r="A4189" s="1" t="s">
        <v>4190</v>
      </c>
      <c r="B4189" s="1" t="s">
        <v>5</v>
      </c>
      <c r="C4189" s="2">
        <f>IFERROR(__xludf.DUMMYFUNCTION("IFERROR(VLOOKUP(A4189, IMPORTRANGE(""https://docs.google.com/spreadsheets/d/1AVX9GT0dgogEBStecCXMMQ29tWz3gBrtNB8yIromXbY/edit?gid=741673867"", ""out1g!A:B""), 2, FALSE), 0)"),108.0)</f>
        <v>108</v>
      </c>
      <c r="D4189" s="2" t="str">
        <f>IFERROR(__xludf.DUMMYFUNCTION("IFERROR(VLOOKUP(A4189, IMPORTRANGE(""https://docs.google.com/spreadsheets/d/1-3Vjw2Cyy-mry5gbC8ypIR3YVGFfEpyFESummAta6sg/edit"", ""Sheet1!B:D""), 2, FALSE), ""Not Found"")"),"dɛli")</f>
        <v>dɛli</v>
      </c>
      <c r="E4189" s="2" t="str">
        <f>IFERROR(__xludf.DUMMYFUNCTION("IFERROR(VLOOKUP(A4189, IMPORTRANGE(""https://docs.google.com/spreadsheets/d/1-3Vjw2Cyy-mry5gbC8ypIR3YVGFfEpyFESummAta6sg/edit"", ""Sheet1!B:D""), 3, FALSE), ""Not Found"")"),"d ɛ l i ")</f>
        <v>d ɛ l i </v>
      </c>
    </row>
    <row r="4190">
      <c r="A4190" s="1" t="s">
        <v>4191</v>
      </c>
      <c r="B4190" s="1" t="s">
        <v>5</v>
      </c>
      <c r="C4190" s="2">
        <f>IFERROR(__xludf.DUMMYFUNCTION("IFERROR(VLOOKUP(A4190, IMPORTRANGE(""https://docs.google.com/spreadsheets/d/1AVX9GT0dgogEBStecCXMMQ29tWz3gBrtNB8yIromXbY/edit?gid=741673867"", ""out1g!A:B""), 2, FALSE), 0)"),166.0)</f>
        <v>166</v>
      </c>
      <c r="D4190" s="2" t="str">
        <f>IFERROR(__xludf.DUMMYFUNCTION("IFERROR(VLOOKUP(A4190, IMPORTRANGE(""https://docs.google.com/spreadsheets/d/1-3Vjw2Cyy-mry5gbC8ypIR3YVGFfEpyFESummAta6sg/edit"", ""Sheet1!B:D""), 2, FALSE), ""Not Found"")"),"bledz")</f>
        <v>bledz</v>
      </c>
      <c r="E4190" s="2" t="str">
        <f>IFERROR(__xludf.DUMMYFUNCTION("IFERROR(VLOOKUP(A4190, IMPORTRANGE(""https://docs.google.com/spreadsheets/d/1-3Vjw2Cyy-mry5gbC8ypIR3YVGFfEpyFESummAta6sg/edit"", ""Sheet1!B:D""), 3, FALSE), ""Not Found"")"),"b l e d z ")</f>
        <v>b l e d z </v>
      </c>
    </row>
    <row r="4191">
      <c r="A4191" s="1" t="s">
        <v>4192</v>
      </c>
      <c r="B4191" s="1" t="s">
        <v>5</v>
      </c>
      <c r="C4191" s="2">
        <f>IFERROR(__xludf.DUMMYFUNCTION("IFERROR(VLOOKUP(A4191, IMPORTRANGE(""https://docs.google.com/spreadsheets/d/1AVX9GT0dgogEBStecCXMMQ29tWz3gBrtNB8yIromXbY/edit?gid=741673867"", ""out1g!A:B""), 2, FALSE), 0)"),225.0)</f>
        <v>225</v>
      </c>
      <c r="D4191" s="2" t="str">
        <f>IFERROR(__xludf.DUMMYFUNCTION("IFERROR(VLOOKUP(A4191, IMPORTRANGE(""https://docs.google.com/spreadsheets/d/1-3Vjw2Cyy-mry5gbC8ypIR3YVGFfEpyFESummAta6sg/edit"", ""Sheet1!B:D""), 2, FALSE), ""Not Found"")"),"pɪgi")</f>
        <v>pɪgi</v>
      </c>
      <c r="E4191" s="2" t="str">
        <f>IFERROR(__xludf.DUMMYFUNCTION("IFERROR(VLOOKUP(A4191, IMPORTRANGE(""https://docs.google.com/spreadsheets/d/1-3Vjw2Cyy-mry5gbC8ypIR3YVGFfEpyFESummAta6sg/edit"", ""Sheet1!B:D""), 3, FALSE), ""Not Found"")"),"p ɪ g i ")</f>
        <v>p ɪ g i </v>
      </c>
    </row>
    <row r="4192">
      <c r="A4192" s="1" t="s">
        <v>4193</v>
      </c>
      <c r="B4192" s="1" t="s">
        <v>5</v>
      </c>
      <c r="C4192" s="2">
        <f>IFERROR(__xludf.DUMMYFUNCTION("IFERROR(VLOOKUP(A4192, IMPORTRANGE(""https://docs.google.com/spreadsheets/d/1AVX9GT0dgogEBStecCXMMQ29tWz3gBrtNB8yIromXbY/edit?gid=741673867"", ""out1g!A:B""), 2, FALSE), 0)"),1319.0)</f>
        <v>1319</v>
      </c>
      <c r="D4192" s="2" t="str">
        <f>IFERROR(__xludf.DUMMYFUNCTION("IFERROR(VLOOKUP(A4192, IMPORTRANGE(""https://docs.google.com/spreadsheets/d/1-3Vjw2Cyy-mry5gbC8ypIR3YVGFfEpyFESummAta6sg/edit"", ""Sheet1!B:D""), 2, FALSE), ""Not Found"")"),"hənt")</f>
        <v>hənt</v>
      </c>
      <c r="E4192" s="2" t="str">
        <f>IFERROR(__xludf.DUMMYFUNCTION("IFERROR(VLOOKUP(A4192, IMPORTRANGE(""https://docs.google.com/spreadsheets/d/1-3Vjw2Cyy-mry5gbC8ypIR3YVGFfEpyFESummAta6sg/edit"", ""Sheet1!B:D""), 3, FALSE), ""Not Found"")"),"h ə n t ")</f>
        <v>h ə n t </v>
      </c>
    </row>
    <row r="4193">
      <c r="A4193" s="1" t="s">
        <v>4194</v>
      </c>
      <c r="B4193" s="1" t="s">
        <v>5</v>
      </c>
      <c r="C4193" s="2">
        <f>IFERROR(__xludf.DUMMYFUNCTION("IFERROR(VLOOKUP(A4193, IMPORTRANGE(""https://docs.google.com/spreadsheets/d/1AVX9GT0dgogEBStecCXMMQ29tWz3gBrtNB8yIromXbY/edit?gid=741673867"", ""out1g!A:B""), 2, FALSE), 0)"),7038.0)</f>
        <v>7038</v>
      </c>
      <c r="D4193" s="2" t="str">
        <f>IFERROR(__xludf.DUMMYFUNCTION("IFERROR(VLOOKUP(A4193, IMPORTRANGE(""https://docs.google.com/spreadsheets/d/1-3Vjw2Cyy-mry5gbC8ypIR3YVGFfEpyFESummAta6sg/edit"", ""Sheet1!B:D""), 2, FALSE), ""Not Found"")"),"sɛnt")</f>
        <v>sɛnt</v>
      </c>
      <c r="E4193" s="2" t="str">
        <f>IFERROR(__xludf.DUMMYFUNCTION("IFERROR(VLOOKUP(A4193, IMPORTRANGE(""https://docs.google.com/spreadsheets/d/1-3Vjw2Cyy-mry5gbC8ypIR3YVGFfEpyFESummAta6sg/edit"", ""Sheet1!B:D""), 3, FALSE), ""Not Found"")"),"s ɛ n t ")</f>
        <v>s ɛ n t </v>
      </c>
    </row>
    <row r="4194">
      <c r="A4194" s="1" t="s">
        <v>4195</v>
      </c>
      <c r="B4194" s="1" t="s">
        <v>5</v>
      </c>
      <c r="C4194" s="2">
        <f>IFERROR(__xludf.DUMMYFUNCTION("IFERROR(VLOOKUP(A4194, IMPORTRANGE(""https://docs.google.com/spreadsheets/d/1AVX9GT0dgogEBStecCXMMQ29tWz3gBrtNB8yIromXbY/edit?gid=741673867"", ""out1g!A:B""), 2, FALSE), 0)"),3574.0)</f>
        <v>3574</v>
      </c>
      <c r="D4194" s="2" t="str">
        <f>IFERROR(__xludf.DUMMYFUNCTION("IFERROR(VLOOKUP(A4194, IMPORTRANGE(""https://docs.google.com/spreadsheets/d/1-3Vjw2Cyy-mry5gbC8ypIR3YVGFfEpyFESummAta6sg/edit"", ""Sheet1!B:D""), 2, FALSE), ""Not Found"")"),"spɛnt")</f>
        <v>spɛnt</v>
      </c>
      <c r="E4194" s="2" t="str">
        <f>IFERROR(__xludf.DUMMYFUNCTION("IFERROR(VLOOKUP(A4194, IMPORTRANGE(""https://docs.google.com/spreadsheets/d/1-3Vjw2Cyy-mry5gbC8ypIR3YVGFfEpyFESummAta6sg/edit"", ""Sheet1!B:D""), 3, FALSE), ""Not Found"")"),"s p ɛ n t ")</f>
        <v>s p ɛ n t </v>
      </c>
    </row>
    <row r="4195">
      <c r="A4195" s="1" t="s">
        <v>4196</v>
      </c>
      <c r="B4195" s="1" t="s">
        <v>5</v>
      </c>
      <c r="C4195" s="2">
        <f>IFERROR(__xludf.DUMMYFUNCTION("IFERROR(VLOOKUP(A4195, IMPORTRANGE(""https://docs.google.com/spreadsheets/d/1AVX9GT0dgogEBStecCXMMQ29tWz3gBrtNB8yIromXbY/edit?gid=741673867"", ""out1g!A:B""), 2, FALSE), 0)"),68.0)</f>
        <v>68</v>
      </c>
      <c r="D4195" s="2" t="str">
        <f>IFERROR(__xludf.DUMMYFUNCTION("IFERROR(VLOOKUP(A4195, IMPORTRANGE(""https://docs.google.com/spreadsheets/d/1-3Vjw2Cyy-mry5gbC8ypIR3YVGFfEpyFESummAta6sg/edit"", ""Sheet1!B:D""), 2, FALSE), ""Not Found"")"),"koʊks")</f>
        <v>koʊks</v>
      </c>
      <c r="E4195" s="2" t="str">
        <f>IFERROR(__xludf.DUMMYFUNCTION("IFERROR(VLOOKUP(A4195, IMPORTRANGE(""https://docs.google.com/spreadsheets/d/1-3Vjw2Cyy-mry5gbC8ypIR3YVGFfEpyFESummAta6sg/edit"", ""Sheet1!B:D""), 3, FALSE), ""Not Found"")"),"k o ʊ k s ")</f>
        <v>k o ʊ k s </v>
      </c>
    </row>
    <row r="4196">
      <c r="A4196" s="1" t="s">
        <v>4197</v>
      </c>
      <c r="B4196" s="1" t="s">
        <v>5</v>
      </c>
      <c r="C4196" s="2">
        <f>IFERROR(__xludf.DUMMYFUNCTION("IFERROR(VLOOKUP(A4196, IMPORTRANGE(""https://docs.google.com/spreadsheets/d/1AVX9GT0dgogEBStecCXMMQ29tWz3gBrtNB8yIromXbY/edit?gid=741673867"", ""out1g!A:B""), 2, FALSE), 0)"),62.0)</f>
        <v>62</v>
      </c>
      <c r="D4196" s="2" t="str">
        <f>IFERROR(__xludf.DUMMYFUNCTION("IFERROR(VLOOKUP(A4196, IMPORTRANGE(""https://docs.google.com/spreadsheets/d/1-3Vjw2Cyy-mry5gbC8ypIR3YVGFfEpyFESummAta6sg/edit"", ""Sheet1!B:D""), 2, FALSE), ""Not Found"")"),"oʊdən")</f>
        <v>oʊdən</v>
      </c>
      <c r="E4196" s="2" t="str">
        <f>IFERROR(__xludf.DUMMYFUNCTION("IFERROR(VLOOKUP(A4196, IMPORTRANGE(""https://docs.google.com/spreadsheets/d/1-3Vjw2Cyy-mry5gbC8ypIR3YVGFfEpyFESummAta6sg/edit"", ""Sheet1!B:D""), 3, FALSE), ""Not Found"")"),"o ʊ d ə n ")</f>
        <v>o ʊ d ə n </v>
      </c>
    </row>
    <row r="4197">
      <c r="A4197" s="1" t="s">
        <v>4198</v>
      </c>
      <c r="B4197" s="1" t="s">
        <v>5</v>
      </c>
      <c r="C4197" s="2">
        <f>IFERROR(__xludf.DUMMYFUNCTION("IFERROR(VLOOKUP(A4197, IMPORTRANGE(""https://docs.google.com/spreadsheets/d/1AVX9GT0dgogEBStecCXMMQ29tWz3gBrtNB8yIromXbY/edit?gid=741673867"", ""out1g!A:B""), 2, FALSE), 0)"),461.0)</f>
        <v>461</v>
      </c>
      <c r="D4197" s="2" t="str">
        <f>IFERROR(__xludf.DUMMYFUNCTION("IFERROR(VLOOKUP(A4197, IMPORTRANGE(""https://docs.google.com/spreadsheets/d/1-3Vjw2Cyy-mry5gbC8ypIR3YVGFfEpyFESummAta6sg/edit"", ""Sheet1!B:D""), 2, FALSE), ""Not Found"")"),"kɑrt")</f>
        <v>kɑrt</v>
      </c>
      <c r="E4197" s="2" t="str">
        <f>IFERROR(__xludf.DUMMYFUNCTION("IFERROR(VLOOKUP(A4197, IMPORTRANGE(""https://docs.google.com/spreadsheets/d/1-3Vjw2Cyy-mry5gbC8ypIR3YVGFfEpyFESummAta6sg/edit"", ""Sheet1!B:D""), 3, FALSE), ""Not Found"")"),"k ɑ r t ")</f>
        <v>k ɑ r t </v>
      </c>
    </row>
    <row r="4198">
      <c r="A4198" s="1" t="s">
        <v>4199</v>
      </c>
      <c r="B4198" s="1" t="s">
        <v>5</v>
      </c>
      <c r="C4198" s="2">
        <f>IFERROR(__xludf.DUMMYFUNCTION("IFERROR(VLOOKUP(A4198, IMPORTRANGE(""https://docs.google.com/spreadsheets/d/1AVX9GT0dgogEBStecCXMMQ29tWz3gBrtNB8yIromXbY/edit?gid=741673867"", ""out1g!A:B""), 2, FALSE), 0)"),147.0)</f>
        <v>147</v>
      </c>
      <c r="D4198" s="2" t="str">
        <f>IFERROR(__xludf.DUMMYFUNCTION("IFERROR(VLOOKUP(A4198, IMPORTRANGE(""https://docs.google.com/spreadsheets/d/1-3Vjw2Cyy-mry5gbC8ypIR3YVGFfEpyFESummAta6sg/edit"", ""Sheet1!B:D""), 2, FALSE), ""Not Found"")"),"ræmp")</f>
        <v>ræmp</v>
      </c>
      <c r="E4198" s="2" t="str">
        <f>IFERROR(__xludf.DUMMYFUNCTION("IFERROR(VLOOKUP(A4198, IMPORTRANGE(""https://docs.google.com/spreadsheets/d/1-3Vjw2Cyy-mry5gbC8ypIR3YVGFfEpyFESummAta6sg/edit"", ""Sheet1!B:D""), 3, FALSE), ""Not Found"")"),"r æ m p ")</f>
        <v>r æ m p </v>
      </c>
    </row>
    <row r="4199">
      <c r="A4199" s="1" t="s">
        <v>4200</v>
      </c>
      <c r="B4199" s="1" t="s">
        <v>5</v>
      </c>
      <c r="C4199" s="2">
        <f>IFERROR(__xludf.DUMMYFUNCTION("IFERROR(VLOOKUP(A4199, IMPORTRANGE(""https://docs.google.com/spreadsheets/d/1AVX9GT0dgogEBStecCXMMQ29tWz3gBrtNB8yIromXbY/edit?gid=741673867"", ""out1g!A:B""), 2, FALSE), 0)"),105.0)</f>
        <v>105</v>
      </c>
      <c r="D4199" s="2" t="str">
        <f>IFERROR(__xludf.DUMMYFUNCTION("IFERROR(VLOOKUP(A4199, IMPORTRANGE(""https://docs.google.com/spreadsheets/d/1-3Vjw2Cyy-mry5gbC8ypIR3YVGFfEpyFESummAta6sg/edit"", ""Sheet1!B:D""), 2, FALSE), ""Not Found"")"),"blemz")</f>
        <v>blemz</v>
      </c>
      <c r="E4199" s="2" t="str">
        <f>IFERROR(__xludf.DUMMYFUNCTION("IFERROR(VLOOKUP(A4199, IMPORTRANGE(""https://docs.google.com/spreadsheets/d/1-3Vjw2Cyy-mry5gbC8ypIR3YVGFfEpyFESummAta6sg/edit"", ""Sheet1!B:D""), 3, FALSE), ""Not Found"")"),"b l e m z ")</f>
        <v>b l e m z </v>
      </c>
    </row>
    <row r="4200">
      <c r="A4200" s="1" t="s">
        <v>4201</v>
      </c>
      <c r="B4200" s="1" t="s">
        <v>5</v>
      </c>
      <c r="C4200" s="2">
        <f>IFERROR(__xludf.DUMMYFUNCTION("IFERROR(VLOOKUP(A4200, IMPORTRANGE(""https://docs.google.com/spreadsheets/d/1AVX9GT0dgogEBStecCXMMQ29tWz3gBrtNB8yIromXbY/edit?gid=741673867"", ""out1g!A:B""), 2, FALSE), 0)"),1920.0)</f>
        <v>1920</v>
      </c>
      <c r="D4200" s="2" t="str">
        <f>IFERROR(__xludf.DUMMYFUNCTION("IFERROR(VLOOKUP(A4200, IMPORTRANGE(""https://docs.google.com/spreadsheets/d/1-3Vjw2Cyy-mry5gbC8ypIR3YVGFfEpyFESummAta6sg/edit"", ""Sheet1!B:D""), 2, FALSE), ""Not Found"")"),"toʊtəl")</f>
        <v>toʊtəl</v>
      </c>
      <c r="E4200" s="2" t="str">
        <f>IFERROR(__xludf.DUMMYFUNCTION("IFERROR(VLOOKUP(A4200, IMPORTRANGE(""https://docs.google.com/spreadsheets/d/1-3Vjw2Cyy-mry5gbC8ypIR3YVGFfEpyFESummAta6sg/edit"", ""Sheet1!B:D""), 3, FALSE), ""Not Found"")"),"t o ʊ t ə l ")</f>
        <v>t o ʊ t ə l </v>
      </c>
    </row>
    <row r="4201">
      <c r="A4201" s="1" t="s">
        <v>4202</v>
      </c>
      <c r="B4201" s="1" t="s">
        <v>5</v>
      </c>
      <c r="C4201" s="2">
        <f>IFERROR(__xludf.DUMMYFUNCTION("IFERROR(VLOOKUP(A4201, IMPORTRANGE(""https://docs.google.com/spreadsheets/d/1AVX9GT0dgogEBStecCXMMQ29tWz3gBrtNB8yIromXbY/edit?gid=741673867"", ""out1g!A:B""), 2, FALSE), 0)"),68.0)</f>
        <v>68</v>
      </c>
      <c r="D4201" s="2" t="str">
        <f>IFERROR(__xludf.DUMMYFUNCTION("IFERROR(VLOOKUP(A4201, IMPORTRANGE(""https://docs.google.com/spreadsheets/d/1-3Vjw2Cyy-mry5gbC8ypIR3YVGFfEpyFESummAta6sg/edit"", ""Sheet1!B:D""), 2, FALSE), ""Not Found"")"),"wɛlʧ")</f>
        <v>wɛlʧ</v>
      </c>
      <c r="E4201" s="2" t="str">
        <f>IFERROR(__xludf.DUMMYFUNCTION("IFERROR(VLOOKUP(A4201, IMPORTRANGE(""https://docs.google.com/spreadsheets/d/1-3Vjw2Cyy-mry5gbC8ypIR3YVGFfEpyFESummAta6sg/edit"", ""Sheet1!B:D""), 3, FALSE), ""Not Found"")"),"w ɛ l ʧ ")</f>
        <v>w ɛ l ʧ </v>
      </c>
    </row>
    <row r="4202">
      <c r="A4202" s="1" t="s">
        <v>4203</v>
      </c>
      <c r="B4202" s="1" t="s">
        <v>5</v>
      </c>
      <c r="C4202" s="2">
        <f>IFERROR(__xludf.DUMMYFUNCTION("IFERROR(VLOOKUP(A4202, IMPORTRANGE(""https://docs.google.com/spreadsheets/d/1AVX9GT0dgogEBStecCXMMQ29tWz3gBrtNB8yIromXbY/edit?gid=741673867"", ""out1g!A:B""), 2, FALSE), 0)"),10.0)</f>
        <v>10</v>
      </c>
      <c r="D4202" s="2" t="str">
        <f>IFERROR(__xludf.DUMMYFUNCTION("IFERROR(VLOOKUP(A4202, IMPORTRANGE(""https://docs.google.com/spreadsheets/d/1-3Vjw2Cyy-mry5gbC8ypIR3YVGFfEpyFESummAta6sg/edit"", ""Sheet1!B:D""), 2, FALSE), ""Not Found"")"),"lɑməz")</f>
        <v>lɑməz</v>
      </c>
      <c r="E4202" s="2" t="str">
        <f>IFERROR(__xludf.DUMMYFUNCTION("IFERROR(VLOOKUP(A4202, IMPORTRANGE(""https://docs.google.com/spreadsheets/d/1-3Vjw2Cyy-mry5gbC8ypIR3YVGFfEpyFESummAta6sg/edit"", ""Sheet1!B:D""), 3, FALSE), ""Not Found"")"),"l ɑ m ə z ")</f>
        <v>l ɑ m ə z </v>
      </c>
    </row>
    <row r="4203">
      <c r="A4203" s="1" t="s">
        <v>4204</v>
      </c>
      <c r="B4203" s="1" t="s">
        <v>5</v>
      </c>
      <c r="C4203" s="2">
        <f>IFERROR(__xludf.DUMMYFUNCTION("IFERROR(VLOOKUP(A4203, IMPORTRANGE(""https://docs.google.com/spreadsheets/d/1AVX9GT0dgogEBStecCXMMQ29tWz3gBrtNB8yIromXbY/edit?gid=741673867"", ""out1g!A:B""), 2, FALSE), 0)"),1906.0)</f>
        <v>1906</v>
      </c>
      <c r="D4203" s="2" t="str">
        <f>IFERROR(__xludf.DUMMYFUNCTION("IFERROR(VLOOKUP(A4203, IMPORTRANGE(""https://docs.google.com/spreadsheets/d/1-3Vjw2Cyy-mry5gbC8ypIR3YVGFfEpyFESummAta6sg/edit"", ""Sheet1!B:D""), 2, FALSE), ""Not Found"")"),"kraʊd")</f>
        <v>kraʊd</v>
      </c>
      <c r="E4203" s="2" t="str">
        <f>IFERROR(__xludf.DUMMYFUNCTION("IFERROR(VLOOKUP(A4203, IMPORTRANGE(""https://docs.google.com/spreadsheets/d/1-3Vjw2Cyy-mry5gbC8ypIR3YVGFfEpyFESummAta6sg/edit"", ""Sheet1!B:D""), 3, FALSE), ""Not Found"")"),"k r a ʊ d ")</f>
        <v>k r a ʊ d </v>
      </c>
    </row>
    <row r="4204">
      <c r="A4204" s="1" t="s">
        <v>4205</v>
      </c>
      <c r="B4204" s="1" t="s">
        <v>5</v>
      </c>
      <c r="C4204" s="2">
        <f>IFERROR(__xludf.DUMMYFUNCTION("IFERROR(VLOOKUP(A4204, IMPORTRANGE(""https://docs.google.com/spreadsheets/d/1AVX9GT0dgogEBStecCXMMQ29tWz3gBrtNB8yIromXbY/edit?gid=741673867"", ""out1g!A:B""), 2, FALSE), 0)"),280.0)</f>
        <v>280</v>
      </c>
      <c r="D4204" s="2" t="str">
        <f>IFERROR(__xludf.DUMMYFUNCTION("IFERROR(VLOOKUP(A4204, IMPORTRANGE(""https://docs.google.com/spreadsheets/d/1-3Vjw2Cyy-mry5gbC8ypIR3YVGFfEpyFESummAta6sg/edit"", ""Sheet1!B:D""), 2, FALSE), ""Not Found"")"),"ənlɑk")</f>
        <v>ənlɑk</v>
      </c>
      <c r="E4204" s="2" t="str">
        <f>IFERROR(__xludf.DUMMYFUNCTION("IFERROR(VLOOKUP(A4204, IMPORTRANGE(""https://docs.google.com/spreadsheets/d/1-3Vjw2Cyy-mry5gbC8ypIR3YVGFfEpyFESummAta6sg/edit"", ""Sheet1!B:D""), 3, FALSE), ""Not Found"")"),"ə n l ɑ k ")</f>
        <v>ə n l ɑ k </v>
      </c>
    </row>
    <row r="4205">
      <c r="A4205" s="1" t="s">
        <v>4206</v>
      </c>
      <c r="B4205" s="1" t="s">
        <v>5</v>
      </c>
      <c r="C4205" s="2">
        <f>IFERROR(__xludf.DUMMYFUNCTION("IFERROR(VLOOKUP(A4205, IMPORTRANGE(""https://docs.google.com/spreadsheets/d/1AVX9GT0dgogEBStecCXMMQ29tWz3gBrtNB8yIromXbY/edit?gid=741673867"", ""out1g!A:B""), 2, FALSE), 0)"),375.0)</f>
        <v>375</v>
      </c>
      <c r="D4205" s="2" t="str">
        <f>IFERROR(__xludf.DUMMYFUNCTION("IFERROR(VLOOKUP(A4205, IMPORTRANGE(""https://docs.google.com/spreadsheets/d/1-3Vjw2Cyy-mry5gbC8ypIR3YVGFfEpyFESummAta6sg/edit"", ""Sheet1!B:D""), 2, FALSE), ""Not Found"")"),"taɪd")</f>
        <v>taɪd</v>
      </c>
      <c r="E4205" s="2" t="str">
        <f>IFERROR(__xludf.DUMMYFUNCTION("IFERROR(VLOOKUP(A4205, IMPORTRANGE(""https://docs.google.com/spreadsheets/d/1-3Vjw2Cyy-mry5gbC8ypIR3YVGFfEpyFESummAta6sg/edit"", ""Sheet1!B:D""), 3, FALSE), ""Not Found"")"),"t a ɪ d ")</f>
        <v>t a ɪ d </v>
      </c>
    </row>
    <row r="4206">
      <c r="A4206" s="1" t="s">
        <v>4207</v>
      </c>
      <c r="B4206" s="1" t="s">
        <v>5</v>
      </c>
      <c r="C4206" s="2">
        <f>IFERROR(__xludf.DUMMYFUNCTION("IFERROR(VLOOKUP(A4206, IMPORTRANGE(""https://docs.google.com/spreadsheets/d/1AVX9GT0dgogEBStecCXMMQ29tWz3gBrtNB8yIromXbY/edit?gid=741673867"", ""out1g!A:B""), 2, FALSE), 0)"),831.0)</f>
        <v>831</v>
      </c>
      <c r="D4206" s="2" t="str">
        <f>IFERROR(__xludf.DUMMYFUNCTION("IFERROR(VLOOKUP(A4206, IMPORTRANGE(""https://docs.google.com/spreadsheets/d/1-3Vjw2Cyy-mry5gbC8ypIR3YVGFfEpyFESummAta6sg/edit"", ""Sheet1!B:D""), 2, FALSE), ""Not Found"")"),"dilər")</f>
        <v>dilər</v>
      </c>
      <c r="E4206" s="2" t="str">
        <f>IFERROR(__xludf.DUMMYFUNCTION("IFERROR(VLOOKUP(A4206, IMPORTRANGE(""https://docs.google.com/spreadsheets/d/1-3Vjw2Cyy-mry5gbC8ypIR3YVGFfEpyFESummAta6sg/edit"", ""Sheet1!B:D""), 3, FALSE), ""Not Found"")"),"d i l ə r ")</f>
        <v>d i l ə r </v>
      </c>
    </row>
    <row r="4207">
      <c r="A4207" s="1" t="s">
        <v>4208</v>
      </c>
      <c r="B4207" s="1" t="s">
        <v>5</v>
      </c>
      <c r="C4207" s="2">
        <f>IFERROR(__xludf.DUMMYFUNCTION("IFERROR(VLOOKUP(A4207, IMPORTRANGE(""https://docs.google.com/spreadsheets/d/1AVX9GT0dgogEBStecCXMMQ29tWz3gBrtNB8yIromXbY/edit?gid=741673867"", ""out1g!A:B""), 2, FALSE), 0)"),672.0)</f>
        <v>672</v>
      </c>
      <c r="D4207" s="2" t="str">
        <f>IFERROR(__xludf.DUMMYFUNCTION("IFERROR(VLOOKUP(A4207, IMPORTRANGE(""https://docs.google.com/spreadsheets/d/1-3Vjw2Cyy-mry5gbC8ypIR3YVGFfEpyFESummAta6sg/edit"", ""Sheet1!B:D""), 2, FALSE), ""Not Found"")"),"paɪl")</f>
        <v>paɪl</v>
      </c>
      <c r="E4207" s="2" t="str">
        <f>IFERROR(__xludf.DUMMYFUNCTION("IFERROR(VLOOKUP(A4207, IMPORTRANGE(""https://docs.google.com/spreadsheets/d/1-3Vjw2Cyy-mry5gbC8ypIR3YVGFfEpyFESummAta6sg/edit"", ""Sheet1!B:D""), 3, FALSE), ""Not Found"")"),"p a ɪ l ")</f>
        <v>p a ɪ l </v>
      </c>
    </row>
    <row r="4208">
      <c r="A4208" s="1" t="s">
        <v>4209</v>
      </c>
      <c r="B4208" s="1" t="s">
        <v>5</v>
      </c>
      <c r="C4208" s="2">
        <f>IFERROR(__xludf.DUMMYFUNCTION("IFERROR(VLOOKUP(A4208, IMPORTRANGE(""https://docs.google.com/spreadsheets/d/1AVX9GT0dgogEBStecCXMMQ29tWz3gBrtNB8yIromXbY/edit?gid=741673867"", ""out1g!A:B""), 2, FALSE), 0)"),68.0)</f>
        <v>68</v>
      </c>
      <c r="D4208" s="2" t="str">
        <f>IFERROR(__xludf.DUMMYFUNCTION("IFERROR(VLOOKUP(A4208, IMPORTRANGE(""https://docs.google.com/spreadsheets/d/1-3Vjw2Cyy-mry5gbC8ypIR3YVGFfEpyFESummAta6sg/edit"", ""Sheet1!B:D""), 2, FALSE), ""Not Found"")"),"swɔrm")</f>
        <v>swɔrm</v>
      </c>
      <c r="E4208" s="2" t="str">
        <f>IFERROR(__xludf.DUMMYFUNCTION("IFERROR(VLOOKUP(A4208, IMPORTRANGE(""https://docs.google.com/spreadsheets/d/1-3Vjw2Cyy-mry5gbC8ypIR3YVGFfEpyFESummAta6sg/edit"", ""Sheet1!B:D""), 3, FALSE), ""Not Found"")"),"s w ɔ r m ")</f>
        <v>s w ɔ r m </v>
      </c>
    </row>
    <row r="4209">
      <c r="A4209" s="1" t="s">
        <v>4210</v>
      </c>
      <c r="B4209" s="1" t="s">
        <v>5</v>
      </c>
      <c r="C4209" s="2">
        <f>IFERROR(__xludf.DUMMYFUNCTION("IFERROR(VLOOKUP(A4209, IMPORTRANGE(""https://docs.google.com/spreadsheets/d/1AVX9GT0dgogEBStecCXMMQ29tWz3gBrtNB8yIromXbY/edit?gid=741673867"", ""out1g!A:B""), 2, FALSE), 0)"),1358.0)</f>
        <v>1358</v>
      </c>
      <c r="D4209" s="2" t="str">
        <f>IFERROR(__xludf.DUMMYFUNCTION("IFERROR(VLOOKUP(A4209, IMPORTRANGE(""https://docs.google.com/spreadsheets/d/1-3Vjw2Cyy-mry5gbC8ypIR3YVGFfEpyFESummAta6sg/edit"", ""Sheet1!B:D""), 2, FALSE), ""Not Found"")"),"əbɔrd")</f>
        <v>əbɔrd</v>
      </c>
      <c r="E4209" s="2" t="str">
        <f>IFERROR(__xludf.DUMMYFUNCTION("IFERROR(VLOOKUP(A4209, IMPORTRANGE(""https://docs.google.com/spreadsheets/d/1-3Vjw2Cyy-mry5gbC8ypIR3YVGFfEpyFESummAta6sg/edit"", ""Sheet1!B:D""), 3, FALSE), ""Not Found"")"),"ə b ɔ r d ")</f>
        <v>ə b ɔ r d </v>
      </c>
    </row>
    <row r="4210">
      <c r="A4210" s="1" t="s">
        <v>4211</v>
      </c>
      <c r="B4210" s="1" t="s">
        <v>5</v>
      </c>
      <c r="C4210" s="2">
        <f>IFERROR(__xludf.DUMMYFUNCTION("IFERROR(VLOOKUP(A4210, IMPORTRANGE(""https://docs.google.com/spreadsheets/d/1AVX9GT0dgogEBStecCXMMQ29tWz3gBrtNB8yIromXbY/edit?gid=741673867"", ""out1g!A:B""), 2, FALSE), 0)"),192.0)</f>
        <v>192</v>
      </c>
      <c r="D4210" s="2" t="str">
        <f>IFERROR(__xludf.DUMMYFUNCTION("IFERROR(VLOOKUP(A4210, IMPORTRANGE(""https://docs.google.com/spreadsheets/d/1-3Vjw2Cyy-mry5gbC8ypIR3YVGFfEpyFESummAta6sg/edit"", ""Sheet1!B:D""), 2, FALSE), ""Not Found"")"),"əwetɪŋ")</f>
        <v>əwetɪŋ</v>
      </c>
      <c r="E4210" s="2" t="str">
        <f>IFERROR(__xludf.DUMMYFUNCTION("IFERROR(VLOOKUP(A4210, IMPORTRANGE(""https://docs.google.com/spreadsheets/d/1-3Vjw2Cyy-mry5gbC8ypIR3YVGFfEpyFESummAta6sg/edit"", ""Sheet1!B:D""), 3, FALSE), ""Not Found"")"),"ə w e t ɪ ŋ ")</f>
        <v>ə w e t ɪ ŋ </v>
      </c>
    </row>
    <row r="4211">
      <c r="A4211" s="1" t="s">
        <v>4212</v>
      </c>
      <c r="B4211" s="1" t="s">
        <v>5</v>
      </c>
      <c r="C4211" s="2">
        <f>IFERROR(__xludf.DUMMYFUNCTION("IFERROR(VLOOKUP(A4211, IMPORTRANGE(""https://docs.google.com/spreadsheets/d/1AVX9GT0dgogEBStecCXMMQ29tWz3gBrtNB8yIromXbY/edit?gid=741673867"", ""out1g!A:B""), 2, FALSE), 0)"),2162.0)</f>
        <v>2162</v>
      </c>
      <c r="D4211" s="2" t="str">
        <f>IFERROR(__xludf.DUMMYFUNCTION("IFERROR(VLOOKUP(A4211, IMPORTRANGE(""https://docs.google.com/spreadsheets/d/1-3Vjw2Cyy-mry5gbC8ypIR3YVGFfEpyFESummAta6sg/edit"", ""Sheet1!B:D""), 2, FALSE), ""Not Found"")"),"fid")</f>
        <v>fid</v>
      </c>
      <c r="E4211" s="2" t="str">
        <f>IFERROR(__xludf.DUMMYFUNCTION("IFERROR(VLOOKUP(A4211, IMPORTRANGE(""https://docs.google.com/spreadsheets/d/1-3Vjw2Cyy-mry5gbC8ypIR3YVGFfEpyFESummAta6sg/edit"", ""Sheet1!B:D""), 3, FALSE), ""Not Found"")"),"f i d ")</f>
        <v>f i d </v>
      </c>
    </row>
    <row r="4212">
      <c r="A4212" s="1" t="s">
        <v>4213</v>
      </c>
      <c r="B4212" s="1" t="s">
        <v>5</v>
      </c>
      <c r="C4212" s="2">
        <f>IFERROR(__xludf.DUMMYFUNCTION("IFERROR(VLOOKUP(A4212, IMPORTRANGE(""https://docs.google.com/spreadsheets/d/1AVX9GT0dgogEBStecCXMMQ29tWz3gBrtNB8yIromXbY/edit?gid=741673867"", ""out1g!A:B""), 2, FALSE), 0)"),54.0)</f>
        <v>54</v>
      </c>
      <c r="D4212" s="2" t="str">
        <f>IFERROR(__xludf.DUMMYFUNCTION("IFERROR(VLOOKUP(A4212, IMPORTRANGE(""https://docs.google.com/spreadsheets/d/1-3Vjw2Cyy-mry5gbC8ypIR3YVGFfEpyFESummAta6sg/edit"", ""Sheet1!B:D""), 2, FALSE), ""Not Found"")"),"kwɔrts")</f>
        <v>kwɔrts</v>
      </c>
      <c r="E4212" s="2" t="str">
        <f>IFERROR(__xludf.DUMMYFUNCTION("IFERROR(VLOOKUP(A4212, IMPORTRANGE(""https://docs.google.com/spreadsheets/d/1-3Vjw2Cyy-mry5gbC8ypIR3YVGFfEpyFESummAta6sg/edit"", ""Sheet1!B:D""), 3, FALSE), ""Not Found"")"),"k w ɔ r t s ")</f>
        <v>k w ɔ r t s </v>
      </c>
    </row>
    <row r="4213">
      <c r="A4213" s="1" t="s">
        <v>4214</v>
      </c>
      <c r="B4213" s="1" t="s">
        <v>5</v>
      </c>
      <c r="C4213" s="2">
        <f>IFERROR(__xludf.DUMMYFUNCTION("IFERROR(VLOOKUP(A4213, IMPORTRANGE(""https://docs.google.com/spreadsheets/d/1AVX9GT0dgogEBStecCXMMQ29tWz3gBrtNB8yIromXbY/edit?gid=741673867"", ""out1g!A:B""), 2, FALSE), 0)"),708.0)</f>
        <v>708</v>
      </c>
      <c r="D4213" s="2" t="str">
        <f>IFERROR(__xludf.DUMMYFUNCTION("IFERROR(VLOOKUP(A4213, IMPORTRANGE(""https://docs.google.com/spreadsheets/d/1-3Vjw2Cyy-mry5gbC8ypIR3YVGFfEpyFESummAta6sg/edit"", ""Sheet1!B:D""), 2, FALSE), ""Not Found"")"),"paʊnd")</f>
        <v>paʊnd</v>
      </c>
      <c r="E4213" s="2" t="str">
        <f>IFERROR(__xludf.DUMMYFUNCTION("IFERROR(VLOOKUP(A4213, IMPORTRANGE(""https://docs.google.com/spreadsheets/d/1-3Vjw2Cyy-mry5gbC8ypIR3YVGFfEpyFESummAta6sg/edit"", ""Sheet1!B:D""), 3, FALSE), ""Not Found"")"),"p a ʊ n d ")</f>
        <v>p a ʊ n d </v>
      </c>
    </row>
    <row r="4214">
      <c r="A4214" s="1" t="s">
        <v>4215</v>
      </c>
      <c r="B4214" s="1" t="s">
        <v>5</v>
      </c>
      <c r="C4214" s="2">
        <f>IFERROR(__xludf.DUMMYFUNCTION("IFERROR(VLOOKUP(A4214, IMPORTRANGE(""https://docs.google.com/spreadsheets/d/1AVX9GT0dgogEBStecCXMMQ29tWz3gBrtNB8yIromXbY/edit?gid=741673867"", ""out1g!A:B""), 2, FALSE), 0)"),968.0)</f>
        <v>968</v>
      </c>
      <c r="D4214" s="2" t="str">
        <f>IFERROR(__xludf.DUMMYFUNCTION("IFERROR(VLOOKUP(A4214, IMPORTRANGE(""https://docs.google.com/spreadsheets/d/1-3Vjw2Cyy-mry5gbC8ypIR3YVGFfEpyFESummAta6sg/edit"", ""Sheet1!B:D""), 2, FALSE), ""Not Found"")"),"roʊm")</f>
        <v>roʊm</v>
      </c>
      <c r="E4214" s="2" t="str">
        <f>IFERROR(__xludf.DUMMYFUNCTION("IFERROR(VLOOKUP(A4214, IMPORTRANGE(""https://docs.google.com/spreadsheets/d/1-3Vjw2Cyy-mry5gbC8ypIR3YVGFfEpyFESummAta6sg/edit"", ""Sheet1!B:D""), 3, FALSE), ""Not Found"")"),"r o ʊ m ")</f>
        <v>r o ʊ m </v>
      </c>
    </row>
    <row r="4215">
      <c r="A4215" s="1" t="s">
        <v>4216</v>
      </c>
      <c r="B4215" s="1" t="s">
        <v>5</v>
      </c>
      <c r="C4215" s="2">
        <f>IFERROR(__xludf.DUMMYFUNCTION("IFERROR(VLOOKUP(A4215, IMPORTRANGE(""https://docs.google.com/spreadsheets/d/1AVX9GT0dgogEBStecCXMMQ29tWz3gBrtNB8yIromXbY/edit?gid=741673867"", ""out1g!A:B""), 2, FALSE), 0)"),21.0)</f>
        <v>21</v>
      </c>
      <c r="D4215" s="2" t="str">
        <f>IFERROR(__xludf.DUMMYFUNCTION("IFERROR(VLOOKUP(A4215, IMPORTRANGE(""https://docs.google.com/spreadsheets/d/1-3Vjw2Cyy-mry5gbC8ypIR3YVGFfEpyFESummAta6sg/edit"", ""Sheet1!B:D""), 2, FALSE), ""Not Found"")"),"daɪk")</f>
        <v>daɪk</v>
      </c>
      <c r="E4215" s="2" t="str">
        <f>IFERROR(__xludf.DUMMYFUNCTION("IFERROR(VLOOKUP(A4215, IMPORTRANGE(""https://docs.google.com/spreadsheets/d/1-3Vjw2Cyy-mry5gbC8ypIR3YVGFfEpyFESummAta6sg/edit"", ""Sheet1!B:D""), 3, FALSE), ""Not Found"")"),"d a ɪ k ")</f>
        <v>d a ɪ k </v>
      </c>
    </row>
    <row r="4216">
      <c r="A4216" s="1" t="s">
        <v>4217</v>
      </c>
      <c r="B4216" s="1" t="s">
        <v>5</v>
      </c>
      <c r="C4216" s="2">
        <f>IFERROR(__xludf.DUMMYFUNCTION("IFERROR(VLOOKUP(A4216, IMPORTRANGE(""https://docs.google.com/spreadsheets/d/1AVX9GT0dgogEBStecCXMMQ29tWz3gBrtNB8yIromXbY/edit?gid=741673867"", ""out1g!A:B""), 2, FALSE), 0)"),244.0)</f>
        <v>244</v>
      </c>
      <c r="D4216" s="2" t="str">
        <f>IFERROR(__xludf.DUMMYFUNCTION("IFERROR(VLOOKUP(A4216, IMPORTRANGE(""https://docs.google.com/spreadsheets/d/1-3Vjw2Cyy-mry5gbC8ypIR3YVGFfEpyFESummAta6sg/edit"", ""Sheet1!B:D""), 2, FALSE), ""Not Found"")"),"fɪrs")</f>
        <v>fɪrs</v>
      </c>
      <c r="E4216" s="2" t="str">
        <f>IFERROR(__xludf.DUMMYFUNCTION("IFERROR(VLOOKUP(A4216, IMPORTRANGE(""https://docs.google.com/spreadsheets/d/1-3Vjw2Cyy-mry5gbC8ypIR3YVGFfEpyFESummAta6sg/edit"", ""Sheet1!B:D""), 3, FALSE), ""Not Found"")"),"f ɪ r s ")</f>
        <v>f ɪ r s </v>
      </c>
    </row>
    <row r="4217">
      <c r="A4217" s="1" t="s">
        <v>4218</v>
      </c>
      <c r="B4217" s="1" t="s">
        <v>5</v>
      </c>
      <c r="C4217" s="2">
        <f>IFERROR(__xludf.DUMMYFUNCTION("IFERROR(VLOOKUP(A4217, IMPORTRANGE(""https://docs.google.com/spreadsheets/d/1AVX9GT0dgogEBStecCXMMQ29tWz3gBrtNB8yIromXbY/edit?gid=741673867"", ""out1g!A:B""), 2, FALSE), 0)"),654.0)</f>
        <v>654</v>
      </c>
      <c r="D4217" s="2" t="str">
        <f>IFERROR(__xludf.DUMMYFUNCTION("IFERROR(VLOOKUP(A4217, IMPORTRANGE(""https://docs.google.com/spreadsheets/d/1-3Vjw2Cyy-mry5gbC8ypIR3YVGFfEpyFESummAta6sg/edit"", ""Sheet1!B:D""), 2, FALSE), ""Not Found"")"),"daɪv")</f>
        <v>daɪv</v>
      </c>
      <c r="E4217" s="2" t="str">
        <f>IFERROR(__xludf.DUMMYFUNCTION("IFERROR(VLOOKUP(A4217, IMPORTRANGE(""https://docs.google.com/spreadsheets/d/1-3Vjw2Cyy-mry5gbC8ypIR3YVGFfEpyFESummAta6sg/edit"", ""Sheet1!B:D""), 3, FALSE), ""Not Found"")"),"d a ɪ v ")</f>
        <v>d a ɪ v </v>
      </c>
    </row>
    <row r="4218">
      <c r="A4218" s="1" t="s">
        <v>4219</v>
      </c>
      <c r="B4218" s="1" t="s">
        <v>5</v>
      </c>
      <c r="C4218" s="2">
        <f>IFERROR(__xludf.DUMMYFUNCTION("IFERROR(VLOOKUP(A4218, IMPORTRANGE(""https://docs.google.com/spreadsheets/d/1AVX9GT0dgogEBStecCXMMQ29tWz3gBrtNB8yIromXbY/edit?gid=741673867"", ""out1g!A:B""), 2, FALSE), 0)"),96.0)</f>
        <v>96</v>
      </c>
      <c r="D4218" s="2" t="str">
        <f>IFERROR(__xludf.DUMMYFUNCTION("IFERROR(VLOOKUP(A4218, IMPORTRANGE(""https://docs.google.com/spreadsheets/d/1-3Vjw2Cyy-mry5gbC8ypIR3YVGFfEpyFESummAta6sg/edit"", ""Sheet1!B:D""), 2, FALSE), ""Not Found"")"),"dɪnaɪz")</f>
        <v>dɪnaɪz</v>
      </c>
      <c r="E4218" s="2" t="str">
        <f>IFERROR(__xludf.DUMMYFUNCTION("IFERROR(VLOOKUP(A4218, IMPORTRANGE(""https://docs.google.com/spreadsheets/d/1-3Vjw2Cyy-mry5gbC8ypIR3YVGFfEpyFESummAta6sg/edit"", ""Sheet1!B:D""), 3, FALSE), ""Not Found"")"),"d ɪ n a ɪ z ")</f>
        <v>d ɪ n a ɪ z </v>
      </c>
    </row>
    <row r="4219">
      <c r="A4219" s="1" t="s">
        <v>4220</v>
      </c>
      <c r="B4219" s="1" t="s">
        <v>5</v>
      </c>
      <c r="C4219" s="2">
        <f>IFERROR(__xludf.DUMMYFUNCTION("IFERROR(VLOOKUP(A4219, IMPORTRANGE(""https://docs.google.com/spreadsheets/d/1AVX9GT0dgogEBStecCXMMQ29tWz3gBrtNB8yIromXbY/edit?gid=741673867"", ""out1g!A:B""), 2, FALSE), 0)"),8801.0)</f>
        <v>8801</v>
      </c>
      <c r="D4219" s="2" t="str">
        <f>IFERROR(__xludf.DUMMYFUNCTION("IFERROR(VLOOKUP(A4219, IMPORTRANGE(""https://docs.google.com/spreadsheets/d/1-3Vjw2Cyy-mry5gbC8ypIR3YVGFfEpyFESummAta6sg/edit"", ""Sheet1!B:D""), 2, FALSE), ""Not Found"")"),"fækt")</f>
        <v>fækt</v>
      </c>
      <c r="E4219" s="2" t="str">
        <f>IFERROR(__xludf.DUMMYFUNCTION("IFERROR(VLOOKUP(A4219, IMPORTRANGE(""https://docs.google.com/spreadsheets/d/1-3Vjw2Cyy-mry5gbC8ypIR3YVGFfEpyFESummAta6sg/edit"", ""Sheet1!B:D""), 3, FALSE), ""Not Found"")"),"f æ k t ")</f>
        <v>f æ k t </v>
      </c>
    </row>
    <row r="4220">
      <c r="A4220" s="1" t="s">
        <v>4221</v>
      </c>
      <c r="B4220" s="1" t="s">
        <v>5</v>
      </c>
      <c r="C4220" s="2">
        <f>IFERROR(__xludf.DUMMYFUNCTION("IFERROR(VLOOKUP(A4220, IMPORTRANGE(""https://docs.google.com/spreadsheets/d/1AVX9GT0dgogEBStecCXMMQ29tWz3gBrtNB8yIromXbY/edit?gid=741673867"", ""out1g!A:B""), 2, FALSE), 0)"),298.0)</f>
        <v>298</v>
      </c>
      <c r="D4220" s="2" t="str">
        <f>IFERROR(__xludf.DUMMYFUNCTION("IFERROR(VLOOKUP(A4220, IMPORTRANGE(""https://docs.google.com/spreadsheets/d/1-3Vjw2Cyy-mry5gbC8ypIR3YVGFfEpyFESummAta6sg/edit"", ""Sheet1!B:D""), 2, FALSE), ""Not Found"")"),"spɛnz")</f>
        <v>spɛnz</v>
      </c>
      <c r="E4220" s="2" t="str">
        <f>IFERROR(__xludf.DUMMYFUNCTION("IFERROR(VLOOKUP(A4220, IMPORTRANGE(""https://docs.google.com/spreadsheets/d/1-3Vjw2Cyy-mry5gbC8ypIR3YVGFfEpyFESummAta6sg/edit"", ""Sheet1!B:D""), 3, FALSE), ""Not Found"")"),"s p ɛ n z ")</f>
        <v>s p ɛ n z </v>
      </c>
    </row>
    <row r="4221">
      <c r="A4221" s="1" t="s">
        <v>4222</v>
      </c>
      <c r="B4221" s="1" t="s">
        <v>5</v>
      </c>
      <c r="C4221" s="2">
        <f>IFERROR(__xludf.DUMMYFUNCTION("IFERROR(VLOOKUP(A4221, IMPORTRANGE(""https://docs.google.com/spreadsheets/d/1AVX9GT0dgogEBStecCXMMQ29tWz3gBrtNB8yIromXbY/edit?gid=741673867"", ""out1g!A:B""), 2, FALSE), 0)"),13.0)</f>
        <v>13</v>
      </c>
      <c r="D4221" s="2" t="str">
        <f>IFERROR(__xludf.DUMMYFUNCTION("IFERROR(VLOOKUP(A4221, IMPORTRANGE(""https://docs.google.com/spreadsheets/d/1-3Vjw2Cyy-mry5gbC8ypIR3YVGFfEpyFESummAta6sg/edit"", ""Sheet1!B:D""), 2, FALSE), ""Not Found"")"),"hɪst")</f>
        <v>hɪst</v>
      </c>
      <c r="E4221" s="2" t="str">
        <f>IFERROR(__xludf.DUMMYFUNCTION("IFERROR(VLOOKUP(A4221, IMPORTRANGE(""https://docs.google.com/spreadsheets/d/1-3Vjw2Cyy-mry5gbC8ypIR3YVGFfEpyFESummAta6sg/edit"", ""Sheet1!B:D""), 3, FALSE), ""Not Found"")"),"h ɪ s t ")</f>
        <v>h ɪ s t </v>
      </c>
    </row>
    <row r="4222">
      <c r="A4222" s="1" t="s">
        <v>4223</v>
      </c>
      <c r="B4222" s="1" t="s">
        <v>5</v>
      </c>
      <c r="C4222" s="2">
        <f>IFERROR(__xludf.DUMMYFUNCTION("IFERROR(VLOOKUP(A4222, IMPORTRANGE(""https://docs.google.com/spreadsheets/d/1AVX9GT0dgogEBStecCXMMQ29tWz3gBrtNB8yIromXbY/edit?gid=741673867"", ""out1g!A:B""), 2, FALSE), 0)"),202.0)</f>
        <v>202</v>
      </c>
      <c r="D4222" s="2" t="str">
        <f>IFERROR(__xludf.DUMMYFUNCTION("IFERROR(VLOOKUP(A4222, IMPORTRANGE(""https://docs.google.com/spreadsheets/d/1-3Vjw2Cyy-mry5gbC8ypIR3YVGFfEpyFESummAta6sg/edit"", ""Sheet1!B:D""), 2, FALSE), ""Not Found"")"),"nænə")</f>
        <v>nænə</v>
      </c>
      <c r="E4222" s="2" t="str">
        <f>IFERROR(__xludf.DUMMYFUNCTION("IFERROR(VLOOKUP(A4222, IMPORTRANGE(""https://docs.google.com/spreadsheets/d/1-3Vjw2Cyy-mry5gbC8ypIR3YVGFfEpyFESummAta6sg/edit"", ""Sheet1!B:D""), 3, FALSE), ""Not Found"")"),"n æ n ə ")</f>
        <v>n æ n ə </v>
      </c>
    </row>
    <row r="4223">
      <c r="A4223" s="1" t="s">
        <v>4224</v>
      </c>
      <c r="B4223" s="1" t="s">
        <v>5</v>
      </c>
      <c r="C4223" s="2">
        <f>IFERROR(__xludf.DUMMYFUNCTION("IFERROR(VLOOKUP(A4223, IMPORTRANGE(""https://docs.google.com/spreadsheets/d/1AVX9GT0dgogEBStecCXMMQ29tWz3gBrtNB8yIromXbY/edit?gid=741673867"", ""out1g!A:B""), 2, FALSE), 0)"),133.0)</f>
        <v>133</v>
      </c>
      <c r="D4223" s="2" t="str">
        <f>IFERROR(__xludf.DUMMYFUNCTION("IFERROR(VLOOKUP(A4223, IMPORTRANGE(""https://docs.google.com/spreadsheets/d/1-3Vjw2Cyy-mry5gbC8ypIR3YVGFfEpyFESummAta6sg/edit"", ""Sheet1!B:D""), 2, FALSE), ""Not Found"")"),"spɛroʊ")</f>
        <v>spɛroʊ</v>
      </c>
      <c r="E4223" s="2" t="str">
        <f>IFERROR(__xludf.DUMMYFUNCTION("IFERROR(VLOOKUP(A4223, IMPORTRANGE(""https://docs.google.com/spreadsheets/d/1-3Vjw2Cyy-mry5gbC8ypIR3YVGFfEpyFESummAta6sg/edit"", ""Sheet1!B:D""), 3, FALSE), ""Not Found"")"),"s p ɛ r o ʊ ")</f>
        <v>s p ɛ r o ʊ </v>
      </c>
    </row>
    <row r="4224">
      <c r="A4224" s="1" t="s">
        <v>4225</v>
      </c>
      <c r="B4224" s="1" t="s">
        <v>5</v>
      </c>
      <c r="C4224" s="2">
        <f>IFERROR(__xludf.DUMMYFUNCTION("IFERROR(VLOOKUP(A4224, IMPORTRANGE(""https://docs.google.com/spreadsheets/d/1AVX9GT0dgogEBStecCXMMQ29tWz3gBrtNB8yIromXbY/edit?gid=741673867"", ""out1g!A:B""), 2, FALSE), 0)"),164.0)</f>
        <v>164</v>
      </c>
      <c r="D4224" s="2" t="str">
        <f>IFERROR(__xludf.DUMMYFUNCTION("IFERROR(VLOOKUP(A4224, IMPORTRANGE(""https://docs.google.com/spreadsheets/d/1-3Vjw2Cyy-mry5gbC8ypIR3YVGFfEpyFESummAta6sg/edit"", ""Sheet1!B:D""), 2, FALSE), ""Not Found"")"),"selz")</f>
        <v>selz</v>
      </c>
      <c r="E4224" s="2" t="str">
        <f>IFERROR(__xludf.DUMMYFUNCTION("IFERROR(VLOOKUP(A4224, IMPORTRANGE(""https://docs.google.com/spreadsheets/d/1-3Vjw2Cyy-mry5gbC8ypIR3YVGFfEpyFESummAta6sg/edit"", ""Sheet1!B:D""), 3, FALSE), ""Not Found"")"),"s e l z ")</f>
        <v>s e l z </v>
      </c>
    </row>
    <row r="4225">
      <c r="A4225" s="1" t="s">
        <v>4226</v>
      </c>
      <c r="B4225" s="1" t="s">
        <v>5</v>
      </c>
      <c r="C4225" s="2">
        <f>IFERROR(__xludf.DUMMYFUNCTION("IFERROR(VLOOKUP(A4225, IMPORTRANGE(""https://docs.google.com/spreadsheets/d/1AVX9GT0dgogEBStecCXMMQ29tWz3gBrtNB8yIromXbY/edit?gid=741673867"", ""out1g!A:B""), 2, FALSE), 0)"),201.0)</f>
        <v>201</v>
      </c>
      <c r="D4225" s="2" t="str">
        <f>IFERROR(__xludf.DUMMYFUNCTION("IFERROR(VLOOKUP(A4225, IMPORTRANGE(""https://docs.google.com/spreadsheets/d/1-3Vjw2Cyy-mry5gbC8ypIR3YVGFfEpyFESummAta6sg/edit"", ""Sheet1!B:D""), 2, FALSE), ""Not Found"")"),"blɛd")</f>
        <v>blɛd</v>
      </c>
      <c r="E4225" s="2" t="str">
        <f>IFERROR(__xludf.DUMMYFUNCTION("IFERROR(VLOOKUP(A4225, IMPORTRANGE(""https://docs.google.com/spreadsheets/d/1-3Vjw2Cyy-mry5gbC8ypIR3YVGFfEpyFESummAta6sg/edit"", ""Sheet1!B:D""), 3, FALSE), ""Not Found"")"),"b l ɛ d ")</f>
        <v>b l ɛ d </v>
      </c>
    </row>
    <row r="4226">
      <c r="A4226" s="1" t="s">
        <v>4227</v>
      </c>
      <c r="B4226" s="1" t="s">
        <v>5</v>
      </c>
      <c r="C4226" s="2">
        <f>IFERROR(__xludf.DUMMYFUNCTION("IFERROR(VLOOKUP(A4226, IMPORTRANGE(""https://docs.google.com/spreadsheets/d/1AVX9GT0dgogEBStecCXMMQ29tWz3gBrtNB8yIromXbY/edit?gid=741673867"", ""out1g!A:B""), 2, FALSE), 0)"),3399.0)</f>
        <v>3399</v>
      </c>
      <c r="D4226" s="2" t="str">
        <f>IFERROR(__xludf.DUMMYFUNCTION("IFERROR(VLOOKUP(A4226, IMPORTRANGE(""https://docs.google.com/spreadsheets/d/1-3Vjw2Cyy-mry5gbC8ypIR3YVGFfEpyFESummAta6sg/edit"", ""Sheet1!B:D""), 2, FALSE), ""Not Found"")"),"stək")</f>
        <v>stək</v>
      </c>
      <c r="E4226" s="2" t="str">
        <f>IFERROR(__xludf.DUMMYFUNCTION("IFERROR(VLOOKUP(A4226, IMPORTRANGE(""https://docs.google.com/spreadsheets/d/1-3Vjw2Cyy-mry5gbC8ypIR3YVGFfEpyFESummAta6sg/edit"", ""Sheet1!B:D""), 3, FALSE), ""Not Found"")"),"s t ə k ")</f>
        <v>s t ə k </v>
      </c>
    </row>
    <row r="4227">
      <c r="A4227" s="1" t="s">
        <v>4228</v>
      </c>
      <c r="B4227" s="1" t="s">
        <v>5</v>
      </c>
      <c r="C4227" s="2">
        <f>IFERROR(__xludf.DUMMYFUNCTION("IFERROR(VLOOKUP(A4227, IMPORTRANGE(""https://docs.google.com/spreadsheets/d/1AVX9GT0dgogEBStecCXMMQ29tWz3gBrtNB8yIromXbY/edit?gid=741673867"", ""out1g!A:B""), 2, FALSE), 0)"),189.0)</f>
        <v>189</v>
      </c>
      <c r="D4227" s="2" t="str">
        <f>IFERROR(__xludf.DUMMYFUNCTION("IFERROR(VLOOKUP(A4227, IMPORTRANGE(""https://docs.google.com/spreadsheets/d/1-3Vjw2Cyy-mry5gbC8ypIR3YVGFfEpyFESummAta6sg/edit"", ""Sheet1!B:D""), 2, FALSE), ""Not Found"")"),"stənd")</f>
        <v>stənd</v>
      </c>
      <c r="E4227" s="2" t="str">
        <f>IFERROR(__xludf.DUMMYFUNCTION("IFERROR(VLOOKUP(A4227, IMPORTRANGE(""https://docs.google.com/spreadsheets/d/1-3Vjw2Cyy-mry5gbC8ypIR3YVGFfEpyFESummAta6sg/edit"", ""Sheet1!B:D""), 3, FALSE), ""Not Found"")"),"s t ə n d ")</f>
        <v>s t ə n d </v>
      </c>
    </row>
    <row r="4228">
      <c r="A4228" s="1" t="s">
        <v>4229</v>
      </c>
      <c r="B4228" s="1" t="s">
        <v>5</v>
      </c>
      <c r="C4228" s="2">
        <f>IFERROR(__xludf.DUMMYFUNCTION("IFERROR(VLOOKUP(A4228, IMPORTRANGE(""https://docs.google.com/spreadsheets/d/1AVX9GT0dgogEBStecCXMMQ29tWz3gBrtNB8yIromXbY/edit?gid=741673867"", ""out1g!A:B""), 2, FALSE), 0)"),3557.0)</f>
        <v>3557</v>
      </c>
      <c r="D4228" s="2" t="str">
        <f>IFERROR(__xludf.DUMMYFUNCTION("IFERROR(VLOOKUP(A4228, IMPORTRANGE(""https://docs.google.com/spreadsheets/d/1-3Vjw2Cyy-mry5gbC8ypIR3YVGFfEpyFESummAta6sg/edit"", ""Sheet1!B:D""), 2, FALSE), ""Not Found"")"),"noʊz")</f>
        <v>noʊz</v>
      </c>
      <c r="E4228" s="2" t="str">
        <f>IFERROR(__xludf.DUMMYFUNCTION("IFERROR(VLOOKUP(A4228, IMPORTRANGE(""https://docs.google.com/spreadsheets/d/1-3Vjw2Cyy-mry5gbC8ypIR3YVGFfEpyFESummAta6sg/edit"", ""Sheet1!B:D""), 3, FALSE), ""Not Found"")"),"n o ʊ z ")</f>
        <v>n o ʊ z </v>
      </c>
    </row>
    <row r="4229">
      <c r="A4229" s="1" t="s">
        <v>4230</v>
      </c>
      <c r="B4229" s="1" t="s">
        <v>5</v>
      </c>
      <c r="C4229" s="2">
        <f>IFERROR(__xludf.DUMMYFUNCTION("IFERROR(VLOOKUP(A4229, IMPORTRANGE(""https://docs.google.com/spreadsheets/d/1AVX9GT0dgogEBStecCXMMQ29tWz3gBrtNB8yIromXbY/edit?gid=741673867"", ""out1g!A:B""), 2, FALSE), 0)"),90.0)</f>
        <v>90</v>
      </c>
      <c r="D4229" s="2" t="str">
        <f>IFERROR(__xludf.DUMMYFUNCTION("IFERROR(VLOOKUP(A4229, IMPORTRANGE(""https://docs.google.com/spreadsheets/d/1-3Vjw2Cyy-mry5gbC8ypIR3YVGFfEpyFESummAta6sg/edit"", ""Sheet1!B:D""), 2, FALSE), ""Not Found"")"),"spred")</f>
        <v>spred</v>
      </c>
      <c r="E4229" s="2" t="str">
        <f>IFERROR(__xludf.DUMMYFUNCTION("IFERROR(VLOOKUP(A4229, IMPORTRANGE(""https://docs.google.com/spreadsheets/d/1-3Vjw2Cyy-mry5gbC8ypIR3YVGFfEpyFESummAta6sg/edit"", ""Sheet1!B:D""), 3, FALSE), ""Not Found"")"),"s p r e d ")</f>
        <v>s p r e d </v>
      </c>
    </row>
    <row r="4230">
      <c r="A4230" s="1" t="s">
        <v>4231</v>
      </c>
      <c r="B4230" s="1" t="s">
        <v>5</v>
      </c>
      <c r="C4230" s="2">
        <f>IFERROR(__xludf.DUMMYFUNCTION("IFERROR(VLOOKUP(A4230, IMPORTRANGE(""https://docs.google.com/spreadsheets/d/1AVX9GT0dgogEBStecCXMMQ29tWz3gBrtNB8yIromXbY/edit?gid=741673867"", ""out1g!A:B""), 2, FALSE), 0)"),162.0)</f>
        <v>162</v>
      </c>
      <c r="D4230" s="2" t="str">
        <f>IFERROR(__xludf.DUMMYFUNCTION("IFERROR(VLOOKUP(A4230, IMPORTRANGE(""https://docs.google.com/spreadsheets/d/1-3Vjw2Cyy-mry5gbC8ypIR3YVGFfEpyFESummAta6sg/edit"", ""Sheet1!B:D""), 2, FALSE), ""Not Found"")"),"rɛn")</f>
        <v>rɛn</v>
      </c>
      <c r="E4230" s="2" t="str">
        <f>IFERROR(__xludf.DUMMYFUNCTION("IFERROR(VLOOKUP(A4230, IMPORTRANGE(""https://docs.google.com/spreadsheets/d/1-3Vjw2Cyy-mry5gbC8ypIR3YVGFfEpyFESummAta6sg/edit"", ""Sheet1!B:D""), 3, FALSE), ""Not Found"")"),"r ɛ n ")</f>
        <v>r ɛ n </v>
      </c>
    </row>
    <row r="4231">
      <c r="A4231" s="1" t="s">
        <v>4232</v>
      </c>
      <c r="B4231" s="1" t="s">
        <v>5</v>
      </c>
      <c r="C4231" s="2">
        <f>IFERROR(__xludf.DUMMYFUNCTION("IFERROR(VLOOKUP(A4231, IMPORTRANGE(""https://docs.google.com/spreadsheets/d/1AVX9GT0dgogEBStecCXMMQ29tWz3gBrtNB8yIromXbY/edit?gid=741673867"", ""out1g!A:B""), 2, FALSE), 0)"),244.0)</f>
        <v>244</v>
      </c>
      <c r="D4231" s="2" t="str">
        <f>IFERROR(__xludf.DUMMYFUNCTION("IFERROR(VLOOKUP(A4231, IMPORTRANGE(""https://docs.google.com/spreadsheets/d/1-3Vjw2Cyy-mry5gbC8ypIR3YVGFfEpyFESummAta6sg/edit"", ""Sheet1!B:D""), 2, FALSE), ""Not Found"")"),"ræg")</f>
        <v>ræg</v>
      </c>
      <c r="E4231" s="2" t="str">
        <f>IFERROR(__xludf.DUMMYFUNCTION("IFERROR(VLOOKUP(A4231, IMPORTRANGE(""https://docs.google.com/spreadsheets/d/1-3Vjw2Cyy-mry5gbC8ypIR3YVGFfEpyFESummAta6sg/edit"", ""Sheet1!B:D""), 3, FALSE), ""Not Found"")"),"r æ g ")</f>
        <v>r æ g </v>
      </c>
    </row>
    <row r="4232">
      <c r="A4232" s="1" t="s">
        <v>4233</v>
      </c>
      <c r="B4232" s="1" t="s">
        <v>5</v>
      </c>
      <c r="C4232" s="2">
        <f>IFERROR(__xludf.DUMMYFUNCTION("IFERROR(VLOOKUP(A4232, IMPORTRANGE(""https://docs.google.com/spreadsheets/d/1AVX9GT0dgogEBStecCXMMQ29tWz3gBrtNB8yIromXbY/edit?gid=741673867"", ""out1g!A:B""), 2, FALSE), 0)"),61.0)</f>
        <v>61</v>
      </c>
      <c r="D4232" s="2" t="str">
        <f>IFERROR(__xludf.DUMMYFUNCTION("IFERROR(VLOOKUP(A4232, IMPORTRANGE(""https://docs.google.com/spreadsheets/d/1-3Vjw2Cyy-mry5gbC8ypIR3YVGFfEpyFESummAta6sg/edit"", ""Sheet1!B:D""), 2, FALSE), ""Not Found"")"),"meti")</f>
        <v>meti</v>
      </c>
      <c r="E4232" s="2" t="str">
        <f>IFERROR(__xludf.DUMMYFUNCTION("IFERROR(VLOOKUP(A4232, IMPORTRANGE(""https://docs.google.com/spreadsheets/d/1-3Vjw2Cyy-mry5gbC8ypIR3YVGFfEpyFESummAta6sg/edit"", ""Sheet1!B:D""), 3, FALSE), ""Not Found"")"),"m e t i ")</f>
        <v>m e t i </v>
      </c>
    </row>
    <row r="4233">
      <c r="A4233" s="1" t="s">
        <v>4234</v>
      </c>
      <c r="B4233" s="1" t="s">
        <v>5</v>
      </c>
      <c r="C4233" s="2">
        <f>IFERROR(__xludf.DUMMYFUNCTION("IFERROR(VLOOKUP(A4233, IMPORTRANGE(""https://docs.google.com/spreadsheets/d/1AVX9GT0dgogEBStecCXMMQ29tWz3gBrtNB8yIromXbY/edit?gid=741673867"", ""out1g!A:B""), 2, FALSE), 0)"),121.0)</f>
        <v>121</v>
      </c>
      <c r="D4233" s="2" t="str">
        <f>IFERROR(__xludf.DUMMYFUNCTION("IFERROR(VLOOKUP(A4233, IMPORTRANGE(""https://docs.google.com/spreadsheets/d/1-3Vjw2Cyy-mry5gbC8ypIR3YVGFfEpyFESummAta6sg/edit"", ""Sheet1!B:D""), 2, FALSE), ""Not Found"")"),"uf")</f>
        <v>uf</v>
      </c>
      <c r="E4233" s="2" t="str">
        <f>IFERROR(__xludf.DUMMYFUNCTION("IFERROR(VLOOKUP(A4233, IMPORTRANGE(""https://docs.google.com/spreadsheets/d/1-3Vjw2Cyy-mry5gbC8ypIR3YVGFfEpyFESummAta6sg/edit"", ""Sheet1!B:D""), 3, FALSE), ""Not Found"")"),"u f ")</f>
        <v>u f </v>
      </c>
    </row>
    <row r="4234">
      <c r="A4234" s="1" t="s">
        <v>4235</v>
      </c>
      <c r="B4234" s="1" t="s">
        <v>5</v>
      </c>
      <c r="C4234" s="2">
        <f>IFERROR(__xludf.DUMMYFUNCTION("IFERROR(VLOOKUP(A4234, IMPORTRANGE(""https://docs.google.com/spreadsheets/d/1AVX9GT0dgogEBStecCXMMQ29tWz3gBrtNB8yIromXbY/edit?gid=741673867"", ""out1g!A:B""), 2, FALSE), 0)"),1595.0)</f>
        <v>1595</v>
      </c>
      <c r="D4234" s="2" t="str">
        <f>IFERROR(__xludf.DUMMYFUNCTION("IFERROR(VLOOKUP(A4234, IMPORTRANGE(""https://docs.google.com/spreadsheets/d/1-3Vjw2Cyy-mry5gbC8ypIR3YVGFfEpyFESummAta6sg/edit"", ""Sheet1!B:D""), 2, FALSE), ""Not Found"")"),"bɑnd")</f>
        <v>bɑnd</v>
      </c>
      <c r="E4234" s="2" t="str">
        <f>IFERROR(__xludf.DUMMYFUNCTION("IFERROR(VLOOKUP(A4234, IMPORTRANGE(""https://docs.google.com/spreadsheets/d/1-3Vjw2Cyy-mry5gbC8ypIR3YVGFfEpyFESummAta6sg/edit"", ""Sheet1!B:D""), 3, FALSE), ""Not Found"")"),"b ɑ n d ")</f>
        <v>b ɑ n d </v>
      </c>
    </row>
    <row r="4235">
      <c r="A4235" s="1" t="s">
        <v>4236</v>
      </c>
      <c r="B4235" s="1" t="s">
        <v>5</v>
      </c>
      <c r="C4235" s="2">
        <f>IFERROR(__xludf.DUMMYFUNCTION("IFERROR(VLOOKUP(A4235, IMPORTRANGE(""https://docs.google.com/spreadsheets/d/1AVX9GT0dgogEBStecCXMMQ29tWz3gBrtNB8yIromXbY/edit?gid=741673867"", ""out1g!A:B""), 2, FALSE), 0)"),303.0)</f>
        <v>303</v>
      </c>
      <c r="D4235" s="2" t="str">
        <f>IFERROR(__xludf.DUMMYFUNCTION("IFERROR(VLOOKUP(A4235, IMPORTRANGE(""https://docs.google.com/spreadsheets/d/1-3Vjw2Cyy-mry5gbC8ypIR3YVGFfEpyFESummAta6sg/edit"", ""Sheet1!B:D""), 2, FALSE), ""Not Found"")"),"hɛlər")</f>
        <v>hɛlər</v>
      </c>
      <c r="E4235" s="2" t="str">
        <f>IFERROR(__xludf.DUMMYFUNCTION("IFERROR(VLOOKUP(A4235, IMPORTRANGE(""https://docs.google.com/spreadsheets/d/1-3Vjw2Cyy-mry5gbC8ypIR3YVGFfEpyFESummAta6sg/edit"", ""Sheet1!B:D""), 3, FALSE), ""Not Found"")"),"h ɛ l ə r ")</f>
        <v>h ɛ l ə r </v>
      </c>
    </row>
    <row r="4236">
      <c r="A4236" s="1" t="s">
        <v>4237</v>
      </c>
      <c r="B4236" s="1" t="s">
        <v>5</v>
      </c>
      <c r="C4236" s="2">
        <f>IFERROR(__xludf.DUMMYFUNCTION("IFERROR(VLOOKUP(A4236, IMPORTRANGE(""https://docs.google.com/spreadsheets/d/1AVX9GT0dgogEBStecCXMMQ29tWz3gBrtNB8yIromXbY/edit?gid=741673867"", ""out1g!A:B""), 2, FALSE), 0)"),145.0)</f>
        <v>145</v>
      </c>
      <c r="D4236" s="2" t="str">
        <f>IFERROR(__xludf.DUMMYFUNCTION("IFERROR(VLOOKUP(A4236, IMPORTRANGE(""https://docs.google.com/spreadsheets/d/1-3Vjw2Cyy-mry5gbC8ypIR3YVGFfEpyFESummAta6sg/edit"", ""Sheet1!B:D""), 2, FALSE), ""Not Found"")"),"fɑrmz")</f>
        <v>fɑrmz</v>
      </c>
      <c r="E4236" s="2" t="str">
        <f>IFERROR(__xludf.DUMMYFUNCTION("IFERROR(VLOOKUP(A4236, IMPORTRANGE(""https://docs.google.com/spreadsheets/d/1-3Vjw2Cyy-mry5gbC8ypIR3YVGFfEpyFESummAta6sg/edit"", ""Sheet1!B:D""), 3, FALSE), ""Not Found"")"),"f ɑ r m z ")</f>
        <v>f ɑ r m z </v>
      </c>
    </row>
    <row r="4237">
      <c r="A4237" s="1" t="s">
        <v>4238</v>
      </c>
      <c r="B4237" s="1" t="s">
        <v>5</v>
      </c>
      <c r="C4237" s="2">
        <f>IFERROR(__xludf.DUMMYFUNCTION("IFERROR(VLOOKUP(A4237, IMPORTRANGE(""https://docs.google.com/spreadsheets/d/1AVX9GT0dgogEBStecCXMMQ29tWz3gBrtNB8yIromXbY/edit?gid=741673867"", ""out1g!A:B""), 2, FALSE), 0)"),640.0)</f>
        <v>640</v>
      </c>
      <c r="D4237" s="2" t="str">
        <f>IFERROR(__xludf.DUMMYFUNCTION("IFERROR(VLOOKUP(A4237, IMPORTRANGE(""https://docs.google.com/spreadsheets/d/1-3Vjw2Cyy-mry5gbC8ypIR3YVGFfEpyFESummAta6sg/edit"", ""Sheet1!B:D""), 2, FALSE), ""Not Found"")"),"ɛks")</f>
        <v>ɛks</v>
      </c>
      <c r="E4237" s="2" t="str">
        <f>IFERROR(__xludf.DUMMYFUNCTION("IFERROR(VLOOKUP(A4237, IMPORTRANGE(""https://docs.google.com/spreadsheets/d/1-3Vjw2Cyy-mry5gbC8ypIR3YVGFfEpyFESummAta6sg/edit"", ""Sheet1!B:D""), 3, FALSE), ""Not Found"")"),"ɛ k s ")</f>
        <v>ɛ k s </v>
      </c>
    </row>
    <row r="4238">
      <c r="A4238" s="1" t="s">
        <v>4239</v>
      </c>
      <c r="B4238" s="1" t="s">
        <v>5</v>
      </c>
      <c r="C4238" s="2">
        <f>IFERROR(__xludf.DUMMYFUNCTION("IFERROR(VLOOKUP(A4238, IMPORTRANGE(""https://docs.google.com/spreadsheets/d/1AVX9GT0dgogEBStecCXMMQ29tWz3gBrtNB8yIromXbY/edit?gid=741673867"", ""out1g!A:B""), 2, FALSE), 0)"),58.0)</f>
        <v>58</v>
      </c>
      <c r="D4238" s="2" t="str">
        <f>IFERROR(__xludf.DUMMYFUNCTION("IFERROR(VLOOKUP(A4238, IMPORTRANGE(""https://docs.google.com/spreadsheets/d/1-3Vjw2Cyy-mry5gbC8ypIR3YVGFfEpyFESummAta6sg/edit"", ""Sheet1!B:D""), 2, FALSE), ""Not Found"")"),"klæn")</f>
        <v>klæn</v>
      </c>
      <c r="E4238" s="2" t="str">
        <f>IFERROR(__xludf.DUMMYFUNCTION("IFERROR(VLOOKUP(A4238, IMPORTRANGE(""https://docs.google.com/spreadsheets/d/1-3Vjw2Cyy-mry5gbC8ypIR3YVGFfEpyFESummAta6sg/edit"", ""Sheet1!B:D""), 3, FALSE), ""Not Found"")"),"k l æ n ")</f>
        <v>k l æ n </v>
      </c>
    </row>
    <row r="4239">
      <c r="A4239" s="1" t="s">
        <v>4240</v>
      </c>
      <c r="B4239" s="1" t="s">
        <v>5</v>
      </c>
      <c r="C4239" s="2">
        <f>IFERROR(__xludf.DUMMYFUNCTION("IFERROR(VLOOKUP(A4239, IMPORTRANGE(""https://docs.google.com/spreadsheets/d/1AVX9GT0dgogEBStecCXMMQ29tWz3gBrtNB8yIromXbY/edit?gid=741673867"", ""out1g!A:B""), 2, FALSE), 0)"),291.0)</f>
        <v>291</v>
      </c>
      <c r="D4239" s="2" t="str">
        <f>IFERROR(__xludf.DUMMYFUNCTION("IFERROR(VLOOKUP(A4239, IMPORTRANGE(""https://docs.google.com/spreadsheets/d/1-3Vjw2Cyy-mry5gbC8ypIR3YVGFfEpyFESummAta6sg/edit"", ""Sheet1!B:D""), 2, FALSE), ""Not Found"")"),"kəf")</f>
        <v>kəf</v>
      </c>
      <c r="E4239" s="2" t="str">
        <f>IFERROR(__xludf.DUMMYFUNCTION("IFERROR(VLOOKUP(A4239, IMPORTRANGE(""https://docs.google.com/spreadsheets/d/1-3Vjw2Cyy-mry5gbC8ypIR3YVGFfEpyFESummAta6sg/edit"", ""Sheet1!B:D""), 3, FALSE), ""Not Found"")"),"k ə f ")</f>
        <v>k ə f </v>
      </c>
    </row>
    <row r="4240">
      <c r="A4240" s="1" t="s">
        <v>4241</v>
      </c>
      <c r="B4240" s="1" t="s">
        <v>5</v>
      </c>
      <c r="C4240" s="2">
        <f>IFERROR(__xludf.DUMMYFUNCTION("IFERROR(VLOOKUP(A4240, IMPORTRANGE(""https://docs.google.com/spreadsheets/d/1AVX9GT0dgogEBStecCXMMQ29tWz3gBrtNB8yIromXbY/edit?gid=741673867"", ""out1g!A:B""), 2, FALSE), 0)"),3277.0)</f>
        <v>3277</v>
      </c>
      <c r="D4240" s="2" t="str">
        <f>IFERROR(__xludf.DUMMYFUNCTION("IFERROR(VLOOKUP(A4240, IMPORTRANGE(""https://docs.google.com/spreadsheets/d/1-3Vjw2Cyy-mry5gbC8ypIR3YVGFfEpyFESummAta6sg/edit"", ""Sheet1!B:D""), 2, FALSE), ""Not Found"")"),"ʤɪm")</f>
        <v>ʤɪm</v>
      </c>
      <c r="E4240" s="2" t="str">
        <f>IFERROR(__xludf.DUMMYFUNCTION("IFERROR(VLOOKUP(A4240, IMPORTRANGE(""https://docs.google.com/spreadsheets/d/1-3Vjw2Cyy-mry5gbC8ypIR3YVGFfEpyFESummAta6sg/edit"", ""Sheet1!B:D""), 3, FALSE), ""Not Found"")"),"ʤ ɪ m ")</f>
        <v>ʤ ɪ m </v>
      </c>
    </row>
    <row r="4241">
      <c r="A4241" s="1" t="s">
        <v>4242</v>
      </c>
      <c r="B4241" s="1" t="s">
        <v>5</v>
      </c>
      <c r="C4241" s="2">
        <f>IFERROR(__xludf.DUMMYFUNCTION("IFERROR(VLOOKUP(A4241, IMPORTRANGE(""https://docs.google.com/spreadsheets/d/1AVX9GT0dgogEBStecCXMMQ29tWz3gBrtNB8yIromXbY/edit?gid=741673867"", ""out1g!A:B""), 2, FALSE), 0)"),4757.0)</f>
        <v>4757</v>
      </c>
      <c r="D4241" s="2" t="str">
        <f>IFERROR(__xludf.DUMMYFUNCTION("IFERROR(VLOOKUP(A4241, IMPORTRANGE(""https://docs.google.com/spreadsheets/d/1-3Vjw2Cyy-mry5gbC8ypIR3YVGFfEpyFESummAta6sg/edit"", ""Sheet1!B:D""), 2, FALSE), ""Not Found"")"),"spɛnd")</f>
        <v>spɛnd</v>
      </c>
      <c r="E4241" s="2" t="str">
        <f>IFERROR(__xludf.DUMMYFUNCTION("IFERROR(VLOOKUP(A4241, IMPORTRANGE(""https://docs.google.com/spreadsheets/d/1-3Vjw2Cyy-mry5gbC8ypIR3YVGFfEpyFESummAta6sg/edit"", ""Sheet1!B:D""), 3, FALSE), ""Not Found"")"),"s p ɛ n d ")</f>
        <v>s p ɛ n d </v>
      </c>
    </row>
    <row r="4242">
      <c r="A4242" s="1" t="s">
        <v>4243</v>
      </c>
      <c r="B4242" s="1" t="s">
        <v>5</v>
      </c>
      <c r="C4242" s="2">
        <f>IFERROR(__xludf.DUMMYFUNCTION("IFERROR(VLOOKUP(A4242, IMPORTRANGE(""https://docs.google.com/spreadsheets/d/1AVX9GT0dgogEBStecCXMMQ29tWz3gBrtNB8yIromXbY/edit?gid=741673867"", ""out1g!A:B""), 2, FALSE), 0)"),52.0)</f>
        <v>52</v>
      </c>
      <c r="D4242" s="2" t="str">
        <f>IFERROR(__xludf.DUMMYFUNCTION("IFERROR(VLOOKUP(A4242, IMPORTRANGE(""https://docs.google.com/spreadsheets/d/1-3Vjw2Cyy-mry5gbC8ypIR3YVGFfEpyFESummAta6sg/edit"", ""Sheet1!B:D""), 2, FALSE), ""Not Found"")"),"ləvi")</f>
        <v>ləvi</v>
      </c>
      <c r="E4242" s="2" t="str">
        <f>IFERROR(__xludf.DUMMYFUNCTION("IFERROR(VLOOKUP(A4242, IMPORTRANGE(""https://docs.google.com/spreadsheets/d/1-3Vjw2Cyy-mry5gbC8ypIR3YVGFfEpyFESummAta6sg/edit"", ""Sheet1!B:D""), 3, FALSE), ""Not Found"")"),"l ə v i ")</f>
        <v>l ə v i </v>
      </c>
    </row>
    <row r="4243">
      <c r="A4243" s="1" t="s">
        <v>4244</v>
      </c>
      <c r="B4243" s="1" t="s">
        <v>5</v>
      </c>
      <c r="C4243" s="2">
        <f>IFERROR(__xludf.DUMMYFUNCTION("IFERROR(VLOOKUP(A4243, IMPORTRANGE(""https://docs.google.com/spreadsheets/d/1AVX9GT0dgogEBStecCXMMQ29tWz3gBrtNB8yIromXbY/edit?gid=741673867"", ""out1g!A:B""), 2, FALSE), 0)"),170.0)</f>
        <v>170</v>
      </c>
      <c r="D4243" s="2" t="str">
        <f>IFERROR(__xludf.DUMMYFUNCTION("IFERROR(VLOOKUP(A4243, IMPORTRANGE(""https://docs.google.com/spreadsheets/d/1-3Vjw2Cyy-mry5gbC8ypIR3YVGFfEpyFESummAta6sg/edit"", ""Sheet1!B:D""), 2, FALSE), ""Not Found"")"),"swipɪŋ")</f>
        <v>swipɪŋ</v>
      </c>
      <c r="E4243" s="2" t="str">
        <f>IFERROR(__xludf.DUMMYFUNCTION("IFERROR(VLOOKUP(A4243, IMPORTRANGE(""https://docs.google.com/spreadsheets/d/1-3Vjw2Cyy-mry5gbC8ypIR3YVGFfEpyFESummAta6sg/edit"", ""Sheet1!B:D""), 3, FALSE), ""Not Found"")"),"s w i p ɪ ŋ ")</f>
        <v>s w i p ɪ ŋ </v>
      </c>
    </row>
    <row r="4244">
      <c r="A4244" s="1" t="s">
        <v>4245</v>
      </c>
      <c r="B4244" s="1" t="s">
        <v>5</v>
      </c>
      <c r="C4244" s="2">
        <f>IFERROR(__xludf.DUMMYFUNCTION("IFERROR(VLOOKUP(A4244, IMPORTRANGE(""https://docs.google.com/spreadsheets/d/1AVX9GT0dgogEBStecCXMMQ29tWz3gBrtNB8yIromXbY/edit?gid=741673867"", ""out1g!A:B""), 2, FALSE), 0)"),246.0)</f>
        <v>246</v>
      </c>
      <c r="D4244" s="2" t="str">
        <f>IFERROR(__xludf.DUMMYFUNCTION("IFERROR(VLOOKUP(A4244, IMPORTRANGE(""https://docs.google.com/spreadsheets/d/1-3Vjw2Cyy-mry5gbC8ypIR3YVGFfEpyFESummAta6sg/edit"", ""Sheet1!B:D""), 2, FALSE), ""Not Found"")"),"həm")</f>
        <v>həm</v>
      </c>
      <c r="E4244" s="2" t="str">
        <f>IFERROR(__xludf.DUMMYFUNCTION("IFERROR(VLOOKUP(A4244, IMPORTRANGE(""https://docs.google.com/spreadsheets/d/1-3Vjw2Cyy-mry5gbC8ypIR3YVGFfEpyFESummAta6sg/edit"", ""Sheet1!B:D""), 3, FALSE), ""Not Found"")"),"h ə m ")</f>
        <v>h ə m </v>
      </c>
    </row>
    <row r="4245">
      <c r="A4245" s="1" t="s">
        <v>4246</v>
      </c>
      <c r="B4245" s="1" t="s">
        <v>5</v>
      </c>
      <c r="C4245" s="2">
        <f>IFERROR(__xludf.DUMMYFUNCTION("IFERROR(VLOOKUP(A4245, IMPORTRANGE(""https://docs.google.com/spreadsheets/d/1AVX9GT0dgogEBStecCXMMQ29tWz3gBrtNB8yIromXbY/edit?gid=741673867"", ""out1g!A:B""), 2, FALSE), 0)"),62.0)</f>
        <v>62</v>
      </c>
      <c r="D4245" s="2" t="str">
        <f>IFERROR(__xludf.DUMMYFUNCTION("IFERROR(VLOOKUP(A4245, IMPORTRANGE(""https://docs.google.com/spreadsheets/d/1-3Vjw2Cyy-mry5gbC8ypIR3YVGFfEpyFESummAta6sg/edit"", ""Sheet1!B:D""), 2, FALSE), ""Not Found"")"),"grɪps")</f>
        <v>grɪps</v>
      </c>
      <c r="E4245" s="2" t="str">
        <f>IFERROR(__xludf.DUMMYFUNCTION("IFERROR(VLOOKUP(A4245, IMPORTRANGE(""https://docs.google.com/spreadsheets/d/1-3Vjw2Cyy-mry5gbC8ypIR3YVGFfEpyFESummAta6sg/edit"", ""Sheet1!B:D""), 3, FALSE), ""Not Found"")"),"g r ɪ p s ")</f>
        <v>g r ɪ p s </v>
      </c>
    </row>
    <row r="4246">
      <c r="A4246" s="1" t="s">
        <v>4247</v>
      </c>
      <c r="B4246" s="1" t="s">
        <v>5</v>
      </c>
      <c r="C4246" s="2">
        <f>IFERROR(__xludf.DUMMYFUNCTION("IFERROR(VLOOKUP(A4246, IMPORTRANGE(""https://docs.google.com/spreadsheets/d/1AVX9GT0dgogEBStecCXMMQ29tWz3gBrtNB8yIromXbY/edit?gid=741673867"", ""out1g!A:B""), 2, FALSE), 0)"),158.0)</f>
        <v>158</v>
      </c>
      <c r="D4246" s="2" t="str">
        <f>IFERROR(__xludf.DUMMYFUNCTION("IFERROR(VLOOKUP(A4246, IMPORTRANGE(""https://docs.google.com/spreadsheets/d/1-3Vjw2Cyy-mry5gbC8ypIR3YVGFfEpyFESummAta6sg/edit"", ""Sheet1!B:D""), 2, FALSE), ""Not Found"")"),"den")</f>
        <v>den</v>
      </c>
      <c r="E4246" s="2" t="str">
        <f>IFERROR(__xludf.DUMMYFUNCTION("IFERROR(VLOOKUP(A4246, IMPORTRANGE(""https://docs.google.com/spreadsheets/d/1-3Vjw2Cyy-mry5gbC8ypIR3YVGFfEpyFESummAta6sg/edit"", ""Sheet1!B:D""), 3, FALSE), ""Not Found"")"),"d e n ")</f>
        <v>d e n </v>
      </c>
    </row>
    <row r="4247">
      <c r="A4247" s="1" t="s">
        <v>4248</v>
      </c>
      <c r="B4247" s="1" t="s">
        <v>5</v>
      </c>
      <c r="C4247" s="2">
        <f>IFERROR(__xludf.DUMMYFUNCTION("IFERROR(VLOOKUP(A4247, IMPORTRANGE(""https://docs.google.com/spreadsheets/d/1AVX9GT0dgogEBStecCXMMQ29tWz3gBrtNB8yIromXbY/edit?gid=741673867"", ""out1g!A:B""), 2, FALSE), 0)"),1096.0)</f>
        <v>1096</v>
      </c>
      <c r="D4247" s="2" t="str">
        <f>IFERROR(__xludf.DUMMYFUNCTION("IFERROR(VLOOKUP(A4247, IMPORTRANGE(""https://docs.google.com/spreadsheets/d/1-3Vjw2Cyy-mry5gbC8ypIR3YVGFfEpyFESummAta6sg/edit"", ""Sheet1!B:D""), 2, FALSE), ""Not Found"")"),"ʧək")</f>
        <v>ʧək</v>
      </c>
      <c r="E4247" s="2" t="str">
        <f>IFERROR(__xludf.DUMMYFUNCTION("IFERROR(VLOOKUP(A4247, IMPORTRANGE(""https://docs.google.com/spreadsheets/d/1-3Vjw2Cyy-mry5gbC8ypIR3YVGFfEpyFESummAta6sg/edit"", ""Sheet1!B:D""), 3, FALSE), ""Not Found"")"),"ʧ ə k ")</f>
        <v>ʧ ə k </v>
      </c>
    </row>
    <row r="4248">
      <c r="A4248" s="1" t="s">
        <v>4249</v>
      </c>
      <c r="B4248" s="1" t="s">
        <v>5</v>
      </c>
      <c r="C4248" s="2">
        <f>IFERROR(__xludf.DUMMYFUNCTION("IFERROR(VLOOKUP(A4248, IMPORTRANGE(""https://docs.google.com/spreadsheets/d/1AVX9GT0dgogEBStecCXMMQ29tWz3gBrtNB8yIromXbY/edit?gid=741673867"", ""out1g!A:B""), 2, FALSE), 0)"),295.0)</f>
        <v>295</v>
      </c>
      <c r="D4248" s="2" t="str">
        <f>IFERROR(__xludf.DUMMYFUNCTION("IFERROR(VLOOKUP(A4248, IMPORTRANGE(""https://docs.google.com/spreadsheets/d/1-3Vjw2Cyy-mry5gbC8ypIR3YVGFfEpyFESummAta6sg/edit"", ""Sheet1!B:D""), 2, FALSE), ""Not Found"")"),"spɛlz")</f>
        <v>spɛlz</v>
      </c>
      <c r="E4248" s="2" t="str">
        <f>IFERROR(__xludf.DUMMYFUNCTION("IFERROR(VLOOKUP(A4248, IMPORTRANGE(""https://docs.google.com/spreadsheets/d/1-3Vjw2Cyy-mry5gbC8ypIR3YVGFfEpyFESummAta6sg/edit"", ""Sheet1!B:D""), 3, FALSE), ""Not Found"")"),"s p ɛ l z ")</f>
        <v>s p ɛ l z </v>
      </c>
    </row>
    <row r="4249">
      <c r="A4249" s="1" t="s">
        <v>4250</v>
      </c>
      <c r="B4249" s="1" t="s">
        <v>5</v>
      </c>
      <c r="C4249" s="2">
        <f>IFERROR(__xludf.DUMMYFUNCTION("IFERROR(VLOOKUP(A4249, IMPORTRANGE(""https://docs.google.com/spreadsheets/d/1AVX9GT0dgogEBStecCXMMQ29tWz3gBrtNB8yIromXbY/edit?gid=741673867"", ""out1g!A:B""), 2, FALSE), 0)"),140.0)</f>
        <v>140</v>
      </c>
      <c r="D4249" s="2" t="str">
        <f>IFERROR(__xludf.DUMMYFUNCTION("IFERROR(VLOOKUP(A4249, IMPORTRANGE(""https://docs.google.com/spreadsheets/d/1-3Vjw2Cyy-mry5gbC8ypIR3YVGFfEpyFESummAta6sg/edit"", ""Sheet1!B:D""), 2, FALSE), ""Not Found"")"),"nuli")</f>
        <v>nuli</v>
      </c>
      <c r="E4249" s="2" t="str">
        <f>IFERROR(__xludf.DUMMYFUNCTION("IFERROR(VLOOKUP(A4249, IMPORTRANGE(""https://docs.google.com/spreadsheets/d/1-3Vjw2Cyy-mry5gbC8ypIR3YVGFfEpyFESummAta6sg/edit"", ""Sheet1!B:D""), 3, FALSE), ""Not Found"")"),"n u l i ")</f>
        <v>n u l i </v>
      </c>
    </row>
    <row r="4250">
      <c r="A4250" s="1" t="s">
        <v>4251</v>
      </c>
      <c r="B4250" s="1" t="s">
        <v>5</v>
      </c>
      <c r="C4250" s="2">
        <f>IFERROR(__xludf.DUMMYFUNCTION("IFERROR(VLOOKUP(A4250, IMPORTRANGE(""https://docs.google.com/spreadsheets/d/1AVX9GT0dgogEBStecCXMMQ29tWz3gBrtNB8yIromXbY/edit?gid=741673867"", ""out1g!A:B""), 2, FALSE), 0)"),255.0)</f>
        <v>255</v>
      </c>
      <c r="D4250" s="2" t="str">
        <f>IFERROR(__xludf.DUMMYFUNCTION("IFERROR(VLOOKUP(A4250, IMPORTRANGE(""https://docs.google.com/spreadsheets/d/1-3Vjw2Cyy-mry5gbC8ypIR3YVGFfEpyFESummAta6sg/edit"", ""Sheet1!B:D""), 2, FALSE), ""Not Found"")"),"bərgərz")</f>
        <v>bərgərz</v>
      </c>
      <c r="E4250" s="2" t="str">
        <f>IFERROR(__xludf.DUMMYFUNCTION("IFERROR(VLOOKUP(A4250, IMPORTRANGE(""https://docs.google.com/spreadsheets/d/1-3Vjw2Cyy-mry5gbC8ypIR3YVGFfEpyFESummAta6sg/edit"", ""Sheet1!B:D""), 3, FALSE), ""Not Found"")"),"b ə r g ə r z ")</f>
        <v>b ə r g ə r z </v>
      </c>
    </row>
    <row r="4251">
      <c r="A4251" s="1" t="s">
        <v>4252</v>
      </c>
      <c r="B4251" s="1" t="s">
        <v>5</v>
      </c>
      <c r="C4251" s="2">
        <f>IFERROR(__xludf.DUMMYFUNCTION("IFERROR(VLOOKUP(A4251, IMPORTRANGE(""https://docs.google.com/spreadsheets/d/1AVX9GT0dgogEBStecCXMMQ29tWz3gBrtNB8yIromXbY/edit?gid=741673867"", ""out1g!A:B""), 2, FALSE), 0)"),62.0)</f>
        <v>62</v>
      </c>
      <c r="D4251" s="2" t="str">
        <f>IFERROR(__xludf.DUMMYFUNCTION("IFERROR(VLOOKUP(A4251, IMPORTRANGE(""https://docs.google.com/spreadsheets/d/1-3Vjw2Cyy-mry5gbC8ypIR3YVGFfEpyFESummAta6sg/edit"", ""Sheet1!B:D""), 2, FALSE), ""Not Found"")"),"hɪli")</f>
        <v>hɪli</v>
      </c>
      <c r="E4251" s="2" t="str">
        <f>IFERROR(__xludf.DUMMYFUNCTION("IFERROR(VLOOKUP(A4251, IMPORTRANGE(""https://docs.google.com/spreadsheets/d/1-3Vjw2Cyy-mry5gbC8ypIR3YVGFfEpyFESummAta6sg/edit"", ""Sheet1!B:D""), 3, FALSE), ""Not Found"")"),"h ɪ l i ")</f>
        <v>h ɪ l i </v>
      </c>
    </row>
    <row r="4252">
      <c r="A4252" s="1" t="s">
        <v>4253</v>
      </c>
      <c r="B4252" s="1" t="s">
        <v>5</v>
      </c>
      <c r="C4252" s="2">
        <f>IFERROR(__xludf.DUMMYFUNCTION("IFERROR(VLOOKUP(A4252, IMPORTRANGE(""https://docs.google.com/spreadsheets/d/1AVX9GT0dgogEBStecCXMMQ29tWz3gBrtNB8yIromXbY/edit?gid=741673867"", ""out1g!A:B""), 2, FALSE), 0)"),153.0)</f>
        <v>153</v>
      </c>
      <c r="D4252" s="2" t="str">
        <f>IFERROR(__xludf.DUMMYFUNCTION("IFERROR(VLOOKUP(A4252, IMPORTRANGE(""https://docs.google.com/spreadsheets/d/1-3Vjw2Cyy-mry5gbC8ypIR3YVGFfEpyFESummAta6sg/edit"", ""Sheet1!B:D""), 2, FALSE), ""Not Found"")"),"bub")</f>
        <v>bub</v>
      </c>
      <c r="E4252" s="2" t="str">
        <f>IFERROR(__xludf.DUMMYFUNCTION("IFERROR(VLOOKUP(A4252, IMPORTRANGE(""https://docs.google.com/spreadsheets/d/1-3Vjw2Cyy-mry5gbC8ypIR3YVGFfEpyFESummAta6sg/edit"", ""Sheet1!B:D""), 3, FALSE), ""Not Found"")"),"b u b ")</f>
        <v>b u b </v>
      </c>
    </row>
    <row r="4253">
      <c r="A4253" s="1" t="s">
        <v>4254</v>
      </c>
      <c r="B4253" s="1" t="s">
        <v>5</v>
      </c>
      <c r="C4253" s="2">
        <f>IFERROR(__xludf.DUMMYFUNCTION("IFERROR(VLOOKUP(A4253, IMPORTRANGE(""https://docs.google.com/spreadsheets/d/1AVX9GT0dgogEBStecCXMMQ29tWz3gBrtNB8yIromXbY/edit?gid=741673867"", ""out1g!A:B""), 2, FALSE), 0)"),303.0)</f>
        <v>303</v>
      </c>
      <c r="D4253" s="2" t="str">
        <f>IFERROR(__xludf.DUMMYFUNCTION("IFERROR(VLOOKUP(A4253, IMPORTRANGE(""https://docs.google.com/spreadsheets/d/1-3Vjw2Cyy-mry5gbC8ypIR3YVGFfEpyFESummAta6sg/edit"", ""Sheet1!B:D""), 2, FALSE), ""Not Found"")"),"pik")</f>
        <v>pik</v>
      </c>
      <c r="E4253" s="2" t="str">
        <f>IFERROR(__xludf.DUMMYFUNCTION("IFERROR(VLOOKUP(A4253, IMPORTRANGE(""https://docs.google.com/spreadsheets/d/1-3Vjw2Cyy-mry5gbC8ypIR3YVGFfEpyFESummAta6sg/edit"", ""Sheet1!B:D""), 3, FALSE), ""Not Found"")"),"p i k ")</f>
        <v>p i k </v>
      </c>
    </row>
    <row r="4254">
      <c r="A4254" s="1" t="s">
        <v>4255</v>
      </c>
      <c r="B4254" s="1" t="s">
        <v>5</v>
      </c>
      <c r="C4254" s="2">
        <f>IFERROR(__xludf.DUMMYFUNCTION("IFERROR(VLOOKUP(A4254, IMPORTRANGE(""https://docs.google.com/spreadsheets/d/1AVX9GT0dgogEBStecCXMMQ29tWz3gBrtNB8yIromXbY/edit?gid=741673867"", ""out1g!A:B""), 2, FALSE), 0)"),81.0)</f>
        <v>81</v>
      </c>
      <c r="D4254" s="2" t="str">
        <f>IFERROR(__xludf.DUMMYFUNCTION("IFERROR(VLOOKUP(A4254, IMPORTRANGE(""https://docs.google.com/spreadsheets/d/1-3Vjw2Cyy-mry5gbC8ypIR3YVGFfEpyFESummAta6sg/edit"", ""Sheet1!B:D""), 2, FALSE), ""Not Found"")"),"həski")</f>
        <v>həski</v>
      </c>
      <c r="E4254" s="2" t="str">
        <f>IFERROR(__xludf.DUMMYFUNCTION("IFERROR(VLOOKUP(A4254, IMPORTRANGE(""https://docs.google.com/spreadsheets/d/1-3Vjw2Cyy-mry5gbC8ypIR3YVGFfEpyFESummAta6sg/edit"", ""Sheet1!B:D""), 3, FALSE), ""Not Found"")"),"h ə s k i ")</f>
        <v>h ə s k i </v>
      </c>
    </row>
    <row r="4255">
      <c r="A4255" s="1" t="s">
        <v>4256</v>
      </c>
      <c r="B4255" s="1" t="s">
        <v>5</v>
      </c>
      <c r="C4255" s="2">
        <f>IFERROR(__xludf.DUMMYFUNCTION("IFERROR(VLOOKUP(A4255, IMPORTRANGE(""https://docs.google.com/spreadsheets/d/1AVX9GT0dgogEBStecCXMMQ29tWz3gBrtNB8yIromXbY/edit?gid=741673867"", ""out1g!A:B""), 2, FALSE), 0)"),69.0)</f>
        <v>69</v>
      </c>
      <c r="D4255" s="2" t="str">
        <f>IFERROR(__xludf.DUMMYFUNCTION("IFERROR(VLOOKUP(A4255, IMPORTRANGE(""https://docs.google.com/spreadsheets/d/1-3Vjw2Cyy-mry5gbC8ypIR3YVGFfEpyFESummAta6sg/edit"", ""Sheet1!B:D""), 2, FALSE), ""Not Found"")"),"bænɪʃ")</f>
        <v>bænɪʃ</v>
      </c>
      <c r="E4255" s="2" t="str">
        <f>IFERROR(__xludf.DUMMYFUNCTION("IFERROR(VLOOKUP(A4255, IMPORTRANGE(""https://docs.google.com/spreadsheets/d/1-3Vjw2Cyy-mry5gbC8ypIR3YVGFfEpyFESummAta6sg/edit"", ""Sheet1!B:D""), 3, FALSE), ""Not Found"")"),"b æ n ɪ ʃ ")</f>
        <v>b æ n ɪ ʃ </v>
      </c>
    </row>
    <row r="4256">
      <c r="A4256" s="1" t="s">
        <v>4257</v>
      </c>
      <c r="B4256" s="1" t="s">
        <v>5</v>
      </c>
      <c r="C4256" s="2">
        <f>IFERROR(__xludf.DUMMYFUNCTION("IFERROR(VLOOKUP(A4256, IMPORTRANGE(""https://docs.google.com/spreadsheets/d/1AVX9GT0dgogEBStecCXMMQ29tWz3gBrtNB8yIromXbY/edit?gid=741673867"", ""out1g!A:B""), 2, FALSE), 0)"),151.0)</f>
        <v>151</v>
      </c>
      <c r="D4256" s="2" t="str">
        <f>IFERROR(__xludf.DUMMYFUNCTION("IFERROR(VLOOKUP(A4256, IMPORTRANGE(""https://docs.google.com/spreadsheets/d/1-3Vjw2Cyy-mry5gbC8ypIR3YVGFfEpyFESummAta6sg/edit"", ""Sheet1!B:D""), 2, FALSE), ""Not Found"")"),"kəku")</f>
        <v>kəku</v>
      </c>
      <c r="E4256" s="2" t="str">
        <f>IFERROR(__xludf.DUMMYFUNCTION("IFERROR(VLOOKUP(A4256, IMPORTRANGE(""https://docs.google.com/spreadsheets/d/1-3Vjw2Cyy-mry5gbC8ypIR3YVGFfEpyFESummAta6sg/edit"", ""Sheet1!B:D""), 3, FALSE), ""Not Found"")"),"k ə k u ")</f>
        <v>k ə k u </v>
      </c>
    </row>
    <row r="4257">
      <c r="A4257" s="1" t="s">
        <v>4258</v>
      </c>
      <c r="B4257" s="1" t="s">
        <v>5</v>
      </c>
      <c r="C4257" s="2">
        <f>IFERROR(__xludf.DUMMYFUNCTION("IFERROR(VLOOKUP(A4257, IMPORTRANGE(""https://docs.google.com/spreadsheets/d/1AVX9GT0dgogEBStecCXMMQ29tWz3gBrtNB8yIromXbY/edit?gid=741673867"", ""out1g!A:B""), 2, FALSE), 0)"),4801.0)</f>
        <v>4801</v>
      </c>
      <c r="D4257" s="2" t="str">
        <f>IFERROR(__xludf.DUMMYFUNCTION("IFERROR(VLOOKUP(A4257, IMPORTRANGE(""https://docs.google.com/spreadsheets/d/1-3Vjw2Cyy-mry5gbC8ypIR3YVGFfEpyFESummAta6sg/edit"", ""Sheet1!B:D""), 2, FALSE), ""Not Found"")"),"pɔl")</f>
        <v>pɔl</v>
      </c>
      <c r="E4257" s="2" t="str">
        <f>IFERROR(__xludf.DUMMYFUNCTION("IFERROR(VLOOKUP(A4257, IMPORTRANGE(""https://docs.google.com/spreadsheets/d/1-3Vjw2Cyy-mry5gbC8ypIR3YVGFfEpyFESummAta6sg/edit"", ""Sheet1!B:D""), 3, FALSE), ""Not Found"")"),"p ɔ l ")</f>
        <v>p ɔ l </v>
      </c>
    </row>
    <row r="4258">
      <c r="A4258" s="1" t="s">
        <v>4259</v>
      </c>
      <c r="B4258" s="1" t="s">
        <v>5</v>
      </c>
      <c r="C4258" s="2">
        <f>IFERROR(__xludf.DUMMYFUNCTION("IFERROR(VLOOKUP(A4258, IMPORTRANGE(""https://docs.google.com/spreadsheets/d/1AVX9GT0dgogEBStecCXMMQ29tWz3gBrtNB8yIromXbY/edit?gid=741673867"", ""out1g!A:B""), 2, FALSE), 0)"),270.0)</f>
        <v>270</v>
      </c>
      <c r="D4258" s="2" t="str">
        <f>IFERROR(__xludf.DUMMYFUNCTION("IFERROR(VLOOKUP(A4258, IMPORTRANGE(""https://docs.google.com/spreadsheets/d/1-3Vjw2Cyy-mry5gbC8ypIR3YVGFfEpyFESummAta6sg/edit"", ""Sheet1!B:D""), 2, FALSE), ""Not Found"")"),"doʊs")</f>
        <v>doʊs</v>
      </c>
      <c r="E4258" s="2" t="str">
        <f>IFERROR(__xludf.DUMMYFUNCTION("IFERROR(VLOOKUP(A4258, IMPORTRANGE(""https://docs.google.com/spreadsheets/d/1-3Vjw2Cyy-mry5gbC8ypIR3YVGFfEpyFESummAta6sg/edit"", ""Sheet1!B:D""), 3, FALSE), ""Not Found"")"),"d o ʊ s ")</f>
        <v>d o ʊ s </v>
      </c>
    </row>
    <row r="4259">
      <c r="A4259" s="1" t="s">
        <v>4260</v>
      </c>
      <c r="B4259" s="1" t="s">
        <v>5</v>
      </c>
      <c r="C4259" s="2">
        <f>IFERROR(__xludf.DUMMYFUNCTION("IFERROR(VLOOKUP(A4259, IMPORTRANGE(""https://docs.google.com/spreadsheets/d/1AVX9GT0dgogEBStecCXMMQ29tWz3gBrtNB8yIromXbY/edit?gid=741673867"", ""out1g!A:B""), 2, FALSE), 0)"),58.0)</f>
        <v>58</v>
      </c>
      <c r="D4259" s="2" t="str">
        <f>IFERROR(__xludf.DUMMYFUNCTION("IFERROR(VLOOKUP(A4259, IMPORTRANGE(""https://docs.google.com/spreadsheets/d/1-3Vjw2Cyy-mry5gbC8ypIR3YVGFfEpyFESummAta6sg/edit"", ""Sheet1!B:D""), 2, FALSE), ""Not Found"")"),"list")</f>
        <v>list</v>
      </c>
      <c r="E4259" s="2" t="str">
        <f>IFERROR(__xludf.DUMMYFUNCTION("IFERROR(VLOOKUP(A4259, IMPORTRANGE(""https://docs.google.com/spreadsheets/d/1-3Vjw2Cyy-mry5gbC8ypIR3YVGFfEpyFESummAta6sg/edit"", ""Sheet1!B:D""), 3, FALSE), ""Not Found"")"),"l i s t ")</f>
        <v>l i s t </v>
      </c>
    </row>
    <row r="4260">
      <c r="A4260" s="1" t="s">
        <v>4261</v>
      </c>
      <c r="B4260" s="1" t="s">
        <v>5</v>
      </c>
      <c r="C4260" s="2">
        <f>IFERROR(__xludf.DUMMYFUNCTION("IFERROR(VLOOKUP(A4260, IMPORTRANGE(""https://docs.google.com/spreadsheets/d/1AVX9GT0dgogEBStecCXMMQ29tWz3gBrtNB8yIromXbY/edit?gid=741673867"", ""out1g!A:B""), 2, FALSE), 0)"),452.0)</f>
        <v>452</v>
      </c>
      <c r="D4260" s="2" t="str">
        <f>IFERROR(__xludf.DUMMYFUNCTION("IFERROR(VLOOKUP(A4260, IMPORTRANGE(""https://docs.google.com/spreadsheets/d/1-3Vjw2Cyy-mry5gbC8ypIR3YVGFfEpyFESummAta6sg/edit"", ""Sheet1!B:D""), 2, FALSE), ""Not Found"")"),"daɪəl")</f>
        <v>daɪəl</v>
      </c>
      <c r="E4260" s="2" t="str">
        <f>IFERROR(__xludf.DUMMYFUNCTION("IFERROR(VLOOKUP(A4260, IMPORTRANGE(""https://docs.google.com/spreadsheets/d/1-3Vjw2Cyy-mry5gbC8ypIR3YVGFfEpyFESummAta6sg/edit"", ""Sheet1!B:D""), 3, FALSE), ""Not Found"")"),"d a ɪ ə l ")</f>
        <v>d a ɪ ə l </v>
      </c>
    </row>
    <row r="4261">
      <c r="A4261" s="1" t="s">
        <v>4262</v>
      </c>
      <c r="B4261" s="1" t="s">
        <v>5</v>
      </c>
      <c r="C4261" s="2">
        <f>IFERROR(__xludf.DUMMYFUNCTION("IFERROR(VLOOKUP(A4261, IMPORTRANGE(""https://docs.google.com/spreadsheets/d/1AVX9GT0dgogEBStecCXMMQ29tWz3gBrtNB8yIromXbY/edit?gid=741673867"", ""out1g!A:B""), 2, FALSE), 0)"),100.0)</f>
        <v>100</v>
      </c>
      <c r="D4261" s="2" t="str">
        <f>IFERROR(__xludf.DUMMYFUNCTION("IFERROR(VLOOKUP(A4261, IMPORTRANGE(""https://docs.google.com/spreadsheets/d/1-3Vjw2Cyy-mry5gbC8ypIR3YVGFfEpyFESummAta6sg/edit"", ""Sheet1!B:D""), 2, FALSE), ""Not Found"")"),"dəki")</f>
        <v>dəki</v>
      </c>
      <c r="E4261" s="2" t="str">
        <f>IFERROR(__xludf.DUMMYFUNCTION("IFERROR(VLOOKUP(A4261, IMPORTRANGE(""https://docs.google.com/spreadsheets/d/1-3Vjw2Cyy-mry5gbC8ypIR3YVGFfEpyFESummAta6sg/edit"", ""Sheet1!B:D""), 3, FALSE), ""Not Found"")"),"d ə k i ")</f>
        <v>d ə k i </v>
      </c>
    </row>
    <row r="4262">
      <c r="A4262" s="1" t="s">
        <v>4263</v>
      </c>
      <c r="B4262" s="1" t="s">
        <v>5</v>
      </c>
      <c r="C4262" s="2">
        <f>IFERROR(__xludf.DUMMYFUNCTION("IFERROR(VLOOKUP(A4262, IMPORTRANGE(""https://docs.google.com/spreadsheets/d/1AVX9GT0dgogEBStecCXMMQ29tWz3gBrtNB8yIromXbY/edit?gid=741673867"", ""out1g!A:B""), 2, FALSE), 0)"),4730.0)</f>
        <v>4730</v>
      </c>
      <c r="D4262" s="2" t="str">
        <f>IFERROR(__xludf.DUMMYFUNCTION("IFERROR(VLOOKUP(A4262, IMPORTRANGE(""https://docs.google.com/spreadsheets/d/1-3Vjw2Cyy-mry5gbC8ypIR3YVGFfEpyFESummAta6sg/edit"", ""Sheet1!B:D""), 2, FALSE), ""Not Found"")"),"rɪŋ")</f>
        <v>rɪŋ</v>
      </c>
      <c r="E4262" s="2" t="str">
        <f>IFERROR(__xludf.DUMMYFUNCTION("IFERROR(VLOOKUP(A4262, IMPORTRANGE(""https://docs.google.com/spreadsheets/d/1-3Vjw2Cyy-mry5gbC8ypIR3YVGFfEpyFESummAta6sg/edit"", ""Sheet1!B:D""), 3, FALSE), ""Not Found"")"),"r ɪ ŋ ")</f>
        <v>r ɪ ŋ </v>
      </c>
    </row>
    <row r="4263">
      <c r="A4263" s="1" t="s">
        <v>4264</v>
      </c>
      <c r="B4263" s="1" t="s">
        <v>5</v>
      </c>
      <c r="C4263" s="2">
        <f>IFERROR(__xludf.DUMMYFUNCTION("IFERROR(VLOOKUP(A4263, IMPORTRANGE(""https://docs.google.com/spreadsheets/d/1AVX9GT0dgogEBStecCXMMQ29tWz3gBrtNB8yIromXbY/edit?gid=741673867"", ""out1g!A:B""), 2, FALSE), 0)"),127.0)</f>
        <v>127</v>
      </c>
      <c r="D4263" s="2" t="str">
        <f>IFERROR(__xludf.DUMMYFUNCTION("IFERROR(VLOOKUP(A4263, IMPORTRANGE(""https://docs.google.com/spreadsheets/d/1-3Vjw2Cyy-mry5gbC8ypIR3YVGFfEpyFESummAta6sg/edit"", ""Sheet1!B:D""), 2, FALSE), ""Not Found"")"),"poʊl")</f>
        <v>poʊl</v>
      </c>
      <c r="E4263" s="2" t="str">
        <f>IFERROR(__xludf.DUMMYFUNCTION("IFERROR(VLOOKUP(A4263, IMPORTRANGE(""https://docs.google.com/spreadsheets/d/1-3Vjw2Cyy-mry5gbC8ypIR3YVGFfEpyFESummAta6sg/edit"", ""Sheet1!B:D""), 3, FALSE), ""Not Found"")"),"p o ʊ l ")</f>
        <v>p o ʊ l </v>
      </c>
    </row>
    <row r="4264">
      <c r="A4264" s="1" t="s">
        <v>4265</v>
      </c>
      <c r="B4264" s="1" t="s">
        <v>5</v>
      </c>
      <c r="C4264" s="2">
        <f>IFERROR(__xludf.DUMMYFUNCTION("IFERROR(VLOOKUP(A4264, IMPORTRANGE(""https://docs.google.com/spreadsheets/d/1AVX9GT0dgogEBStecCXMMQ29tWz3gBrtNB8yIromXbY/edit?gid=741673867"", ""out1g!A:B""), 2, FALSE), 0)"),54.0)</f>
        <v>54</v>
      </c>
      <c r="D4264" s="2" t="str">
        <f>IFERROR(__xludf.DUMMYFUNCTION("IFERROR(VLOOKUP(A4264, IMPORTRANGE(""https://docs.google.com/spreadsheets/d/1-3Vjw2Cyy-mry5gbC8ypIR3YVGFfEpyFESummAta6sg/edit"", ""Sheet1!B:D""), 2, FALSE), ""Not Found"")"),"mɑli")</f>
        <v>mɑli</v>
      </c>
      <c r="E4264" s="2" t="str">
        <f>IFERROR(__xludf.DUMMYFUNCTION("IFERROR(VLOOKUP(A4264, IMPORTRANGE(""https://docs.google.com/spreadsheets/d/1-3Vjw2Cyy-mry5gbC8ypIR3YVGFfEpyFESummAta6sg/edit"", ""Sheet1!B:D""), 3, FALSE), ""Not Found"")"),"m ɑ l i ")</f>
        <v>m ɑ l i </v>
      </c>
    </row>
    <row r="4265">
      <c r="A4265" s="1" t="s">
        <v>4266</v>
      </c>
      <c r="B4265" s="1" t="s">
        <v>5</v>
      </c>
      <c r="C4265" s="2">
        <f>IFERROR(__xludf.DUMMYFUNCTION("IFERROR(VLOOKUP(A4265, IMPORTRANGE(""https://docs.google.com/spreadsheets/d/1AVX9GT0dgogEBStecCXMMQ29tWz3gBrtNB8yIromXbY/edit?gid=741673867"", ""out1g!A:B""), 2, FALSE), 0)"),1813.0)</f>
        <v>1813</v>
      </c>
      <c r="D4265" s="2" t="str">
        <f>IFERROR(__xludf.DUMMYFUNCTION("IFERROR(VLOOKUP(A4265, IMPORTRANGE(""https://docs.google.com/spreadsheets/d/1-3Vjw2Cyy-mry5gbC8ypIR3YVGFfEpyFESummAta6sg/edit"", ""Sheet1!B:D""), 2, FALSE), ""Not Found"")"),"braɪən")</f>
        <v>braɪən</v>
      </c>
      <c r="E4265" s="2" t="str">
        <f>IFERROR(__xludf.DUMMYFUNCTION("IFERROR(VLOOKUP(A4265, IMPORTRANGE(""https://docs.google.com/spreadsheets/d/1-3Vjw2Cyy-mry5gbC8ypIR3YVGFfEpyFESummAta6sg/edit"", ""Sheet1!B:D""), 3, FALSE), ""Not Found"")"),"b r a ɪ ə n ")</f>
        <v>b r a ɪ ə n </v>
      </c>
    </row>
    <row r="4266">
      <c r="A4266" s="1" t="s">
        <v>4267</v>
      </c>
      <c r="B4266" s="1" t="s">
        <v>5</v>
      </c>
      <c r="C4266" s="2">
        <f>IFERROR(__xludf.DUMMYFUNCTION("IFERROR(VLOOKUP(A4266, IMPORTRANGE(""https://docs.google.com/spreadsheets/d/1AVX9GT0dgogEBStecCXMMQ29tWz3gBrtNB8yIromXbY/edit?gid=741673867"", ""out1g!A:B""), 2, FALSE), 0)"),130.0)</f>
        <v>130</v>
      </c>
      <c r="D4266" s="2" t="str">
        <f>IFERROR(__xludf.DUMMYFUNCTION("IFERROR(VLOOKUP(A4266, IMPORTRANGE(""https://docs.google.com/spreadsheets/d/1-3Vjw2Cyy-mry5gbC8ypIR3YVGFfEpyFESummAta6sg/edit"", ""Sheet1!B:D""), 2, FALSE), ""Not Found"")"),"zɛn")</f>
        <v>zɛn</v>
      </c>
      <c r="E4266" s="2" t="str">
        <f>IFERROR(__xludf.DUMMYFUNCTION("IFERROR(VLOOKUP(A4266, IMPORTRANGE(""https://docs.google.com/spreadsheets/d/1-3Vjw2Cyy-mry5gbC8ypIR3YVGFfEpyFESummAta6sg/edit"", ""Sheet1!B:D""), 3, FALSE), ""Not Found"")"),"z ɛ n ")</f>
        <v>z ɛ n </v>
      </c>
    </row>
    <row r="4267">
      <c r="A4267" s="1" t="s">
        <v>4268</v>
      </c>
      <c r="B4267" s="1" t="s">
        <v>5</v>
      </c>
      <c r="C4267" s="2">
        <f>IFERROR(__xludf.DUMMYFUNCTION("IFERROR(VLOOKUP(A4267, IMPORTRANGE(""https://docs.google.com/spreadsheets/d/1AVX9GT0dgogEBStecCXMMQ29tWz3gBrtNB8yIromXbY/edit?gid=741673867"", ""out1g!A:B""), 2, FALSE), 0)"),1391.0)</f>
        <v>1391</v>
      </c>
      <c r="D4267" s="2" t="str">
        <f>IFERROR(__xludf.DUMMYFUNCTION("IFERROR(VLOOKUP(A4267, IMPORTRANGE(""https://docs.google.com/spreadsheets/d/1-3Vjw2Cyy-mry5gbC8ypIR3YVGFfEpyFESummAta6sg/edit"", ""Sheet1!B:D""), 2, FALSE), ""Not Found"")"),"smɛlz")</f>
        <v>smɛlz</v>
      </c>
      <c r="E4267" s="2" t="str">
        <f>IFERROR(__xludf.DUMMYFUNCTION("IFERROR(VLOOKUP(A4267, IMPORTRANGE(""https://docs.google.com/spreadsheets/d/1-3Vjw2Cyy-mry5gbC8ypIR3YVGFfEpyFESummAta6sg/edit"", ""Sheet1!B:D""), 3, FALSE), ""Not Found"")"),"s m ɛ l z ")</f>
        <v>s m ɛ l z </v>
      </c>
    </row>
    <row r="4268">
      <c r="A4268" s="1" t="s">
        <v>4269</v>
      </c>
      <c r="B4268" s="1" t="s">
        <v>5</v>
      </c>
      <c r="C4268" s="2">
        <f>IFERROR(__xludf.DUMMYFUNCTION("IFERROR(VLOOKUP(A4268, IMPORTRANGE(""https://docs.google.com/spreadsheets/d/1AVX9GT0dgogEBStecCXMMQ29tWz3gBrtNB8yIromXbY/edit?gid=741673867"", ""out1g!A:B""), 2, FALSE), 0)"),223.0)</f>
        <v>223</v>
      </c>
      <c r="D4268" s="2" t="str">
        <f>IFERROR(__xludf.DUMMYFUNCTION("IFERROR(VLOOKUP(A4268, IMPORTRANGE(""https://docs.google.com/spreadsheets/d/1-3Vjw2Cyy-mry5gbC8ypIR3YVGFfEpyFESummAta6sg/edit"", ""Sheet1!B:D""), 2, FALSE), ""Not Found"")"),"ʤərks")</f>
        <v>ʤərks</v>
      </c>
      <c r="E4268" s="2" t="str">
        <f>IFERROR(__xludf.DUMMYFUNCTION("IFERROR(VLOOKUP(A4268, IMPORTRANGE(""https://docs.google.com/spreadsheets/d/1-3Vjw2Cyy-mry5gbC8ypIR3YVGFfEpyFESummAta6sg/edit"", ""Sheet1!B:D""), 3, FALSE), ""Not Found"")"),"ʤ ə r k s ")</f>
        <v>ʤ ə r k s </v>
      </c>
    </row>
    <row r="4269">
      <c r="A4269" s="1" t="s">
        <v>4270</v>
      </c>
      <c r="B4269" s="1" t="s">
        <v>5</v>
      </c>
      <c r="C4269" s="2">
        <f>IFERROR(__xludf.DUMMYFUNCTION("IFERROR(VLOOKUP(A4269, IMPORTRANGE(""https://docs.google.com/spreadsheets/d/1AVX9GT0dgogEBStecCXMMQ29tWz3gBrtNB8yIromXbY/edit?gid=741673867"", ""out1g!A:B""), 2, FALSE), 0)"),1207.0)</f>
        <v>1207</v>
      </c>
      <c r="D4269" s="2" t="str">
        <f>IFERROR(__xludf.DUMMYFUNCTION("IFERROR(VLOOKUP(A4269, IMPORTRANGE(""https://docs.google.com/spreadsheets/d/1-3Vjw2Cyy-mry5gbC8ypIR3YVGFfEpyFESummAta6sg/edit"", ""Sheet1!B:D""), 2, FALSE), ""Not Found"")"),"æpəl")</f>
        <v>æpəl</v>
      </c>
      <c r="E4269" s="2" t="str">
        <f>IFERROR(__xludf.DUMMYFUNCTION("IFERROR(VLOOKUP(A4269, IMPORTRANGE(""https://docs.google.com/spreadsheets/d/1-3Vjw2Cyy-mry5gbC8ypIR3YVGFfEpyFESummAta6sg/edit"", ""Sheet1!B:D""), 3, FALSE), ""Not Found"")"),"æ p ə l ")</f>
        <v>æ p ə l </v>
      </c>
    </row>
    <row r="4270">
      <c r="A4270" s="1" t="s">
        <v>4271</v>
      </c>
      <c r="B4270" s="1" t="s">
        <v>5</v>
      </c>
      <c r="C4270" s="2">
        <f>IFERROR(__xludf.DUMMYFUNCTION("IFERROR(VLOOKUP(A4270, IMPORTRANGE(""https://docs.google.com/spreadsheets/d/1AVX9GT0dgogEBStecCXMMQ29tWz3gBrtNB8yIromXbY/edit?gid=741673867"", ""out1g!A:B""), 2, FALSE), 0)"),888.0)</f>
        <v>888</v>
      </c>
      <c r="D4270" s="2" t="str">
        <f>IFERROR(__xludf.DUMMYFUNCTION("IFERROR(VLOOKUP(A4270, IMPORTRANGE(""https://docs.google.com/spreadsheets/d/1-3Vjw2Cyy-mry5gbC8ypIR3YVGFfEpyFESummAta6sg/edit"", ""Sheet1!B:D""), 2, FALSE), ""Not Found"")"),"pæʧ")</f>
        <v>pæʧ</v>
      </c>
      <c r="E4270" s="2" t="str">
        <f>IFERROR(__xludf.DUMMYFUNCTION("IFERROR(VLOOKUP(A4270, IMPORTRANGE(""https://docs.google.com/spreadsheets/d/1-3Vjw2Cyy-mry5gbC8ypIR3YVGFfEpyFESummAta6sg/edit"", ""Sheet1!B:D""), 3, FALSE), ""Not Found"")"),"p æ ʧ ")</f>
        <v>p æ ʧ </v>
      </c>
    </row>
    <row r="4271">
      <c r="A4271" s="1" t="s">
        <v>4272</v>
      </c>
      <c r="B4271" s="1" t="s">
        <v>5</v>
      </c>
      <c r="C4271" s="2">
        <f>IFERROR(__xludf.DUMMYFUNCTION("IFERROR(VLOOKUP(A4271, IMPORTRANGE(""https://docs.google.com/spreadsheets/d/1AVX9GT0dgogEBStecCXMMQ29tWz3gBrtNB8yIromXbY/edit?gid=741673867"", ""out1g!A:B""), 2, FALSE), 0)"),4472.0)</f>
        <v>4472</v>
      </c>
      <c r="D4271" s="2" t="str">
        <f>IFERROR(__xludf.DUMMYFUNCTION("IFERROR(VLOOKUP(A4271, IMPORTRANGE(""https://docs.google.com/spreadsheets/d/1-3Vjw2Cyy-mry5gbC8ypIR3YVGFfEpyFESummAta6sg/edit"", ""Sheet1!B:D""), 2, FALSE), ""Not Found"")"),"laɪɪŋ")</f>
        <v>laɪɪŋ</v>
      </c>
      <c r="E4271" s="2" t="str">
        <f>IFERROR(__xludf.DUMMYFUNCTION("IFERROR(VLOOKUP(A4271, IMPORTRANGE(""https://docs.google.com/spreadsheets/d/1-3Vjw2Cyy-mry5gbC8ypIR3YVGFfEpyFESummAta6sg/edit"", ""Sheet1!B:D""), 3, FALSE), ""Not Found"")"),"l a ɪ ɪ ŋ ")</f>
        <v>l a ɪ ɪ ŋ </v>
      </c>
    </row>
    <row r="4272">
      <c r="A4272" s="1" t="s">
        <v>4273</v>
      </c>
      <c r="B4272" s="1" t="s">
        <v>5</v>
      </c>
      <c r="C4272" s="2">
        <f>IFERROR(__xludf.DUMMYFUNCTION("IFERROR(VLOOKUP(A4272, IMPORTRANGE(""https://docs.google.com/spreadsheets/d/1AVX9GT0dgogEBStecCXMMQ29tWz3gBrtNB8yIromXbY/edit?gid=741673867"", ""out1g!A:B""), 2, FALSE), 0)"),221.0)</f>
        <v>221</v>
      </c>
      <c r="D4272" s="2" t="str">
        <f>IFERROR(__xludf.DUMMYFUNCTION("IFERROR(VLOOKUP(A4272, IMPORTRANGE(""https://docs.google.com/spreadsheets/d/1-3Vjw2Cyy-mry5gbC8ypIR3YVGFfEpyFESummAta6sg/edit"", ""Sheet1!B:D""), 2, FALSE), ""Not Found"")"),"doʊ")</f>
        <v>doʊ</v>
      </c>
      <c r="E4272" s="2" t="str">
        <f>IFERROR(__xludf.DUMMYFUNCTION("IFERROR(VLOOKUP(A4272, IMPORTRANGE(""https://docs.google.com/spreadsheets/d/1-3Vjw2Cyy-mry5gbC8ypIR3YVGFfEpyFESummAta6sg/edit"", ""Sheet1!B:D""), 3, FALSE), ""Not Found"")"),"d o ʊ ")</f>
        <v>d o ʊ </v>
      </c>
    </row>
    <row r="4273">
      <c r="A4273" s="1" t="s">
        <v>4274</v>
      </c>
      <c r="B4273" s="1" t="s">
        <v>5</v>
      </c>
      <c r="C4273" s="2">
        <f>IFERROR(__xludf.DUMMYFUNCTION("IFERROR(VLOOKUP(A4273, IMPORTRANGE(""https://docs.google.com/spreadsheets/d/1AVX9GT0dgogEBStecCXMMQ29tWz3gBrtNB8yIromXbY/edit?gid=741673867"", ""out1g!A:B""), 2, FALSE), 0)"),1096.0)</f>
        <v>1096</v>
      </c>
      <c r="D4273" s="2" t="str">
        <f>IFERROR(__xludf.DUMMYFUNCTION("IFERROR(VLOOKUP(A4273, IMPORTRANGE(""https://docs.google.com/spreadsheets/d/1-3Vjw2Cyy-mry5gbC8ypIR3YVGFfEpyFESummAta6sg/edit"", ""Sheet1!B:D""), 2, FALSE), ""Not Found"")"),"glɔri")</f>
        <v>glɔri</v>
      </c>
      <c r="E4273" s="2" t="str">
        <f>IFERROR(__xludf.DUMMYFUNCTION("IFERROR(VLOOKUP(A4273, IMPORTRANGE(""https://docs.google.com/spreadsheets/d/1-3Vjw2Cyy-mry5gbC8ypIR3YVGFfEpyFESummAta6sg/edit"", ""Sheet1!B:D""), 3, FALSE), ""Not Found"")"),"g l ɔ r i ")</f>
        <v>g l ɔ r i </v>
      </c>
    </row>
    <row r="4274">
      <c r="A4274" s="1" t="s">
        <v>4275</v>
      </c>
      <c r="B4274" s="1" t="s">
        <v>5</v>
      </c>
      <c r="C4274" s="2">
        <f>IFERROR(__xludf.DUMMYFUNCTION("IFERROR(VLOOKUP(A4274, IMPORTRANGE(""https://docs.google.com/spreadsheets/d/1AVX9GT0dgogEBStecCXMMQ29tWz3gBrtNB8yIromXbY/edit?gid=741673867"", ""out1g!A:B""), 2, FALSE), 0)"),209.0)</f>
        <v>209</v>
      </c>
      <c r="D4274" s="2" t="str">
        <f>IFERROR(__xludf.DUMMYFUNCTION("IFERROR(VLOOKUP(A4274, IMPORTRANGE(""https://docs.google.com/spreadsheets/d/1-3Vjw2Cyy-mry5gbC8ypIR3YVGFfEpyFESummAta6sg/edit"", ""Sheet1!B:D""), 2, FALSE), ""Not Found"")"),"vɔɪd")</f>
        <v>vɔɪd</v>
      </c>
      <c r="E4274" s="2" t="str">
        <f>IFERROR(__xludf.DUMMYFUNCTION("IFERROR(VLOOKUP(A4274, IMPORTRANGE(""https://docs.google.com/spreadsheets/d/1-3Vjw2Cyy-mry5gbC8ypIR3YVGFfEpyFESummAta6sg/edit"", ""Sheet1!B:D""), 3, FALSE), ""Not Found"")"),"v ɔ ɪ d ")</f>
        <v>v ɔ ɪ d </v>
      </c>
    </row>
    <row r="4275">
      <c r="A4275" s="1" t="s">
        <v>4276</v>
      </c>
      <c r="B4275" s="1" t="s">
        <v>5</v>
      </c>
      <c r="C4275" s="2">
        <f>IFERROR(__xludf.DUMMYFUNCTION("IFERROR(VLOOKUP(A4275, IMPORTRANGE(""https://docs.google.com/spreadsheets/d/1AVX9GT0dgogEBStecCXMMQ29tWz3gBrtNB8yIromXbY/edit?gid=741673867"", ""out1g!A:B""), 2, FALSE), 0)"),146.0)</f>
        <v>146</v>
      </c>
      <c r="D4275" s="2" t="str">
        <f>IFERROR(__xludf.DUMMYFUNCTION("IFERROR(VLOOKUP(A4275, IMPORTRANGE(""https://docs.google.com/spreadsheets/d/1-3Vjw2Cyy-mry5gbC8ypIR3YVGFfEpyFESummAta6sg/edit"", ""Sheet1!B:D""), 2, FALSE), ""Not Found"")"),"kæspər")</f>
        <v>kæspər</v>
      </c>
      <c r="E4275" s="2" t="str">
        <f>IFERROR(__xludf.DUMMYFUNCTION("IFERROR(VLOOKUP(A4275, IMPORTRANGE(""https://docs.google.com/spreadsheets/d/1-3Vjw2Cyy-mry5gbC8ypIR3YVGFfEpyFESummAta6sg/edit"", ""Sheet1!B:D""), 3, FALSE), ""Not Found"")"),"k æ s p ə r ")</f>
        <v>k æ s p ə r </v>
      </c>
    </row>
    <row r="4276">
      <c r="A4276" s="1" t="s">
        <v>4277</v>
      </c>
      <c r="B4276" s="1" t="s">
        <v>5</v>
      </c>
      <c r="C4276" s="2">
        <f>IFERROR(__xludf.DUMMYFUNCTION("IFERROR(VLOOKUP(A4276, IMPORTRANGE(""https://docs.google.com/spreadsheets/d/1AVX9GT0dgogEBStecCXMMQ29tWz3gBrtNB8yIromXbY/edit?gid=741673867"", ""out1g!A:B""), 2, FALSE), 0)"),13.0)</f>
        <v>13</v>
      </c>
      <c r="D4276" s="2" t="str">
        <f>IFERROR(__xludf.DUMMYFUNCTION("IFERROR(VLOOKUP(A4276, IMPORTRANGE(""https://docs.google.com/spreadsheets/d/1-3Vjw2Cyy-mry5gbC8ypIR3YVGFfEpyFESummAta6sg/edit"", ""Sheet1!B:D""), 2, FALSE), ""Not Found"")"),"flaɪd")</f>
        <v>flaɪd</v>
      </c>
      <c r="E4276" s="2" t="str">
        <f>IFERROR(__xludf.DUMMYFUNCTION("IFERROR(VLOOKUP(A4276, IMPORTRANGE(""https://docs.google.com/spreadsheets/d/1-3Vjw2Cyy-mry5gbC8ypIR3YVGFfEpyFESummAta6sg/edit"", ""Sheet1!B:D""), 3, FALSE), ""Not Found"")"),"f l a ɪ d ")</f>
        <v>f l a ɪ d </v>
      </c>
    </row>
    <row r="4277">
      <c r="A4277" s="1" t="s">
        <v>4278</v>
      </c>
      <c r="B4277" s="1" t="s">
        <v>5</v>
      </c>
      <c r="C4277" s="2">
        <f>IFERROR(__xludf.DUMMYFUNCTION("IFERROR(VLOOKUP(A4277, IMPORTRANGE(""https://docs.google.com/spreadsheets/d/1AVX9GT0dgogEBStecCXMMQ29tWz3gBrtNB8yIromXbY/edit?gid=741673867"", ""out1g!A:B""), 2, FALSE), 0)"),1888.0)</f>
        <v>1888</v>
      </c>
      <c r="D4277" s="2" t="str">
        <f>IFERROR(__xludf.DUMMYFUNCTION("IFERROR(VLOOKUP(A4277, IMPORTRANGE(""https://docs.google.com/spreadsheets/d/1-3Vjw2Cyy-mry5gbC8ypIR3YVGFfEpyFESummAta6sg/edit"", ""Sheet1!B:D""), 2, FALSE), ""Not Found"")"),"sunər")</f>
        <v>sunər</v>
      </c>
      <c r="E4277" s="2" t="str">
        <f>IFERROR(__xludf.DUMMYFUNCTION("IFERROR(VLOOKUP(A4277, IMPORTRANGE(""https://docs.google.com/spreadsheets/d/1-3Vjw2Cyy-mry5gbC8ypIR3YVGFfEpyFESummAta6sg/edit"", ""Sheet1!B:D""), 3, FALSE), ""Not Found"")"),"s u n ə r ")</f>
        <v>s u n ə r </v>
      </c>
    </row>
    <row r="4278">
      <c r="A4278" s="1" t="s">
        <v>4279</v>
      </c>
      <c r="B4278" s="1" t="s">
        <v>5</v>
      </c>
      <c r="C4278" s="2">
        <f>IFERROR(__xludf.DUMMYFUNCTION("IFERROR(VLOOKUP(A4278, IMPORTRANGE(""https://docs.google.com/spreadsheets/d/1AVX9GT0dgogEBStecCXMMQ29tWz3gBrtNB8yIromXbY/edit?gid=741673867"", ""out1g!A:B""), 2, FALSE), 0)"),783.0)</f>
        <v>783</v>
      </c>
      <c r="D4278" s="2" t="str">
        <f>IFERROR(__xludf.DUMMYFUNCTION("IFERROR(VLOOKUP(A4278, IMPORTRANGE(""https://docs.google.com/spreadsheets/d/1-3Vjw2Cyy-mry5gbC8ypIR3YVGFfEpyFESummAta6sg/edit"", ""Sheet1!B:D""), 2, FALSE), ""Not Found"")"),"ərn")</f>
        <v>ərn</v>
      </c>
      <c r="E4278" s="2" t="str">
        <f>IFERROR(__xludf.DUMMYFUNCTION("IFERROR(VLOOKUP(A4278, IMPORTRANGE(""https://docs.google.com/spreadsheets/d/1-3Vjw2Cyy-mry5gbC8ypIR3YVGFfEpyFESummAta6sg/edit"", ""Sheet1!B:D""), 3, FALSE), ""Not Found"")"),"ə r n ")</f>
        <v>ə r n </v>
      </c>
    </row>
    <row r="4279">
      <c r="A4279" s="1" t="s">
        <v>4280</v>
      </c>
      <c r="B4279" s="1" t="s">
        <v>5</v>
      </c>
      <c r="C4279" s="2">
        <f>IFERROR(__xludf.DUMMYFUNCTION("IFERROR(VLOOKUP(A4279, IMPORTRANGE(""https://docs.google.com/spreadsheets/d/1AVX9GT0dgogEBStecCXMMQ29tWz3gBrtNB8yIromXbY/edit?gid=741673867"", ""out1g!A:B""), 2, FALSE), 0)"),64.0)</f>
        <v>64</v>
      </c>
      <c r="D4279" s="2" t="str">
        <f>IFERROR(__xludf.DUMMYFUNCTION("IFERROR(VLOOKUP(A4279, IMPORTRANGE(""https://docs.google.com/spreadsheets/d/1-3Vjw2Cyy-mry5gbC8ypIR3YVGFfEpyFESummAta6sg/edit"", ""Sheet1!B:D""), 2, FALSE), ""Not Found"")"),"pupt")</f>
        <v>pupt</v>
      </c>
      <c r="E4279" s="2" t="str">
        <f>IFERROR(__xludf.DUMMYFUNCTION("IFERROR(VLOOKUP(A4279, IMPORTRANGE(""https://docs.google.com/spreadsheets/d/1-3Vjw2Cyy-mry5gbC8ypIR3YVGFfEpyFESummAta6sg/edit"", ""Sheet1!B:D""), 3, FALSE), ""Not Found"")"),"p u p t ")</f>
        <v>p u p t </v>
      </c>
    </row>
    <row r="4280">
      <c r="A4280" s="1" t="s">
        <v>4281</v>
      </c>
      <c r="B4280" s="1" t="s">
        <v>5</v>
      </c>
      <c r="C4280" s="2">
        <f>IFERROR(__xludf.DUMMYFUNCTION("IFERROR(VLOOKUP(A4280, IMPORTRANGE(""https://docs.google.com/spreadsheets/d/1AVX9GT0dgogEBStecCXMMQ29tWz3gBrtNB8yIromXbY/edit?gid=741673867"", ""out1g!A:B""), 2, FALSE), 0)"),47.0)</f>
        <v>47</v>
      </c>
      <c r="D4280" s="2" t="str">
        <f>IFERROR(__xludf.DUMMYFUNCTION("IFERROR(VLOOKUP(A4280, IMPORTRANGE(""https://docs.google.com/spreadsheets/d/1-3Vjw2Cyy-mry5gbC8ypIR3YVGFfEpyFESummAta6sg/edit"", ""Sheet1!B:D""), 2, FALSE), ""Not Found"")"),"kərld")</f>
        <v>kərld</v>
      </c>
      <c r="E4280" s="2" t="str">
        <f>IFERROR(__xludf.DUMMYFUNCTION("IFERROR(VLOOKUP(A4280, IMPORTRANGE(""https://docs.google.com/spreadsheets/d/1-3Vjw2Cyy-mry5gbC8ypIR3YVGFfEpyFESummAta6sg/edit"", ""Sheet1!B:D""), 3, FALSE), ""Not Found"")"),"k ə r l d ")</f>
        <v>k ə r l d </v>
      </c>
    </row>
    <row r="4281">
      <c r="A4281" s="1" t="s">
        <v>4282</v>
      </c>
      <c r="B4281" s="1" t="s">
        <v>5</v>
      </c>
      <c r="C4281" s="2">
        <f>IFERROR(__xludf.DUMMYFUNCTION("IFERROR(VLOOKUP(A4281, IMPORTRANGE(""https://docs.google.com/spreadsheets/d/1AVX9GT0dgogEBStecCXMMQ29tWz3gBrtNB8yIromXbY/edit?gid=741673867"", ""out1g!A:B""), 2, FALSE), 0)"),83.0)</f>
        <v>83</v>
      </c>
      <c r="D4281" s="2" t="str">
        <f>IFERROR(__xludf.DUMMYFUNCTION("IFERROR(VLOOKUP(A4281, IMPORTRANGE(""https://docs.google.com/spreadsheets/d/1-3Vjw2Cyy-mry5gbC8ypIR3YVGFfEpyFESummAta6sg/edit"", ""Sheet1!B:D""), 2, FALSE), ""Not Found"")"),"nɪks")</f>
        <v>nɪks</v>
      </c>
      <c r="E4281" s="2" t="str">
        <f>IFERROR(__xludf.DUMMYFUNCTION("IFERROR(VLOOKUP(A4281, IMPORTRANGE(""https://docs.google.com/spreadsheets/d/1-3Vjw2Cyy-mry5gbC8ypIR3YVGFfEpyFESummAta6sg/edit"", ""Sheet1!B:D""), 3, FALSE), ""Not Found"")"),"n ɪ k s ")</f>
        <v>n ɪ k s </v>
      </c>
    </row>
    <row r="4282">
      <c r="A4282" s="1" t="s">
        <v>4283</v>
      </c>
      <c r="B4282" s="1" t="s">
        <v>5</v>
      </c>
      <c r="C4282" s="2">
        <f>IFERROR(__xludf.DUMMYFUNCTION("IFERROR(VLOOKUP(A4282, IMPORTRANGE(""https://docs.google.com/spreadsheets/d/1AVX9GT0dgogEBStecCXMMQ29tWz3gBrtNB8yIromXbY/edit?gid=741673867"", ""out1g!A:B""), 2, FALSE), 0)"),2990.0)</f>
        <v>2990</v>
      </c>
      <c r="D4282" s="2" t="str">
        <f>IFERROR(__xludf.DUMMYFUNCTION("IFERROR(VLOOKUP(A4282, IMPORTRANGE(""https://docs.google.com/spreadsheets/d/1-3Vjw2Cyy-mry5gbC8ypIR3YVGFfEpyFESummAta6sg/edit"", ""Sheet1!B:D""), 2, FALSE), ""Not Found"")"),"klɑk")</f>
        <v>klɑk</v>
      </c>
      <c r="E4282" s="2" t="str">
        <f>IFERROR(__xludf.DUMMYFUNCTION("IFERROR(VLOOKUP(A4282, IMPORTRANGE(""https://docs.google.com/spreadsheets/d/1-3Vjw2Cyy-mry5gbC8ypIR3YVGFfEpyFESummAta6sg/edit"", ""Sheet1!B:D""), 3, FALSE), ""Not Found"")"),"k l ɑ k ")</f>
        <v>k l ɑ k </v>
      </c>
    </row>
    <row r="4283">
      <c r="A4283" s="1" t="s">
        <v>4284</v>
      </c>
      <c r="B4283" s="1" t="s">
        <v>5</v>
      </c>
      <c r="C4283" s="2">
        <f>IFERROR(__xludf.DUMMYFUNCTION("IFERROR(VLOOKUP(A4283, IMPORTRANGE(""https://docs.google.com/spreadsheets/d/1AVX9GT0dgogEBStecCXMMQ29tWz3gBrtNB8yIromXbY/edit?gid=741673867"", ""out1g!A:B""), 2, FALSE), 0)"),70.0)</f>
        <v>70</v>
      </c>
      <c r="D4283" s="2" t="str">
        <f>IFERROR(__xludf.DUMMYFUNCTION("IFERROR(VLOOKUP(A4283, IMPORTRANGE(""https://docs.google.com/spreadsheets/d/1-3Vjw2Cyy-mry5gbC8ypIR3YVGFfEpyFESummAta6sg/edit"", ""Sheet1!B:D""), 2, FALSE), ""Not Found"")"),"mɪt")</f>
        <v>mɪt</v>
      </c>
      <c r="E4283" s="2" t="str">
        <f>IFERROR(__xludf.DUMMYFUNCTION("IFERROR(VLOOKUP(A4283, IMPORTRANGE(""https://docs.google.com/spreadsheets/d/1-3Vjw2Cyy-mry5gbC8ypIR3YVGFfEpyFESummAta6sg/edit"", ""Sheet1!B:D""), 3, FALSE), ""Not Found"")"),"m ɪ t ")</f>
        <v>m ɪ t </v>
      </c>
    </row>
    <row r="4284">
      <c r="A4284" s="1" t="s">
        <v>4285</v>
      </c>
      <c r="B4284" s="1" t="s">
        <v>5</v>
      </c>
      <c r="C4284" s="2">
        <f>IFERROR(__xludf.DUMMYFUNCTION("IFERROR(VLOOKUP(A4284, IMPORTRANGE(""https://docs.google.com/spreadsheets/d/1AVX9GT0dgogEBStecCXMMQ29tWz3gBrtNB8yIromXbY/edit?gid=741673867"", ""out1g!A:B""), 2, FALSE), 0)"),212.0)</f>
        <v>212</v>
      </c>
      <c r="D4284" s="2" t="str">
        <f>IFERROR(__xludf.DUMMYFUNCTION("IFERROR(VLOOKUP(A4284, IMPORTRANGE(""https://docs.google.com/spreadsheets/d/1-3Vjw2Cyy-mry5gbC8ypIR3YVGFfEpyFESummAta6sg/edit"", ""Sheet1!B:D""), 2, FALSE), ""Not Found"")"),"bæʧ")</f>
        <v>bæʧ</v>
      </c>
      <c r="E4284" s="2" t="str">
        <f>IFERROR(__xludf.DUMMYFUNCTION("IFERROR(VLOOKUP(A4284, IMPORTRANGE(""https://docs.google.com/spreadsheets/d/1-3Vjw2Cyy-mry5gbC8ypIR3YVGFfEpyFESummAta6sg/edit"", ""Sheet1!B:D""), 3, FALSE), ""Not Found"")"),"b æ ʧ ")</f>
        <v>b æ ʧ </v>
      </c>
    </row>
    <row r="4285">
      <c r="A4285" s="1" t="s">
        <v>4286</v>
      </c>
      <c r="B4285" s="1" t="s">
        <v>5</v>
      </c>
      <c r="C4285" s="2">
        <f>IFERROR(__xludf.DUMMYFUNCTION("IFERROR(VLOOKUP(A4285, IMPORTRANGE(""https://docs.google.com/spreadsheets/d/1AVX9GT0dgogEBStecCXMMQ29tWz3gBrtNB8yIromXbY/edit?gid=741673867"", ""out1g!A:B""), 2, FALSE), 0)"),48.0)</f>
        <v>48</v>
      </c>
      <c r="D4285" s="2" t="str">
        <f>IFERROR(__xludf.DUMMYFUNCTION("IFERROR(VLOOKUP(A4285, IMPORTRANGE(""https://docs.google.com/spreadsheets/d/1-3Vjw2Cyy-mry5gbC8ypIR3YVGFfEpyFESummAta6sg/edit"", ""Sheet1!B:D""), 2, FALSE), ""Not Found"")"),"nin")</f>
        <v>nin</v>
      </c>
      <c r="E4285" s="2" t="str">
        <f>IFERROR(__xludf.DUMMYFUNCTION("IFERROR(VLOOKUP(A4285, IMPORTRANGE(""https://docs.google.com/spreadsheets/d/1-3Vjw2Cyy-mry5gbC8ypIR3YVGFfEpyFESummAta6sg/edit"", ""Sheet1!B:D""), 3, FALSE), ""Not Found"")"),"n i n ")</f>
        <v>n i n </v>
      </c>
    </row>
    <row r="4286">
      <c r="A4286" s="1" t="s">
        <v>4287</v>
      </c>
      <c r="B4286" s="1" t="s">
        <v>5</v>
      </c>
      <c r="C4286" s="2">
        <f>IFERROR(__xludf.DUMMYFUNCTION("IFERROR(VLOOKUP(A4286, IMPORTRANGE(""https://docs.google.com/spreadsheets/d/1AVX9GT0dgogEBStecCXMMQ29tWz3gBrtNB8yIromXbY/edit?gid=741673867"", ""out1g!A:B""), 2, FALSE), 0)"),143.0)</f>
        <v>143</v>
      </c>
      <c r="D4286" s="2" t="str">
        <f>IFERROR(__xludf.DUMMYFUNCTION("IFERROR(VLOOKUP(A4286, IMPORTRANGE(""https://docs.google.com/spreadsheets/d/1-3Vjw2Cyy-mry5gbC8ypIR3YVGFfEpyFESummAta6sg/edit"", ""Sheet1!B:D""), 2, FALSE), ""Not Found"")"),"stɑrɪŋ")</f>
        <v>stɑrɪŋ</v>
      </c>
      <c r="E4286" s="2" t="str">
        <f>IFERROR(__xludf.DUMMYFUNCTION("IFERROR(VLOOKUP(A4286, IMPORTRANGE(""https://docs.google.com/spreadsheets/d/1-3Vjw2Cyy-mry5gbC8ypIR3YVGFfEpyFESummAta6sg/edit"", ""Sheet1!B:D""), 3, FALSE), ""Not Found"")"),"s t ɑ r ɪ ŋ ")</f>
        <v>s t ɑ r ɪ ŋ </v>
      </c>
    </row>
    <row r="4287">
      <c r="A4287" s="1" t="s">
        <v>4288</v>
      </c>
      <c r="B4287" s="1" t="s">
        <v>5</v>
      </c>
      <c r="C4287" s="2">
        <f>IFERROR(__xludf.DUMMYFUNCTION("IFERROR(VLOOKUP(A4287, IMPORTRANGE(""https://docs.google.com/spreadsheets/d/1AVX9GT0dgogEBStecCXMMQ29tWz3gBrtNB8yIromXbY/edit?gid=741673867"", ""out1g!A:B""), 2, FALSE), 0)"),53.0)</f>
        <v>53</v>
      </c>
      <c r="D4287" s="2" t="str">
        <f>IFERROR(__xludf.DUMMYFUNCTION("IFERROR(VLOOKUP(A4287, IMPORTRANGE(""https://docs.google.com/spreadsheets/d/1-3Vjw2Cyy-mry5gbC8ypIR3YVGFfEpyFESummAta6sg/edit"", ""Sheet1!B:D""), 2, FALSE), ""Not Found"")"),"ʃepɪŋ")</f>
        <v>ʃepɪŋ</v>
      </c>
      <c r="E4287" s="2" t="str">
        <f>IFERROR(__xludf.DUMMYFUNCTION("IFERROR(VLOOKUP(A4287, IMPORTRANGE(""https://docs.google.com/spreadsheets/d/1-3Vjw2Cyy-mry5gbC8ypIR3YVGFfEpyFESummAta6sg/edit"", ""Sheet1!B:D""), 3, FALSE), ""Not Found"")"),"ʃ e p ɪ ŋ ")</f>
        <v>ʃ e p ɪ ŋ </v>
      </c>
    </row>
    <row r="4288">
      <c r="A4288" s="1" t="s">
        <v>4289</v>
      </c>
      <c r="B4288" s="1" t="s">
        <v>5</v>
      </c>
      <c r="C4288" s="2">
        <f>IFERROR(__xludf.DUMMYFUNCTION("IFERROR(VLOOKUP(A4288, IMPORTRANGE(""https://docs.google.com/spreadsheets/d/1AVX9GT0dgogEBStecCXMMQ29tWz3gBrtNB8yIromXbY/edit?gid=741673867"", ""out1g!A:B""), 2, FALSE), 0)"),21.0)</f>
        <v>21</v>
      </c>
      <c r="D4288" s="2" t="str">
        <f>IFERROR(__xludf.DUMMYFUNCTION("IFERROR(VLOOKUP(A4288, IMPORTRANGE(""https://docs.google.com/spreadsheets/d/1-3Vjw2Cyy-mry5gbC8ypIR3YVGFfEpyFESummAta6sg/edit"", ""Sheet1!B:D""), 2, FALSE), ""Not Found"")"),"lɪrə")</f>
        <v>lɪrə</v>
      </c>
      <c r="E4288" s="2" t="str">
        <f>IFERROR(__xludf.DUMMYFUNCTION("IFERROR(VLOOKUP(A4288, IMPORTRANGE(""https://docs.google.com/spreadsheets/d/1-3Vjw2Cyy-mry5gbC8ypIR3YVGFfEpyFESummAta6sg/edit"", ""Sheet1!B:D""), 3, FALSE), ""Not Found"")"),"l ɪ r ə ")</f>
        <v>l ɪ r ə </v>
      </c>
    </row>
    <row r="4289">
      <c r="A4289" s="1" t="s">
        <v>4290</v>
      </c>
      <c r="B4289" s="1" t="s">
        <v>5</v>
      </c>
      <c r="C4289" s="2">
        <f>IFERROR(__xludf.DUMMYFUNCTION("IFERROR(VLOOKUP(A4289, IMPORTRANGE(""https://docs.google.com/spreadsheets/d/1AVX9GT0dgogEBStecCXMMQ29tWz3gBrtNB8yIromXbY/edit?gid=741673867"", ""out1g!A:B""), 2, FALSE), 0)"),67.0)</f>
        <v>67</v>
      </c>
      <c r="D4289" s="2" t="str">
        <f>IFERROR(__xludf.DUMMYFUNCTION("IFERROR(VLOOKUP(A4289, IMPORTRANGE(""https://docs.google.com/spreadsheets/d/1-3Vjw2Cyy-mry5gbC8ypIR3YVGFfEpyFESummAta6sg/edit"", ""Sheet1!B:D""), 2, FALSE), ""Not Found"")"),"skoʊld")</f>
        <v>skoʊld</v>
      </c>
      <c r="E4289" s="2" t="str">
        <f>IFERROR(__xludf.DUMMYFUNCTION("IFERROR(VLOOKUP(A4289, IMPORTRANGE(""https://docs.google.com/spreadsheets/d/1-3Vjw2Cyy-mry5gbC8ypIR3YVGFfEpyFESummAta6sg/edit"", ""Sheet1!B:D""), 3, FALSE), ""Not Found"")"),"s k o ʊ l d ")</f>
        <v>s k o ʊ l d </v>
      </c>
    </row>
    <row r="4290">
      <c r="A4290" s="1" t="s">
        <v>4291</v>
      </c>
      <c r="B4290" s="1" t="s">
        <v>5</v>
      </c>
      <c r="C4290" s="2">
        <f>IFERROR(__xludf.DUMMYFUNCTION("IFERROR(VLOOKUP(A4290, IMPORTRANGE(""https://docs.google.com/spreadsheets/d/1AVX9GT0dgogEBStecCXMMQ29tWz3gBrtNB8yIromXbY/edit?gid=741673867"", ""out1g!A:B""), 2, FALSE), 0)"),420.0)</f>
        <v>420</v>
      </c>
      <c r="D4290" s="2" t="str">
        <f>IFERROR(__xludf.DUMMYFUNCTION("IFERROR(VLOOKUP(A4290, IMPORTRANGE(""https://docs.google.com/spreadsheets/d/1-3Vjw2Cyy-mry5gbC8ypIR3YVGFfEpyFESummAta6sg/edit"", ""Sheet1!B:D""), 2, FALSE), ""Not Found"")"),"wɪʃt")</f>
        <v>wɪʃt</v>
      </c>
      <c r="E4290" s="2" t="str">
        <f>IFERROR(__xludf.DUMMYFUNCTION("IFERROR(VLOOKUP(A4290, IMPORTRANGE(""https://docs.google.com/spreadsheets/d/1-3Vjw2Cyy-mry5gbC8ypIR3YVGFfEpyFESummAta6sg/edit"", ""Sheet1!B:D""), 3, FALSE), ""Not Found"")"),"w ɪ ʃ t ")</f>
        <v>w ɪ ʃ t </v>
      </c>
    </row>
    <row r="4291">
      <c r="A4291" s="1" t="s">
        <v>4292</v>
      </c>
      <c r="B4291" s="1" t="s">
        <v>5</v>
      </c>
      <c r="C4291" s="2">
        <f>IFERROR(__xludf.DUMMYFUNCTION("IFERROR(VLOOKUP(A4291, IMPORTRANGE(""https://docs.google.com/spreadsheets/d/1AVX9GT0dgogEBStecCXMMQ29tWz3gBrtNB8yIromXbY/edit?gid=741673867"", ""out1g!A:B""), 2, FALSE), 0)"),47.0)</f>
        <v>47</v>
      </c>
      <c r="D4291" s="2" t="str">
        <f>IFERROR(__xludf.DUMMYFUNCTION("IFERROR(VLOOKUP(A4291, IMPORTRANGE(""https://docs.google.com/spreadsheets/d/1-3Vjw2Cyy-mry5gbC8ypIR3YVGFfEpyFESummAta6sg/edit"", ""Sheet1!B:D""), 2, FALSE), ""Not Found"")"),"spəd")</f>
        <v>spəd</v>
      </c>
      <c r="E4291" s="2" t="str">
        <f>IFERROR(__xludf.DUMMYFUNCTION("IFERROR(VLOOKUP(A4291, IMPORTRANGE(""https://docs.google.com/spreadsheets/d/1-3Vjw2Cyy-mry5gbC8ypIR3YVGFfEpyFESummAta6sg/edit"", ""Sheet1!B:D""), 3, FALSE), ""Not Found"")"),"s p ə d ")</f>
        <v>s p ə d </v>
      </c>
    </row>
    <row r="4292">
      <c r="A4292" s="1" t="s">
        <v>4293</v>
      </c>
      <c r="B4292" s="1" t="s">
        <v>5</v>
      </c>
      <c r="C4292" s="2">
        <f>IFERROR(__xludf.DUMMYFUNCTION("IFERROR(VLOOKUP(A4292, IMPORTRANGE(""https://docs.google.com/spreadsheets/d/1AVX9GT0dgogEBStecCXMMQ29tWz3gBrtNB8yIromXbY/edit?gid=741673867"", ""out1g!A:B""), 2, FALSE), 0)"),92.0)</f>
        <v>92</v>
      </c>
      <c r="D4292" s="2" t="str">
        <f>IFERROR(__xludf.DUMMYFUNCTION("IFERROR(VLOOKUP(A4292, IMPORTRANGE(""https://docs.google.com/spreadsheets/d/1-3Vjw2Cyy-mry5gbC8ypIR3YVGFfEpyFESummAta6sg/edit"", ""Sheet1!B:D""), 2, FALSE), ""Not Found"")"),"pælp")</f>
        <v>pælp</v>
      </c>
      <c r="E4292" s="2" t="str">
        <f>IFERROR(__xludf.DUMMYFUNCTION("IFERROR(VLOOKUP(A4292, IMPORTRANGE(""https://docs.google.com/spreadsheets/d/1-3Vjw2Cyy-mry5gbC8ypIR3YVGFfEpyFESummAta6sg/edit"", ""Sheet1!B:D""), 3, FALSE), ""Not Found"")"),"p æ l p ")</f>
        <v>p æ l p </v>
      </c>
    </row>
    <row r="4293">
      <c r="A4293" s="1" t="s">
        <v>4294</v>
      </c>
      <c r="B4293" s="1" t="s">
        <v>5</v>
      </c>
      <c r="C4293" s="2">
        <f>IFERROR(__xludf.DUMMYFUNCTION("IFERROR(VLOOKUP(A4293, IMPORTRANGE(""https://docs.google.com/spreadsheets/d/1AVX9GT0dgogEBStecCXMMQ29tWz3gBrtNB8yIromXbY/edit?gid=741673867"", ""out1g!A:B""), 2, FALSE), 0)"),133.0)</f>
        <v>133</v>
      </c>
      <c r="D4293" s="2" t="str">
        <f>IFERROR(__xludf.DUMMYFUNCTION("IFERROR(VLOOKUP(A4293, IMPORTRANGE(""https://docs.google.com/spreadsheets/d/1-3Vjw2Cyy-mry5gbC8ypIR3YVGFfEpyFESummAta6sg/edit"", ""Sheet1!B:D""), 2, FALSE), ""Not Found"")"),"saɪks")</f>
        <v>saɪks</v>
      </c>
      <c r="E4293" s="2" t="str">
        <f>IFERROR(__xludf.DUMMYFUNCTION("IFERROR(VLOOKUP(A4293, IMPORTRANGE(""https://docs.google.com/spreadsheets/d/1-3Vjw2Cyy-mry5gbC8ypIR3YVGFfEpyFESummAta6sg/edit"", ""Sheet1!B:D""), 3, FALSE), ""Not Found"")"),"s a ɪ k s ")</f>
        <v>s a ɪ k s </v>
      </c>
    </row>
    <row r="4294">
      <c r="A4294" s="1" t="s">
        <v>4295</v>
      </c>
      <c r="B4294" s="1" t="s">
        <v>5</v>
      </c>
      <c r="C4294" s="2">
        <f>IFERROR(__xludf.DUMMYFUNCTION("IFERROR(VLOOKUP(A4294, IMPORTRANGE(""https://docs.google.com/spreadsheets/d/1AVX9GT0dgogEBStecCXMMQ29tWz3gBrtNB8yIromXbY/edit?gid=741673867"", ""out1g!A:B""), 2, FALSE), 0)"),101.0)</f>
        <v>101</v>
      </c>
      <c r="D4294" s="2" t="str">
        <f>IFERROR(__xludf.DUMMYFUNCTION("IFERROR(VLOOKUP(A4294, IMPORTRANGE(""https://docs.google.com/spreadsheets/d/1-3Vjw2Cyy-mry5gbC8ypIR3YVGFfEpyFESummAta6sg/edit"", ""Sheet1!B:D""), 2, FALSE), ""Not Found"")"),"pɑlək")</f>
        <v>pɑlək</v>
      </c>
      <c r="E4294" s="2" t="str">
        <f>IFERROR(__xludf.DUMMYFUNCTION("IFERROR(VLOOKUP(A4294, IMPORTRANGE(""https://docs.google.com/spreadsheets/d/1-3Vjw2Cyy-mry5gbC8ypIR3YVGFfEpyFESummAta6sg/edit"", ""Sheet1!B:D""), 3, FALSE), ""Not Found"")"),"p ɑ l ə k ")</f>
        <v>p ɑ l ə k </v>
      </c>
    </row>
    <row r="4295">
      <c r="A4295" s="1" t="s">
        <v>4296</v>
      </c>
      <c r="B4295" s="1" t="s">
        <v>5</v>
      </c>
      <c r="C4295" s="2">
        <f>IFERROR(__xludf.DUMMYFUNCTION("IFERROR(VLOOKUP(A4295, IMPORTRANGE(""https://docs.google.com/spreadsheets/d/1AVX9GT0dgogEBStecCXMMQ29tWz3gBrtNB8yIromXbY/edit?gid=741673867"", ""out1g!A:B""), 2, FALSE), 0)"),1358.0)</f>
        <v>1358</v>
      </c>
      <c r="D4295" s="2" t="str">
        <f>IFERROR(__xludf.DUMMYFUNCTION("IFERROR(VLOOKUP(A4295, IMPORTRANGE(""https://docs.google.com/spreadsheets/d/1-3Vjw2Cyy-mry5gbC8ypIR3YVGFfEpyFESummAta6sg/edit"", ""Sheet1!B:D""), 2, FALSE), ""Not Found"")"),"faɪlz")</f>
        <v>faɪlz</v>
      </c>
      <c r="E4295" s="2" t="str">
        <f>IFERROR(__xludf.DUMMYFUNCTION("IFERROR(VLOOKUP(A4295, IMPORTRANGE(""https://docs.google.com/spreadsheets/d/1-3Vjw2Cyy-mry5gbC8ypIR3YVGFfEpyFESummAta6sg/edit"", ""Sheet1!B:D""), 3, FALSE), ""Not Found"")"),"f a ɪ l z ")</f>
        <v>f a ɪ l z </v>
      </c>
    </row>
    <row r="4296">
      <c r="A4296" s="1" t="s">
        <v>4297</v>
      </c>
      <c r="B4296" s="1" t="s">
        <v>5</v>
      </c>
      <c r="C4296" s="2">
        <f>IFERROR(__xludf.DUMMYFUNCTION("IFERROR(VLOOKUP(A4296, IMPORTRANGE(""https://docs.google.com/spreadsheets/d/1AVX9GT0dgogEBStecCXMMQ29tWz3gBrtNB8yIromXbY/edit?gid=741673867"", ""out1g!A:B""), 2, FALSE), 0)"),327.0)</f>
        <v>327</v>
      </c>
      <c r="D4296" s="2" t="str">
        <f>IFERROR(__xludf.DUMMYFUNCTION("IFERROR(VLOOKUP(A4296, IMPORTRANGE(""https://docs.google.com/spreadsheets/d/1-3Vjw2Cyy-mry5gbC8ypIR3YVGFfEpyFESummAta6sg/edit"", ""Sheet1!B:D""), 2, FALSE), ""Not Found"")"),"drɪft")</f>
        <v>drɪft</v>
      </c>
      <c r="E4296" s="2" t="str">
        <f>IFERROR(__xludf.DUMMYFUNCTION("IFERROR(VLOOKUP(A4296, IMPORTRANGE(""https://docs.google.com/spreadsheets/d/1-3Vjw2Cyy-mry5gbC8ypIR3YVGFfEpyFESummAta6sg/edit"", ""Sheet1!B:D""), 3, FALSE), ""Not Found"")"),"d r ɪ f t ")</f>
        <v>d r ɪ f t </v>
      </c>
    </row>
    <row r="4297">
      <c r="A4297" s="1" t="s">
        <v>4298</v>
      </c>
      <c r="B4297" s="1" t="s">
        <v>5</v>
      </c>
      <c r="C4297" s="2">
        <f>IFERROR(__xludf.DUMMYFUNCTION("IFERROR(VLOOKUP(A4297, IMPORTRANGE(""https://docs.google.com/spreadsheets/d/1AVX9GT0dgogEBStecCXMMQ29tWz3gBrtNB8yIromXbY/edit?gid=741673867"", ""out1g!A:B""), 2, FALSE), 0)"),204428.0)</f>
        <v>204428</v>
      </c>
      <c r="D4297" s="2" t="str">
        <f>IFERROR(__xludf.DUMMYFUNCTION("IFERROR(VLOOKUP(A4297, IMPORTRANGE(""https://docs.google.com/spreadsheets/d/1-3Vjw2Cyy-mry5gbC8ypIR3YVGFfEpyFESummAta6sg/edit"", ""Sheet1!B:D""), 2, FALSE), ""Not Found"")"),"raɪt")</f>
        <v>raɪt</v>
      </c>
      <c r="E4297" s="2" t="str">
        <f>IFERROR(__xludf.DUMMYFUNCTION("IFERROR(VLOOKUP(A4297, IMPORTRANGE(""https://docs.google.com/spreadsheets/d/1-3Vjw2Cyy-mry5gbC8ypIR3YVGFfEpyFESummAta6sg/edit"", ""Sheet1!B:D""), 3, FALSE), ""Not Found"")"),"r a ɪ t ")</f>
        <v>r a ɪ t </v>
      </c>
    </row>
    <row r="4298">
      <c r="A4298" s="1" t="s">
        <v>4299</v>
      </c>
      <c r="B4298" s="1" t="s">
        <v>5</v>
      </c>
      <c r="C4298" s="2">
        <f>IFERROR(__xludf.DUMMYFUNCTION("IFERROR(VLOOKUP(A4298, IMPORTRANGE(""https://docs.google.com/spreadsheets/d/1AVX9GT0dgogEBStecCXMMQ29tWz3gBrtNB8yIromXbY/edit?gid=741673867"", ""out1g!A:B""), 2, FALSE), 0)"),962.0)</f>
        <v>962</v>
      </c>
      <c r="D4298" s="2" t="str">
        <f>IFERROR(__xludf.DUMMYFUNCTION("IFERROR(VLOOKUP(A4298, IMPORTRANGE(""https://docs.google.com/spreadsheets/d/1-3Vjw2Cyy-mry5gbC8ypIR3YVGFfEpyFESummAta6sg/edit"", ""Sheet1!B:D""), 2, FALSE), ""Not Found"")"),"noʊɛl")</f>
        <v>noʊɛl</v>
      </c>
      <c r="E4298" s="2" t="str">
        <f>IFERROR(__xludf.DUMMYFUNCTION("IFERROR(VLOOKUP(A4298, IMPORTRANGE(""https://docs.google.com/spreadsheets/d/1-3Vjw2Cyy-mry5gbC8ypIR3YVGFfEpyFESummAta6sg/edit"", ""Sheet1!B:D""), 3, FALSE), ""Not Found"")"),"n o ʊ ɛ l ")</f>
        <v>n o ʊ ɛ l </v>
      </c>
    </row>
    <row r="4299">
      <c r="A4299" s="1" t="s">
        <v>4300</v>
      </c>
      <c r="B4299" s="1" t="s">
        <v>5</v>
      </c>
      <c r="C4299" s="2">
        <f>IFERROR(__xludf.DUMMYFUNCTION("IFERROR(VLOOKUP(A4299, IMPORTRANGE(""https://docs.google.com/spreadsheets/d/1AVX9GT0dgogEBStecCXMMQ29tWz3gBrtNB8yIromXbY/edit?gid=741673867"", ""out1g!A:B""), 2, FALSE), 0)"),40494.0)</f>
        <v>40494</v>
      </c>
      <c r="D4299" s="2" t="str">
        <f>IFERROR(__xludf.DUMMYFUNCTION("IFERROR(VLOOKUP(A4299, IMPORTRANGE(""https://docs.google.com/spreadsheets/d/1-3Vjw2Cyy-mry5gbC8ypIR3YVGFfEpyFESummAta6sg/edit"", ""Sheet1!B:D""), 2, FALSE), ""Not Found"")"),"bɛtər")</f>
        <v>bɛtər</v>
      </c>
      <c r="E4299" s="2" t="str">
        <f>IFERROR(__xludf.DUMMYFUNCTION("IFERROR(VLOOKUP(A4299, IMPORTRANGE(""https://docs.google.com/spreadsheets/d/1-3Vjw2Cyy-mry5gbC8ypIR3YVGFfEpyFESummAta6sg/edit"", ""Sheet1!B:D""), 3, FALSE), ""Not Found"")"),"b ɛ t ə r ")</f>
        <v>b ɛ t ə r </v>
      </c>
    </row>
    <row r="4300">
      <c r="A4300" s="1" t="s">
        <v>4301</v>
      </c>
      <c r="B4300" s="1" t="s">
        <v>5</v>
      </c>
      <c r="C4300" s="2">
        <f>IFERROR(__xludf.DUMMYFUNCTION("IFERROR(VLOOKUP(A4300, IMPORTRANGE(""https://docs.google.com/spreadsheets/d/1AVX9GT0dgogEBStecCXMMQ29tWz3gBrtNB8yIromXbY/edit?gid=741673867"", ""out1g!A:B""), 2, FALSE), 0)"),406.0)</f>
        <v>406</v>
      </c>
      <c r="D4300" s="2" t="str">
        <f>IFERROR(__xludf.DUMMYFUNCTION("IFERROR(VLOOKUP(A4300, IMPORTRANGE(""https://docs.google.com/spreadsheets/d/1-3Vjw2Cyy-mry5gbC8ypIR3YVGFfEpyFESummAta6sg/edit"", ""Sheet1!B:D""), 2, FALSE), ""Not Found"")"),"tək")</f>
        <v>tək</v>
      </c>
      <c r="E4300" s="2" t="str">
        <f>IFERROR(__xludf.DUMMYFUNCTION("IFERROR(VLOOKUP(A4300, IMPORTRANGE(""https://docs.google.com/spreadsheets/d/1-3Vjw2Cyy-mry5gbC8ypIR3YVGFfEpyFESummAta6sg/edit"", ""Sheet1!B:D""), 3, FALSE), ""Not Found"")"),"t ə k ")</f>
        <v>t ə k </v>
      </c>
    </row>
    <row r="4301">
      <c r="A4301" s="1" t="s">
        <v>4302</v>
      </c>
      <c r="B4301" s="1" t="s">
        <v>5</v>
      </c>
      <c r="C4301" s="2">
        <f>IFERROR(__xludf.DUMMYFUNCTION("IFERROR(VLOOKUP(A4301, IMPORTRANGE(""https://docs.google.com/spreadsheets/d/1AVX9GT0dgogEBStecCXMMQ29tWz3gBrtNB8yIromXbY/edit?gid=741673867"", ""out1g!A:B""), 2, FALSE), 0)"),406.0)</f>
        <v>406</v>
      </c>
      <c r="D4301" s="2" t="str">
        <f>IFERROR(__xludf.DUMMYFUNCTION("IFERROR(VLOOKUP(A4301, IMPORTRANGE(""https://docs.google.com/spreadsheets/d/1-3Vjw2Cyy-mry5gbC8ypIR3YVGFfEpyFESummAta6sg/edit"", ""Sheet1!B:D""), 2, FALSE), ""Not Found"")"),"bɑp")</f>
        <v>bɑp</v>
      </c>
      <c r="E4301" s="2" t="str">
        <f>IFERROR(__xludf.DUMMYFUNCTION("IFERROR(VLOOKUP(A4301, IMPORTRANGE(""https://docs.google.com/spreadsheets/d/1-3Vjw2Cyy-mry5gbC8ypIR3YVGFfEpyFESummAta6sg/edit"", ""Sheet1!B:D""), 3, FALSE), ""Not Found"")"),"b ɑ p ")</f>
        <v>b ɑ p </v>
      </c>
    </row>
    <row r="4302">
      <c r="A4302" s="1" t="s">
        <v>4303</v>
      </c>
      <c r="B4302" s="1" t="s">
        <v>5</v>
      </c>
      <c r="C4302" s="2">
        <f>IFERROR(__xludf.DUMMYFUNCTION("IFERROR(VLOOKUP(A4302, IMPORTRANGE(""https://docs.google.com/spreadsheets/d/1AVX9GT0dgogEBStecCXMMQ29tWz3gBrtNB8yIromXbY/edit?gid=741673867"", ""out1g!A:B""), 2, FALSE), 0)"),79.0)</f>
        <v>79</v>
      </c>
      <c r="D4302" s="2" t="str">
        <f>IFERROR(__xludf.DUMMYFUNCTION("IFERROR(VLOOKUP(A4302, IMPORTRANGE(""https://docs.google.com/spreadsheets/d/1-3Vjw2Cyy-mry5gbC8ypIR3YVGFfEpyFESummAta6sg/edit"", ""Sheet1!B:D""), 2, FALSE), ""Not Found"")"),"luaʊ")</f>
        <v>luaʊ</v>
      </c>
      <c r="E4302" s="2" t="str">
        <f>IFERROR(__xludf.DUMMYFUNCTION("IFERROR(VLOOKUP(A4302, IMPORTRANGE(""https://docs.google.com/spreadsheets/d/1-3Vjw2Cyy-mry5gbC8ypIR3YVGFfEpyFESummAta6sg/edit"", ""Sheet1!B:D""), 3, FALSE), ""Not Found"")"),"l u a ʊ ")</f>
        <v>l u a ʊ </v>
      </c>
    </row>
    <row r="4303">
      <c r="A4303" s="1" t="s">
        <v>4304</v>
      </c>
      <c r="B4303" s="1" t="s">
        <v>5</v>
      </c>
      <c r="C4303" s="2">
        <f>IFERROR(__xludf.DUMMYFUNCTION("IFERROR(VLOOKUP(A4303, IMPORTRANGE(""https://docs.google.com/spreadsheets/d/1AVX9GT0dgogEBStecCXMMQ29tWz3gBrtNB8yIromXbY/edit?gid=741673867"", ""out1g!A:B""), 2, FALSE), 0)"),81.0)</f>
        <v>81</v>
      </c>
      <c r="D4303" s="2" t="str">
        <f>IFERROR(__xludf.DUMMYFUNCTION("IFERROR(VLOOKUP(A4303, IMPORTRANGE(""https://docs.google.com/spreadsheets/d/1-3Vjw2Cyy-mry5gbC8ypIR3YVGFfEpyFESummAta6sg/edit"", ""Sheet1!B:D""), 2, FALSE), ""Not Found"")"),"pæŋ")</f>
        <v>pæŋ</v>
      </c>
      <c r="E4303" s="2" t="str">
        <f>IFERROR(__xludf.DUMMYFUNCTION("IFERROR(VLOOKUP(A4303, IMPORTRANGE(""https://docs.google.com/spreadsheets/d/1-3Vjw2Cyy-mry5gbC8ypIR3YVGFfEpyFESummAta6sg/edit"", ""Sheet1!B:D""), 3, FALSE), ""Not Found"")"),"p æ ŋ ")</f>
        <v>p æ ŋ </v>
      </c>
    </row>
    <row r="4304">
      <c r="A4304" s="1" t="s">
        <v>4305</v>
      </c>
      <c r="B4304" s="1" t="s">
        <v>5</v>
      </c>
      <c r="C4304" s="2">
        <f>IFERROR(__xludf.DUMMYFUNCTION("IFERROR(VLOOKUP(A4304, IMPORTRANGE(""https://docs.google.com/spreadsheets/d/1AVX9GT0dgogEBStecCXMMQ29tWz3gBrtNB8yIromXbY/edit?gid=741673867"", ""out1g!A:B""), 2, FALSE), 0)"),228.0)</f>
        <v>228</v>
      </c>
      <c r="D4304" s="2" t="str">
        <f>IFERROR(__xludf.DUMMYFUNCTION("IFERROR(VLOOKUP(A4304, IMPORTRANGE(""https://docs.google.com/spreadsheets/d/1-3Vjw2Cyy-mry5gbC8ypIR3YVGFfEpyFESummAta6sg/edit"", ""Sheet1!B:D""), 2, FALSE), ""Not Found"")"),"wups")</f>
        <v>wups</v>
      </c>
      <c r="E4304" s="2" t="str">
        <f>IFERROR(__xludf.DUMMYFUNCTION("IFERROR(VLOOKUP(A4304, IMPORTRANGE(""https://docs.google.com/spreadsheets/d/1-3Vjw2Cyy-mry5gbC8ypIR3YVGFfEpyFESummAta6sg/edit"", ""Sheet1!B:D""), 3, FALSE), ""Not Found"")"),"w u p s ")</f>
        <v>w u p s </v>
      </c>
    </row>
    <row r="4305">
      <c r="A4305" s="1" t="s">
        <v>4306</v>
      </c>
      <c r="B4305" s="1" t="s">
        <v>5</v>
      </c>
      <c r="C4305" s="2">
        <f>IFERROR(__xludf.DUMMYFUNCTION("IFERROR(VLOOKUP(A4305, IMPORTRANGE(""https://docs.google.com/spreadsheets/d/1AVX9GT0dgogEBStecCXMMQ29tWz3gBrtNB8yIromXbY/edit?gid=741673867"", ""out1g!A:B""), 2, FALSE), 0)"),4051.0)</f>
        <v>4051</v>
      </c>
      <c r="D4305" s="2" t="str">
        <f>IFERROR(__xludf.DUMMYFUNCTION("IFERROR(VLOOKUP(A4305, IMPORTRANGE(""https://docs.google.com/spreadsheets/d/1-3Vjw2Cyy-mry5gbC8ypIR3YVGFfEpyFESummAta6sg/edit"", ""Sheet1!B:D""), 2, FALSE), ""Not Found"")"),"fæt")</f>
        <v>fæt</v>
      </c>
      <c r="E4305" s="2" t="str">
        <f>IFERROR(__xludf.DUMMYFUNCTION("IFERROR(VLOOKUP(A4305, IMPORTRANGE(""https://docs.google.com/spreadsheets/d/1-3Vjw2Cyy-mry5gbC8ypIR3YVGFfEpyFESummAta6sg/edit"", ""Sheet1!B:D""), 3, FALSE), ""Not Found"")"),"f æ t ")</f>
        <v>f æ t </v>
      </c>
    </row>
    <row r="4306">
      <c r="A4306" s="1" t="s">
        <v>4307</v>
      </c>
      <c r="B4306" s="1" t="s">
        <v>5</v>
      </c>
      <c r="C4306" s="2">
        <f>IFERROR(__xludf.DUMMYFUNCTION("IFERROR(VLOOKUP(A4306, IMPORTRANGE(""https://docs.google.com/spreadsheets/d/1AVX9GT0dgogEBStecCXMMQ29tWz3gBrtNB8yIromXbY/edit?gid=741673867"", ""out1g!A:B""), 2, FALSE), 0)"),750.0)</f>
        <v>750</v>
      </c>
      <c r="D4306" s="2" t="str">
        <f>IFERROR(__xludf.DUMMYFUNCTION("IFERROR(VLOOKUP(A4306, IMPORTRANGE(""https://docs.google.com/spreadsheets/d/1-3Vjw2Cyy-mry5gbC8ypIR3YVGFfEpyFESummAta6sg/edit"", ""Sheet1!B:D""), 2, FALSE), ""Not Found"")"),"fɪlmz")</f>
        <v>fɪlmz</v>
      </c>
      <c r="E4306" s="2" t="str">
        <f>IFERROR(__xludf.DUMMYFUNCTION("IFERROR(VLOOKUP(A4306, IMPORTRANGE(""https://docs.google.com/spreadsheets/d/1-3Vjw2Cyy-mry5gbC8ypIR3YVGFfEpyFESummAta6sg/edit"", ""Sheet1!B:D""), 3, FALSE), ""Not Found"")"),"f ɪ l m z ")</f>
        <v>f ɪ l m z </v>
      </c>
    </row>
    <row r="4307">
      <c r="A4307" s="1" t="s">
        <v>4308</v>
      </c>
      <c r="B4307" s="1" t="s">
        <v>5</v>
      </c>
      <c r="C4307" s="2">
        <f>IFERROR(__xludf.DUMMYFUNCTION("IFERROR(VLOOKUP(A4307, IMPORTRANGE(""https://docs.google.com/spreadsheets/d/1AVX9GT0dgogEBStecCXMMQ29tWz3gBrtNB8yIromXbY/edit?gid=741673867"", ""out1g!A:B""), 2, FALSE), 0)"),73.0)</f>
        <v>73</v>
      </c>
      <c r="D4307" s="2" t="str">
        <f>IFERROR(__xludf.DUMMYFUNCTION("IFERROR(VLOOKUP(A4307, IMPORTRANGE(""https://docs.google.com/spreadsheets/d/1-3Vjw2Cyy-mry5gbC8ypIR3YVGFfEpyFESummAta6sg/edit"", ""Sheet1!B:D""), 2, FALSE), ""Not Found"")"),"kræmpt")</f>
        <v>kræmpt</v>
      </c>
      <c r="E4307" s="2" t="str">
        <f>IFERROR(__xludf.DUMMYFUNCTION("IFERROR(VLOOKUP(A4307, IMPORTRANGE(""https://docs.google.com/spreadsheets/d/1-3Vjw2Cyy-mry5gbC8ypIR3YVGFfEpyFESummAta6sg/edit"", ""Sheet1!B:D""), 3, FALSE), ""Not Found"")"),"k r æ m p t ")</f>
        <v>k r æ m p t </v>
      </c>
    </row>
    <row r="4308">
      <c r="A4308" s="1" t="s">
        <v>4309</v>
      </c>
      <c r="B4308" s="1" t="s">
        <v>5</v>
      </c>
      <c r="C4308" s="2">
        <f>IFERROR(__xludf.DUMMYFUNCTION("IFERROR(VLOOKUP(A4308, IMPORTRANGE(""https://docs.google.com/spreadsheets/d/1AVX9GT0dgogEBStecCXMMQ29tWz3gBrtNB8yIromXbY/edit?gid=741673867"", ""out1g!A:B""), 2, FALSE), 0)"),440.0)</f>
        <v>440</v>
      </c>
      <c r="D4308" s="2" t="str">
        <f>IFERROR(__xludf.DUMMYFUNCTION("IFERROR(VLOOKUP(A4308, IMPORTRANGE(""https://docs.google.com/spreadsheets/d/1-3Vjw2Cyy-mry5gbC8ypIR3YVGFfEpyFESummAta6sg/edit"", ""Sheet1!B:D""), 2, FALSE), ""Not Found"")"),"foʊld")</f>
        <v>foʊld</v>
      </c>
      <c r="E4308" s="2" t="str">
        <f>IFERROR(__xludf.DUMMYFUNCTION("IFERROR(VLOOKUP(A4308, IMPORTRANGE(""https://docs.google.com/spreadsheets/d/1-3Vjw2Cyy-mry5gbC8ypIR3YVGFfEpyFESummAta6sg/edit"", ""Sheet1!B:D""), 3, FALSE), ""Not Found"")"),"f o ʊ l d ")</f>
        <v>f o ʊ l d </v>
      </c>
    </row>
    <row r="4309">
      <c r="A4309" s="1" t="s">
        <v>4310</v>
      </c>
      <c r="B4309" s="1" t="s">
        <v>5</v>
      </c>
      <c r="C4309" s="2">
        <f>IFERROR(__xludf.DUMMYFUNCTION("IFERROR(VLOOKUP(A4309, IMPORTRANGE(""https://docs.google.com/spreadsheets/d/1AVX9GT0dgogEBStecCXMMQ29tWz3gBrtNB8yIromXbY/edit?gid=741673867"", ""out1g!A:B""), 2, FALSE), 0)"),67.0)</f>
        <v>67</v>
      </c>
      <c r="D4309" s="2" t="str">
        <f>IFERROR(__xludf.DUMMYFUNCTION("IFERROR(VLOOKUP(A4309, IMPORTRANGE(""https://docs.google.com/spreadsheets/d/1-3Vjw2Cyy-mry5gbC8ypIR3YVGFfEpyFESummAta6sg/edit"", ""Sheet1!B:D""), 2, FALSE), ""Not Found"")"),"rəbərz")</f>
        <v>rəbərz</v>
      </c>
      <c r="E4309" s="2" t="str">
        <f>IFERROR(__xludf.DUMMYFUNCTION("IFERROR(VLOOKUP(A4309, IMPORTRANGE(""https://docs.google.com/spreadsheets/d/1-3Vjw2Cyy-mry5gbC8ypIR3YVGFfEpyFESummAta6sg/edit"", ""Sheet1!B:D""), 3, FALSE), ""Not Found"")"),"r ə b ə r z ")</f>
        <v>r ə b ə r z </v>
      </c>
    </row>
    <row r="4310">
      <c r="A4310" s="1" t="s">
        <v>4311</v>
      </c>
      <c r="B4310" s="1" t="s">
        <v>5</v>
      </c>
      <c r="C4310" s="2">
        <f>IFERROR(__xludf.DUMMYFUNCTION("IFERROR(VLOOKUP(A4310, IMPORTRANGE(""https://docs.google.com/spreadsheets/d/1AVX9GT0dgogEBStecCXMMQ29tWz3gBrtNB8yIromXbY/edit?gid=741673867"", ""out1g!A:B""), 2, FALSE), 0)"),96.0)</f>
        <v>96</v>
      </c>
      <c r="D4310" s="2" t="str">
        <f>IFERROR(__xludf.DUMMYFUNCTION("IFERROR(VLOOKUP(A4310, IMPORTRANGE(""https://docs.google.com/spreadsheets/d/1-3Vjw2Cyy-mry5gbC8ypIR3YVGFfEpyFESummAta6sg/edit"", ""Sheet1!B:D""), 2, FALSE), ""Not Found"")"),"penərz")</f>
        <v>penərz</v>
      </c>
      <c r="E4310" s="2" t="str">
        <f>IFERROR(__xludf.DUMMYFUNCTION("IFERROR(VLOOKUP(A4310, IMPORTRANGE(""https://docs.google.com/spreadsheets/d/1-3Vjw2Cyy-mry5gbC8ypIR3YVGFfEpyFESummAta6sg/edit"", ""Sheet1!B:D""), 3, FALSE), ""Not Found"")"),"p e n ə r z ")</f>
        <v>p e n ə r z </v>
      </c>
    </row>
    <row r="4311">
      <c r="A4311" s="1" t="s">
        <v>4312</v>
      </c>
      <c r="B4311" s="1" t="s">
        <v>5</v>
      </c>
      <c r="C4311" s="2">
        <f>IFERROR(__xludf.DUMMYFUNCTION("IFERROR(VLOOKUP(A4311, IMPORTRANGE(""https://docs.google.com/spreadsheets/d/1AVX9GT0dgogEBStecCXMMQ29tWz3gBrtNB8yIromXbY/edit?gid=741673867"", ""out1g!A:B""), 2, FALSE), 0)"),515.0)</f>
        <v>515</v>
      </c>
      <c r="D4311" s="2" t="str">
        <f>IFERROR(__xludf.DUMMYFUNCTION("IFERROR(VLOOKUP(A4311, IMPORTRANGE(""https://docs.google.com/spreadsheets/d/1-3Vjw2Cyy-mry5gbC8ypIR3YVGFfEpyFESummAta6sg/edit"", ""Sheet1!B:D""), 2, FALSE), ""Not Found"")"),"kɔrps")</f>
        <v>kɔrps</v>
      </c>
      <c r="E4311" s="2" t="str">
        <f>IFERROR(__xludf.DUMMYFUNCTION("IFERROR(VLOOKUP(A4311, IMPORTRANGE(""https://docs.google.com/spreadsheets/d/1-3Vjw2Cyy-mry5gbC8ypIR3YVGFfEpyFESummAta6sg/edit"", ""Sheet1!B:D""), 3, FALSE), ""Not Found"")"),"k ɔ r p s ")</f>
        <v>k ɔ r p s </v>
      </c>
    </row>
    <row r="4312">
      <c r="A4312" s="1" t="s">
        <v>4313</v>
      </c>
      <c r="B4312" s="1" t="s">
        <v>5</v>
      </c>
      <c r="C4312" s="2">
        <f>IFERROR(__xludf.DUMMYFUNCTION("IFERROR(VLOOKUP(A4312, IMPORTRANGE(""https://docs.google.com/spreadsheets/d/1AVX9GT0dgogEBStecCXMMQ29tWz3gBrtNB8yIromXbY/edit?gid=741673867"", ""out1g!A:B""), 2, FALSE), 0)"),720.0)</f>
        <v>720</v>
      </c>
      <c r="D4312" s="2" t="str">
        <f>IFERROR(__xludf.DUMMYFUNCTION("IFERROR(VLOOKUP(A4312, IMPORTRANGE(""https://docs.google.com/spreadsheets/d/1-3Vjw2Cyy-mry5gbC8ypIR3YVGFfEpyFESummAta6sg/edit"", ""Sheet1!B:D""), 2, FALSE), ""Not Found"")"),"bʊʃ")</f>
        <v>bʊʃ</v>
      </c>
      <c r="E4312" s="2" t="str">
        <f>IFERROR(__xludf.DUMMYFUNCTION("IFERROR(VLOOKUP(A4312, IMPORTRANGE(""https://docs.google.com/spreadsheets/d/1-3Vjw2Cyy-mry5gbC8ypIR3YVGFfEpyFESummAta6sg/edit"", ""Sheet1!B:D""), 3, FALSE), ""Not Found"")"),"b ʊ ʃ ")</f>
        <v>b ʊ ʃ </v>
      </c>
    </row>
    <row r="4313">
      <c r="A4313" s="1" t="s">
        <v>4314</v>
      </c>
      <c r="B4313" s="1" t="s">
        <v>5</v>
      </c>
      <c r="C4313" s="2">
        <f>IFERROR(__xludf.DUMMYFUNCTION("IFERROR(VLOOKUP(A4313, IMPORTRANGE(""https://docs.google.com/spreadsheets/d/1AVX9GT0dgogEBStecCXMMQ29tWz3gBrtNB8yIromXbY/edit?gid=741673867"", ""out1g!A:B""), 2, FALSE), 0)"),71.0)</f>
        <v>71</v>
      </c>
      <c r="D4313" s="2" t="str">
        <f>IFERROR(__xludf.DUMMYFUNCTION("IFERROR(VLOOKUP(A4313, IMPORTRANGE(""https://docs.google.com/spreadsheets/d/1-3Vjw2Cyy-mry5gbC8ypIR3YVGFfEpyFESummAta6sg/edit"", ""Sheet1!B:D""), 2, FALSE), ""Not Found"")"),"slæŋ")</f>
        <v>slæŋ</v>
      </c>
      <c r="E4313" s="2" t="str">
        <f>IFERROR(__xludf.DUMMYFUNCTION("IFERROR(VLOOKUP(A4313, IMPORTRANGE(""https://docs.google.com/spreadsheets/d/1-3Vjw2Cyy-mry5gbC8ypIR3YVGFfEpyFESummAta6sg/edit"", ""Sheet1!B:D""), 3, FALSE), ""Not Found"")"),"s l æ ŋ ")</f>
        <v>s l æ ŋ </v>
      </c>
    </row>
    <row r="4314">
      <c r="A4314" s="1" t="s">
        <v>4315</v>
      </c>
      <c r="B4314" s="1" t="s">
        <v>5</v>
      </c>
      <c r="C4314" s="2">
        <f>IFERROR(__xludf.DUMMYFUNCTION("IFERROR(VLOOKUP(A4314, IMPORTRANGE(""https://docs.google.com/spreadsheets/d/1AVX9GT0dgogEBStecCXMMQ29tWz3gBrtNB8yIromXbY/edit?gid=741673867"", ""out1g!A:B""), 2, FALSE), 0)"),93.0)</f>
        <v>93</v>
      </c>
      <c r="D4314" s="2" t="str">
        <f>IFERROR(__xludf.DUMMYFUNCTION("IFERROR(VLOOKUP(A4314, IMPORTRANGE(""https://docs.google.com/spreadsheets/d/1-3Vjw2Cyy-mry5gbC8ypIR3YVGFfEpyFESummAta6sg/edit"", ""Sheet1!B:D""), 2, FALSE), ""Not Found"")"),"wɔkaʊt")</f>
        <v>wɔkaʊt</v>
      </c>
      <c r="E4314" s="2" t="str">
        <f>IFERROR(__xludf.DUMMYFUNCTION("IFERROR(VLOOKUP(A4314, IMPORTRANGE(""https://docs.google.com/spreadsheets/d/1-3Vjw2Cyy-mry5gbC8ypIR3YVGFfEpyFESummAta6sg/edit"", ""Sheet1!B:D""), 3, FALSE), ""Not Found"")"),"w ɔ k a ʊ t ")</f>
        <v>w ɔ k a ʊ t </v>
      </c>
    </row>
    <row r="4315">
      <c r="A4315" s="1" t="s">
        <v>4316</v>
      </c>
      <c r="B4315" s="1" t="s">
        <v>5</v>
      </c>
      <c r="C4315" s="2">
        <f>IFERROR(__xludf.DUMMYFUNCTION("IFERROR(VLOOKUP(A4315, IMPORTRANGE(""https://docs.google.com/spreadsheets/d/1AVX9GT0dgogEBStecCXMMQ29tWz3gBrtNB8yIromXbY/edit?gid=741673867"", ""out1g!A:B""), 2, FALSE), 0)"),72.0)</f>
        <v>72</v>
      </c>
      <c r="D4315" s="2" t="str">
        <f>IFERROR(__xludf.DUMMYFUNCTION("IFERROR(VLOOKUP(A4315, IMPORTRANGE(""https://docs.google.com/spreadsheets/d/1-3Vjw2Cyy-mry5gbC8ypIR3YVGFfEpyFESummAta6sg/edit"", ""Sheet1!B:D""), 2, FALSE), ""Not Found"")"),"doʊpi")</f>
        <v>doʊpi</v>
      </c>
      <c r="E4315" s="2" t="str">
        <f>IFERROR(__xludf.DUMMYFUNCTION("IFERROR(VLOOKUP(A4315, IMPORTRANGE(""https://docs.google.com/spreadsheets/d/1-3Vjw2Cyy-mry5gbC8ypIR3YVGFfEpyFESummAta6sg/edit"", ""Sheet1!B:D""), 3, FALSE), ""Not Found"")"),"d o ʊ p i ")</f>
        <v>d o ʊ p i </v>
      </c>
    </row>
    <row r="4316">
      <c r="A4316" s="1" t="s">
        <v>4317</v>
      </c>
      <c r="B4316" s="1" t="s">
        <v>5</v>
      </c>
      <c r="C4316" s="2">
        <f>IFERROR(__xludf.DUMMYFUNCTION("IFERROR(VLOOKUP(A4316, IMPORTRANGE(""https://docs.google.com/spreadsheets/d/1AVX9GT0dgogEBStecCXMMQ29tWz3gBrtNB8yIromXbY/edit?gid=741673867"", ""out1g!A:B""), 2, FALSE), 0)"),164.0)</f>
        <v>164</v>
      </c>
      <c r="D4316" s="2" t="str">
        <f>IFERROR(__xludf.DUMMYFUNCTION("IFERROR(VLOOKUP(A4316, IMPORTRANGE(""https://docs.google.com/spreadsheets/d/1-3Vjw2Cyy-mry5gbC8ypIR3YVGFfEpyFESummAta6sg/edit"", ""Sheet1!B:D""), 2, FALSE), ""Not Found"")"),"wɛdɪd")</f>
        <v>wɛdɪd</v>
      </c>
      <c r="E4316" s="2" t="str">
        <f>IFERROR(__xludf.DUMMYFUNCTION("IFERROR(VLOOKUP(A4316, IMPORTRANGE(""https://docs.google.com/spreadsheets/d/1-3Vjw2Cyy-mry5gbC8ypIR3YVGFfEpyFESummAta6sg/edit"", ""Sheet1!B:D""), 3, FALSE), ""Not Found"")"),"w ɛ d ɪ d ")</f>
        <v>w ɛ d ɪ d </v>
      </c>
    </row>
    <row r="4317">
      <c r="A4317" s="1" t="s">
        <v>4318</v>
      </c>
      <c r="B4317" s="1" t="s">
        <v>5</v>
      </c>
      <c r="C4317" s="2">
        <f>IFERROR(__xludf.DUMMYFUNCTION("IFERROR(VLOOKUP(A4317, IMPORTRANGE(""https://docs.google.com/spreadsheets/d/1AVX9GT0dgogEBStecCXMMQ29tWz3gBrtNB8yIromXbY/edit?gid=741673867"", ""out1g!A:B""), 2, FALSE), 0)"),31.0)</f>
        <v>31</v>
      </c>
      <c r="D4317" s="2" t="str">
        <f>IFERROR(__xludf.DUMMYFUNCTION("IFERROR(VLOOKUP(A4317, IMPORTRANGE(""https://docs.google.com/spreadsheets/d/1-3Vjw2Cyy-mry5gbC8ypIR3YVGFfEpyFESummAta6sg/edit"", ""Sheet1!B:D""), 2, FALSE), ""Not Found"")"),"skwərti")</f>
        <v>skwərti</v>
      </c>
      <c r="E4317" s="2" t="str">
        <f>IFERROR(__xludf.DUMMYFUNCTION("IFERROR(VLOOKUP(A4317, IMPORTRANGE(""https://docs.google.com/spreadsheets/d/1-3Vjw2Cyy-mry5gbC8ypIR3YVGFfEpyFESummAta6sg/edit"", ""Sheet1!B:D""), 3, FALSE), ""Not Found"")"),"s k w ə r t i ")</f>
        <v>s k w ə r t i </v>
      </c>
    </row>
    <row r="4318">
      <c r="A4318" s="1" t="s">
        <v>4319</v>
      </c>
      <c r="B4318" s="1" t="s">
        <v>5</v>
      </c>
      <c r="C4318" s="2">
        <f>IFERROR(__xludf.DUMMYFUNCTION("IFERROR(VLOOKUP(A4318, IMPORTRANGE(""https://docs.google.com/spreadsheets/d/1AVX9GT0dgogEBStecCXMMQ29tWz3gBrtNB8yIromXbY/edit?gid=741673867"", ""out1g!A:B""), 2, FALSE), 0)"),367.0)</f>
        <v>367</v>
      </c>
      <c r="D4318" s="2" t="str">
        <f>IFERROR(__xludf.DUMMYFUNCTION("IFERROR(VLOOKUP(A4318, IMPORTRANGE(""https://docs.google.com/spreadsheets/d/1-3Vjw2Cyy-mry5gbC8ypIR3YVGFfEpyFESummAta6sg/edit"", ""Sheet1!B:D""), 2, FALSE), ""Not Found"")"),"lɪmɪts")</f>
        <v>lɪmɪts</v>
      </c>
      <c r="E4318" s="2" t="str">
        <f>IFERROR(__xludf.DUMMYFUNCTION("IFERROR(VLOOKUP(A4318, IMPORTRANGE(""https://docs.google.com/spreadsheets/d/1-3Vjw2Cyy-mry5gbC8ypIR3YVGFfEpyFESummAta6sg/edit"", ""Sheet1!B:D""), 3, FALSE), ""Not Found"")"),"l ɪ m ɪ t s ")</f>
        <v>l ɪ m ɪ t s </v>
      </c>
    </row>
    <row r="4319">
      <c r="A4319" s="1" t="s">
        <v>4320</v>
      </c>
      <c r="B4319" s="1" t="s">
        <v>5</v>
      </c>
      <c r="C4319" s="2">
        <f>IFERROR(__xludf.DUMMYFUNCTION("IFERROR(VLOOKUP(A4319, IMPORTRANGE(""https://docs.google.com/spreadsheets/d/1AVX9GT0dgogEBStecCXMMQ29tWz3gBrtNB8yIromXbY/edit?gid=741673867"", ""out1g!A:B""), 2, FALSE), 0)"),79.0)</f>
        <v>79</v>
      </c>
      <c r="D4319" s="2" t="str">
        <f>IFERROR(__xludf.DUMMYFUNCTION("IFERROR(VLOOKUP(A4319, IMPORTRANGE(""https://docs.google.com/spreadsheets/d/1-3Vjw2Cyy-mry5gbC8ypIR3YVGFfEpyFESummAta6sg/edit"", ""Sheet1!B:D""), 2, FALSE), ""Not Found"")"),"bərmə")</f>
        <v>bərmə</v>
      </c>
      <c r="E4319" s="2" t="str">
        <f>IFERROR(__xludf.DUMMYFUNCTION("IFERROR(VLOOKUP(A4319, IMPORTRANGE(""https://docs.google.com/spreadsheets/d/1-3Vjw2Cyy-mry5gbC8ypIR3YVGFfEpyFESummAta6sg/edit"", ""Sheet1!B:D""), 3, FALSE), ""Not Found"")"),"b ə r m ə ")</f>
        <v>b ə r m ə </v>
      </c>
    </row>
    <row r="4320">
      <c r="A4320" s="1" t="s">
        <v>4321</v>
      </c>
      <c r="B4320" s="1" t="s">
        <v>5</v>
      </c>
      <c r="C4320" s="2">
        <f>IFERROR(__xludf.DUMMYFUNCTION("IFERROR(VLOOKUP(A4320, IMPORTRANGE(""https://docs.google.com/spreadsheets/d/1AVX9GT0dgogEBStecCXMMQ29tWz3gBrtNB8yIromXbY/edit?gid=741673867"", ""out1g!A:B""), 2, FALSE), 0)"),1634.0)</f>
        <v>1634</v>
      </c>
      <c r="D4320" s="2" t="str">
        <f>IFERROR(__xludf.DUMMYFUNCTION("IFERROR(VLOOKUP(A4320, IMPORTRANGE(""https://docs.google.com/spreadsheets/d/1-3Vjw2Cyy-mry5gbC8ypIR3YVGFfEpyFESummAta6sg/edit"", ""Sheet1!B:D""), 2, FALSE), ""Not Found"")"),"get")</f>
        <v>get</v>
      </c>
      <c r="E4320" s="2" t="str">
        <f>IFERROR(__xludf.DUMMYFUNCTION("IFERROR(VLOOKUP(A4320, IMPORTRANGE(""https://docs.google.com/spreadsheets/d/1-3Vjw2Cyy-mry5gbC8ypIR3YVGFfEpyFESummAta6sg/edit"", ""Sheet1!B:D""), 3, FALSE), ""Not Found"")"),"g e t ")</f>
        <v>g e t </v>
      </c>
    </row>
    <row r="4321">
      <c r="A4321" s="1" t="s">
        <v>4322</v>
      </c>
      <c r="B4321" s="1" t="s">
        <v>5</v>
      </c>
      <c r="C4321" s="2">
        <f>IFERROR(__xludf.DUMMYFUNCTION("IFERROR(VLOOKUP(A4321, IMPORTRANGE(""https://docs.google.com/spreadsheets/d/1AVX9GT0dgogEBStecCXMMQ29tWz3gBrtNB8yIromXbY/edit?gid=741673867"", ""out1g!A:B""), 2, FALSE), 0)"),108.0)</f>
        <v>108</v>
      </c>
      <c r="D4321" s="2" t="str">
        <f>IFERROR(__xludf.DUMMYFUNCTION("IFERROR(VLOOKUP(A4321, IMPORTRANGE(""https://docs.google.com/spreadsheets/d/1-3Vjw2Cyy-mry5gbC8ypIR3YVGFfEpyFESummAta6sg/edit"", ""Sheet1!B:D""), 2, FALSE), ""Not Found"")"),"dɛns")</f>
        <v>dɛns</v>
      </c>
      <c r="E4321" s="2" t="str">
        <f>IFERROR(__xludf.DUMMYFUNCTION("IFERROR(VLOOKUP(A4321, IMPORTRANGE(""https://docs.google.com/spreadsheets/d/1-3Vjw2Cyy-mry5gbC8ypIR3YVGFfEpyFESummAta6sg/edit"", ""Sheet1!B:D""), 3, FALSE), ""Not Found"")"),"d ɛ n s ")</f>
        <v>d ɛ n s </v>
      </c>
    </row>
    <row r="4322">
      <c r="A4322" s="1" t="s">
        <v>4323</v>
      </c>
      <c r="B4322" s="1" t="s">
        <v>5</v>
      </c>
      <c r="C4322" s="2">
        <f>IFERROR(__xludf.DUMMYFUNCTION("IFERROR(VLOOKUP(A4322, IMPORTRANGE(""https://docs.google.com/spreadsheets/d/1AVX9GT0dgogEBStecCXMMQ29tWz3gBrtNB8yIromXbY/edit?gid=741673867"", ""out1g!A:B""), 2, FALSE), 0)"),4447.0)</f>
        <v>4447</v>
      </c>
      <c r="D4322" s="2" t="str">
        <f>IFERROR(__xludf.DUMMYFUNCTION("IFERROR(VLOOKUP(A4322, IMPORTRANGE(""https://docs.google.com/spreadsheets/d/1-3Vjw2Cyy-mry5gbC8ypIR3YVGFfEpyFESummAta6sg/edit"", ""Sheet1!B:D""), 2, FALSE), ""Not Found"")"),"drɛs")</f>
        <v>drɛs</v>
      </c>
      <c r="E4322" s="2" t="str">
        <f>IFERROR(__xludf.DUMMYFUNCTION("IFERROR(VLOOKUP(A4322, IMPORTRANGE(""https://docs.google.com/spreadsheets/d/1-3Vjw2Cyy-mry5gbC8ypIR3YVGFfEpyFESummAta6sg/edit"", ""Sheet1!B:D""), 3, FALSE), ""Not Found"")"),"d r ɛ s ")</f>
        <v>d r ɛ s </v>
      </c>
    </row>
    <row r="4323">
      <c r="A4323" s="1" t="s">
        <v>4324</v>
      </c>
      <c r="B4323" s="1" t="s">
        <v>5</v>
      </c>
      <c r="C4323" s="2">
        <f>IFERROR(__xludf.DUMMYFUNCTION("IFERROR(VLOOKUP(A4323, IMPORTRANGE(""https://docs.google.com/spreadsheets/d/1AVX9GT0dgogEBStecCXMMQ29tWz3gBrtNB8yIromXbY/edit?gid=741673867"", ""out1g!A:B""), 2, FALSE), 0)"),626.0)</f>
        <v>626</v>
      </c>
      <c r="D4323" s="2" t="str">
        <f>IFERROR(__xludf.DUMMYFUNCTION("IFERROR(VLOOKUP(A4323, IMPORTRANGE(""https://docs.google.com/spreadsheets/d/1-3Vjw2Cyy-mry5gbC8ypIR3YVGFfEpyFESummAta6sg/edit"", ""Sheet1!B:D""), 2, FALSE), ""Not Found"")"),"fulɪŋ")</f>
        <v>fulɪŋ</v>
      </c>
      <c r="E4323" s="2" t="str">
        <f>IFERROR(__xludf.DUMMYFUNCTION("IFERROR(VLOOKUP(A4323, IMPORTRANGE(""https://docs.google.com/spreadsheets/d/1-3Vjw2Cyy-mry5gbC8ypIR3YVGFfEpyFESummAta6sg/edit"", ""Sheet1!B:D""), 3, FALSE), ""Not Found"")"),"f u l ɪ ŋ ")</f>
        <v>f u l ɪ ŋ </v>
      </c>
    </row>
    <row r="4324">
      <c r="A4324" s="1" t="s">
        <v>4325</v>
      </c>
      <c r="B4324" s="1" t="s">
        <v>5</v>
      </c>
      <c r="C4324" s="2">
        <f>IFERROR(__xludf.DUMMYFUNCTION("IFERROR(VLOOKUP(A4324, IMPORTRANGE(""https://docs.google.com/spreadsheets/d/1AVX9GT0dgogEBStecCXMMQ29tWz3gBrtNB8yIromXbY/edit?gid=741673867"", ""out1g!A:B""), 2, FALSE), 0)"),83.0)</f>
        <v>83</v>
      </c>
      <c r="D4324" s="2" t="str">
        <f>IFERROR(__xludf.DUMMYFUNCTION("IFERROR(VLOOKUP(A4324, IMPORTRANGE(""https://docs.google.com/spreadsheets/d/1-3Vjw2Cyy-mry5gbC8ypIR3YVGFfEpyFESummAta6sg/edit"", ""Sheet1!B:D""), 2, FALSE), ""Not Found"")"),"bəb")</f>
        <v>bəb</v>
      </c>
      <c r="E4324" s="2" t="str">
        <f>IFERROR(__xludf.DUMMYFUNCTION("IFERROR(VLOOKUP(A4324, IMPORTRANGE(""https://docs.google.com/spreadsheets/d/1-3Vjw2Cyy-mry5gbC8ypIR3YVGFfEpyFESummAta6sg/edit"", ""Sheet1!B:D""), 3, FALSE), ""Not Found"")"),"b ə b ")</f>
        <v>b ə b </v>
      </c>
    </row>
    <row r="4325">
      <c r="A4325" s="1" t="s">
        <v>4326</v>
      </c>
      <c r="B4325" s="1" t="s">
        <v>5</v>
      </c>
      <c r="C4325" s="2">
        <f>IFERROR(__xludf.DUMMYFUNCTION("IFERROR(VLOOKUP(A4325, IMPORTRANGE(""https://docs.google.com/spreadsheets/d/1AVX9GT0dgogEBStecCXMMQ29tWz3gBrtNB8yIromXbY/edit?gid=741673867"", ""out1g!A:B""), 2, FALSE), 0)"),1066.0)</f>
        <v>1066</v>
      </c>
      <c r="D4325" s="2" t="str">
        <f>IFERROR(__xludf.DUMMYFUNCTION("IFERROR(VLOOKUP(A4325, IMPORTRANGE(""https://docs.google.com/spreadsheets/d/1-3Vjw2Cyy-mry5gbC8ypIR3YVGFfEpyFESummAta6sg/edit"", ""Sheet1!B:D""), 2, FALSE), ""Not Found"")"),"stɑpɪŋ")</f>
        <v>stɑpɪŋ</v>
      </c>
      <c r="E4325" s="2" t="str">
        <f>IFERROR(__xludf.DUMMYFUNCTION("IFERROR(VLOOKUP(A4325, IMPORTRANGE(""https://docs.google.com/spreadsheets/d/1-3Vjw2Cyy-mry5gbC8ypIR3YVGFfEpyFESummAta6sg/edit"", ""Sheet1!B:D""), 3, FALSE), ""Not Found"")"),"s t ɑ p ɪ ŋ ")</f>
        <v>s t ɑ p ɪ ŋ </v>
      </c>
    </row>
    <row r="4326">
      <c r="A4326" s="1" t="s">
        <v>4327</v>
      </c>
      <c r="B4326" s="1" t="s">
        <v>5</v>
      </c>
      <c r="C4326" s="2">
        <f>IFERROR(__xludf.DUMMYFUNCTION("IFERROR(VLOOKUP(A4326, IMPORTRANGE(""https://docs.google.com/spreadsheets/d/1AVX9GT0dgogEBStecCXMMQ29tWz3gBrtNB8yIromXbY/edit?gid=741673867"", ""out1g!A:B""), 2, FALSE), 0)"),614.0)</f>
        <v>614</v>
      </c>
      <c r="D4326" s="2" t="str">
        <f>IFERROR(__xludf.DUMMYFUNCTION("IFERROR(VLOOKUP(A4326, IMPORTRANGE(""https://docs.google.com/spreadsheets/d/1-3Vjw2Cyy-mry5gbC8ypIR3YVGFfEpyFESummAta6sg/edit"", ""Sheet1!B:D""), 2, FALSE), ""Not Found"")"),"faɪts")</f>
        <v>faɪts</v>
      </c>
      <c r="E4326" s="2" t="str">
        <f>IFERROR(__xludf.DUMMYFUNCTION("IFERROR(VLOOKUP(A4326, IMPORTRANGE(""https://docs.google.com/spreadsheets/d/1-3Vjw2Cyy-mry5gbC8ypIR3YVGFfEpyFESummAta6sg/edit"", ""Sheet1!B:D""), 3, FALSE), ""Not Found"")"),"f a ɪ t s ")</f>
        <v>f a ɪ t s </v>
      </c>
    </row>
    <row r="4327">
      <c r="A4327" s="1" t="s">
        <v>4328</v>
      </c>
      <c r="B4327" s="1" t="s">
        <v>5</v>
      </c>
      <c r="C4327" s="2">
        <f>IFERROR(__xludf.DUMMYFUNCTION("IFERROR(VLOOKUP(A4327, IMPORTRANGE(""https://docs.google.com/spreadsheets/d/1AVX9GT0dgogEBStecCXMMQ29tWz3gBrtNB8yIromXbY/edit?gid=741673867"", ""out1g!A:B""), 2, FALSE), 0)"),119.0)</f>
        <v>119</v>
      </c>
      <c r="D4327" s="2" t="str">
        <f>IFERROR(__xludf.DUMMYFUNCTION("IFERROR(VLOOKUP(A4327, IMPORTRANGE(""https://docs.google.com/spreadsheets/d/1-3Vjw2Cyy-mry5gbC8ypIR3YVGFfEpyFESummAta6sg/edit"", ""Sheet1!B:D""), 2, FALSE), ""Not Found"")"),"wɪm")</f>
        <v>wɪm</v>
      </c>
      <c r="E4327" s="2" t="str">
        <f>IFERROR(__xludf.DUMMYFUNCTION("IFERROR(VLOOKUP(A4327, IMPORTRANGE(""https://docs.google.com/spreadsheets/d/1-3Vjw2Cyy-mry5gbC8ypIR3YVGFfEpyFESummAta6sg/edit"", ""Sheet1!B:D""), 3, FALSE), ""Not Found"")"),"w ɪ m ")</f>
        <v>w ɪ m </v>
      </c>
    </row>
    <row r="4328">
      <c r="A4328" s="1" t="s">
        <v>4329</v>
      </c>
      <c r="B4328" s="1" t="s">
        <v>5</v>
      </c>
      <c r="C4328" s="2">
        <f>IFERROR(__xludf.DUMMYFUNCTION("IFERROR(VLOOKUP(A4328, IMPORTRANGE(""https://docs.google.com/spreadsheets/d/1AVX9GT0dgogEBStecCXMMQ29tWz3gBrtNB8yIromXbY/edit?gid=741673867"", ""out1g!A:B""), 2, FALSE), 0)"),258.0)</f>
        <v>258</v>
      </c>
      <c r="D4328" s="2" t="str">
        <f>IFERROR(__xludf.DUMMYFUNCTION("IFERROR(VLOOKUP(A4328, IMPORTRANGE(""https://docs.google.com/spreadsheets/d/1-3Vjw2Cyy-mry5gbC8ypIR3YVGFfEpyFESummAta6sg/edit"", ""Sheet1!B:D""), 2, FALSE), ""Not Found"")"),"renz")</f>
        <v>renz</v>
      </c>
      <c r="E4328" s="2" t="str">
        <f>IFERROR(__xludf.DUMMYFUNCTION("IFERROR(VLOOKUP(A4328, IMPORTRANGE(""https://docs.google.com/spreadsheets/d/1-3Vjw2Cyy-mry5gbC8ypIR3YVGFfEpyFESummAta6sg/edit"", ""Sheet1!B:D""), 3, FALSE), ""Not Found"")"),"r e n z ")</f>
        <v>r e n z </v>
      </c>
    </row>
    <row r="4329">
      <c r="A4329" s="1" t="s">
        <v>4330</v>
      </c>
      <c r="B4329" s="1" t="s">
        <v>5</v>
      </c>
      <c r="C4329" s="2">
        <f>IFERROR(__xludf.DUMMYFUNCTION("IFERROR(VLOOKUP(A4329, IMPORTRANGE(""https://docs.google.com/spreadsheets/d/1AVX9GT0dgogEBStecCXMMQ29tWz3gBrtNB8yIromXbY/edit?gid=741673867"", ""out1g!A:B""), 2, FALSE), 0)"),2398.0)</f>
        <v>2398</v>
      </c>
      <c r="D4329" s="2" t="str">
        <f>IFERROR(__xludf.DUMMYFUNCTION("IFERROR(VLOOKUP(A4329, IMPORTRANGE(""https://docs.google.com/spreadsheets/d/1-3Vjw2Cyy-mry5gbC8ypIR3YVGFfEpyFESummAta6sg/edit"", ""Sheet1!B:D""), 2, FALSE), ""Not Found"")"),"əpɑrt")</f>
        <v>əpɑrt</v>
      </c>
      <c r="E4329" s="2" t="str">
        <f>IFERROR(__xludf.DUMMYFUNCTION("IFERROR(VLOOKUP(A4329, IMPORTRANGE(""https://docs.google.com/spreadsheets/d/1-3Vjw2Cyy-mry5gbC8ypIR3YVGFfEpyFESummAta6sg/edit"", ""Sheet1!B:D""), 3, FALSE), ""Not Found"")"),"ə p ɑ r t ")</f>
        <v>ə p ɑ r t </v>
      </c>
    </row>
    <row r="4330">
      <c r="A4330" s="1" t="s">
        <v>4331</v>
      </c>
      <c r="B4330" s="1" t="s">
        <v>5</v>
      </c>
      <c r="C4330" s="2">
        <f>IFERROR(__xludf.DUMMYFUNCTION("IFERROR(VLOOKUP(A4330, IMPORTRANGE(""https://docs.google.com/spreadsheets/d/1AVX9GT0dgogEBStecCXMMQ29tWz3gBrtNB8yIromXbY/edit?gid=741673867"", ""out1g!A:B""), 2, FALSE), 0)"),112.0)</f>
        <v>112</v>
      </c>
      <c r="D4330" s="2" t="str">
        <f>IFERROR(__xludf.DUMMYFUNCTION("IFERROR(VLOOKUP(A4330, IMPORTRANGE(""https://docs.google.com/spreadsheets/d/1-3Vjw2Cyy-mry5gbC8ypIR3YVGFfEpyFESummAta6sg/edit"", ""Sheet1!B:D""), 2, FALSE), ""Not Found"")"),"retɪŋ")</f>
        <v>retɪŋ</v>
      </c>
      <c r="E4330" s="2" t="str">
        <f>IFERROR(__xludf.DUMMYFUNCTION("IFERROR(VLOOKUP(A4330, IMPORTRANGE(""https://docs.google.com/spreadsheets/d/1-3Vjw2Cyy-mry5gbC8ypIR3YVGFfEpyFESummAta6sg/edit"", ""Sheet1!B:D""), 3, FALSE), ""Not Found"")"),"r e t ɪ ŋ ")</f>
        <v>r e t ɪ ŋ </v>
      </c>
    </row>
    <row r="4331">
      <c r="A4331" s="1" t="s">
        <v>4332</v>
      </c>
      <c r="B4331" s="1" t="s">
        <v>5</v>
      </c>
      <c r="C4331" s="2">
        <f>IFERROR(__xludf.DUMMYFUNCTION("IFERROR(VLOOKUP(A4331, IMPORTRANGE(""https://docs.google.com/spreadsheets/d/1AVX9GT0dgogEBStecCXMMQ29tWz3gBrtNB8yIromXbY/edit?gid=741673867"", ""out1g!A:B""), 2, FALSE), 0)"),417.0)</f>
        <v>417</v>
      </c>
      <c r="D4331" s="2" t="str">
        <f>IFERROR(__xludf.DUMMYFUNCTION("IFERROR(VLOOKUP(A4331, IMPORTRANGE(""https://docs.google.com/spreadsheets/d/1-3Vjw2Cyy-mry5gbC8ypIR3YVGFfEpyFESummAta6sg/edit"", ""Sheet1!B:D""), 2, FALSE), ""Not Found"")"),"læn")</f>
        <v>læn</v>
      </c>
      <c r="E4331" s="2" t="str">
        <f>IFERROR(__xludf.DUMMYFUNCTION("IFERROR(VLOOKUP(A4331, IMPORTRANGE(""https://docs.google.com/spreadsheets/d/1-3Vjw2Cyy-mry5gbC8ypIR3YVGFfEpyFESummAta6sg/edit"", ""Sheet1!B:D""), 3, FALSE), ""Not Found"")"),"l æ n ")</f>
        <v>l æ n </v>
      </c>
    </row>
    <row r="4332">
      <c r="A4332" s="1" t="s">
        <v>4333</v>
      </c>
      <c r="B4332" s="1" t="s">
        <v>5</v>
      </c>
      <c r="C4332" s="2">
        <f>IFERROR(__xludf.DUMMYFUNCTION("IFERROR(VLOOKUP(A4332, IMPORTRANGE(""https://docs.google.com/spreadsheets/d/1AVX9GT0dgogEBStecCXMMQ29tWz3gBrtNB8yIromXbY/edit?gid=741673867"", ""out1g!A:B""), 2, FALSE), 0)"),4977.0)</f>
        <v>4977</v>
      </c>
      <c r="D4332" s="2" t="str">
        <f>IFERROR(__xludf.DUMMYFUNCTION("IFERROR(VLOOKUP(A4332, IMPORTRANGE(""https://docs.google.com/spreadsheets/d/1-3Vjw2Cyy-mry5gbC8ypIR3YVGFfEpyFESummAta6sg/edit"", ""Sheet1!B:D""), 2, FALSE), ""Not Found"")"),"sɪŋ")</f>
        <v>sɪŋ</v>
      </c>
      <c r="E4332" s="2" t="str">
        <f>IFERROR(__xludf.DUMMYFUNCTION("IFERROR(VLOOKUP(A4332, IMPORTRANGE(""https://docs.google.com/spreadsheets/d/1-3Vjw2Cyy-mry5gbC8ypIR3YVGFfEpyFESummAta6sg/edit"", ""Sheet1!B:D""), 3, FALSE), ""Not Found"")"),"s ɪ ŋ ")</f>
        <v>s ɪ ŋ </v>
      </c>
    </row>
    <row r="4333">
      <c r="A4333" s="1" t="s">
        <v>4334</v>
      </c>
      <c r="B4333" s="1" t="s">
        <v>5</v>
      </c>
      <c r="C4333" s="2">
        <f>IFERROR(__xludf.DUMMYFUNCTION("IFERROR(VLOOKUP(A4333, IMPORTRANGE(""https://docs.google.com/spreadsheets/d/1AVX9GT0dgogEBStecCXMMQ29tWz3gBrtNB8yIromXbY/edit?gid=741673867"", ""out1g!A:B""), 2, FALSE), 0)"),103.0)</f>
        <v>103</v>
      </c>
      <c r="D4333" s="2" t="str">
        <f>IFERROR(__xludf.DUMMYFUNCTION("IFERROR(VLOOKUP(A4333, IMPORTRANGE(""https://docs.google.com/spreadsheets/d/1-3Vjw2Cyy-mry5gbC8ypIR3YVGFfEpyFESummAta6sg/edit"", ""Sheet1!B:D""), 2, FALSE), ""Not Found"")"),"glɪʧ")</f>
        <v>glɪʧ</v>
      </c>
      <c r="E4333" s="2" t="str">
        <f>IFERROR(__xludf.DUMMYFUNCTION("IFERROR(VLOOKUP(A4333, IMPORTRANGE(""https://docs.google.com/spreadsheets/d/1-3Vjw2Cyy-mry5gbC8ypIR3YVGFfEpyFESummAta6sg/edit"", ""Sheet1!B:D""), 3, FALSE), ""Not Found"")"),"g l ɪ ʧ ")</f>
        <v>g l ɪ ʧ </v>
      </c>
    </row>
    <row r="4334">
      <c r="A4334" s="1" t="s">
        <v>4335</v>
      </c>
      <c r="B4334" s="1" t="s">
        <v>5</v>
      </c>
      <c r="C4334" s="2">
        <f>IFERROR(__xludf.DUMMYFUNCTION("IFERROR(VLOOKUP(A4334, IMPORTRANGE(""https://docs.google.com/spreadsheets/d/1AVX9GT0dgogEBStecCXMMQ29tWz3gBrtNB8yIromXbY/edit?gid=741673867"", ""out1g!A:B""), 2, FALSE), 0)"),656.0)</f>
        <v>656</v>
      </c>
      <c r="D4334" s="2" t="str">
        <f>IFERROR(__xludf.DUMMYFUNCTION("IFERROR(VLOOKUP(A4334, IMPORTRANGE(""https://docs.google.com/spreadsheets/d/1-3Vjw2Cyy-mry5gbC8ypIR3YVGFfEpyFESummAta6sg/edit"", ""Sheet1!B:D""), 2, FALSE), ""Not Found"")"),"stɛpt")</f>
        <v>stɛpt</v>
      </c>
      <c r="E4334" s="2" t="str">
        <f>IFERROR(__xludf.DUMMYFUNCTION("IFERROR(VLOOKUP(A4334, IMPORTRANGE(""https://docs.google.com/spreadsheets/d/1-3Vjw2Cyy-mry5gbC8ypIR3YVGFfEpyFESummAta6sg/edit"", ""Sheet1!B:D""), 3, FALSE), ""Not Found"")"),"s t ɛ p t ")</f>
        <v>s t ɛ p t </v>
      </c>
    </row>
    <row r="4335">
      <c r="A4335" s="1" t="s">
        <v>4336</v>
      </c>
      <c r="B4335" s="1" t="s">
        <v>5</v>
      </c>
      <c r="C4335" s="2">
        <f>IFERROR(__xludf.DUMMYFUNCTION("IFERROR(VLOOKUP(A4335, IMPORTRANGE(""https://docs.google.com/spreadsheets/d/1AVX9GT0dgogEBStecCXMMQ29tWz3gBrtNB8yIromXbY/edit?gid=741673867"", ""out1g!A:B""), 2, FALSE), 0)"),77.0)</f>
        <v>77</v>
      </c>
      <c r="D4335" s="2" t="str">
        <f>IFERROR(__xludf.DUMMYFUNCTION("IFERROR(VLOOKUP(A4335, IMPORTRANGE(""https://docs.google.com/spreadsheets/d/1-3Vjw2Cyy-mry5gbC8ypIR3YVGFfEpyFESummAta6sg/edit"", ""Sheet1!B:D""), 2, FALSE), ""Not Found"")"),"məʃi")</f>
        <v>məʃi</v>
      </c>
      <c r="E4335" s="2" t="str">
        <f>IFERROR(__xludf.DUMMYFUNCTION("IFERROR(VLOOKUP(A4335, IMPORTRANGE(""https://docs.google.com/spreadsheets/d/1-3Vjw2Cyy-mry5gbC8ypIR3YVGFfEpyFESummAta6sg/edit"", ""Sheet1!B:D""), 3, FALSE), ""Not Found"")"),"m ə ʃ i ")</f>
        <v>m ə ʃ i </v>
      </c>
    </row>
    <row r="4336">
      <c r="A4336" s="1" t="s">
        <v>4337</v>
      </c>
      <c r="B4336" s="1" t="s">
        <v>5</v>
      </c>
      <c r="C4336" s="2">
        <f>IFERROR(__xludf.DUMMYFUNCTION("IFERROR(VLOOKUP(A4336, IMPORTRANGE(""https://docs.google.com/spreadsheets/d/1AVX9GT0dgogEBStecCXMMQ29tWz3gBrtNB8yIromXbY/edit?gid=741673867"", ""out1g!A:B""), 2, FALSE), 0)"),709.0)</f>
        <v>709</v>
      </c>
      <c r="D4336" s="2" t="str">
        <f>IFERROR(__xludf.DUMMYFUNCTION("IFERROR(VLOOKUP(A4336, IMPORTRANGE(""https://docs.google.com/spreadsheets/d/1-3Vjw2Cyy-mry5gbC8ypIR3YVGFfEpyFESummAta6sg/edit"", ""Sheet1!B:D""), 2, FALSE), ""Not Found"")"),"taɪlər")</f>
        <v>taɪlər</v>
      </c>
      <c r="E4336" s="2" t="str">
        <f>IFERROR(__xludf.DUMMYFUNCTION("IFERROR(VLOOKUP(A4336, IMPORTRANGE(""https://docs.google.com/spreadsheets/d/1-3Vjw2Cyy-mry5gbC8ypIR3YVGFfEpyFESummAta6sg/edit"", ""Sheet1!B:D""), 3, FALSE), ""Not Found"")"),"t a ɪ l ə r ")</f>
        <v>t a ɪ l ə r </v>
      </c>
    </row>
    <row r="4337">
      <c r="A4337" s="1" t="s">
        <v>4338</v>
      </c>
      <c r="B4337" s="1" t="s">
        <v>5</v>
      </c>
      <c r="C4337" s="2">
        <f>IFERROR(__xludf.DUMMYFUNCTION("IFERROR(VLOOKUP(A4337, IMPORTRANGE(""https://docs.google.com/spreadsheets/d/1AVX9GT0dgogEBStecCXMMQ29tWz3gBrtNB8yIromXbY/edit?gid=741673867"", ""out1g!A:B""), 2, FALSE), 0)"),215.0)</f>
        <v>215</v>
      </c>
      <c r="D4337" s="2" t="str">
        <f>IFERROR(__xludf.DUMMYFUNCTION("IFERROR(VLOOKUP(A4337, IMPORTRANGE(""https://docs.google.com/spreadsheets/d/1-3Vjw2Cyy-mry5gbC8ypIR3YVGFfEpyFESummAta6sg/edit"", ""Sheet1!B:D""), 2, FALSE), ""Not Found"")"),"flɛr")</f>
        <v>flɛr</v>
      </c>
      <c r="E4337" s="2" t="str">
        <f>IFERROR(__xludf.DUMMYFUNCTION("IFERROR(VLOOKUP(A4337, IMPORTRANGE(""https://docs.google.com/spreadsheets/d/1-3Vjw2Cyy-mry5gbC8ypIR3YVGFfEpyFESummAta6sg/edit"", ""Sheet1!B:D""), 3, FALSE), ""Not Found"")"),"f l ɛ r ")</f>
        <v>f l ɛ r </v>
      </c>
    </row>
    <row r="4338">
      <c r="A4338" s="1" t="s">
        <v>4339</v>
      </c>
      <c r="B4338" s="1" t="s">
        <v>5</v>
      </c>
      <c r="C4338" s="2">
        <f>IFERROR(__xludf.DUMMYFUNCTION("IFERROR(VLOOKUP(A4338, IMPORTRANGE(""https://docs.google.com/spreadsheets/d/1AVX9GT0dgogEBStecCXMMQ29tWz3gBrtNB8yIromXbY/edit?gid=741673867"", ""out1g!A:B""), 2, FALSE), 0)"),201.0)</f>
        <v>201</v>
      </c>
      <c r="D4338" s="2" t="str">
        <f>IFERROR(__xludf.DUMMYFUNCTION("IFERROR(VLOOKUP(A4338, IMPORTRANGE(""https://docs.google.com/spreadsheets/d/1-3Vjw2Cyy-mry5gbC8ypIR3YVGFfEpyFESummAta6sg/edit"", ""Sheet1!B:D""), 2, FALSE), ""Not Found"")"),"bəzər")</f>
        <v>bəzər</v>
      </c>
      <c r="E4338" s="2" t="str">
        <f>IFERROR(__xludf.DUMMYFUNCTION("IFERROR(VLOOKUP(A4338, IMPORTRANGE(""https://docs.google.com/spreadsheets/d/1-3Vjw2Cyy-mry5gbC8ypIR3YVGFfEpyFESummAta6sg/edit"", ""Sheet1!B:D""), 3, FALSE), ""Not Found"")"),"b ə z ə r ")</f>
        <v>b ə z ə r </v>
      </c>
    </row>
    <row r="4339">
      <c r="A4339" s="1" t="s">
        <v>4340</v>
      </c>
      <c r="B4339" s="1" t="s">
        <v>5</v>
      </c>
      <c r="C4339" s="2">
        <f>IFERROR(__xludf.DUMMYFUNCTION("IFERROR(VLOOKUP(A4339, IMPORTRANGE(""https://docs.google.com/spreadsheets/d/1AVX9GT0dgogEBStecCXMMQ29tWz3gBrtNB8yIromXbY/edit?gid=741673867"", ""out1g!A:B""), 2, FALSE), 0)"),142.0)</f>
        <v>142</v>
      </c>
      <c r="D4339" s="2" t="str">
        <f>IFERROR(__xludf.DUMMYFUNCTION("IFERROR(VLOOKUP(A4339, IMPORTRANGE(""https://docs.google.com/spreadsheets/d/1-3Vjw2Cyy-mry5gbC8ypIR3YVGFfEpyFESummAta6sg/edit"", ""Sheet1!B:D""), 2, FALSE), ""Not Found"")"),"peʤd")</f>
        <v>peʤd</v>
      </c>
      <c r="E4339" s="2" t="str">
        <f>IFERROR(__xludf.DUMMYFUNCTION("IFERROR(VLOOKUP(A4339, IMPORTRANGE(""https://docs.google.com/spreadsheets/d/1-3Vjw2Cyy-mry5gbC8ypIR3YVGFfEpyFESummAta6sg/edit"", ""Sheet1!B:D""), 3, FALSE), ""Not Found"")"),"p e ʤ d ")</f>
        <v>p e ʤ d </v>
      </c>
    </row>
    <row r="4340">
      <c r="A4340" s="1" t="s">
        <v>4341</v>
      </c>
      <c r="B4340" s="1" t="s">
        <v>5</v>
      </c>
      <c r="C4340" s="2">
        <f>IFERROR(__xludf.DUMMYFUNCTION("IFERROR(VLOOKUP(A4340, IMPORTRANGE(""https://docs.google.com/spreadsheets/d/1AVX9GT0dgogEBStecCXMMQ29tWz3gBrtNB8yIromXbY/edit?gid=741673867"", ""out1g!A:B""), 2, FALSE), 0)"),2923.0)</f>
        <v>2923</v>
      </c>
      <c r="D4340" s="2" t="str">
        <f>IFERROR(__xludf.DUMMYFUNCTION("IFERROR(VLOOKUP(A4340, IMPORTRANGE(""https://docs.google.com/spreadsheets/d/1-3Vjw2Cyy-mry5gbC8ypIR3YVGFfEpyFESummAta6sg/edit"", ""Sheet1!B:D""), 2, FALSE), ""Not Found"")"),"waɪld")</f>
        <v>waɪld</v>
      </c>
      <c r="E4340" s="2" t="str">
        <f>IFERROR(__xludf.DUMMYFUNCTION("IFERROR(VLOOKUP(A4340, IMPORTRANGE(""https://docs.google.com/spreadsheets/d/1-3Vjw2Cyy-mry5gbC8ypIR3YVGFfEpyFESummAta6sg/edit"", ""Sheet1!B:D""), 3, FALSE), ""Not Found"")"),"w a ɪ l d ")</f>
        <v>w a ɪ l d </v>
      </c>
    </row>
    <row r="4341">
      <c r="A4341" s="1" t="s">
        <v>4342</v>
      </c>
      <c r="B4341" s="1" t="s">
        <v>5</v>
      </c>
      <c r="C4341" s="2">
        <f>IFERROR(__xludf.DUMMYFUNCTION("IFERROR(VLOOKUP(A4341, IMPORTRANGE(""https://docs.google.com/spreadsheets/d/1AVX9GT0dgogEBStecCXMMQ29tWz3gBrtNB8yIromXbY/edit?gid=741673867"", ""out1g!A:B""), 2, FALSE), 0)"),58.0)</f>
        <v>58</v>
      </c>
      <c r="D4341" s="2" t="str">
        <f>IFERROR(__xludf.DUMMYFUNCTION("IFERROR(VLOOKUP(A4341, IMPORTRANGE(""https://docs.google.com/spreadsheets/d/1-3Vjw2Cyy-mry5gbC8ypIR3YVGFfEpyFESummAta6sg/edit"", ""Sheet1!B:D""), 2, FALSE), ""Not Found"")"),"ʧɪli")</f>
        <v>ʧɪli</v>
      </c>
      <c r="E4341" s="2" t="str">
        <f>IFERROR(__xludf.DUMMYFUNCTION("IFERROR(VLOOKUP(A4341, IMPORTRANGE(""https://docs.google.com/spreadsheets/d/1-3Vjw2Cyy-mry5gbC8ypIR3YVGFfEpyFESummAta6sg/edit"", ""Sheet1!B:D""), 3, FALSE), ""Not Found"")"),"ʧ ɪ l i ")</f>
        <v>ʧ ɪ l i </v>
      </c>
    </row>
    <row r="4342">
      <c r="A4342" s="1" t="s">
        <v>4343</v>
      </c>
      <c r="B4342" s="1" t="s">
        <v>5</v>
      </c>
      <c r="C4342" s="2">
        <f>IFERROR(__xludf.DUMMYFUNCTION("IFERROR(VLOOKUP(A4342, IMPORTRANGE(""https://docs.google.com/spreadsheets/d/1AVX9GT0dgogEBStecCXMMQ29tWz3gBrtNB8yIromXbY/edit?gid=741673867"", ""out1g!A:B""), 2, FALSE), 0)"),61.0)</f>
        <v>61</v>
      </c>
      <c r="D4342" s="2" t="str">
        <f>IFERROR(__xludf.DUMMYFUNCTION("IFERROR(VLOOKUP(A4342, IMPORTRANGE(""https://docs.google.com/spreadsheets/d/1-3Vjw2Cyy-mry5gbC8ypIR3YVGFfEpyFESummAta6sg/edit"", ""Sheet1!B:D""), 2, FALSE), ""Not Found"")"),"blɪŋ")</f>
        <v>blɪŋ</v>
      </c>
      <c r="E4342" s="2" t="str">
        <f>IFERROR(__xludf.DUMMYFUNCTION("IFERROR(VLOOKUP(A4342, IMPORTRANGE(""https://docs.google.com/spreadsheets/d/1-3Vjw2Cyy-mry5gbC8ypIR3YVGFfEpyFESummAta6sg/edit"", ""Sheet1!B:D""), 3, FALSE), ""Not Found"")"),"b l ɪ ŋ ")</f>
        <v>b l ɪ ŋ </v>
      </c>
    </row>
    <row r="4343">
      <c r="A4343" s="1" t="s">
        <v>4344</v>
      </c>
      <c r="B4343" s="1" t="s">
        <v>5</v>
      </c>
      <c r="C4343" s="2">
        <f>IFERROR(__xludf.DUMMYFUNCTION("IFERROR(VLOOKUP(A4343, IMPORTRANGE(""https://docs.google.com/spreadsheets/d/1AVX9GT0dgogEBStecCXMMQ29tWz3gBrtNB8yIromXbY/edit?gid=741673867"", ""out1g!A:B""), 2, FALSE), 0)"),116.0)</f>
        <v>116</v>
      </c>
      <c r="D4343" s="2" t="str">
        <f>IFERROR(__xludf.DUMMYFUNCTION("IFERROR(VLOOKUP(A4343, IMPORTRANGE(""https://docs.google.com/spreadsheets/d/1-3Vjw2Cyy-mry5gbC8ypIR3YVGFfEpyFESummAta6sg/edit"", ""Sheet1!B:D""), 2, FALSE), ""Not Found"")"),"ʧænt")</f>
        <v>ʧænt</v>
      </c>
      <c r="E4343" s="2" t="str">
        <f>IFERROR(__xludf.DUMMYFUNCTION("IFERROR(VLOOKUP(A4343, IMPORTRANGE(""https://docs.google.com/spreadsheets/d/1-3Vjw2Cyy-mry5gbC8ypIR3YVGFfEpyFESummAta6sg/edit"", ""Sheet1!B:D""), 3, FALSE), ""Not Found"")"),"ʧ æ n t ")</f>
        <v>ʧ æ n t </v>
      </c>
    </row>
    <row r="4344">
      <c r="A4344" s="1" t="s">
        <v>4345</v>
      </c>
      <c r="B4344" s="1" t="s">
        <v>5</v>
      </c>
      <c r="C4344" s="2">
        <f>IFERROR(__xludf.DUMMYFUNCTION("IFERROR(VLOOKUP(A4344, IMPORTRANGE(""https://docs.google.com/spreadsheets/d/1AVX9GT0dgogEBStecCXMMQ29tWz3gBrtNB8yIromXbY/edit?gid=741673867"", ""out1g!A:B""), 2, FALSE), 0)"),46.0)</f>
        <v>46</v>
      </c>
      <c r="D4344" s="2" t="str">
        <f>IFERROR(__xludf.DUMMYFUNCTION("IFERROR(VLOOKUP(A4344, IMPORTRANGE(""https://docs.google.com/spreadsheets/d/1-3Vjw2Cyy-mry5gbC8ypIR3YVGFfEpyFESummAta6sg/edit"", ""Sheet1!B:D""), 2, FALSE), ""Not Found"")"),"laɪvən")</f>
        <v>laɪvən</v>
      </c>
      <c r="E4344" s="2" t="str">
        <f>IFERROR(__xludf.DUMMYFUNCTION("IFERROR(VLOOKUP(A4344, IMPORTRANGE(""https://docs.google.com/spreadsheets/d/1-3Vjw2Cyy-mry5gbC8ypIR3YVGFfEpyFESummAta6sg/edit"", ""Sheet1!B:D""), 3, FALSE), ""Not Found"")"),"l a ɪ v ə n ")</f>
        <v>l a ɪ v ə n </v>
      </c>
    </row>
    <row r="4345">
      <c r="A4345" s="1" t="s">
        <v>4346</v>
      </c>
      <c r="B4345" s="1" t="s">
        <v>5</v>
      </c>
      <c r="C4345" s="2">
        <f>IFERROR(__xludf.DUMMYFUNCTION("IFERROR(VLOOKUP(A4345, IMPORTRANGE(""https://docs.google.com/spreadsheets/d/1AVX9GT0dgogEBStecCXMMQ29tWz3gBrtNB8yIromXbY/edit?gid=741673867"", ""out1g!A:B""), 2, FALSE), 0)"),101.0)</f>
        <v>101</v>
      </c>
      <c r="D4345" s="2" t="str">
        <f>IFERROR(__xludf.DUMMYFUNCTION("IFERROR(VLOOKUP(A4345, IMPORTRANGE(""https://docs.google.com/spreadsheets/d/1-3Vjw2Cyy-mry5gbC8ypIR3YVGFfEpyFESummAta6sg/edit"", ""Sheet1!B:D""), 2, FALSE), ""Not Found"")"),"pekoʊ")</f>
        <v>pekoʊ</v>
      </c>
      <c r="E4345" s="2" t="str">
        <f>IFERROR(__xludf.DUMMYFUNCTION("IFERROR(VLOOKUP(A4345, IMPORTRANGE(""https://docs.google.com/spreadsheets/d/1-3Vjw2Cyy-mry5gbC8ypIR3YVGFfEpyFESummAta6sg/edit"", ""Sheet1!B:D""), 3, FALSE), ""Not Found"")"),"p e k o ʊ ")</f>
        <v>p e k o ʊ </v>
      </c>
    </row>
    <row r="4346">
      <c r="A4346" s="1" t="s">
        <v>4347</v>
      </c>
      <c r="B4346" s="1" t="s">
        <v>5</v>
      </c>
      <c r="C4346" s="2">
        <f>IFERROR(__xludf.DUMMYFUNCTION("IFERROR(VLOOKUP(A4346, IMPORTRANGE(""https://docs.google.com/spreadsheets/d/1AVX9GT0dgogEBStecCXMMQ29tWz3gBrtNB8yIromXbY/edit?gid=741673867"", ""out1g!A:B""), 2, FALSE), 0)"),167.0)</f>
        <v>167</v>
      </c>
      <c r="D4346" s="2" t="str">
        <f>IFERROR(__xludf.DUMMYFUNCTION("IFERROR(VLOOKUP(A4346, IMPORTRANGE(""https://docs.google.com/spreadsheets/d/1-3Vjw2Cyy-mry5gbC8ypIR3YVGFfEpyFESummAta6sg/edit"", ""Sheet1!B:D""), 2, FALSE), ""Not Found"")"),"gælənt")</f>
        <v>gælənt</v>
      </c>
      <c r="E4346" s="2" t="str">
        <f>IFERROR(__xludf.DUMMYFUNCTION("IFERROR(VLOOKUP(A4346, IMPORTRANGE(""https://docs.google.com/spreadsheets/d/1-3Vjw2Cyy-mry5gbC8ypIR3YVGFfEpyFESummAta6sg/edit"", ""Sheet1!B:D""), 3, FALSE), ""Not Found"")"),"g æ l ə n t ")</f>
        <v>g æ l ə n t </v>
      </c>
    </row>
    <row r="4347">
      <c r="A4347" s="1" t="s">
        <v>4348</v>
      </c>
      <c r="B4347" s="1" t="s">
        <v>5</v>
      </c>
      <c r="C4347" s="2">
        <f>IFERROR(__xludf.DUMMYFUNCTION("IFERROR(VLOOKUP(A4347, IMPORTRANGE(""https://docs.google.com/spreadsheets/d/1AVX9GT0dgogEBStecCXMMQ29tWz3gBrtNB8yIromXbY/edit?gid=741673867"", ""out1g!A:B""), 2, FALSE), 0)"),10.0)</f>
        <v>10</v>
      </c>
      <c r="D4347" s="2" t="str">
        <f>IFERROR(__xludf.DUMMYFUNCTION("IFERROR(VLOOKUP(A4347, IMPORTRANGE(""https://docs.google.com/spreadsheets/d/1-3Vjw2Cyy-mry5gbC8ypIR3YVGFfEpyFESummAta6sg/edit"", ""Sheet1!B:D""), 2, FALSE), ""Not Found"")"),"raʊstɪd")</f>
        <v>raʊstɪd</v>
      </c>
      <c r="E4347" s="2" t="str">
        <f>IFERROR(__xludf.DUMMYFUNCTION("IFERROR(VLOOKUP(A4347, IMPORTRANGE(""https://docs.google.com/spreadsheets/d/1-3Vjw2Cyy-mry5gbC8ypIR3YVGFfEpyFESummAta6sg/edit"", ""Sheet1!B:D""), 3, FALSE), ""Not Found"")"),"r a ʊ s t ɪ d ")</f>
        <v>r a ʊ s t ɪ d </v>
      </c>
    </row>
    <row r="4348">
      <c r="A4348" s="1" t="s">
        <v>4349</v>
      </c>
      <c r="B4348" s="1" t="s">
        <v>5</v>
      </c>
      <c r="C4348" s="2">
        <f>IFERROR(__xludf.DUMMYFUNCTION("IFERROR(VLOOKUP(A4348, IMPORTRANGE(""https://docs.google.com/spreadsheets/d/1AVX9GT0dgogEBStecCXMMQ29tWz3gBrtNB8yIromXbY/edit?gid=741673867"", ""out1g!A:B""), 2, FALSE), 0)"),619.0)</f>
        <v>619</v>
      </c>
      <c r="D4348" s="2" t="str">
        <f>IFERROR(__xludf.DUMMYFUNCTION("IFERROR(VLOOKUP(A4348, IMPORTRANGE(""https://docs.google.com/spreadsheets/d/1-3Vjw2Cyy-mry5gbC8ypIR3YVGFfEpyFESummAta6sg/edit"", ""Sheet1!B:D""), 2, FALSE), ""Not Found"")"),"bədiz")</f>
        <v>bədiz</v>
      </c>
      <c r="E4348" s="2" t="str">
        <f>IFERROR(__xludf.DUMMYFUNCTION("IFERROR(VLOOKUP(A4348, IMPORTRANGE(""https://docs.google.com/spreadsheets/d/1-3Vjw2Cyy-mry5gbC8ypIR3YVGFfEpyFESummAta6sg/edit"", ""Sheet1!B:D""), 3, FALSE), ""Not Found"")"),"b ə d i z ")</f>
        <v>b ə d i z </v>
      </c>
    </row>
    <row r="4349">
      <c r="A4349" s="1" t="s">
        <v>4350</v>
      </c>
      <c r="B4349" s="1" t="s">
        <v>5</v>
      </c>
      <c r="C4349" s="2">
        <f>IFERROR(__xludf.DUMMYFUNCTION("IFERROR(VLOOKUP(A4349, IMPORTRANGE(""https://docs.google.com/spreadsheets/d/1AVX9GT0dgogEBStecCXMMQ29tWz3gBrtNB8yIromXbY/edit?gid=741673867"", ""out1g!A:B""), 2, FALSE), 0)"),10.0)</f>
        <v>10</v>
      </c>
      <c r="D4349" s="2" t="str">
        <f>IFERROR(__xludf.DUMMYFUNCTION("IFERROR(VLOOKUP(A4349, IMPORTRANGE(""https://docs.google.com/spreadsheets/d/1-3Vjw2Cyy-mry5gbC8ypIR3YVGFfEpyFESummAta6sg/edit"", ""Sheet1!B:D""), 2, FALSE), ""Not Found"")"),"læp")</f>
        <v>læp</v>
      </c>
      <c r="E4349" s="2" t="str">
        <f>IFERROR(__xludf.DUMMYFUNCTION("IFERROR(VLOOKUP(A4349, IMPORTRANGE(""https://docs.google.com/spreadsheets/d/1-3Vjw2Cyy-mry5gbC8ypIR3YVGFfEpyFESummAta6sg/edit"", ""Sheet1!B:D""), 3, FALSE), ""Not Found"")"),"l æ p ")</f>
        <v>l æ p </v>
      </c>
    </row>
    <row r="4350">
      <c r="A4350" s="1" t="s">
        <v>4351</v>
      </c>
      <c r="B4350" s="1" t="s">
        <v>5</v>
      </c>
      <c r="C4350" s="2">
        <f>IFERROR(__xludf.DUMMYFUNCTION("IFERROR(VLOOKUP(A4350, IMPORTRANGE(""https://docs.google.com/spreadsheets/d/1AVX9GT0dgogEBStecCXMMQ29tWz3gBrtNB8yIromXbY/edit?gid=741673867"", ""out1g!A:B""), 2, FALSE), 0)"),91.0)</f>
        <v>91</v>
      </c>
      <c r="D4350" s="2" t="str">
        <f>IFERROR(__xludf.DUMMYFUNCTION("IFERROR(VLOOKUP(A4350, IMPORTRANGE(""https://docs.google.com/spreadsheets/d/1-3Vjw2Cyy-mry5gbC8ypIR3YVGFfEpyFESummAta6sg/edit"", ""Sheet1!B:D""), 2, FALSE), ""Not Found"")"),"hoʊboʊ")</f>
        <v>hoʊboʊ</v>
      </c>
      <c r="E4350" s="2" t="str">
        <f>IFERROR(__xludf.DUMMYFUNCTION("IFERROR(VLOOKUP(A4350, IMPORTRANGE(""https://docs.google.com/spreadsheets/d/1-3Vjw2Cyy-mry5gbC8ypIR3YVGFfEpyFESummAta6sg/edit"", ""Sheet1!B:D""), 3, FALSE), ""Not Found"")"),"h o ʊ b o ʊ ")</f>
        <v>h o ʊ b o ʊ </v>
      </c>
    </row>
    <row r="4351">
      <c r="A4351" s="1" t="s">
        <v>4352</v>
      </c>
      <c r="B4351" s="1" t="s">
        <v>5</v>
      </c>
      <c r="C4351" s="2">
        <f>IFERROR(__xludf.DUMMYFUNCTION("IFERROR(VLOOKUP(A4351, IMPORTRANGE(""https://docs.google.com/spreadsheets/d/1AVX9GT0dgogEBStecCXMMQ29tWz3gBrtNB8yIromXbY/edit?gid=741673867"", ""out1g!A:B""), 2, FALSE), 0)"),1703.0)</f>
        <v>1703</v>
      </c>
      <c r="D4351" s="2" t="str">
        <f>IFERROR(__xludf.DUMMYFUNCTION("IFERROR(VLOOKUP(A4351, IMPORTRANGE(""https://docs.google.com/spreadsheets/d/1-3Vjw2Cyy-mry5gbC8ypIR3YVGFfEpyFESummAta6sg/edit"", ""Sheet1!B:D""), 2, FALSE), ""Not Found"")"),"soʊʃəl")</f>
        <v>soʊʃəl</v>
      </c>
      <c r="E4351" s="2" t="str">
        <f>IFERROR(__xludf.DUMMYFUNCTION("IFERROR(VLOOKUP(A4351, IMPORTRANGE(""https://docs.google.com/spreadsheets/d/1-3Vjw2Cyy-mry5gbC8ypIR3YVGFfEpyFESummAta6sg/edit"", ""Sheet1!B:D""), 3, FALSE), ""Not Found"")"),"s o ʊ ʃ ə l ")</f>
        <v>s o ʊ ʃ ə l </v>
      </c>
    </row>
    <row r="4352">
      <c r="A4352" s="1" t="s">
        <v>4353</v>
      </c>
      <c r="B4352" s="1" t="s">
        <v>5</v>
      </c>
      <c r="C4352" s="2">
        <f>IFERROR(__xludf.DUMMYFUNCTION("IFERROR(VLOOKUP(A4352, IMPORTRANGE(""https://docs.google.com/spreadsheets/d/1AVX9GT0dgogEBStecCXMMQ29tWz3gBrtNB8yIromXbY/edit?gid=741673867"", ""out1g!A:B""), 2, FALSE), 0)"),47.0)</f>
        <v>47</v>
      </c>
      <c r="D4352" s="2" t="str">
        <f>IFERROR(__xludf.DUMMYFUNCTION("IFERROR(VLOOKUP(A4352, IMPORTRANGE(""https://docs.google.com/spreadsheets/d/1-3Vjw2Cyy-mry5gbC8ypIR3YVGFfEpyFESummAta6sg/edit"", ""Sheet1!B:D""), 2, FALSE), ""Not Found"")"),"poʊʧɪŋ")</f>
        <v>poʊʧɪŋ</v>
      </c>
      <c r="E4352" s="2" t="str">
        <f>IFERROR(__xludf.DUMMYFUNCTION("IFERROR(VLOOKUP(A4352, IMPORTRANGE(""https://docs.google.com/spreadsheets/d/1-3Vjw2Cyy-mry5gbC8ypIR3YVGFfEpyFESummAta6sg/edit"", ""Sheet1!B:D""), 3, FALSE), ""Not Found"")"),"p o ʊ ʧ ɪ ŋ ")</f>
        <v>p o ʊ ʧ ɪ ŋ </v>
      </c>
    </row>
    <row r="4353">
      <c r="A4353" s="1" t="s">
        <v>4354</v>
      </c>
      <c r="B4353" s="1" t="s">
        <v>5</v>
      </c>
      <c r="C4353" s="2">
        <f>IFERROR(__xludf.DUMMYFUNCTION("IFERROR(VLOOKUP(A4353, IMPORTRANGE(""https://docs.google.com/spreadsheets/d/1AVX9GT0dgogEBStecCXMMQ29tWz3gBrtNB8yIromXbY/edit?gid=741673867"", ""out1g!A:B""), 2, FALSE), 0)"),1306.0)</f>
        <v>1306</v>
      </c>
      <c r="D4353" s="2" t="str">
        <f>IFERROR(__xludf.DUMMYFUNCTION("IFERROR(VLOOKUP(A4353, IMPORTRANGE(""https://docs.google.com/spreadsheets/d/1-3Vjw2Cyy-mry5gbC8ypIR3YVGFfEpyFESummAta6sg/edit"", ""Sheet1!B:D""), 2, FALSE), ""Not Found"")"),"dætə")</f>
        <v>dætə</v>
      </c>
      <c r="E4353" s="2" t="str">
        <f>IFERROR(__xludf.DUMMYFUNCTION("IFERROR(VLOOKUP(A4353, IMPORTRANGE(""https://docs.google.com/spreadsheets/d/1-3Vjw2Cyy-mry5gbC8ypIR3YVGFfEpyFESummAta6sg/edit"", ""Sheet1!B:D""), 3, FALSE), ""Not Found"")"),"d æ t ə ")</f>
        <v>d æ t ə </v>
      </c>
    </row>
    <row r="4354">
      <c r="A4354" s="1" t="s">
        <v>4355</v>
      </c>
      <c r="B4354" s="1" t="s">
        <v>5</v>
      </c>
      <c r="C4354" s="2">
        <f>IFERROR(__xludf.DUMMYFUNCTION("IFERROR(VLOOKUP(A4354, IMPORTRANGE(""https://docs.google.com/spreadsheets/d/1AVX9GT0dgogEBStecCXMMQ29tWz3gBrtNB8yIromXbY/edit?gid=741673867"", ""out1g!A:B""), 2, FALSE), 0)"),46.0)</f>
        <v>46</v>
      </c>
      <c r="D4354" s="2" t="str">
        <f>IFERROR(__xludf.DUMMYFUNCTION("IFERROR(VLOOKUP(A4354, IMPORTRANGE(""https://docs.google.com/spreadsheets/d/1-3Vjw2Cyy-mry5gbC8ypIR3YVGFfEpyFESummAta6sg/edit"", ""Sheet1!B:D""), 2, FALSE), ""Not Found"")"),"dɑʤd")</f>
        <v>dɑʤd</v>
      </c>
      <c r="E4354" s="2" t="str">
        <f>IFERROR(__xludf.DUMMYFUNCTION("IFERROR(VLOOKUP(A4354, IMPORTRANGE(""https://docs.google.com/spreadsheets/d/1-3Vjw2Cyy-mry5gbC8ypIR3YVGFfEpyFESummAta6sg/edit"", ""Sheet1!B:D""), 3, FALSE), ""Not Found"")"),"d ɑ ʤ d ")</f>
        <v>d ɑ ʤ d </v>
      </c>
    </row>
    <row r="4355">
      <c r="A4355" s="1" t="s">
        <v>4356</v>
      </c>
      <c r="B4355" s="1" t="s">
        <v>5</v>
      </c>
      <c r="C4355" s="2">
        <f>IFERROR(__xludf.DUMMYFUNCTION("IFERROR(VLOOKUP(A4355, IMPORTRANGE(""https://docs.google.com/spreadsheets/d/1AVX9GT0dgogEBStecCXMMQ29tWz3gBrtNB8yIromXbY/edit?gid=741673867"", ""out1g!A:B""), 2, FALSE), 0)"),192.0)</f>
        <v>192</v>
      </c>
      <c r="D4355" s="2" t="str">
        <f>IFERROR(__xludf.DUMMYFUNCTION("IFERROR(VLOOKUP(A4355, IMPORTRANGE(""https://docs.google.com/spreadsheets/d/1-3Vjw2Cyy-mry5gbC8ypIR3YVGFfEpyFESummAta6sg/edit"", ""Sheet1!B:D""), 2, FALSE), ""Not Found"")"),"ʃæn")</f>
        <v>ʃæn</v>
      </c>
      <c r="E4355" s="2" t="str">
        <f>IFERROR(__xludf.DUMMYFUNCTION("IFERROR(VLOOKUP(A4355, IMPORTRANGE(""https://docs.google.com/spreadsheets/d/1-3Vjw2Cyy-mry5gbC8ypIR3YVGFfEpyFESummAta6sg/edit"", ""Sheet1!B:D""), 3, FALSE), ""Not Found"")"),"ʃ æ n ")</f>
        <v>ʃ æ n </v>
      </c>
    </row>
    <row r="4356">
      <c r="A4356" s="1" t="s">
        <v>4357</v>
      </c>
      <c r="B4356" s="1" t="s">
        <v>5</v>
      </c>
      <c r="C4356" s="2">
        <f>IFERROR(__xludf.DUMMYFUNCTION("IFERROR(VLOOKUP(A4356, IMPORTRANGE(""https://docs.google.com/spreadsheets/d/1AVX9GT0dgogEBStecCXMMQ29tWz3gBrtNB8yIromXbY/edit?gid=741673867"", ""out1g!A:B""), 2, FALSE), 0)"),176.0)</f>
        <v>176</v>
      </c>
      <c r="D4356" s="2" t="str">
        <f>IFERROR(__xludf.DUMMYFUNCTION("IFERROR(VLOOKUP(A4356, IMPORTRANGE(""https://docs.google.com/spreadsheets/d/1-3Vjw2Cyy-mry5gbC8ypIR3YVGFfEpyFESummAta6sg/edit"", ""Sheet1!B:D""), 2, FALSE), ""Not Found"")"),"mɪksɪŋ")</f>
        <v>mɪksɪŋ</v>
      </c>
      <c r="E4356" s="2" t="str">
        <f>IFERROR(__xludf.DUMMYFUNCTION("IFERROR(VLOOKUP(A4356, IMPORTRANGE(""https://docs.google.com/spreadsheets/d/1-3Vjw2Cyy-mry5gbC8ypIR3YVGFfEpyFESummAta6sg/edit"", ""Sheet1!B:D""), 3, FALSE), ""Not Found"")"),"m ɪ k s ɪ ŋ ")</f>
        <v>m ɪ k s ɪ ŋ </v>
      </c>
    </row>
    <row r="4357">
      <c r="A4357" s="1" t="s">
        <v>4358</v>
      </c>
      <c r="B4357" s="1" t="s">
        <v>5</v>
      </c>
      <c r="C4357" s="2">
        <f>IFERROR(__xludf.DUMMYFUNCTION("IFERROR(VLOOKUP(A4357, IMPORTRANGE(""https://docs.google.com/spreadsheets/d/1AVX9GT0dgogEBStecCXMMQ29tWz3gBrtNB8yIromXbY/edit?gid=741673867"", ""out1g!A:B""), 2, FALSE), 0)"),311.0)</f>
        <v>311</v>
      </c>
      <c r="D4357" s="2" t="str">
        <f>IFERROR(__xludf.DUMMYFUNCTION("IFERROR(VLOOKUP(A4357, IMPORTRANGE(""https://docs.google.com/spreadsheets/d/1-3Vjw2Cyy-mry5gbC8ypIR3YVGFfEpyFESummAta6sg/edit"", ""Sheet1!B:D""), 2, FALSE), ""Not Found"")"),"dɛts")</f>
        <v>dɛts</v>
      </c>
      <c r="E4357" s="2" t="str">
        <f>IFERROR(__xludf.DUMMYFUNCTION("IFERROR(VLOOKUP(A4357, IMPORTRANGE(""https://docs.google.com/spreadsheets/d/1-3Vjw2Cyy-mry5gbC8ypIR3YVGFfEpyFESummAta6sg/edit"", ""Sheet1!B:D""), 3, FALSE), ""Not Found"")"),"d ɛ t s ")</f>
        <v>d ɛ t s </v>
      </c>
    </row>
    <row r="4358">
      <c r="A4358" s="1" t="s">
        <v>4359</v>
      </c>
      <c r="B4358" s="1" t="s">
        <v>5</v>
      </c>
      <c r="C4358" s="2">
        <f>IFERROR(__xludf.DUMMYFUNCTION("IFERROR(VLOOKUP(A4358, IMPORTRANGE(""https://docs.google.com/spreadsheets/d/1AVX9GT0dgogEBStecCXMMQ29tWz3gBrtNB8yIromXbY/edit?gid=741673867"", ""out1g!A:B""), 2, FALSE), 0)"),14.0)</f>
        <v>14</v>
      </c>
      <c r="D4358" s="2" t="str">
        <f>IFERROR(__xludf.DUMMYFUNCTION("IFERROR(VLOOKUP(A4358, IMPORTRANGE(""https://docs.google.com/spreadsheets/d/1-3Vjw2Cyy-mry5gbC8ypIR3YVGFfEpyFESummAta6sg/edit"", ""Sheet1!B:D""), 2, FALSE), ""Not Found"")"),"hɛrən")</f>
        <v>hɛrən</v>
      </c>
      <c r="E4358" s="2" t="str">
        <f>IFERROR(__xludf.DUMMYFUNCTION("IFERROR(VLOOKUP(A4358, IMPORTRANGE(""https://docs.google.com/spreadsheets/d/1-3Vjw2Cyy-mry5gbC8ypIR3YVGFfEpyFESummAta6sg/edit"", ""Sheet1!B:D""), 3, FALSE), ""Not Found"")"),"h ɛ r ə n ")</f>
        <v>h ɛ r ə n </v>
      </c>
    </row>
    <row r="4359">
      <c r="A4359" s="1" t="s">
        <v>4360</v>
      </c>
      <c r="B4359" s="1" t="s">
        <v>5</v>
      </c>
      <c r="C4359" s="2">
        <f>IFERROR(__xludf.DUMMYFUNCTION("IFERROR(VLOOKUP(A4359, IMPORTRANGE(""https://docs.google.com/spreadsheets/d/1AVX9GT0dgogEBStecCXMMQ29tWz3gBrtNB8yIromXbY/edit?gid=741673867"", ""out1g!A:B""), 2, FALSE), 0)"),3206.0)</f>
        <v>3206</v>
      </c>
      <c r="D4359" s="2" t="str">
        <f>IFERROR(__xludf.DUMMYFUNCTION("IFERROR(VLOOKUP(A4359, IMPORTRANGE(""https://docs.google.com/spreadsheets/d/1-3Vjw2Cyy-mry5gbC8ypIR3YVGFfEpyFESummAta6sg/edit"", ""Sheet1!B:D""), 2, FALSE), ""Not Found"")"),"kɪlər")</f>
        <v>kɪlər</v>
      </c>
      <c r="E4359" s="2" t="str">
        <f>IFERROR(__xludf.DUMMYFUNCTION("IFERROR(VLOOKUP(A4359, IMPORTRANGE(""https://docs.google.com/spreadsheets/d/1-3Vjw2Cyy-mry5gbC8ypIR3YVGFfEpyFESummAta6sg/edit"", ""Sheet1!B:D""), 3, FALSE), ""Not Found"")"),"k ɪ l ə r ")</f>
        <v>k ɪ l ə r </v>
      </c>
    </row>
    <row r="4360">
      <c r="A4360" s="1" t="s">
        <v>4361</v>
      </c>
      <c r="B4360" s="1" t="s">
        <v>5</v>
      </c>
      <c r="C4360" s="2">
        <f>IFERROR(__xludf.DUMMYFUNCTION("IFERROR(VLOOKUP(A4360, IMPORTRANGE(""https://docs.google.com/spreadsheets/d/1AVX9GT0dgogEBStecCXMMQ29tWz3gBrtNB8yIromXbY/edit?gid=741673867"", ""out1g!A:B""), 2, FALSE), 0)"),50.0)</f>
        <v>50</v>
      </c>
      <c r="D4360" s="2" t="str">
        <f>IFERROR(__xludf.DUMMYFUNCTION("IFERROR(VLOOKUP(A4360, IMPORTRANGE(""https://docs.google.com/spreadsheets/d/1-3Vjw2Cyy-mry5gbC8ypIR3YVGFfEpyFESummAta6sg/edit"", ""Sheet1!B:D""), 2, FALSE), ""Not Found"")"),"gɪniz")</f>
        <v>gɪniz</v>
      </c>
      <c r="E4360" s="2" t="str">
        <f>IFERROR(__xludf.DUMMYFUNCTION("IFERROR(VLOOKUP(A4360, IMPORTRANGE(""https://docs.google.com/spreadsheets/d/1-3Vjw2Cyy-mry5gbC8ypIR3YVGFfEpyFESummAta6sg/edit"", ""Sheet1!B:D""), 3, FALSE), ""Not Found"")"),"g ɪ n i z ")</f>
        <v>g ɪ n i z </v>
      </c>
    </row>
    <row r="4361">
      <c r="A4361" s="1" t="s">
        <v>4362</v>
      </c>
      <c r="B4361" s="1" t="s">
        <v>5</v>
      </c>
      <c r="C4361" s="2">
        <f>IFERROR(__xludf.DUMMYFUNCTION("IFERROR(VLOOKUP(A4361, IMPORTRANGE(""https://docs.google.com/spreadsheets/d/1AVX9GT0dgogEBStecCXMMQ29tWz3gBrtNB8yIromXbY/edit?gid=741673867"", ""out1g!A:B""), 2, FALSE), 0)"),358.0)</f>
        <v>358</v>
      </c>
      <c r="D4361" s="2" t="str">
        <f>IFERROR(__xludf.DUMMYFUNCTION("IFERROR(VLOOKUP(A4361, IMPORTRANGE(""https://docs.google.com/spreadsheets/d/1-3Vjw2Cyy-mry5gbC8ypIR3YVGFfEpyFESummAta6sg/edit"", ""Sheet1!B:D""), 2, FALSE), ""Not Found"")"),"strɪkt")</f>
        <v>strɪkt</v>
      </c>
      <c r="E4361" s="2" t="str">
        <f>IFERROR(__xludf.DUMMYFUNCTION("IFERROR(VLOOKUP(A4361, IMPORTRANGE(""https://docs.google.com/spreadsheets/d/1-3Vjw2Cyy-mry5gbC8ypIR3YVGFfEpyFESummAta6sg/edit"", ""Sheet1!B:D""), 3, FALSE), ""Not Found"")"),"s t r ɪ k t ")</f>
        <v>s t r ɪ k t </v>
      </c>
    </row>
    <row r="4362">
      <c r="A4362" s="1" t="s">
        <v>4363</v>
      </c>
      <c r="B4362" s="1" t="s">
        <v>5</v>
      </c>
      <c r="C4362" s="2">
        <f>IFERROR(__xludf.DUMMYFUNCTION("IFERROR(VLOOKUP(A4362, IMPORTRANGE(""https://docs.google.com/spreadsheets/d/1AVX9GT0dgogEBStecCXMMQ29tWz3gBrtNB8yIromXbY/edit?gid=741673867"", ""out1g!A:B""), 2, FALSE), 0)"),2815.0)</f>
        <v>2815</v>
      </c>
      <c r="D4362" s="2" t="str">
        <f>IFERROR(__xludf.DUMMYFUNCTION("IFERROR(VLOOKUP(A4362, IMPORTRANGE(""https://docs.google.com/spreadsheets/d/1-3Vjw2Cyy-mry5gbC8ypIR3YVGFfEpyFESummAta6sg/edit"", ""Sheet1!B:D""), 2, FALSE), ""Not Found"")"),"ɔnt")</f>
        <v>ɔnt</v>
      </c>
      <c r="E4362" s="2" t="str">
        <f>IFERROR(__xludf.DUMMYFUNCTION("IFERROR(VLOOKUP(A4362, IMPORTRANGE(""https://docs.google.com/spreadsheets/d/1-3Vjw2Cyy-mry5gbC8ypIR3YVGFfEpyFESummAta6sg/edit"", ""Sheet1!B:D""), 3, FALSE), ""Not Found"")"),"ɔ n t ")</f>
        <v>ɔ n t </v>
      </c>
    </row>
    <row r="4363">
      <c r="A4363" s="1" t="s">
        <v>4364</v>
      </c>
      <c r="B4363" s="1" t="s">
        <v>5</v>
      </c>
      <c r="C4363" s="2">
        <f>IFERROR(__xludf.DUMMYFUNCTION("IFERROR(VLOOKUP(A4363, IMPORTRANGE(""https://docs.google.com/spreadsheets/d/1AVX9GT0dgogEBStecCXMMQ29tWz3gBrtNB8yIromXbY/edit?gid=741673867"", ""out1g!A:B""), 2, FALSE), 0)"),1061.0)</f>
        <v>1061</v>
      </c>
      <c r="D4363" s="2" t="str">
        <f>IFERROR(__xludf.DUMMYFUNCTION("IFERROR(VLOOKUP(A4363, IMPORTRANGE(""https://docs.google.com/spreadsheets/d/1-3Vjw2Cyy-mry5gbC8ypIR3YVGFfEpyFESummAta6sg/edit"", ""Sheet1!B:D""), 2, FALSE), ""Not Found"")"),"swɛl")</f>
        <v>swɛl</v>
      </c>
      <c r="E4363" s="2" t="str">
        <f>IFERROR(__xludf.DUMMYFUNCTION("IFERROR(VLOOKUP(A4363, IMPORTRANGE(""https://docs.google.com/spreadsheets/d/1-3Vjw2Cyy-mry5gbC8ypIR3YVGFfEpyFESummAta6sg/edit"", ""Sheet1!B:D""), 3, FALSE), ""Not Found"")"),"s w ɛ l ")</f>
        <v>s w ɛ l </v>
      </c>
    </row>
    <row r="4364">
      <c r="A4364" s="1" t="s">
        <v>4365</v>
      </c>
      <c r="B4364" s="1" t="s">
        <v>5</v>
      </c>
      <c r="C4364" s="2">
        <f>IFERROR(__xludf.DUMMYFUNCTION("IFERROR(VLOOKUP(A4364, IMPORTRANGE(""https://docs.google.com/spreadsheets/d/1AVX9GT0dgogEBStecCXMMQ29tWz3gBrtNB8yIromXbY/edit?gid=741673867"", ""out1g!A:B""), 2, FALSE), 0)"),111.0)</f>
        <v>111</v>
      </c>
      <c r="D4364" s="2" t="str">
        <f>IFERROR(__xludf.DUMMYFUNCTION("IFERROR(VLOOKUP(A4364, IMPORTRANGE(""https://docs.google.com/spreadsheets/d/1-3Vjw2Cyy-mry5gbC8ypIR3YVGFfEpyFESummAta6sg/edit"", ""Sheet1!B:D""), 2, FALSE), ""Not Found"")"),"pɪki")</f>
        <v>pɪki</v>
      </c>
      <c r="E4364" s="2" t="str">
        <f>IFERROR(__xludf.DUMMYFUNCTION("IFERROR(VLOOKUP(A4364, IMPORTRANGE(""https://docs.google.com/spreadsheets/d/1-3Vjw2Cyy-mry5gbC8ypIR3YVGFfEpyFESummAta6sg/edit"", ""Sheet1!B:D""), 3, FALSE), ""Not Found"")"),"p ɪ k i ")</f>
        <v>p ɪ k i </v>
      </c>
    </row>
    <row r="4365">
      <c r="A4365" s="1" t="s">
        <v>4366</v>
      </c>
      <c r="B4365" s="1" t="s">
        <v>5</v>
      </c>
      <c r="C4365" s="2">
        <f>IFERROR(__xludf.DUMMYFUNCTION("IFERROR(VLOOKUP(A4365, IMPORTRANGE(""https://docs.google.com/spreadsheets/d/1AVX9GT0dgogEBStecCXMMQ29tWz3gBrtNB8yIromXbY/edit?gid=741673867"", ""out1g!A:B""), 2, FALSE), 0)"),52.0)</f>
        <v>52</v>
      </c>
      <c r="D4365" s="2" t="str">
        <f>IFERROR(__xludf.DUMMYFUNCTION("IFERROR(VLOOKUP(A4365, IMPORTRANGE(""https://docs.google.com/spreadsheets/d/1-3Vjw2Cyy-mry5gbC8ypIR3YVGFfEpyFESummAta6sg/edit"", ""Sheet1!B:D""), 2, FALSE), ""Not Found"")"),"ʧɛk")</f>
        <v>ʧɛk</v>
      </c>
      <c r="E4365" s="2" t="str">
        <f>IFERROR(__xludf.DUMMYFUNCTION("IFERROR(VLOOKUP(A4365, IMPORTRANGE(""https://docs.google.com/spreadsheets/d/1-3Vjw2Cyy-mry5gbC8ypIR3YVGFfEpyFESummAta6sg/edit"", ""Sheet1!B:D""), 3, FALSE), ""Not Found"")"),"ʧ ɛ k ")</f>
        <v>ʧ ɛ k </v>
      </c>
    </row>
    <row r="4366">
      <c r="A4366" s="1" t="s">
        <v>4367</v>
      </c>
      <c r="B4366" s="1" t="s">
        <v>5</v>
      </c>
      <c r="C4366" s="2">
        <f>IFERROR(__xludf.DUMMYFUNCTION("IFERROR(VLOOKUP(A4366, IMPORTRANGE(""https://docs.google.com/spreadsheets/d/1AVX9GT0dgogEBStecCXMMQ29tWz3gBrtNB8yIromXbY/edit?gid=741673867"", ""out1g!A:B""), 2, FALSE), 0)"),85.0)</f>
        <v>85</v>
      </c>
      <c r="D4366" s="2" t="str">
        <f>IFERROR(__xludf.DUMMYFUNCTION("IFERROR(VLOOKUP(A4366, IMPORTRANGE(""https://docs.google.com/spreadsheets/d/1-3Vjw2Cyy-mry5gbC8ypIR3YVGFfEpyFESummAta6sg/edit"", ""Sheet1!B:D""), 2, FALSE), ""Not Found"")"),"lizə")</f>
        <v>lizə</v>
      </c>
      <c r="E4366" s="2" t="str">
        <f>IFERROR(__xludf.DUMMYFUNCTION("IFERROR(VLOOKUP(A4366, IMPORTRANGE(""https://docs.google.com/spreadsheets/d/1-3Vjw2Cyy-mry5gbC8ypIR3YVGFfEpyFESummAta6sg/edit"", ""Sheet1!B:D""), 3, FALSE), ""Not Found"")"),"l i z ə ")</f>
        <v>l i z ə </v>
      </c>
    </row>
    <row r="4367">
      <c r="A4367" s="1" t="s">
        <v>4368</v>
      </c>
      <c r="B4367" s="1" t="s">
        <v>5</v>
      </c>
      <c r="C4367" s="2">
        <f>IFERROR(__xludf.DUMMYFUNCTION("IFERROR(VLOOKUP(A4367, IMPORTRANGE(""https://docs.google.com/spreadsheets/d/1AVX9GT0dgogEBStecCXMMQ29tWz3gBrtNB8yIromXbY/edit?gid=741673867"", ""out1g!A:B""), 2, FALSE), 0)"),174.0)</f>
        <v>174</v>
      </c>
      <c r="D4367" s="2" t="str">
        <f>IFERROR(__xludf.DUMMYFUNCTION("IFERROR(VLOOKUP(A4367, IMPORTRANGE(""https://docs.google.com/spreadsheets/d/1-3Vjw2Cyy-mry5gbC8ypIR3YVGFfEpyFESummAta6sg/edit"", ""Sheet1!B:D""), 2, FALSE), ""Not Found"")"),"fɪn")</f>
        <v>fɪn</v>
      </c>
      <c r="E4367" s="2" t="str">
        <f>IFERROR(__xludf.DUMMYFUNCTION("IFERROR(VLOOKUP(A4367, IMPORTRANGE(""https://docs.google.com/spreadsheets/d/1-3Vjw2Cyy-mry5gbC8ypIR3YVGFfEpyFESummAta6sg/edit"", ""Sheet1!B:D""), 3, FALSE), ""Not Found"")"),"f ɪ n ")</f>
        <v>f ɪ n </v>
      </c>
    </row>
    <row r="4368">
      <c r="A4368" s="1" t="s">
        <v>4369</v>
      </c>
      <c r="B4368" s="1" t="s">
        <v>5</v>
      </c>
      <c r="C4368" s="2">
        <f>IFERROR(__xludf.DUMMYFUNCTION("IFERROR(VLOOKUP(A4368, IMPORTRANGE(""https://docs.google.com/spreadsheets/d/1AVX9GT0dgogEBStecCXMMQ29tWz3gBrtNB8yIromXbY/edit?gid=741673867"", ""out1g!A:B""), 2, FALSE), 0)"),662.0)</f>
        <v>662</v>
      </c>
      <c r="D4368" s="2" t="str">
        <f>IFERROR(__xludf.DUMMYFUNCTION("IFERROR(VLOOKUP(A4368, IMPORTRANGE(""https://docs.google.com/spreadsheets/d/1-3Vjw2Cyy-mry5gbC8ypIR3YVGFfEpyFESummAta6sg/edit"", ""Sheet1!B:D""), 2, FALSE), ""Not Found"")"),"kraɪd")</f>
        <v>kraɪd</v>
      </c>
      <c r="E4368" s="2" t="str">
        <f>IFERROR(__xludf.DUMMYFUNCTION("IFERROR(VLOOKUP(A4368, IMPORTRANGE(""https://docs.google.com/spreadsheets/d/1-3Vjw2Cyy-mry5gbC8ypIR3YVGFfEpyFESummAta6sg/edit"", ""Sheet1!B:D""), 3, FALSE), ""Not Found"")"),"k r a ɪ d ")</f>
        <v>k r a ɪ d </v>
      </c>
    </row>
    <row r="4369">
      <c r="A4369" s="1" t="s">
        <v>4370</v>
      </c>
      <c r="B4369" s="1" t="s">
        <v>5</v>
      </c>
      <c r="C4369" s="2">
        <f>IFERROR(__xludf.DUMMYFUNCTION("IFERROR(VLOOKUP(A4369, IMPORTRANGE(""https://docs.google.com/spreadsheets/d/1AVX9GT0dgogEBStecCXMMQ29tWz3gBrtNB8yIromXbY/edit?gid=741673867"", ""out1g!A:B""), 2, FALSE), 0)"),554.0)</f>
        <v>554</v>
      </c>
      <c r="D4369" s="2" t="str">
        <f>IFERROR(__xludf.DUMMYFUNCTION("IFERROR(VLOOKUP(A4369, IMPORTRANGE(""https://docs.google.com/spreadsheets/d/1-3Vjw2Cyy-mry5gbC8ypIR3YVGFfEpyFESummAta6sg/edit"", ""Sheet1!B:D""), 2, FALSE), ""Not Found"")"),"læns")</f>
        <v>læns</v>
      </c>
      <c r="E4369" s="2" t="str">
        <f>IFERROR(__xludf.DUMMYFUNCTION("IFERROR(VLOOKUP(A4369, IMPORTRANGE(""https://docs.google.com/spreadsheets/d/1-3Vjw2Cyy-mry5gbC8ypIR3YVGFfEpyFESummAta6sg/edit"", ""Sheet1!B:D""), 3, FALSE), ""Not Found"")"),"l æ n s ")</f>
        <v>l æ n s </v>
      </c>
    </row>
    <row r="4370">
      <c r="A4370" s="1" t="s">
        <v>4371</v>
      </c>
      <c r="B4370" s="1" t="s">
        <v>5</v>
      </c>
      <c r="C4370" s="2">
        <f>IFERROR(__xludf.DUMMYFUNCTION("IFERROR(VLOOKUP(A4370, IMPORTRANGE(""https://docs.google.com/spreadsheets/d/1AVX9GT0dgogEBStecCXMMQ29tWz3gBrtNB8yIromXbY/edit?gid=741673867"", ""out1g!A:B""), 2, FALSE), 0)"),249.0)</f>
        <v>249</v>
      </c>
      <c r="D4370" s="2" t="str">
        <f>IFERROR(__xludf.DUMMYFUNCTION("IFERROR(VLOOKUP(A4370, IMPORTRANGE(""https://docs.google.com/spreadsheets/d/1-3Vjw2Cyy-mry5gbC8ypIR3YVGFfEpyFESummAta6sg/edit"", ""Sheet1!B:D""), 2, FALSE), ""Not Found"")"),"æks")</f>
        <v>æks</v>
      </c>
      <c r="E4370" s="2" t="str">
        <f>IFERROR(__xludf.DUMMYFUNCTION("IFERROR(VLOOKUP(A4370, IMPORTRANGE(""https://docs.google.com/spreadsheets/d/1-3Vjw2Cyy-mry5gbC8ypIR3YVGFfEpyFESummAta6sg/edit"", ""Sheet1!B:D""), 3, FALSE), ""Not Found"")"),"æ k s ")</f>
        <v>æ k s </v>
      </c>
    </row>
    <row r="4371">
      <c r="A4371" s="1" t="s">
        <v>4372</v>
      </c>
      <c r="B4371" s="1" t="s">
        <v>5</v>
      </c>
      <c r="C4371" s="2">
        <f>IFERROR(__xludf.DUMMYFUNCTION("IFERROR(VLOOKUP(A4371, IMPORTRANGE(""https://docs.google.com/spreadsheets/d/1AVX9GT0dgogEBStecCXMMQ29tWz3gBrtNB8yIromXbY/edit?gid=741673867"", ""out1g!A:B""), 2, FALSE), 0)"),19.0)</f>
        <v>19</v>
      </c>
      <c r="D4371" s="2" t="str">
        <f>IFERROR(__xludf.DUMMYFUNCTION("IFERROR(VLOOKUP(A4371, IMPORTRANGE(""https://docs.google.com/spreadsheets/d/1-3Vjw2Cyy-mry5gbC8ypIR3YVGFfEpyFESummAta6sg/edit"", ""Sheet1!B:D""), 2, FALSE), ""Not Found"")"),"swidz")</f>
        <v>swidz</v>
      </c>
      <c r="E4371" s="2" t="str">
        <f>IFERROR(__xludf.DUMMYFUNCTION("IFERROR(VLOOKUP(A4371, IMPORTRANGE(""https://docs.google.com/spreadsheets/d/1-3Vjw2Cyy-mry5gbC8ypIR3YVGFfEpyFESummAta6sg/edit"", ""Sheet1!B:D""), 3, FALSE), ""Not Found"")"),"s w i d z ")</f>
        <v>s w i d z </v>
      </c>
    </row>
    <row r="4372">
      <c r="A4372" s="1" t="s">
        <v>4373</v>
      </c>
      <c r="B4372" s="1" t="s">
        <v>5</v>
      </c>
      <c r="C4372" s="2">
        <f>IFERROR(__xludf.DUMMYFUNCTION("IFERROR(VLOOKUP(A4372, IMPORTRANGE(""https://docs.google.com/spreadsheets/d/1AVX9GT0dgogEBStecCXMMQ29tWz3gBrtNB8yIromXbY/edit?gid=741673867"", ""out1g!A:B""), 2, FALSE), 0)"),627.0)</f>
        <v>627</v>
      </c>
      <c r="D4372" s="2" t="str">
        <f>IFERROR(__xludf.DUMMYFUNCTION("IFERROR(VLOOKUP(A4372, IMPORTRANGE(""https://docs.google.com/spreadsheets/d/1-3Vjw2Cyy-mry5gbC8ypIR3YVGFfEpyFESummAta6sg/edit"", ""Sheet1!B:D""), 2, FALSE), ""Not Found"")"),"pæn")</f>
        <v>pæn</v>
      </c>
      <c r="E4372" s="2" t="str">
        <f>IFERROR(__xludf.DUMMYFUNCTION("IFERROR(VLOOKUP(A4372, IMPORTRANGE(""https://docs.google.com/spreadsheets/d/1-3Vjw2Cyy-mry5gbC8ypIR3YVGFfEpyFESummAta6sg/edit"", ""Sheet1!B:D""), 3, FALSE), ""Not Found"")"),"p æ n ")</f>
        <v>p æ n </v>
      </c>
    </row>
    <row r="4373">
      <c r="A4373" s="1" t="s">
        <v>4374</v>
      </c>
      <c r="B4373" s="1" t="s">
        <v>5</v>
      </c>
      <c r="C4373" s="2">
        <f>IFERROR(__xludf.DUMMYFUNCTION("IFERROR(VLOOKUP(A4373, IMPORTRANGE(""https://docs.google.com/spreadsheets/d/1AVX9GT0dgogEBStecCXMMQ29tWz3gBrtNB8yIromXbY/edit?gid=741673867"", ""out1g!A:B""), 2, FALSE), 0)"),226.0)</f>
        <v>226</v>
      </c>
      <c r="D4373" s="2" t="str">
        <f>IFERROR(__xludf.DUMMYFUNCTION("IFERROR(VLOOKUP(A4373, IMPORTRANGE(""https://docs.google.com/spreadsheets/d/1-3Vjw2Cyy-mry5gbC8ypIR3YVGFfEpyFESummAta6sg/edit"", ""Sheet1!B:D""), 2, FALSE), ""Not Found"")"),"swaɪn")</f>
        <v>swaɪn</v>
      </c>
      <c r="E4373" s="2" t="str">
        <f>IFERROR(__xludf.DUMMYFUNCTION("IFERROR(VLOOKUP(A4373, IMPORTRANGE(""https://docs.google.com/spreadsheets/d/1-3Vjw2Cyy-mry5gbC8ypIR3YVGFfEpyFESummAta6sg/edit"", ""Sheet1!B:D""), 3, FALSE), ""Not Found"")"),"s w a ɪ n ")</f>
        <v>s w a ɪ n </v>
      </c>
    </row>
    <row r="4374">
      <c r="A4374" s="1" t="s">
        <v>4375</v>
      </c>
      <c r="B4374" s="1" t="s">
        <v>5</v>
      </c>
      <c r="C4374" s="2">
        <f>IFERROR(__xludf.DUMMYFUNCTION("IFERROR(VLOOKUP(A4374, IMPORTRANGE(""https://docs.google.com/spreadsheets/d/1AVX9GT0dgogEBStecCXMMQ29tWz3gBrtNB8yIromXbY/edit?gid=741673867"", ""out1g!A:B""), 2, FALSE), 0)"),2681.0)</f>
        <v>2681</v>
      </c>
      <c r="D4374" s="2" t="str">
        <f>IFERROR(__xludf.DUMMYFUNCTION("IFERROR(VLOOKUP(A4374, IMPORTRANGE(""https://docs.google.com/spreadsheets/d/1-3Vjw2Cyy-mry5gbC8ypIR3YVGFfEpyFESummAta6sg/edit"", ""Sheet1!B:D""), 2, FALSE), ""Not Found"")"),"kips")</f>
        <v>kips</v>
      </c>
      <c r="E4374" s="2" t="str">
        <f>IFERROR(__xludf.DUMMYFUNCTION("IFERROR(VLOOKUP(A4374, IMPORTRANGE(""https://docs.google.com/spreadsheets/d/1-3Vjw2Cyy-mry5gbC8ypIR3YVGFfEpyFESummAta6sg/edit"", ""Sheet1!B:D""), 3, FALSE), ""Not Found"")"),"k i p s ")</f>
        <v>k i p s </v>
      </c>
    </row>
    <row r="4375">
      <c r="A4375" s="1" t="s">
        <v>4376</v>
      </c>
      <c r="B4375" s="1" t="s">
        <v>5</v>
      </c>
      <c r="C4375" s="2">
        <f>IFERROR(__xludf.DUMMYFUNCTION("IFERROR(VLOOKUP(A4375, IMPORTRANGE(""https://docs.google.com/spreadsheets/d/1AVX9GT0dgogEBStecCXMMQ29tWz3gBrtNB8yIromXbY/edit?gid=741673867"", ""out1g!A:B""), 2, FALSE), 0)"),293.0)</f>
        <v>293</v>
      </c>
      <c r="D4375" s="2" t="str">
        <f>IFERROR(__xludf.DUMMYFUNCTION("IFERROR(VLOOKUP(A4375, IMPORTRANGE(""https://docs.google.com/spreadsheets/d/1-3Vjw2Cyy-mry5gbC8ypIR3YVGFfEpyFESummAta6sg/edit"", ""Sheet1!B:D""), 2, FALSE), ""Not Found"")"),"gloʊ")</f>
        <v>gloʊ</v>
      </c>
      <c r="E4375" s="2" t="str">
        <f>IFERROR(__xludf.DUMMYFUNCTION("IFERROR(VLOOKUP(A4375, IMPORTRANGE(""https://docs.google.com/spreadsheets/d/1-3Vjw2Cyy-mry5gbC8ypIR3YVGFfEpyFESummAta6sg/edit"", ""Sheet1!B:D""), 3, FALSE), ""Not Found"")"),"g l o ʊ ")</f>
        <v>g l o ʊ </v>
      </c>
    </row>
    <row r="4376">
      <c r="A4376" s="1" t="s">
        <v>4377</v>
      </c>
      <c r="B4376" s="1" t="s">
        <v>5</v>
      </c>
      <c r="C4376" s="2">
        <f>IFERROR(__xludf.DUMMYFUNCTION("IFERROR(VLOOKUP(A4376, IMPORTRANGE(""https://docs.google.com/spreadsheets/d/1AVX9GT0dgogEBStecCXMMQ29tWz3gBrtNB8yIromXbY/edit?gid=741673867"", ""out1g!A:B""), 2, FALSE), 0)"),78.0)</f>
        <v>78</v>
      </c>
      <c r="D4376" s="2" t="str">
        <f>IFERROR(__xludf.DUMMYFUNCTION("IFERROR(VLOOKUP(A4376, IMPORTRANGE(""https://docs.google.com/spreadsheets/d/1-3Vjw2Cyy-mry5gbC8ypIR3YVGFfEpyFESummAta6sg/edit"", ""Sheet1!B:D""), 2, FALSE), ""Not Found"")"),"rət")</f>
        <v>rət</v>
      </c>
      <c r="E4376" s="2" t="str">
        <f>IFERROR(__xludf.DUMMYFUNCTION("IFERROR(VLOOKUP(A4376, IMPORTRANGE(""https://docs.google.com/spreadsheets/d/1-3Vjw2Cyy-mry5gbC8ypIR3YVGFfEpyFESummAta6sg/edit"", ""Sheet1!B:D""), 3, FALSE), ""Not Found"")"),"r ə t ")</f>
        <v>r ə t </v>
      </c>
    </row>
    <row r="4377">
      <c r="A4377" s="1" t="s">
        <v>4378</v>
      </c>
      <c r="B4377" s="1" t="s">
        <v>5</v>
      </c>
      <c r="C4377" s="2">
        <f>IFERROR(__xludf.DUMMYFUNCTION("IFERROR(VLOOKUP(A4377, IMPORTRANGE(""https://docs.google.com/spreadsheets/d/1AVX9GT0dgogEBStecCXMMQ29tWz3gBrtNB8yIromXbY/edit?gid=741673867"", ""out1g!A:B""), 2, FALSE), 0)"),171.0)</f>
        <v>171</v>
      </c>
      <c r="D4377" s="2" t="str">
        <f>IFERROR(__xludf.DUMMYFUNCTION("IFERROR(VLOOKUP(A4377, IMPORTRANGE(""https://docs.google.com/spreadsheets/d/1-3Vjw2Cyy-mry5gbC8ypIR3YVGFfEpyFESummAta6sg/edit"", ""Sheet1!B:D""), 2, FALSE), ""Not Found"")"),"goʊldi")</f>
        <v>goʊldi</v>
      </c>
      <c r="E4377" s="2" t="str">
        <f>IFERROR(__xludf.DUMMYFUNCTION("IFERROR(VLOOKUP(A4377, IMPORTRANGE(""https://docs.google.com/spreadsheets/d/1-3Vjw2Cyy-mry5gbC8ypIR3YVGFfEpyFESummAta6sg/edit"", ""Sheet1!B:D""), 3, FALSE), ""Not Found"")"),"g o ʊ l d i ")</f>
        <v>g o ʊ l d i </v>
      </c>
    </row>
    <row r="4378">
      <c r="A4378" s="1" t="s">
        <v>4379</v>
      </c>
      <c r="B4378" s="1" t="s">
        <v>5</v>
      </c>
      <c r="C4378" s="2">
        <f>IFERROR(__xludf.DUMMYFUNCTION("IFERROR(VLOOKUP(A4378, IMPORTRANGE(""https://docs.google.com/spreadsheets/d/1AVX9GT0dgogEBStecCXMMQ29tWz3gBrtNB8yIromXbY/edit?gid=741673867"", ""out1g!A:B""), 2, FALSE), 0)"),47.0)</f>
        <v>47</v>
      </c>
      <c r="D4378" s="2" t="str">
        <f>IFERROR(__xludf.DUMMYFUNCTION("IFERROR(VLOOKUP(A4378, IMPORTRANGE(""https://docs.google.com/spreadsheets/d/1-3Vjw2Cyy-mry5gbC8ypIR3YVGFfEpyFESummAta6sg/edit"", ""Sheet1!B:D""), 2, FALSE), ""Not Found"")"),"kləts")</f>
        <v>kləts</v>
      </c>
      <c r="E4378" s="2" t="str">
        <f>IFERROR(__xludf.DUMMYFUNCTION("IFERROR(VLOOKUP(A4378, IMPORTRANGE(""https://docs.google.com/spreadsheets/d/1-3Vjw2Cyy-mry5gbC8ypIR3YVGFfEpyFESummAta6sg/edit"", ""Sheet1!B:D""), 3, FALSE), ""Not Found"")"),"k l ə t s ")</f>
        <v>k l ə t s </v>
      </c>
    </row>
    <row r="4379">
      <c r="A4379" s="1" t="s">
        <v>4380</v>
      </c>
      <c r="B4379" s="1" t="s">
        <v>5</v>
      </c>
      <c r="C4379" s="2">
        <f>IFERROR(__xludf.DUMMYFUNCTION("IFERROR(VLOOKUP(A4379, IMPORTRANGE(""https://docs.google.com/spreadsheets/d/1AVX9GT0dgogEBStecCXMMQ29tWz3gBrtNB8yIromXbY/edit?gid=741673867"", ""out1g!A:B""), 2, FALSE), 0)"),82.0)</f>
        <v>82</v>
      </c>
      <c r="D4379" s="2" t="str">
        <f>IFERROR(__xludf.DUMMYFUNCTION("IFERROR(VLOOKUP(A4379, IMPORTRANGE(""https://docs.google.com/spreadsheets/d/1-3Vjw2Cyy-mry5gbC8ypIR3YVGFfEpyFESummAta6sg/edit"", ""Sheet1!B:D""), 2, FALSE), ""Not Found"")"),"pɔŋ")</f>
        <v>pɔŋ</v>
      </c>
      <c r="E4379" s="2" t="str">
        <f>IFERROR(__xludf.DUMMYFUNCTION("IFERROR(VLOOKUP(A4379, IMPORTRANGE(""https://docs.google.com/spreadsheets/d/1-3Vjw2Cyy-mry5gbC8ypIR3YVGFfEpyFESummAta6sg/edit"", ""Sheet1!B:D""), 3, FALSE), ""Not Found"")"),"p ɔ ŋ ")</f>
        <v>p ɔ ŋ </v>
      </c>
    </row>
    <row r="4380">
      <c r="A4380" s="1" t="s">
        <v>4381</v>
      </c>
      <c r="B4380" s="1" t="s">
        <v>5</v>
      </c>
      <c r="C4380" s="2">
        <f>IFERROR(__xludf.DUMMYFUNCTION("IFERROR(VLOOKUP(A4380, IMPORTRANGE(""https://docs.google.com/spreadsheets/d/1AVX9GT0dgogEBStecCXMMQ29tWz3gBrtNB8yIromXbY/edit?gid=741673867"", ""out1g!A:B""), 2, FALSE), 0)"),16.0)</f>
        <v>16</v>
      </c>
      <c r="D4380" s="2" t="str">
        <f>IFERROR(__xludf.DUMMYFUNCTION("IFERROR(VLOOKUP(A4380, IMPORTRANGE(""https://docs.google.com/spreadsheets/d/1-3Vjw2Cyy-mry5gbC8ypIR3YVGFfEpyFESummAta6sg/edit"", ""Sheet1!B:D""), 2, FALSE), ""Not Found"")"),"lɪʧ")</f>
        <v>lɪʧ</v>
      </c>
      <c r="E4380" s="2" t="str">
        <f>IFERROR(__xludf.DUMMYFUNCTION("IFERROR(VLOOKUP(A4380, IMPORTRANGE(""https://docs.google.com/spreadsheets/d/1-3Vjw2Cyy-mry5gbC8ypIR3YVGFfEpyFESummAta6sg/edit"", ""Sheet1!B:D""), 3, FALSE), ""Not Found"")"),"l ɪ ʧ ")</f>
        <v>l ɪ ʧ </v>
      </c>
    </row>
    <row r="4381">
      <c r="A4381" s="1" t="s">
        <v>4382</v>
      </c>
      <c r="B4381" s="1" t="s">
        <v>5</v>
      </c>
      <c r="C4381" s="2">
        <f>IFERROR(__xludf.DUMMYFUNCTION("IFERROR(VLOOKUP(A4381, IMPORTRANGE(""https://docs.google.com/spreadsheets/d/1AVX9GT0dgogEBStecCXMMQ29tWz3gBrtNB8yIromXbY/edit?gid=741673867"", ""out1g!A:B""), 2, FALSE), 0)"),238.0)</f>
        <v>238</v>
      </c>
      <c r="D4381" s="2" t="str">
        <f>IFERROR(__xludf.DUMMYFUNCTION("IFERROR(VLOOKUP(A4381, IMPORTRANGE(""https://docs.google.com/spreadsheets/d/1-3Vjw2Cyy-mry5gbC8ypIR3YVGFfEpyFESummAta6sg/edit"", ""Sheet1!B:D""), 2, FALSE), ""Not Found"")"),"lɛnz")</f>
        <v>lɛnz</v>
      </c>
      <c r="E4381" s="2" t="str">
        <f>IFERROR(__xludf.DUMMYFUNCTION("IFERROR(VLOOKUP(A4381, IMPORTRANGE(""https://docs.google.com/spreadsheets/d/1-3Vjw2Cyy-mry5gbC8ypIR3YVGFfEpyFESummAta6sg/edit"", ""Sheet1!B:D""), 3, FALSE), ""Not Found"")"),"l ɛ n z ")</f>
        <v>l ɛ n z </v>
      </c>
    </row>
    <row r="4382">
      <c r="A4382" s="1" t="s">
        <v>4383</v>
      </c>
      <c r="B4382" s="1" t="s">
        <v>5</v>
      </c>
      <c r="C4382" s="2">
        <f>IFERROR(__xludf.DUMMYFUNCTION("IFERROR(VLOOKUP(A4382, IMPORTRANGE(""https://docs.google.com/spreadsheets/d/1AVX9GT0dgogEBStecCXMMQ29tWz3gBrtNB8yIromXbY/edit?gid=741673867"", ""out1g!A:B""), 2, FALSE), 0)"),139.0)</f>
        <v>139</v>
      </c>
      <c r="D4382" s="2" t="str">
        <f>IFERROR(__xludf.DUMMYFUNCTION("IFERROR(VLOOKUP(A4382, IMPORTRANGE(""https://docs.google.com/spreadsheets/d/1-3Vjw2Cyy-mry5gbC8ypIR3YVGFfEpyFESummAta6sg/edit"", ""Sheet1!B:D""), 2, FALSE), ""Not Found"")"),"mæl")</f>
        <v>mæl</v>
      </c>
      <c r="E4382" s="2" t="str">
        <f>IFERROR(__xludf.DUMMYFUNCTION("IFERROR(VLOOKUP(A4382, IMPORTRANGE(""https://docs.google.com/spreadsheets/d/1-3Vjw2Cyy-mry5gbC8ypIR3YVGFfEpyFESummAta6sg/edit"", ""Sheet1!B:D""), 3, FALSE), ""Not Found"")"),"m æ l ")</f>
        <v>m æ l </v>
      </c>
    </row>
    <row r="4383">
      <c r="A4383" s="1" t="s">
        <v>4384</v>
      </c>
      <c r="B4383" s="1" t="s">
        <v>5</v>
      </c>
      <c r="C4383" s="2">
        <f>IFERROR(__xludf.DUMMYFUNCTION("IFERROR(VLOOKUP(A4383, IMPORTRANGE(""https://docs.google.com/spreadsheets/d/1AVX9GT0dgogEBStecCXMMQ29tWz3gBrtNB8yIromXbY/edit?gid=741673867"", ""out1g!A:B""), 2, FALSE), 0)"),384.0)</f>
        <v>384</v>
      </c>
      <c r="D4383" s="2" t="str">
        <f>IFERROR(__xludf.DUMMYFUNCTION("IFERROR(VLOOKUP(A4383, IMPORTRANGE(""https://docs.google.com/spreadsheets/d/1-3Vjw2Cyy-mry5gbC8ypIR3YVGFfEpyFESummAta6sg/edit"", ""Sheet1!B:D""), 2, FALSE), ""Not Found"")"),"θroʊz")</f>
        <v>θroʊz</v>
      </c>
      <c r="E4383" s="2" t="str">
        <f>IFERROR(__xludf.DUMMYFUNCTION("IFERROR(VLOOKUP(A4383, IMPORTRANGE(""https://docs.google.com/spreadsheets/d/1-3Vjw2Cyy-mry5gbC8ypIR3YVGFfEpyFESummAta6sg/edit"", ""Sheet1!B:D""), 3, FALSE), ""Not Found"")"),"θ r o ʊ z ")</f>
        <v>θ r o ʊ z </v>
      </c>
    </row>
    <row r="4384">
      <c r="A4384" s="1" t="s">
        <v>4385</v>
      </c>
      <c r="B4384" s="1" t="s">
        <v>5</v>
      </c>
      <c r="C4384" s="2">
        <f>IFERROR(__xludf.DUMMYFUNCTION("IFERROR(VLOOKUP(A4384, IMPORTRANGE(""https://docs.google.com/spreadsheets/d/1AVX9GT0dgogEBStecCXMMQ29tWz3gBrtNB8yIromXbY/edit?gid=741673867"", ""out1g!A:B""), 2, FALSE), 0)"),48.0)</f>
        <v>48</v>
      </c>
      <c r="D4384" s="2" t="str">
        <f>IFERROR(__xludf.DUMMYFUNCTION("IFERROR(VLOOKUP(A4384, IMPORTRANGE(""https://docs.google.com/spreadsheets/d/1-3Vjw2Cyy-mry5gbC8ypIR3YVGFfEpyFESummAta6sg/edit"", ""Sheet1!B:D""), 2, FALSE), ""Not Found"")"),"ʃirz")</f>
        <v>ʃirz</v>
      </c>
      <c r="E4384" s="2" t="str">
        <f>IFERROR(__xludf.DUMMYFUNCTION("IFERROR(VLOOKUP(A4384, IMPORTRANGE(""https://docs.google.com/spreadsheets/d/1-3Vjw2Cyy-mry5gbC8ypIR3YVGFfEpyFESummAta6sg/edit"", ""Sheet1!B:D""), 3, FALSE), ""Not Found"")"),"ʃ i r z ")</f>
        <v>ʃ i r z </v>
      </c>
    </row>
    <row r="4385">
      <c r="A4385" s="1" t="s">
        <v>4386</v>
      </c>
      <c r="B4385" s="1" t="s">
        <v>5</v>
      </c>
      <c r="C4385" s="2">
        <f>IFERROR(__xludf.DUMMYFUNCTION("IFERROR(VLOOKUP(A4385, IMPORTRANGE(""https://docs.google.com/spreadsheets/d/1AVX9GT0dgogEBStecCXMMQ29tWz3gBrtNB8yIromXbY/edit?gid=741673867"", ""out1g!A:B""), 2, FALSE), 0)"),1050.0)</f>
        <v>1050</v>
      </c>
      <c r="D4385" s="2" t="str">
        <f>IFERROR(__xludf.DUMMYFUNCTION("IFERROR(VLOOKUP(A4385, IMPORTRANGE(""https://docs.google.com/spreadsheets/d/1-3Vjw2Cyy-mry5gbC8ypIR3YVGFfEpyFESummAta6sg/edit"", ""Sheet1!B:D""), 2, FALSE), ""Not Found"")"),"ʤɛni")</f>
        <v>ʤɛni</v>
      </c>
      <c r="E4385" s="2" t="str">
        <f>IFERROR(__xludf.DUMMYFUNCTION("IFERROR(VLOOKUP(A4385, IMPORTRANGE(""https://docs.google.com/spreadsheets/d/1-3Vjw2Cyy-mry5gbC8ypIR3YVGFfEpyFESummAta6sg/edit"", ""Sheet1!B:D""), 3, FALSE), ""Not Found"")"),"ʤ ɛ n i ")</f>
        <v>ʤ ɛ n i </v>
      </c>
    </row>
    <row r="4386">
      <c r="A4386" s="1" t="s">
        <v>4387</v>
      </c>
      <c r="B4386" s="1" t="s">
        <v>5</v>
      </c>
      <c r="C4386" s="2">
        <f>IFERROR(__xludf.DUMMYFUNCTION("IFERROR(VLOOKUP(A4386, IMPORTRANGE(""https://docs.google.com/spreadsheets/d/1AVX9GT0dgogEBStecCXMMQ29tWz3gBrtNB8yIromXbY/edit?gid=741673867"", ""out1g!A:B""), 2, FALSE), 0)"),58.0)</f>
        <v>58</v>
      </c>
      <c r="D4386" s="2" t="str">
        <f>IFERROR(__xludf.DUMMYFUNCTION("IFERROR(VLOOKUP(A4386, IMPORTRANGE(""https://docs.google.com/spreadsheets/d/1-3Vjw2Cyy-mry5gbC8ypIR3YVGFfEpyFESummAta6sg/edit"", ""Sheet1!B:D""), 2, FALSE), ""Not Found"")"),"pikɪŋ")</f>
        <v>pikɪŋ</v>
      </c>
      <c r="E4386" s="2" t="str">
        <f>IFERROR(__xludf.DUMMYFUNCTION("IFERROR(VLOOKUP(A4386, IMPORTRANGE(""https://docs.google.com/spreadsheets/d/1-3Vjw2Cyy-mry5gbC8ypIR3YVGFfEpyFESummAta6sg/edit"", ""Sheet1!B:D""), 3, FALSE), ""Not Found"")"),"p i k ɪ ŋ ")</f>
        <v>p i k ɪ ŋ </v>
      </c>
    </row>
    <row r="4387">
      <c r="A4387" s="1" t="s">
        <v>4388</v>
      </c>
      <c r="B4387" s="1" t="s">
        <v>5</v>
      </c>
      <c r="C4387" s="2">
        <f>IFERROR(__xludf.DUMMYFUNCTION("IFERROR(VLOOKUP(A4387, IMPORTRANGE(""https://docs.google.com/spreadsheets/d/1AVX9GT0dgogEBStecCXMMQ29tWz3gBrtNB8yIromXbY/edit?gid=741673867"", ""out1g!A:B""), 2, FALSE), 0)"),61.0)</f>
        <v>61</v>
      </c>
      <c r="D4387" s="2" t="str">
        <f>IFERROR(__xludf.DUMMYFUNCTION("IFERROR(VLOOKUP(A4387, IMPORTRANGE(""https://docs.google.com/spreadsheets/d/1-3Vjw2Cyy-mry5gbC8ypIR3YVGFfEpyFESummAta6sg/edit"", ""Sheet1!B:D""), 2, FALSE), ""Not Found"")"),"ets")</f>
        <v>ets</v>
      </c>
      <c r="E4387" s="2" t="str">
        <f>IFERROR(__xludf.DUMMYFUNCTION("IFERROR(VLOOKUP(A4387, IMPORTRANGE(""https://docs.google.com/spreadsheets/d/1-3Vjw2Cyy-mry5gbC8ypIR3YVGFfEpyFESummAta6sg/edit"", ""Sheet1!B:D""), 3, FALSE), ""Not Found"")"),"e t s ")</f>
        <v>e t s </v>
      </c>
    </row>
    <row r="4388">
      <c r="A4388" s="1" t="s">
        <v>4389</v>
      </c>
      <c r="B4388" s="1" t="s">
        <v>5</v>
      </c>
      <c r="C4388" s="2">
        <f>IFERROR(__xludf.DUMMYFUNCTION("IFERROR(VLOOKUP(A4388, IMPORTRANGE(""https://docs.google.com/spreadsheets/d/1AVX9GT0dgogEBStecCXMMQ29tWz3gBrtNB8yIromXbY/edit?gid=741673867"", ""out1g!A:B""), 2, FALSE), 0)"),469.0)</f>
        <v>469</v>
      </c>
      <c r="D4388" s="2" t="str">
        <f>IFERROR(__xludf.DUMMYFUNCTION("IFERROR(VLOOKUP(A4388, IMPORTRANGE(""https://docs.google.com/spreadsheets/d/1-3Vjw2Cyy-mry5gbC8ypIR3YVGFfEpyFESummAta6sg/edit"", ""Sheet1!B:D""), 2, FALSE), ""Not Found"")"),"gre")</f>
        <v>gre</v>
      </c>
      <c r="E4388" s="2" t="str">
        <f>IFERROR(__xludf.DUMMYFUNCTION("IFERROR(VLOOKUP(A4388, IMPORTRANGE(""https://docs.google.com/spreadsheets/d/1-3Vjw2Cyy-mry5gbC8ypIR3YVGFfEpyFESummAta6sg/edit"", ""Sheet1!B:D""), 3, FALSE), ""Not Found"")"),"g r e ")</f>
        <v>g r e </v>
      </c>
    </row>
    <row r="4389">
      <c r="A4389" s="1" t="s">
        <v>4390</v>
      </c>
      <c r="B4389" s="1" t="s">
        <v>5</v>
      </c>
      <c r="C4389" s="2">
        <f>IFERROR(__xludf.DUMMYFUNCTION("IFERROR(VLOOKUP(A4389, IMPORTRANGE(""https://docs.google.com/spreadsheets/d/1AVX9GT0dgogEBStecCXMMQ29tWz3gBrtNB8yIromXbY/edit?gid=741673867"", ""out1g!A:B""), 2, FALSE), 0)"),598.0)</f>
        <v>598</v>
      </c>
      <c r="D4389" s="2" t="str">
        <f>IFERROR(__xludf.DUMMYFUNCTION("IFERROR(VLOOKUP(A4389, IMPORTRANGE(""https://docs.google.com/spreadsheets/d/1-3Vjw2Cyy-mry5gbC8ypIR3YVGFfEpyFESummAta6sg/edit"", ""Sheet1!B:D""), 2, FALSE), ""Not Found"")"),"zi")</f>
        <v>zi</v>
      </c>
      <c r="E4389" s="2" t="str">
        <f>IFERROR(__xludf.DUMMYFUNCTION("IFERROR(VLOOKUP(A4389, IMPORTRANGE(""https://docs.google.com/spreadsheets/d/1-3Vjw2Cyy-mry5gbC8ypIR3YVGFfEpyFESummAta6sg/edit"", ""Sheet1!B:D""), 3, FALSE), ""Not Found"")"),"z i ")</f>
        <v>z i </v>
      </c>
    </row>
    <row r="4390">
      <c r="A4390" s="1" t="s">
        <v>4391</v>
      </c>
      <c r="B4390" s="1" t="s">
        <v>5</v>
      </c>
      <c r="C4390" s="2">
        <f>IFERROR(__xludf.DUMMYFUNCTION("IFERROR(VLOOKUP(A4390, IMPORTRANGE(""https://docs.google.com/spreadsheets/d/1AVX9GT0dgogEBStecCXMMQ29tWz3gBrtNB8yIromXbY/edit?gid=741673867"", ""out1g!A:B""), 2, FALSE), 0)"),31.0)</f>
        <v>31</v>
      </c>
      <c r="D4390" s="2" t="str">
        <f>IFERROR(__xludf.DUMMYFUNCTION("IFERROR(VLOOKUP(A4390, IMPORTRANGE(""https://docs.google.com/spreadsheets/d/1-3Vjw2Cyy-mry5gbC8ypIR3YVGFfEpyFESummAta6sg/edit"", ""Sheet1!B:D""), 2, FALSE), ""Not Found"")"),"ɔrd")</f>
        <v>ɔrd</v>
      </c>
      <c r="E4390" s="2" t="str">
        <f>IFERROR(__xludf.DUMMYFUNCTION("IFERROR(VLOOKUP(A4390, IMPORTRANGE(""https://docs.google.com/spreadsheets/d/1-3Vjw2Cyy-mry5gbC8ypIR3YVGFfEpyFESummAta6sg/edit"", ""Sheet1!B:D""), 3, FALSE), ""Not Found"")"),"ɔ r d ")</f>
        <v>ɔ r d </v>
      </c>
    </row>
    <row r="4391">
      <c r="A4391" s="1" t="s">
        <v>4392</v>
      </c>
      <c r="B4391" s="1" t="s">
        <v>5</v>
      </c>
      <c r="C4391" s="2">
        <f>IFERROR(__xludf.DUMMYFUNCTION("IFERROR(VLOOKUP(A4391, IMPORTRANGE(""https://docs.google.com/spreadsheets/d/1AVX9GT0dgogEBStecCXMMQ29tWz3gBrtNB8yIromXbY/edit?gid=741673867"", ""out1g!A:B""), 2, FALSE), 0)"),992.0)</f>
        <v>992</v>
      </c>
      <c r="D4391" s="2" t="str">
        <f>IFERROR(__xludf.DUMMYFUNCTION("IFERROR(VLOOKUP(A4391, IMPORTRANGE(""https://docs.google.com/spreadsheets/d/1-3Vjw2Cyy-mry5gbC8ypIR3YVGFfEpyFESummAta6sg/edit"", ""Sheet1!B:D""), 2, FALSE), ""Not Found"")"),"mɛtəl")</f>
        <v>mɛtəl</v>
      </c>
      <c r="E4391" s="2" t="str">
        <f>IFERROR(__xludf.DUMMYFUNCTION("IFERROR(VLOOKUP(A4391, IMPORTRANGE(""https://docs.google.com/spreadsheets/d/1-3Vjw2Cyy-mry5gbC8ypIR3YVGFfEpyFESummAta6sg/edit"", ""Sheet1!B:D""), 3, FALSE), ""Not Found"")"),"m ɛ t ə l ")</f>
        <v>m ɛ t ə l </v>
      </c>
    </row>
    <row r="4392">
      <c r="A4392" s="1" t="s">
        <v>4393</v>
      </c>
      <c r="B4392" s="1" t="s">
        <v>5</v>
      </c>
      <c r="C4392" s="2">
        <f>IFERROR(__xludf.DUMMYFUNCTION("IFERROR(VLOOKUP(A4392, IMPORTRANGE(""https://docs.google.com/spreadsheets/d/1AVX9GT0dgogEBStecCXMMQ29tWz3gBrtNB8yIromXbY/edit?gid=741673867"", ""out1g!A:B""), 2, FALSE), 0)"),257.0)</f>
        <v>257</v>
      </c>
      <c r="D4392" s="2" t="str">
        <f>IFERROR(__xludf.DUMMYFUNCTION("IFERROR(VLOOKUP(A4392, IMPORTRANGE(""https://docs.google.com/spreadsheets/d/1-3Vjw2Cyy-mry5gbC8ypIR3YVGFfEpyFESummAta6sg/edit"", ""Sheet1!B:D""), 2, FALSE), ""Not Found"")"),"nɔɪzi")</f>
        <v>nɔɪzi</v>
      </c>
      <c r="E4392" s="2" t="str">
        <f>IFERROR(__xludf.DUMMYFUNCTION("IFERROR(VLOOKUP(A4392, IMPORTRANGE(""https://docs.google.com/spreadsheets/d/1-3Vjw2Cyy-mry5gbC8ypIR3YVGFfEpyFESummAta6sg/edit"", ""Sheet1!B:D""), 3, FALSE), ""Not Found"")"),"n ɔ ɪ z i ")</f>
        <v>n ɔ ɪ z i </v>
      </c>
    </row>
    <row r="4393">
      <c r="A4393" s="1" t="s">
        <v>4394</v>
      </c>
      <c r="B4393" s="1" t="s">
        <v>5</v>
      </c>
      <c r="C4393" s="2">
        <f>IFERROR(__xludf.DUMMYFUNCTION("IFERROR(VLOOKUP(A4393, IMPORTRANGE(""https://docs.google.com/spreadsheets/d/1AVX9GT0dgogEBStecCXMMQ29tWz3gBrtNB8yIromXbY/edit?gid=741673867"", ""out1g!A:B""), 2, FALSE), 0)"),2579.0)</f>
        <v>2579</v>
      </c>
      <c r="D4393" s="2" t="str">
        <f>IFERROR(__xludf.DUMMYFUNCTION("IFERROR(VLOOKUP(A4393, IMPORTRANGE(""https://docs.google.com/spreadsheets/d/1-3Vjw2Cyy-mry5gbC8ypIR3YVGFfEpyFESummAta6sg/edit"", ""Sheet1!B:D""), 2, FALSE), ""Not Found"")"),"ɛf")</f>
        <v>ɛf</v>
      </c>
      <c r="E4393" s="2" t="str">
        <f>IFERROR(__xludf.DUMMYFUNCTION("IFERROR(VLOOKUP(A4393, IMPORTRANGE(""https://docs.google.com/spreadsheets/d/1-3Vjw2Cyy-mry5gbC8ypIR3YVGFfEpyFESummAta6sg/edit"", ""Sheet1!B:D""), 3, FALSE), ""Not Found"")"),"ɛ f ")</f>
        <v>ɛ f </v>
      </c>
    </row>
    <row r="4394">
      <c r="A4394" s="1" t="s">
        <v>4395</v>
      </c>
      <c r="B4394" s="1" t="s">
        <v>5</v>
      </c>
      <c r="C4394" s="2">
        <f>IFERROR(__xludf.DUMMYFUNCTION("IFERROR(VLOOKUP(A4394, IMPORTRANGE(""https://docs.google.com/spreadsheets/d/1AVX9GT0dgogEBStecCXMMQ29tWz3gBrtNB8yIromXbY/edit?gid=741673867"", ""out1g!A:B""), 2, FALSE), 0)"),65.0)</f>
        <v>65</v>
      </c>
      <c r="D4394" s="2" t="str">
        <f>IFERROR(__xludf.DUMMYFUNCTION("IFERROR(VLOOKUP(A4394, IMPORTRANGE(""https://docs.google.com/spreadsheets/d/1-3Vjw2Cyy-mry5gbC8ypIR3YVGFfEpyFESummAta6sg/edit"", ""Sheet1!B:D""), 2, FALSE), ""Not Found"")"),"pɛbəl")</f>
        <v>pɛbəl</v>
      </c>
      <c r="E4394" s="2" t="str">
        <f>IFERROR(__xludf.DUMMYFUNCTION("IFERROR(VLOOKUP(A4394, IMPORTRANGE(""https://docs.google.com/spreadsheets/d/1-3Vjw2Cyy-mry5gbC8ypIR3YVGFfEpyFESummAta6sg/edit"", ""Sheet1!B:D""), 3, FALSE), ""Not Found"")"),"p ɛ b ə l ")</f>
        <v>p ɛ b ə l </v>
      </c>
    </row>
    <row r="4395">
      <c r="A4395" s="1" t="s">
        <v>4396</v>
      </c>
      <c r="B4395" s="1" t="s">
        <v>5</v>
      </c>
      <c r="C4395" s="2">
        <f>IFERROR(__xludf.DUMMYFUNCTION("IFERROR(VLOOKUP(A4395, IMPORTRANGE(""https://docs.google.com/spreadsheets/d/1AVX9GT0dgogEBStecCXMMQ29tWz3gBrtNB8yIromXbY/edit?gid=741673867"", ""out1g!A:B""), 2, FALSE), 0)"),159.0)</f>
        <v>159</v>
      </c>
      <c r="D4395" s="2" t="str">
        <f>IFERROR(__xludf.DUMMYFUNCTION("IFERROR(VLOOKUP(A4395, IMPORTRANGE(""https://docs.google.com/spreadsheets/d/1-3Vjw2Cyy-mry5gbC8ypIR3YVGFfEpyFESummAta6sg/edit"", ""Sheet1!B:D""), 2, FALSE), ""Not Found"")"),"wɪmp")</f>
        <v>wɪmp</v>
      </c>
      <c r="E4395" s="2" t="str">
        <f>IFERROR(__xludf.DUMMYFUNCTION("IFERROR(VLOOKUP(A4395, IMPORTRANGE(""https://docs.google.com/spreadsheets/d/1-3Vjw2Cyy-mry5gbC8ypIR3YVGFfEpyFESummAta6sg/edit"", ""Sheet1!B:D""), 3, FALSE), ""Not Found"")"),"w ɪ m p ")</f>
        <v>w ɪ m p </v>
      </c>
    </row>
    <row r="4396">
      <c r="A4396" s="1" t="s">
        <v>4397</v>
      </c>
      <c r="B4396" s="1" t="s">
        <v>5</v>
      </c>
      <c r="C4396" s="2">
        <f>IFERROR(__xludf.DUMMYFUNCTION("IFERROR(VLOOKUP(A4396, IMPORTRANGE(""https://docs.google.com/spreadsheets/d/1AVX9GT0dgogEBStecCXMMQ29tWz3gBrtNB8yIromXbY/edit?gid=741673867"", ""out1g!A:B""), 2, FALSE), 0)"),157.0)</f>
        <v>157</v>
      </c>
      <c r="D4396" s="2" t="str">
        <f>IFERROR(__xludf.DUMMYFUNCTION("IFERROR(VLOOKUP(A4396, IMPORTRANGE(""https://docs.google.com/spreadsheets/d/1-3Vjw2Cyy-mry5gbC8ypIR3YVGFfEpyFESummAta6sg/edit"", ""Sheet1!B:D""), 2, FALSE), ""Not Found"")"),"lɑmə")</f>
        <v>lɑmə</v>
      </c>
      <c r="E4396" s="2" t="str">
        <f>IFERROR(__xludf.DUMMYFUNCTION("IFERROR(VLOOKUP(A4396, IMPORTRANGE(""https://docs.google.com/spreadsheets/d/1-3Vjw2Cyy-mry5gbC8ypIR3YVGFfEpyFESummAta6sg/edit"", ""Sheet1!B:D""), 3, FALSE), ""Not Found"")"),"l ɑ m ə ")</f>
        <v>l ɑ m ə </v>
      </c>
    </row>
    <row r="4397">
      <c r="A4397" s="1" t="s">
        <v>4398</v>
      </c>
      <c r="B4397" s="1" t="s">
        <v>5</v>
      </c>
      <c r="C4397" s="2">
        <f>IFERROR(__xludf.DUMMYFUNCTION("IFERROR(VLOOKUP(A4397, IMPORTRANGE(""https://docs.google.com/spreadsheets/d/1AVX9GT0dgogEBStecCXMMQ29tWz3gBrtNB8yIromXbY/edit?gid=741673867"", ""out1g!A:B""), 2, FALSE), 0)"),188.0)</f>
        <v>188</v>
      </c>
      <c r="D4397" s="2" t="str">
        <f>IFERROR(__xludf.DUMMYFUNCTION("IFERROR(VLOOKUP(A4397, IMPORTRANGE(""https://docs.google.com/spreadsheets/d/1-3Vjw2Cyy-mry5gbC8ypIR3YVGFfEpyFESummAta6sg/edit"", ""Sheet1!B:D""), 2, FALSE), ""Not Found"")"),"tænər")</f>
        <v>tænər</v>
      </c>
      <c r="E4397" s="2" t="str">
        <f>IFERROR(__xludf.DUMMYFUNCTION("IFERROR(VLOOKUP(A4397, IMPORTRANGE(""https://docs.google.com/spreadsheets/d/1-3Vjw2Cyy-mry5gbC8ypIR3YVGFfEpyFESummAta6sg/edit"", ""Sheet1!B:D""), 3, FALSE), ""Not Found"")"),"t æ n ə r ")</f>
        <v>t æ n ə r </v>
      </c>
    </row>
    <row r="4398">
      <c r="A4398" s="1" t="s">
        <v>4399</v>
      </c>
      <c r="B4398" s="1" t="s">
        <v>5</v>
      </c>
      <c r="C4398" s="2">
        <f>IFERROR(__xludf.DUMMYFUNCTION("IFERROR(VLOOKUP(A4398, IMPORTRANGE(""https://docs.google.com/spreadsheets/d/1AVX9GT0dgogEBStecCXMMQ29tWz3gBrtNB8yIromXbY/edit?gid=741673867"", ""out1g!A:B""), 2, FALSE), 0)"),150.0)</f>
        <v>150</v>
      </c>
      <c r="D4398" s="2" t="str">
        <f>IFERROR(__xludf.DUMMYFUNCTION("IFERROR(VLOOKUP(A4398, IMPORTRANGE(""https://docs.google.com/spreadsheets/d/1-3Vjw2Cyy-mry5gbC8ypIR3YVGFfEpyFESummAta6sg/edit"", ""Sheet1!B:D""), 2, FALSE), ""Not Found"")"),"skænər")</f>
        <v>skænər</v>
      </c>
      <c r="E4398" s="2" t="str">
        <f>IFERROR(__xludf.DUMMYFUNCTION("IFERROR(VLOOKUP(A4398, IMPORTRANGE(""https://docs.google.com/spreadsheets/d/1-3Vjw2Cyy-mry5gbC8ypIR3YVGFfEpyFESummAta6sg/edit"", ""Sheet1!B:D""), 3, FALSE), ""Not Found"")"),"s k æ n ə r ")</f>
        <v>s k æ n ə r </v>
      </c>
    </row>
    <row r="4399">
      <c r="A4399" s="1" t="s">
        <v>4400</v>
      </c>
      <c r="B4399" s="1" t="s">
        <v>5</v>
      </c>
      <c r="C4399" s="2">
        <f>IFERROR(__xludf.DUMMYFUNCTION("IFERROR(VLOOKUP(A4399, IMPORTRANGE(""https://docs.google.com/spreadsheets/d/1AVX9GT0dgogEBStecCXMMQ29tWz3gBrtNB8yIromXbY/edit?gid=741673867"", ""out1g!A:B""), 2, FALSE), 0)"),323.0)</f>
        <v>323</v>
      </c>
      <c r="D4399" s="2" t="str">
        <f>IFERROR(__xludf.DUMMYFUNCTION("IFERROR(VLOOKUP(A4399, IMPORTRANGE(""https://docs.google.com/spreadsheets/d/1-3Vjw2Cyy-mry5gbC8ypIR3YVGFfEpyFESummAta6sg/edit"", ""Sheet1!B:D""), 2, FALSE), ""Not Found"")"),"laɪənz")</f>
        <v>laɪənz</v>
      </c>
      <c r="E4399" s="2" t="str">
        <f>IFERROR(__xludf.DUMMYFUNCTION("IFERROR(VLOOKUP(A4399, IMPORTRANGE(""https://docs.google.com/spreadsheets/d/1-3Vjw2Cyy-mry5gbC8ypIR3YVGFfEpyFESummAta6sg/edit"", ""Sheet1!B:D""), 3, FALSE), ""Not Found"")"),"l a ɪ ə n z ")</f>
        <v>l a ɪ ə n z </v>
      </c>
    </row>
    <row r="4400">
      <c r="A4400" s="1" t="s">
        <v>4401</v>
      </c>
      <c r="B4400" s="1" t="s">
        <v>5</v>
      </c>
      <c r="C4400" s="2">
        <f>IFERROR(__xludf.DUMMYFUNCTION("IFERROR(VLOOKUP(A4400, IMPORTRANGE(""https://docs.google.com/spreadsheets/d/1AVX9GT0dgogEBStecCXMMQ29tWz3gBrtNB8yIromXbY/edit?gid=741673867"", ""out1g!A:B""), 2, FALSE), 0)"),1814.0)</f>
        <v>1814</v>
      </c>
      <c r="D4400" s="2" t="str">
        <f>IFERROR(__xludf.DUMMYFUNCTION("IFERROR(VLOOKUP(A4400, IMPORTRANGE(""https://docs.google.com/spreadsheets/d/1-3Vjw2Cyy-mry5gbC8ypIR3YVGFfEpyFESummAta6sg/edit"", ""Sheet1!B:D""), 2, FALSE), ""Not Found"")"),"beb")</f>
        <v>beb</v>
      </c>
      <c r="E4400" s="2" t="str">
        <f>IFERROR(__xludf.DUMMYFUNCTION("IFERROR(VLOOKUP(A4400, IMPORTRANGE(""https://docs.google.com/spreadsheets/d/1-3Vjw2Cyy-mry5gbC8ypIR3YVGFfEpyFESummAta6sg/edit"", ""Sheet1!B:D""), 3, FALSE), ""Not Found"")"),"b e b ")</f>
        <v>b e b </v>
      </c>
    </row>
    <row r="4401">
      <c r="A4401" s="1" t="s">
        <v>4402</v>
      </c>
      <c r="B4401" s="1" t="s">
        <v>5</v>
      </c>
      <c r="C4401" s="2">
        <f>IFERROR(__xludf.DUMMYFUNCTION("IFERROR(VLOOKUP(A4401, IMPORTRANGE(""https://docs.google.com/spreadsheets/d/1AVX9GT0dgogEBStecCXMMQ29tWz3gBrtNB8yIromXbY/edit?gid=741673867"", ""out1g!A:B""), 2, FALSE), 0)"),150.0)</f>
        <v>150</v>
      </c>
      <c r="D4401" s="2" t="str">
        <f>IFERROR(__xludf.DUMMYFUNCTION("IFERROR(VLOOKUP(A4401, IMPORTRANGE(""https://docs.google.com/spreadsheets/d/1-3Vjw2Cyy-mry5gbC8ypIR3YVGFfEpyFESummAta6sg/edit"", ""Sheet1!B:D""), 2, FALSE), ""Not Found"")"),"ti")</f>
        <v>ti</v>
      </c>
      <c r="E4401" s="2" t="str">
        <f>IFERROR(__xludf.DUMMYFUNCTION("IFERROR(VLOOKUP(A4401, IMPORTRANGE(""https://docs.google.com/spreadsheets/d/1-3Vjw2Cyy-mry5gbC8ypIR3YVGFfEpyFESummAta6sg/edit"", ""Sheet1!B:D""), 3, FALSE), ""Not Found"")"),"t i ")</f>
        <v>t i </v>
      </c>
    </row>
    <row r="4402">
      <c r="A4402" s="1" t="s">
        <v>4403</v>
      </c>
      <c r="B4402" s="1" t="s">
        <v>5</v>
      </c>
      <c r="C4402" s="2">
        <f>IFERROR(__xludf.DUMMYFUNCTION("IFERROR(VLOOKUP(A4402, IMPORTRANGE(""https://docs.google.com/spreadsheets/d/1AVX9GT0dgogEBStecCXMMQ29tWz3gBrtNB8yIromXbY/edit?gid=741673867"", ""out1g!A:B""), 2, FALSE), 0)"),67.0)</f>
        <v>67</v>
      </c>
      <c r="D4402" s="2" t="str">
        <f>IFERROR(__xludf.DUMMYFUNCTION("IFERROR(VLOOKUP(A4402, IMPORTRANGE(""https://docs.google.com/spreadsheets/d/1-3Vjw2Cyy-mry5gbC8ypIR3YVGFfEpyFESummAta6sg/edit"", ""Sheet1!B:D""), 2, FALSE), ""Not Found"")"),"stɛrz")</f>
        <v>stɛrz</v>
      </c>
      <c r="E4402" s="2" t="str">
        <f>IFERROR(__xludf.DUMMYFUNCTION("IFERROR(VLOOKUP(A4402, IMPORTRANGE(""https://docs.google.com/spreadsheets/d/1-3Vjw2Cyy-mry5gbC8ypIR3YVGFfEpyFESummAta6sg/edit"", ""Sheet1!B:D""), 3, FALSE), ""Not Found"")"),"s t ɛ r z ")</f>
        <v>s t ɛ r z </v>
      </c>
    </row>
    <row r="4403">
      <c r="A4403" s="1" t="s">
        <v>4404</v>
      </c>
      <c r="B4403" s="1" t="s">
        <v>5</v>
      </c>
      <c r="C4403" s="2">
        <f>IFERROR(__xludf.DUMMYFUNCTION("IFERROR(VLOOKUP(A4403, IMPORTRANGE(""https://docs.google.com/spreadsheets/d/1AVX9GT0dgogEBStecCXMMQ29tWz3gBrtNB8yIromXbY/edit?gid=741673867"", ""out1g!A:B""), 2, FALSE), 0)"),147.0)</f>
        <v>147</v>
      </c>
      <c r="D4403" s="2" t="str">
        <f>IFERROR(__xludf.DUMMYFUNCTION("IFERROR(VLOOKUP(A4403, IMPORTRANGE(""https://docs.google.com/spreadsheets/d/1-3Vjw2Cyy-mry5gbC8ypIR3YVGFfEpyFESummAta6sg/edit"", ""Sheet1!B:D""), 2, FALSE), ""Not Found"")"),"ʧoʊ")</f>
        <v>ʧoʊ</v>
      </c>
      <c r="E4403" s="2" t="str">
        <f>IFERROR(__xludf.DUMMYFUNCTION("IFERROR(VLOOKUP(A4403, IMPORTRANGE(""https://docs.google.com/spreadsheets/d/1-3Vjw2Cyy-mry5gbC8ypIR3YVGFfEpyFESummAta6sg/edit"", ""Sheet1!B:D""), 3, FALSE), ""Not Found"")"),"ʧ o ʊ ")</f>
        <v>ʧ o ʊ </v>
      </c>
    </row>
    <row r="4404">
      <c r="A4404" s="1" t="s">
        <v>4405</v>
      </c>
      <c r="B4404" s="1" t="s">
        <v>5</v>
      </c>
      <c r="C4404" s="2">
        <f>IFERROR(__xludf.DUMMYFUNCTION("IFERROR(VLOOKUP(A4404, IMPORTRANGE(""https://docs.google.com/spreadsheets/d/1AVX9GT0dgogEBStecCXMMQ29tWz3gBrtNB8yIromXbY/edit?gid=741673867"", ""out1g!A:B""), 2, FALSE), 0)"),161.0)</f>
        <v>161</v>
      </c>
      <c r="D4404" s="2" t="str">
        <f>IFERROR(__xludf.DUMMYFUNCTION("IFERROR(VLOOKUP(A4404, IMPORTRANGE(""https://docs.google.com/spreadsheets/d/1-3Vjw2Cyy-mry5gbC8ypIR3YVGFfEpyFESummAta6sg/edit"", ""Sheet1!B:D""), 2, FALSE), ""Not Found"")"),"krɪsp")</f>
        <v>krɪsp</v>
      </c>
      <c r="E4404" s="2" t="str">
        <f>IFERROR(__xludf.DUMMYFUNCTION("IFERROR(VLOOKUP(A4404, IMPORTRANGE(""https://docs.google.com/spreadsheets/d/1-3Vjw2Cyy-mry5gbC8ypIR3YVGFfEpyFESummAta6sg/edit"", ""Sheet1!B:D""), 3, FALSE), ""Not Found"")"),"k r ɪ s p ")</f>
        <v>k r ɪ s p </v>
      </c>
    </row>
    <row r="4405">
      <c r="A4405" s="1" t="s">
        <v>4406</v>
      </c>
      <c r="B4405" s="1" t="s">
        <v>5</v>
      </c>
      <c r="C4405" s="2">
        <f>IFERROR(__xludf.DUMMYFUNCTION("IFERROR(VLOOKUP(A4405, IMPORTRANGE(""https://docs.google.com/spreadsheets/d/1AVX9GT0dgogEBStecCXMMQ29tWz3gBrtNB8yIromXbY/edit?gid=741673867"", ""out1g!A:B""), 2, FALSE), 0)"),95.0)</f>
        <v>95</v>
      </c>
      <c r="D4405" s="2" t="str">
        <f>IFERROR(__xludf.DUMMYFUNCTION("IFERROR(VLOOKUP(A4405, IMPORTRANGE(""https://docs.google.com/spreadsheets/d/1-3Vjw2Cyy-mry5gbC8ypIR3YVGFfEpyFESummAta6sg/edit"", ""Sheet1!B:D""), 2, FALSE), ""Not Found"")"),"plegd")</f>
        <v>plegd</v>
      </c>
      <c r="E4405" s="2" t="str">
        <f>IFERROR(__xludf.DUMMYFUNCTION("IFERROR(VLOOKUP(A4405, IMPORTRANGE(""https://docs.google.com/spreadsheets/d/1-3Vjw2Cyy-mry5gbC8ypIR3YVGFfEpyFESummAta6sg/edit"", ""Sheet1!B:D""), 3, FALSE), ""Not Found"")"),"p l e g d ")</f>
        <v>p l e g d </v>
      </c>
    </row>
    <row r="4406">
      <c r="A4406" s="1" t="s">
        <v>4407</v>
      </c>
      <c r="B4406" s="1" t="s">
        <v>5</v>
      </c>
      <c r="C4406" s="2">
        <f>IFERROR(__xludf.DUMMYFUNCTION("IFERROR(VLOOKUP(A4406, IMPORTRANGE(""https://docs.google.com/spreadsheets/d/1AVX9GT0dgogEBStecCXMMQ29tWz3gBrtNB8yIromXbY/edit?gid=741673867"", ""out1g!A:B""), 2, FALSE), 0)"),115.0)</f>
        <v>115</v>
      </c>
      <c r="D4406" s="2" t="str">
        <f>IFERROR(__xludf.DUMMYFUNCTION("IFERROR(VLOOKUP(A4406, IMPORTRANGE(""https://docs.google.com/spreadsheets/d/1-3Vjw2Cyy-mry5gbC8ypIR3YVGFfEpyFESummAta6sg/edit"", ""Sheet1!B:D""), 2, FALSE), ""Not Found"")"),"glud")</f>
        <v>glud</v>
      </c>
      <c r="E4406" s="2" t="str">
        <f>IFERROR(__xludf.DUMMYFUNCTION("IFERROR(VLOOKUP(A4406, IMPORTRANGE(""https://docs.google.com/spreadsheets/d/1-3Vjw2Cyy-mry5gbC8ypIR3YVGFfEpyFESummAta6sg/edit"", ""Sheet1!B:D""), 3, FALSE), ""Not Found"")"),"g l u d ")</f>
        <v>g l u d </v>
      </c>
    </row>
    <row r="4407">
      <c r="A4407" s="1" t="s">
        <v>4408</v>
      </c>
      <c r="B4407" s="1" t="s">
        <v>5</v>
      </c>
      <c r="C4407" s="2">
        <f>IFERROR(__xludf.DUMMYFUNCTION("IFERROR(VLOOKUP(A4407, IMPORTRANGE(""https://docs.google.com/spreadsheets/d/1AVX9GT0dgogEBStecCXMMQ29tWz3gBrtNB8yIromXbY/edit?gid=741673867"", ""out1g!A:B""), 2, FALSE), 0)"),275.0)</f>
        <v>275</v>
      </c>
      <c r="D4407" s="2" t="str">
        <f>IFERROR(__xludf.DUMMYFUNCTION("IFERROR(VLOOKUP(A4407, IMPORTRANGE(""https://docs.google.com/spreadsheets/d/1-3Vjw2Cyy-mry5gbC8ypIR3YVGFfEpyFESummAta6sg/edit"", ""Sheet1!B:D""), 2, FALSE), ""Not Found"")"),"hænə")</f>
        <v>hænə</v>
      </c>
      <c r="E4407" s="2" t="str">
        <f>IFERROR(__xludf.DUMMYFUNCTION("IFERROR(VLOOKUP(A4407, IMPORTRANGE(""https://docs.google.com/spreadsheets/d/1-3Vjw2Cyy-mry5gbC8ypIR3YVGFfEpyFESummAta6sg/edit"", ""Sheet1!B:D""), 3, FALSE), ""Not Found"")"),"h æ n ə ")</f>
        <v>h æ n ə </v>
      </c>
    </row>
    <row r="4408">
      <c r="A4408" s="1" t="s">
        <v>4409</v>
      </c>
      <c r="B4408" s="1" t="s">
        <v>5</v>
      </c>
      <c r="C4408" s="2">
        <f>IFERROR(__xludf.DUMMYFUNCTION("IFERROR(VLOOKUP(A4408, IMPORTRANGE(""https://docs.google.com/spreadsheets/d/1AVX9GT0dgogEBStecCXMMQ29tWz3gBrtNB8yIromXbY/edit?gid=741673867"", ""out1g!A:B""), 2, FALSE), 0)"),533.0)</f>
        <v>533</v>
      </c>
      <c r="D4408" s="2" t="str">
        <f>IFERROR(__xludf.DUMMYFUNCTION("IFERROR(VLOOKUP(A4408, IMPORTRANGE(""https://docs.google.com/spreadsheets/d/1-3Vjw2Cyy-mry5gbC8ypIR3YVGFfEpyFESummAta6sg/edit"", ""Sheet1!B:D""), 2, FALSE), ""Not Found"")"),"blɑnd")</f>
        <v>blɑnd</v>
      </c>
      <c r="E4408" s="2" t="str">
        <f>IFERROR(__xludf.DUMMYFUNCTION("IFERROR(VLOOKUP(A4408, IMPORTRANGE(""https://docs.google.com/spreadsheets/d/1-3Vjw2Cyy-mry5gbC8ypIR3YVGFfEpyFESummAta6sg/edit"", ""Sheet1!B:D""), 3, FALSE), ""Not Found"")"),"b l ɑ n d ")</f>
        <v>b l ɑ n d </v>
      </c>
    </row>
    <row r="4409">
      <c r="A4409" s="1" t="s">
        <v>4410</v>
      </c>
      <c r="B4409" s="1" t="s">
        <v>5</v>
      </c>
      <c r="C4409" s="2">
        <f>IFERROR(__xludf.DUMMYFUNCTION("IFERROR(VLOOKUP(A4409, IMPORTRANGE(""https://docs.google.com/spreadsheets/d/1AVX9GT0dgogEBStecCXMMQ29tWz3gBrtNB8yIromXbY/edit?gid=741673867"", ""out1g!A:B""), 2, FALSE), 0)"),69.0)</f>
        <v>69</v>
      </c>
      <c r="D4409" s="2" t="str">
        <f>IFERROR(__xludf.DUMMYFUNCTION("IFERROR(VLOOKUP(A4409, IMPORTRANGE(""https://docs.google.com/spreadsheets/d/1-3Vjw2Cyy-mry5gbC8ypIR3YVGFfEpyFESummAta6sg/edit"", ""Sheet1!B:D""), 2, FALSE), ""Not Found"")"),"oʊvəl")</f>
        <v>oʊvəl</v>
      </c>
      <c r="E4409" s="2" t="str">
        <f>IFERROR(__xludf.DUMMYFUNCTION("IFERROR(VLOOKUP(A4409, IMPORTRANGE(""https://docs.google.com/spreadsheets/d/1-3Vjw2Cyy-mry5gbC8ypIR3YVGFfEpyFESummAta6sg/edit"", ""Sheet1!B:D""), 3, FALSE), ""Not Found"")"),"o ʊ v ə l ")</f>
        <v>o ʊ v ə l </v>
      </c>
    </row>
    <row r="4410">
      <c r="A4410" s="1" t="s">
        <v>4411</v>
      </c>
      <c r="B4410" s="1" t="s">
        <v>5</v>
      </c>
      <c r="C4410" s="2">
        <f>IFERROR(__xludf.DUMMYFUNCTION("IFERROR(VLOOKUP(A4410, IMPORTRANGE(""https://docs.google.com/spreadsheets/d/1AVX9GT0dgogEBStecCXMMQ29tWz3gBrtNB8yIromXbY/edit?gid=741673867"", ""out1g!A:B""), 2, FALSE), 0)"),14.0)</f>
        <v>14</v>
      </c>
      <c r="D4410" s="2" t="str">
        <f>IFERROR(__xludf.DUMMYFUNCTION("IFERROR(VLOOKUP(A4410, IMPORTRANGE(""https://docs.google.com/spreadsheets/d/1-3Vjw2Cyy-mry5gbC8ypIR3YVGFfEpyFESummAta6sg/edit"", ""Sheet1!B:D""), 2, FALSE), ""Not Found"")"),"prisɛt")</f>
        <v>prisɛt</v>
      </c>
      <c r="E4410" s="2" t="str">
        <f>IFERROR(__xludf.DUMMYFUNCTION("IFERROR(VLOOKUP(A4410, IMPORTRANGE(""https://docs.google.com/spreadsheets/d/1-3Vjw2Cyy-mry5gbC8ypIR3YVGFfEpyFESummAta6sg/edit"", ""Sheet1!B:D""), 3, FALSE), ""Not Found"")"),"p r i s ɛ t ")</f>
        <v>p r i s ɛ t </v>
      </c>
    </row>
    <row r="4411">
      <c r="A4411" s="1" t="s">
        <v>4412</v>
      </c>
      <c r="B4411" s="1" t="s">
        <v>5</v>
      </c>
      <c r="C4411" s="2">
        <f>IFERROR(__xludf.DUMMYFUNCTION("IFERROR(VLOOKUP(A4411, IMPORTRANGE(""https://docs.google.com/spreadsheets/d/1AVX9GT0dgogEBStecCXMMQ29tWz3gBrtNB8yIromXbY/edit?gid=741673867"", ""out1g!A:B""), 2, FALSE), 0)"),528.0)</f>
        <v>528</v>
      </c>
      <c r="D4411" s="2" t="str">
        <f>IFERROR(__xludf.DUMMYFUNCTION("IFERROR(VLOOKUP(A4411, IMPORTRANGE(""https://docs.google.com/spreadsheets/d/1-3Vjw2Cyy-mry5gbC8ypIR3YVGFfEpyFESummAta6sg/edit"", ""Sheet1!B:D""), 2, FALSE), ""Not Found"")"),"bi")</f>
        <v>bi</v>
      </c>
      <c r="E4411" s="2" t="str">
        <f>IFERROR(__xludf.DUMMYFUNCTION("IFERROR(VLOOKUP(A4411, IMPORTRANGE(""https://docs.google.com/spreadsheets/d/1-3Vjw2Cyy-mry5gbC8ypIR3YVGFfEpyFESummAta6sg/edit"", ""Sheet1!B:D""), 3, FALSE), ""Not Found"")"),"b i ")</f>
        <v>b i </v>
      </c>
    </row>
    <row r="4412">
      <c r="A4412" s="1" t="s">
        <v>4413</v>
      </c>
      <c r="B4412" s="1" t="s">
        <v>5</v>
      </c>
      <c r="C4412" s="2">
        <f>IFERROR(__xludf.DUMMYFUNCTION("IFERROR(VLOOKUP(A4412, IMPORTRANGE(""https://docs.google.com/spreadsheets/d/1AVX9GT0dgogEBStecCXMMQ29tWz3gBrtNB8yIromXbY/edit?gid=741673867"", ""out1g!A:B""), 2, FALSE), 0)"),457.0)</f>
        <v>457</v>
      </c>
      <c r="D4412" s="2" t="str">
        <f>IFERROR(__xludf.DUMMYFUNCTION("IFERROR(VLOOKUP(A4412, IMPORTRANGE(""https://docs.google.com/spreadsheets/d/1-3Vjw2Cyy-mry5gbC8ypIR3YVGFfEpyFESummAta6sg/edit"", ""Sheet1!B:D""), 2, FALSE), ""Not Found"")"),"brɛst")</f>
        <v>brɛst</v>
      </c>
      <c r="E4412" s="2" t="str">
        <f>IFERROR(__xludf.DUMMYFUNCTION("IFERROR(VLOOKUP(A4412, IMPORTRANGE(""https://docs.google.com/spreadsheets/d/1-3Vjw2Cyy-mry5gbC8ypIR3YVGFfEpyFESummAta6sg/edit"", ""Sheet1!B:D""), 3, FALSE), ""Not Found"")"),"b r ɛ s t ")</f>
        <v>b r ɛ s t </v>
      </c>
    </row>
    <row r="4413">
      <c r="A4413" s="1" t="s">
        <v>4414</v>
      </c>
      <c r="B4413" s="1" t="s">
        <v>5</v>
      </c>
      <c r="C4413" s="2">
        <f>IFERROR(__xludf.DUMMYFUNCTION("IFERROR(VLOOKUP(A4413, IMPORTRANGE(""https://docs.google.com/spreadsheets/d/1AVX9GT0dgogEBStecCXMMQ29tWz3gBrtNB8yIromXbY/edit?gid=741673867"", ""out1g!A:B""), 2, FALSE), 0)"),113.0)</f>
        <v>113</v>
      </c>
      <c r="D4413" s="2" t="str">
        <f>IFERROR(__xludf.DUMMYFUNCTION("IFERROR(VLOOKUP(A4413, IMPORTRANGE(""https://docs.google.com/spreadsheets/d/1-3Vjw2Cyy-mry5gbC8ypIR3YVGFfEpyFESummAta6sg/edit"", ""Sheet1!B:D""), 2, FALSE), ""Not Found"")"),"slɪpər")</f>
        <v>slɪpər</v>
      </c>
      <c r="E4413" s="2" t="str">
        <f>IFERROR(__xludf.DUMMYFUNCTION("IFERROR(VLOOKUP(A4413, IMPORTRANGE(""https://docs.google.com/spreadsheets/d/1-3Vjw2Cyy-mry5gbC8ypIR3YVGFfEpyFESummAta6sg/edit"", ""Sheet1!B:D""), 3, FALSE), ""Not Found"")"),"s l ɪ p ə r ")</f>
        <v>s l ɪ p ə r </v>
      </c>
    </row>
    <row r="4414">
      <c r="A4414" s="1" t="s">
        <v>4415</v>
      </c>
      <c r="B4414" s="1" t="s">
        <v>5</v>
      </c>
      <c r="C4414" s="2">
        <f>IFERROR(__xludf.DUMMYFUNCTION("IFERROR(VLOOKUP(A4414, IMPORTRANGE(""https://docs.google.com/spreadsheets/d/1AVX9GT0dgogEBStecCXMMQ29tWz3gBrtNB8yIromXbY/edit?gid=741673867"", ""out1g!A:B""), 2, FALSE), 0)"),116.0)</f>
        <v>116</v>
      </c>
      <c r="D4414" s="2" t="str">
        <f>IFERROR(__xludf.DUMMYFUNCTION("IFERROR(VLOOKUP(A4414, IMPORTRANGE(""https://docs.google.com/spreadsheets/d/1-3Vjw2Cyy-mry5gbC8ypIR3YVGFfEpyFESummAta6sg/edit"", ""Sheet1!B:D""), 2, FALSE), ""Not Found"")"),"trɛd")</f>
        <v>trɛd</v>
      </c>
      <c r="E4414" s="2" t="str">
        <f>IFERROR(__xludf.DUMMYFUNCTION("IFERROR(VLOOKUP(A4414, IMPORTRANGE(""https://docs.google.com/spreadsheets/d/1-3Vjw2Cyy-mry5gbC8ypIR3YVGFfEpyFESummAta6sg/edit"", ""Sheet1!B:D""), 3, FALSE), ""Not Found"")"),"t r ɛ d ")</f>
        <v>t r ɛ d </v>
      </c>
    </row>
    <row r="4415">
      <c r="A4415" s="1" t="s">
        <v>4416</v>
      </c>
      <c r="B4415" s="1" t="s">
        <v>5</v>
      </c>
      <c r="C4415" s="2">
        <f>IFERROR(__xludf.DUMMYFUNCTION("IFERROR(VLOOKUP(A4415, IMPORTRANGE(""https://docs.google.com/spreadsheets/d/1AVX9GT0dgogEBStecCXMMQ29tWz3gBrtNB8yIromXbY/edit?gid=741673867"", ""out1g!A:B""), 2, FALSE), 0)"),584.0)</f>
        <v>584</v>
      </c>
      <c r="D4415" s="2" t="str">
        <f>IFERROR(__xludf.DUMMYFUNCTION("IFERROR(VLOOKUP(A4415, IMPORTRANGE(""https://docs.google.com/spreadsheets/d/1-3Vjw2Cyy-mry5gbC8ypIR3YVGFfEpyFESummAta6sg/edit"", ""Sheet1!B:D""), 2, FALSE), ""Not Found"")"),"pəpi")</f>
        <v>pəpi</v>
      </c>
      <c r="E4415" s="2" t="str">
        <f>IFERROR(__xludf.DUMMYFUNCTION("IFERROR(VLOOKUP(A4415, IMPORTRANGE(""https://docs.google.com/spreadsheets/d/1-3Vjw2Cyy-mry5gbC8ypIR3YVGFfEpyFESummAta6sg/edit"", ""Sheet1!B:D""), 3, FALSE), ""Not Found"")"),"p ə p i ")</f>
        <v>p ə p i </v>
      </c>
    </row>
    <row r="4416">
      <c r="A4416" s="1" t="s">
        <v>4417</v>
      </c>
      <c r="B4416" s="1" t="s">
        <v>5</v>
      </c>
      <c r="C4416" s="2">
        <f>IFERROR(__xludf.DUMMYFUNCTION("IFERROR(VLOOKUP(A4416, IMPORTRANGE(""https://docs.google.com/spreadsheets/d/1AVX9GT0dgogEBStecCXMMQ29tWz3gBrtNB8yIromXbY/edit?gid=741673867"", ""out1g!A:B""), 2, FALSE), 0)"),784.0)</f>
        <v>784</v>
      </c>
      <c r="D4416" s="2" t="str">
        <f>IFERROR(__xludf.DUMMYFUNCTION("IFERROR(VLOOKUP(A4416, IMPORTRANGE(""https://docs.google.com/spreadsheets/d/1-3Vjw2Cyy-mry5gbC8ypIR3YVGFfEpyFESummAta6sg/edit"", ""Sheet1!B:D""), 2, FALSE), ""Not Found"")"),"daɪət")</f>
        <v>daɪət</v>
      </c>
      <c r="E4416" s="2" t="str">
        <f>IFERROR(__xludf.DUMMYFUNCTION("IFERROR(VLOOKUP(A4416, IMPORTRANGE(""https://docs.google.com/spreadsheets/d/1-3Vjw2Cyy-mry5gbC8ypIR3YVGFfEpyFESummAta6sg/edit"", ""Sheet1!B:D""), 3, FALSE), ""Not Found"")"),"d a ɪ ə t ")</f>
        <v>d a ɪ ə t </v>
      </c>
    </row>
    <row r="4417">
      <c r="A4417" s="1" t="s">
        <v>4418</v>
      </c>
      <c r="B4417" s="1" t="s">
        <v>5</v>
      </c>
      <c r="C4417" s="2">
        <f>IFERROR(__xludf.DUMMYFUNCTION("IFERROR(VLOOKUP(A4417, IMPORTRANGE(""https://docs.google.com/spreadsheets/d/1AVX9GT0dgogEBStecCXMMQ29tWz3gBrtNB8yIromXbY/edit?gid=741673867"", ""out1g!A:B""), 2, FALSE), 0)"),139.0)</f>
        <v>139</v>
      </c>
      <c r="D4417" s="2" t="str">
        <f>IFERROR(__xludf.DUMMYFUNCTION("IFERROR(VLOOKUP(A4417, IMPORTRANGE(""https://docs.google.com/spreadsheets/d/1-3Vjw2Cyy-mry5gbC8ypIR3YVGFfEpyFESummAta6sg/edit"", ""Sheet1!B:D""), 2, FALSE), ""Not Found"")"),"silz")</f>
        <v>silz</v>
      </c>
      <c r="E4417" s="2" t="str">
        <f>IFERROR(__xludf.DUMMYFUNCTION("IFERROR(VLOOKUP(A4417, IMPORTRANGE(""https://docs.google.com/spreadsheets/d/1-3Vjw2Cyy-mry5gbC8ypIR3YVGFfEpyFESummAta6sg/edit"", ""Sheet1!B:D""), 3, FALSE), ""Not Found"")"),"s i l z ")</f>
        <v>s i l z </v>
      </c>
    </row>
    <row r="4418">
      <c r="A4418" s="1" t="s">
        <v>4419</v>
      </c>
      <c r="B4418" s="1" t="s">
        <v>5</v>
      </c>
      <c r="C4418" s="2">
        <f>IFERROR(__xludf.DUMMYFUNCTION("IFERROR(VLOOKUP(A4418, IMPORTRANGE(""https://docs.google.com/spreadsheets/d/1AVX9GT0dgogEBStecCXMMQ29tWz3gBrtNB8yIromXbY/edit?gid=741673867"", ""out1g!A:B""), 2, FALSE), 0)"),245.0)</f>
        <v>245</v>
      </c>
      <c r="D4418" s="2" t="str">
        <f>IFERROR(__xludf.DUMMYFUNCTION("IFERROR(VLOOKUP(A4418, IMPORTRANGE(""https://docs.google.com/spreadsheets/d/1-3Vjw2Cyy-mry5gbC8ypIR3YVGFfEpyFESummAta6sg/edit"", ""Sheet1!B:D""), 2, FALSE), ""Not Found"")"),"rɪplaɪ")</f>
        <v>rɪplaɪ</v>
      </c>
      <c r="E4418" s="2" t="str">
        <f>IFERROR(__xludf.DUMMYFUNCTION("IFERROR(VLOOKUP(A4418, IMPORTRANGE(""https://docs.google.com/spreadsheets/d/1-3Vjw2Cyy-mry5gbC8ypIR3YVGFfEpyFESummAta6sg/edit"", ""Sheet1!B:D""), 3, FALSE), ""Not Found"")"),"r ɪ p l a ɪ ")</f>
        <v>r ɪ p l a ɪ </v>
      </c>
    </row>
    <row r="4419">
      <c r="A4419" s="1" t="s">
        <v>4420</v>
      </c>
      <c r="B4419" s="1" t="s">
        <v>5</v>
      </c>
      <c r="C4419" s="2">
        <f>IFERROR(__xludf.DUMMYFUNCTION("IFERROR(VLOOKUP(A4419, IMPORTRANGE(""https://docs.google.com/spreadsheets/d/1AVX9GT0dgogEBStecCXMMQ29tWz3gBrtNB8yIromXbY/edit?gid=741673867"", ""out1g!A:B""), 2, FALSE), 0)"),203947.0)</f>
        <v>203947</v>
      </c>
      <c r="D4419" s="2" t="str">
        <f>IFERROR(__xludf.DUMMYFUNCTION("IFERROR(VLOOKUP(A4419, IMPORTRANGE(""https://docs.google.com/spreadsheets/d/1-3Vjw2Cyy-mry5gbC8ypIR3YVGFfEpyFESummAta6sg/edit"", ""Sheet1!B:D""), 2, FALSE), ""Not Found"")"),"laɪk")</f>
        <v>laɪk</v>
      </c>
      <c r="E4419" s="2" t="str">
        <f>IFERROR(__xludf.DUMMYFUNCTION("IFERROR(VLOOKUP(A4419, IMPORTRANGE(""https://docs.google.com/spreadsheets/d/1-3Vjw2Cyy-mry5gbC8ypIR3YVGFfEpyFESummAta6sg/edit"", ""Sheet1!B:D""), 3, FALSE), ""Not Found"")"),"l a ɪ k ")</f>
        <v>l a ɪ k </v>
      </c>
    </row>
    <row r="4420">
      <c r="A4420" s="1" t="s">
        <v>4421</v>
      </c>
      <c r="B4420" s="1" t="s">
        <v>5</v>
      </c>
      <c r="C4420" s="2">
        <f>IFERROR(__xludf.DUMMYFUNCTION("IFERROR(VLOOKUP(A4420, IMPORTRANGE(""https://docs.google.com/spreadsheets/d/1AVX9GT0dgogEBStecCXMMQ29tWz3gBrtNB8yIromXbY/edit?gid=741673867"", ""out1g!A:B""), 2, FALSE), 0)"),78.0)</f>
        <v>78</v>
      </c>
      <c r="D4420" s="2" t="str">
        <f>IFERROR(__xludf.DUMMYFUNCTION("IFERROR(VLOOKUP(A4420, IMPORTRANGE(""https://docs.google.com/spreadsheets/d/1-3Vjw2Cyy-mry5gbC8ypIR3YVGFfEpyFESummAta6sg/edit"", ""Sheet1!B:D""), 2, FALSE), ""Not Found"")"),"plɔɪ")</f>
        <v>plɔɪ</v>
      </c>
      <c r="E4420" s="2" t="str">
        <f>IFERROR(__xludf.DUMMYFUNCTION("IFERROR(VLOOKUP(A4420, IMPORTRANGE(""https://docs.google.com/spreadsheets/d/1-3Vjw2Cyy-mry5gbC8ypIR3YVGFfEpyFESummAta6sg/edit"", ""Sheet1!B:D""), 3, FALSE), ""Not Found"")"),"p l ɔ ɪ ")</f>
        <v>p l ɔ ɪ </v>
      </c>
    </row>
    <row r="4421">
      <c r="A4421" s="1" t="s">
        <v>4422</v>
      </c>
      <c r="B4421" s="1" t="s">
        <v>5</v>
      </c>
      <c r="C4421" s="2">
        <f>IFERROR(__xludf.DUMMYFUNCTION("IFERROR(VLOOKUP(A4421, IMPORTRANGE(""https://docs.google.com/spreadsheets/d/1AVX9GT0dgogEBStecCXMMQ29tWz3gBrtNB8yIromXbY/edit?gid=741673867"", ""out1g!A:B""), 2, FALSE), 0)"),738.0)</f>
        <v>738</v>
      </c>
      <c r="D4421" s="2" t="str">
        <f>IFERROR(__xludf.DUMMYFUNCTION("IFERROR(VLOOKUP(A4421, IMPORTRANGE(""https://docs.google.com/spreadsheets/d/1-3Vjw2Cyy-mry5gbC8ypIR3YVGFfEpyFESummAta6sg/edit"", ""Sheet1!B:D""), 2, FALSE), ""Not Found"")"),"faʊl")</f>
        <v>faʊl</v>
      </c>
      <c r="E4421" s="2" t="str">
        <f>IFERROR(__xludf.DUMMYFUNCTION("IFERROR(VLOOKUP(A4421, IMPORTRANGE(""https://docs.google.com/spreadsheets/d/1-3Vjw2Cyy-mry5gbC8ypIR3YVGFfEpyFESummAta6sg/edit"", ""Sheet1!B:D""), 3, FALSE), ""Not Found"")"),"f a ʊ l ")</f>
        <v>f a ʊ l </v>
      </c>
    </row>
    <row r="4422">
      <c r="A4422" s="1" t="s">
        <v>4423</v>
      </c>
      <c r="B4422" s="1" t="s">
        <v>5</v>
      </c>
      <c r="C4422" s="2">
        <f>IFERROR(__xludf.DUMMYFUNCTION("IFERROR(VLOOKUP(A4422, IMPORTRANGE(""https://docs.google.com/spreadsheets/d/1AVX9GT0dgogEBStecCXMMQ29tWz3gBrtNB8yIromXbY/edit?gid=741673867"", ""out1g!A:B""), 2, FALSE), 0)"),72.0)</f>
        <v>72</v>
      </c>
      <c r="D4422" s="2" t="str">
        <f>IFERROR(__xludf.DUMMYFUNCTION("IFERROR(VLOOKUP(A4422, IMPORTRANGE(""https://docs.google.com/spreadsheets/d/1-3Vjw2Cyy-mry5gbC8ypIR3YVGFfEpyFESummAta6sg/edit"", ""Sheet1!B:D""), 2, FALSE), ""Not Found"")"),"ʃrud")</f>
        <v>ʃrud</v>
      </c>
      <c r="E4422" s="2" t="str">
        <f>IFERROR(__xludf.DUMMYFUNCTION("IFERROR(VLOOKUP(A4422, IMPORTRANGE(""https://docs.google.com/spreadsheets/d/1-3Vjw2Cyy-mry5gbC8ypIR3YVGFfEpyFESummAta6sg/edit"", ""Sheet1!B:D""), 3, FALSE), ""Not Found"")"),"ʃ r u d ")</f>
        <v>ʃ r u d </v>
      </c>
    </row>
    <row r="4423">
      <c r="A4423" s="1" t="s">
        <v>4424</v>
      </c>
      <c r="B4423" s="1" t="s">
        <v>5</v>
      </c>
      <c r="C4423" s="2">
        <f>IFERROR(__xludf.DUMMYFUNCTION("IFERROR(VLOOKUP(A4423, IMPORTRANGE(""https://docs.google.com/spreadsheets/d/1AVX9GT0dgogEBStecCXMMQ29tWz3gBrtNB8yIromXbY/edit?gid=741673867"", ""out1g!A:B""), 2, FALSE), 0)"),4577.0)</f>
        <v>4577</v>
      </c>
      <c r="D4423" s="2" t="str">
        <f>IFERROR(__xludf.DUMMYFUNCTION("IFERROR(VLOOKUP(A4423, IMPORTRANGE(""https://docs.google.com/spreadsheets/d/1-3Vjw2Cyy-mry5gbC8ypIR3YVGFfEpyFESummAta6sg/edit"", ""Sheet1!B:D""), 2, FALSE), ""Not Found"")"),"bɑks")</f>
        <v>bɑks</v>
      </c>
      <c r="E4423" s="2" t="str">
        <f>IFERROR(__xludf.DUMMYFUNCTION("IFERROR(VLOOKUP(A4423, IMPORTRANGE(""https://docs.google.com/spreadsheets/d/1-3Vjw2Cyy-mry5gbC8ypIR3YVGFfEpyFESummAta6sg/edit"", ""Sheet1!B:D""), 3, FALSE), ""Not Found"")"),"b ɑ k s ")</f>
        <v>b ɑ k s </v>
      </c>
    </row>
    <row r="4424">
      <c r="A4424" s="1" t="s">
        <v>4425</v>
      </c>
      <c r="B4424" s="1" t="s">
        <v>5</v>
      </c>
      <c r="C4424" s="2">
        <f>IFERROR(__xludf.DUMMYFUNCTION("IFERROR(VLOOKUP(A4424, IMPORTRANGE(""https://docs.google.com/spreadsheets/d/1AVX9GT0dgogEBStecCXMMQ29tWz3gBrtNB8yIromXbY/edit?gid=741673867"", ""out1g!A:B""), 2, FALSE), 0)"),62.0)</f>
        <v>62</v>
      </c>
      <c r="D4424" s="2" t="str">
        <f>IFERROR(__xludf.DUMMYFUNCTION("IFERROR(VLOOKUP(A4424, IMPORTRANGE(""https://docs.google.com/spreadsheets/d/1-3Vjw2Cyy-mry5gbC8ypIR3YVGFfEpyFESummAta6sg/edit"", ""Sheet1!B:D""), 2, FALSE), ""Not Found"")"),"humɛvər")</f>
        <v>humɛvər</v>
      </c>
      <c r="E4424" s="2" t="str">
        <f>IFERROR(__xludf.DUMMYFUNCTION("IFERROR(VLOOKUP(A4424, IMPORTRANGE(""https://docs.google.com/spreadsheets/d/1-3Vjw2Cyy-mry5gbC8ypIR3YVGFfEpyFESummAta6sg/edit"", ""Sheet1!B:D""), 3, FALSE), ""Not Found"")"),"h u m ɛ v ə r ")</f>
        <v>h u m ɛ v ə r </v>
      </c>
    </row>
    <row r="4425">
      <c r="A4425" s="1" t="s">
        <v>4426</v>
      </c>
      <c r="B4425" s="1" t="s">
        <v>5</v>
      </c>
      <c r="C4425" s="2">
        <f>IFERROR(__xludf.DUMMYFUNCTION("IFERROR(VLOOKUP(A4425, IMPORTRANGE(""https://docs.google.com/spreadsheets/d/1AVX9GT0dgogEBStecCXMMQ29tWz3gBrtNB8yIromXbY/edit?gid=741673867"", ""out1g!A:B""), 2, FALSE), 0)"),8512.0)</f>
        <v>8512</v>
      </c>
      <c r="D4425" s="2" t="str">
        <f>IFERROR(__xludf.DUMMYFUNCTION("IFERROR(VLOOKUP(A4425, IMPORTRANGE(""https://docs.google.com/spreadsheets/d/1-3Vjw2Cyy-mry5gbC8ypIR3YVGFfEpyFESummAta6sg/edit"", ""Sheet1!B:D""), 2, FALSE), ""Not Found"")"),"fʊl")</f>
        <v>fʊl</v>
      </c>
      <c r="E4425" s="2" t="str">
        <f>IFERROR(__xludf.DUMMYFUNCTION("IFERROR(VLOOKUP(A4425, IMPORTRANGE(""https://docs.google.com/spreadsheets/d/1-3Vjw2Cyy-mry5gbC8ypIR3YVGFfEpyFESummAta6sg/edit"", ""Sheet1!B:D""), 3, FALSE), ""Not Found"")"),"f ʊ l ")</f>
        <v>f ʊ l </v>
      </c>
    </row>
    <row r="4426">
      <c r="A4426" s="1" t="s">
        <v>4427</v>
      </c>
      <c r="B4426" s="1" t="s">
        <v>5</v>
      </c>
      <c r="C4426" s="2">
        <f>IFERROR(__xludf.DUMMYFUNCTION("IFERROR(VLOOKUP(A4426, IMPORTRANGE(""https://docs.google.com/spreadsheets/d/1AVX9GT0dgogEBStecCXMMQ29tWz3gBrtNB8yIromXbY/edit?gid=741673867"", ""out1g!A:B""), 2, FALSE), 0)"),78.0)</f>
        <v>78</v>
      </c>
      <c r="D4426" s="2" t="str">
        <f>IFERROR(__xludf.DUMMYFUNCTION("IFERROR(VLOOKUP(A4426, IMPORTRANGE(""https://docs.google.com/spreadsheets/d/1-3Vjw2Cyy-mry5gbC8ypIR3YVGFfEpyFESummAta6sg/edit"", ""Sheet1!B:D""), 2, FALSE), ""Not Found"")"),"trez")</f>
        <v>trez</v>
      </c>
      <c r="E4426" s="2" t="str">
        <f>IFERROR(__xludf.DUMMYFUNCTION("IFERROR(VLOOKUP(A4426, IMPORTRANGE(""https://docs.google.com/spreadsheets/d/1-3Vjw2Cyy-mry5gbC8ypIR3YVGFfEpyFESummAta6sg/edit"", ""Sheet1!B:D""), 3, FALSE), ""Not Found"")"),"t r e z ")</f>
        <v>t r e z </v>
      </c>
    </row>
    <row r="4427">
      <c r="A4427" s="1" t="s">
        <v>4428</v>
      </c>
      <c r="B4427" s="1" t="s">
        <v>5</v>
      </c>
      <c r="C4427" s="2">
        <f>IFERROR(__xludf.DUMMYFUNCTION("IFERROR(VLOOKUP(A4427, IMPORTRANGE(""https://docs.google.com/spreadsheets/d/1AVX9GT0dgogEBStecCXMMQ29tWz3gBrtNB8yIromXbY/edit?gid=741673867"", ""out1g!A:B""), 2, FALSE), 0)"),129.0)</f>
        <v>129</v>
      </c>
      <c r="D4427" s="2" t="str">
        <f>IFERROR(__xludf.DUMMYFUNCTION("IFERROR(VLOOKUP(A4427, IMPORTRANGE(""https://docs.google.com/spreadsheets/d/1-3Vjw2Cyy-mry5gbC8ypIR3YVGFfEpyFESummAta6sg/edit"", ""Sheet1!B:D""), 2, FALSE), ""Not Found"")"),"rɑksi")</f>
        <v>rɑksi</v>
      </c>
      <c r="E4427" s="2" t="str">
        <f>IFERROR(__xludf.DUMMYFUNCTION("IFERROR(VLOOKUP(A4427, IMPORTRANGE(""https://docs.google.com/spreadsheets/d/1-3Vjw2Cyy-mry5gbC8ypIR3YVGFfEpyFESummAta6sg/edit"", ""Sheet1!B:D""), 3, FALSE), ""Not Found"")"),"r ɑ k s i ")</f>
        <v>r ɑ k s i </v>
      </c>
    </row>
    <row r="4428">
      <c r="A4428" s="1" t="s">
        <v>4429</v>
      </c>
      <c r="B4428" s="1" t="s">
        <v>5</v>
      </c>
      <c r="C4428" s="2">
        <f>IFERROR(__xludf.DUMMYFUNCTION("IFERROR(VLOOKUP(A4428, IMPORTRANGE(""https://docs.google.com/spreadsheets/d/1AVX9GT0dgogEBStecCXMMQ29tWz3gBrtNB8yIromXbY/edit?gid=741673867"", ""out1g!A:B""), 2, FALSE), 0)"),240.0)</f>
        <v>240</v>
      </c>
      <c r="D4428" s="2" t="str">
        <f>IFERROR(__xludf.DUMMYFUNCTION("IFERROR(VLOOKUP(A4428, IMPORTRANGE(""https://docs.google.com/spreadsheets/d/1-3Vjw2Cyy-mry5gbC8ypIR3YVGFfEpyFESummAta6sg/edit"", ""Sheet1!B:D""), 2, FALSE), ""Not Found"")"),"sɔt")</f>
        <v>sɔt</v>
      </c>
      <c r="E4428" s="2" t="str">
        <f>IFERROR(__xludf.DUMMYFUNCTION("IFERROR(VLOOKUP(A4428, IMPORTRANGE(""https://docs.google.com/spreadsheets/d/1-3Vjw2Cyy-mry5gbC8ypIR3YVGFfEpyFESummAta6sg/edit"", ""Sheet1!B:D""), 3, FALSE), ""Not Found"")"),"s ɔ t ")</f>
        <v>s ɔ t </v>
      </c>
    </row>
    <row r="4429">
      <c r="A4429" s="1" t="s">
        <v>4430</v>
      </c>
      <c r="B4429" s="1" t="s">
        <v>5</v>
      </c>
      <c r="C4429" s="2">
        <f>IFERROR(__xludf.DUMMYFUNCTION("IFERROR(VLOOKUP(A4429, IMPORTRANGE(""https://docs.google.com/spreadsheets/d/1AVX9GT0dgogEBStecCXMMQ29tWz3gBrtNB8yIromXbY/edit?gid=741673867"", ""out1g!A:B""), 2, FALSE), 0)"),223.0)</f>
        <v>223</v>
      </c>
      <c r="D4429" s="2" t="str">
        <f>IFERROR(__xludf.DUMMYFUNCTION("IFERROR(VLOOKUP(A4429, IMPORTRANGE(""https://docs.google.com/spreadsheets/d/1-3Vjw2Cyy-mry5gbC8ypIR3YVGFfEpyFESummAta6sg/edit"", ""Sheet1!B:D""), 2, FALSE), ""Not Found"")"),"klɔ")</f>
        <v>klɔ</v>
      </c>
      <c r="E4429" s="2" t="str">
        <f>IFERROR(__xludf.DUMMYFUNCTION("IFERROR(VLOOKUP(A4429, IMPORTRANGE(""https://docs.google.com/spreadsheets/d/1-3Vjw2Cyy-mry5gbC8ypIR3YVGFfEpyFESummAta6sg/edit"", ""Sheet1!B:D""), 3, FALSE), ""Not Found"")"),"k l ɔ ")</f>
        <v>k l ɔ </v>
      </c>
    </row>
    <row r="4430">
      <c r="A4430" s="1" t="s">
        <v>4431</v>
      </c>
      <c r="B4430" s="1" t="s">
        <v>5</v>
      </c>
      <c r="C4430" s="2">
        <f>IFERROR(__xludf.DUMMYFUNCTION("IFERROR(VLOOKUP(A4430, IMPORTRANGE(""https://docs.google.com/spreadsheets/d/1AVX9GT0dgogEBStecCXMMQ29tWz3gBrtNB8yIromXbY/edit?gid=741673867"", ""out1g!A:B""), 2, FALSE), 0)"),289.0)</f>
        <v>289</v>
      </c>
      <c r="D4430" s="2" t="str">
        <f>IFERROR(__xludf.DUMMYFUNCTION("IFERROR(VLOOKUP(A4430, IMPORTRANGE(""https://docs.google.com/spreadsheets/d/1-3Vjw2Cyy-mry5gbC8ypIR3YVGFfEpyFESummAta6sg/edit"", ""Sheet1!B:D""), 2, FALSE), ""Not Found"")"),"lusil")</f>
        <v>lusil</v>
      </c>
      <c r="E4430" s="2" t="str">
        <f>IFERROR(__xludf.DUMMYFUNCTION("IFERROR(VLOOKUP(A4430, IMPORTRANGE(""https://docs.google.com/spreadsheets/d/1-3Vjw2Cyy-mry5gbC8ypIR3YVGFfEpyFESummAta6sg/edit"", ""Sheet1!B:D""), 3, FALSE), ""Not Found"")"),"l u s i l ")</f>
        <v>l u s i l </v>
      </c>
    </row>
    <row r="4431">
      <c r="A4431" s="1" t="s">
        <v>4432</v>
      </c>
      <c r="B4431" s="1" t="s">
        <v>5</v>
      </c>
      <c r="C4431" s="2">
        <f>IFERROR(__xludf.DUMMYFUNCTION("IFERROR(VLOOKUP(A4431, IMPORTRANGE(""https://docs.google.com/spreadsheets/d/1AVX9GT0dgogEBStecCXMMQ29tWz3gBrtNB8yIromXbY/edit?gid=741673867"", ""out1g!A:B""), 2, FALSE), 0)"),54.0)</f>
        <v>54</v>
      </c>
      <c r="D4431" s="2" t="str">
        <f>IFERROR(__xludf.DUMMYFUNCTION("IFERROR(VLOOKUP(A4431, IMPORTRANGE(""https://docs.google.com/spreadsheets/d/1-3Vjw2Cyy-mry5gbC8ypIR3YVGFfEpyFESummAta6sg/edit"", ""Sheet1!B:D""), 2, FALSE), ""Not Found"")"),"sædər")</f>
        <v>sædər</v>
      </c>
      <c r="E4431" s="2" t="str">
        <f>IFERROR(__xludf.DUMMYFUNCTION("IFERROR(VLOOKUP(A4431, IMPORTRANGE(""https://docs.google.com/spreadsheets/d/1-3Vjw2Cyy-mry5gbC8ypIR3YVGFfEpyFESummAta6sg/edit"", ""Sheet1!B:D""), 3, FALSE), ""Not Found"")"),"s æ d ə r ")</f>
        <v>s æ d ə r </v>
      </c>
    </row>
    <row r="4432">
      <c r="A4432" s="1" t="s">
        <v>4433</v>
      </c>
      <c r="B4432" s="1" t="s">
        <v>5</v>
      </c>
      <c r="C4432" s="2">
        <f>IFERROR(__xludf.DUMMYFUNCTION("IFERROR(VLOOKUP(A4432, IMPORTRANGE(""https://docs.google.com/spreadsheets/d/1AVX9GT0dgogEBStecCXMMQ29tWz3gBrtNB8yIromXbY/edit?gid=741673867"", ""out1g!A:B""), 2, FALSE), 0)"),112.0)</f>
        <v>112</v>
      </c>
      <c r="D4432" s="2" t="str">
        <f>IFERROR(__xludf.DUMMYFUNCTION("IFERROR(VLOOKUP(A4432, IMPORTRANGE(""https://docs.google.com/spreadsheets/d/1-3Vjw2Cyy-mry5gbC8ypIR3YVGFfEpyFESummAta6sg/edit"", ""Sheet1!B:D""), 2, FALSE), ""Not Found"")"),"həmz")</f>
        <v>həmz</v>
      </c>
      <c r="E4432" s="2" t="str">
        <f>IFERROR(__xludf.DUMMYFUNCTION("IFERROR(VLOOKUP(A4432, IMPORTRANGE(""https://docs.google.com/spreadsheets/d/1-3Vjw2Cyy-mry5gbC8ypIR3YVGFfEpyFESummAta6sg/edit"", ""Sheet1!B:D""), 3, FALSE), ""Not Found"")"),"h ə m z ")</f>
        <v>h ə m z </v>
      </c>
    </row>
    <row r="4433">
      <c r="A4433" s="1" t="s">
        <v>4434</v>
      </c>
      <c r="B4433" s="1" t="s">
        <v>5</v>
      </c>
      <c r="C4433" s="2">
        <f>IFERROR(__xludf.DUMMYFUNCTION("IFERROR(VLOOKUP(A4433, IMPORTRANGE(""https://docs.google.com/spreadsheets/d/1AVX9GT0dgogEBStecCXMMQ29tWz3gBrtNB8yIromXbY/edit?gid=741673867"", ""out1g!A:B""), 2, FALSE), 0)"),63.0)</f>
        <v>63</v>
      </c>
      <c r="D4433" s="2" t="str">
        <f>IFERROR(__xludf.DUMMYFUNCTION("IFERROR(VLOOKUP(A4433, IMPORTRANGE(""https://docs.google.com/spreadsheets/d/1-3Vjw2Cyy-mry5gbC8ypIR3YVGFfEpyFESummAta6sg/edit"", ""Sheet1!B:D""), 2, FALSE), ""Not Found"")"),"fɛm")</f>
        <v>fɛm</v>
      </c>
      <c r="E4433" s="2" t="str">
        <f>IFERROR(__xludf.DUMMYFUNCTION("IFERROR(VLOOKUP(A4433, IMPORTRANGE(""https://docs.google.com/spreadsheets/d/1-3Vjw2Cyy-mry5gbC8ypIR3YVGFfEpyFESummAta6sg/edit"", ""Sheet1!B:D""), 3, FALSE), ""Not Found"")"),"f ɛ m ")</f>
        <v>f ɛ m </v>
      </c>
    </row>
    <row r="4434">
      <c r="A4434" s="1" t="s">
        <v>4435</v>
      </c>
      <c r="B4434" s="1" t="s">
        <v>5</v>
      </c>
      <c r="C4434" s="2">
        <f>IFERROR(__xludf.DUMMYFUNCTION("IFERROR(VLOOKUP(A4434, IMPORTRANGE(""https://docs.google.com/spreadsheets/d/1AVX9GT0dgogEBStecCXMMQ29tWz3gBrtNB8yIromXbY/edit?gid=741673867"", ""out1g!A:B""), 2, FALSE), 0)"),262.0)</f>
        <v>262</v>
      </c>
      <c r="D4434" s="2" t="str">
        <f>IFERROR(__xludf.DUMMYFUNCTION("IFERROR(VLOOKUP(A4434, IMPORTRANGE(""https://docs.google.com/spreadsheets/d/1-3Vjw2Cyy-mry5gbC8ypIR3YVGFfEpyFESummAta6sg/edit"", ""Sheet1!B:D""), 2, FALSE), ""Not Found"")"),"goʊlz")</f>
        <v>goʊlz</v>
      </c>
      <c r="E4434" s="2" t="str">
        <f>IFERROR(__xludf.DUMMYFUNCTION("IFERROR(VLOOKUP(A4434, IMPORTRANGE(""https://docs.google.com/spreadsheets/d/1-3Vjw2Cyy-mry5gbC8ypIR3YVGFfEpyFESummAta6sg/edit"", ""Sheet1!B:D""), 3, FALSE), ""Not Found"")"),"g o ʊ l z ")</f>
        <v>g o ʊ l z </v>
      </c>
    </row>
    <row r="4435">
      <c r="A4435" s="1" t="s">
        <v>4436</v>
      </c>
      <c r="B4435" s="1" t="s">
        <v>5</v>
      </c>
      <c r="C4435" s="2">
        <f>IFERROR(__xludf.DUMMYFUNCTION("IFERROR(VLOOKUP(A4435, IMPORTRANGE(""https://docs.google.com/spreadsheets/d/1AVX9GT0dgogEBStecCXMMQ29tWz3gBrtNB8yIromXbY/edit?gid=741673867"", ""out1g!A:B""), 2, FALSE), 0)"),147.0)</f>
        <v>147</v>
      </c>
      <c r="D4435" s="2" t="str">
        <f>IFERROR(__xludf.DUMMYFUNCTION("IFERROR(VLOOKUP(A4435, IMPORTRANGE(""https://docs.google.com/spreadsheets/d/1-3Vjw2Cyy-mry5gbC8ypIR3YVGFfEpyFESummAta6sg/edit"", ""Sheet1!B:D""), 2, FALSE), ""Not Found"")"),"peʤər")</f>
        <v>peʤər</v>
      </c>
      <c r="E4435" s="2" t="str">
        <f>IFERROR(__xludf.DUMMYFUNCTION("IFERROR(VLOOKUP(A4435, IMPORTRANGE(""https://docs.google.com/spreadsheets/d/1-3Vjw2Cyy-mry5gbC8ypIR3YVGFfEpyFESummAta6sg/edit"", ""Sheet1!B:D""), 3, FALSE), ""Not Found"")"),"p e ʤ ə r ")</f>
        <v>p e ʤ ə r </v>
      </c>
    </row>
    <row r="4436">
      <c r="A4436" s="1" t="s">
        <v>4437</v>
      </c>
      <c r="B4436" s="1" t="s">
        <v>5</v>
      </c>
      <c r="C4436" s="2">
        <f>IFERROR(__xludf.DUMMYFUNCTION("IFERROR(VLOOKUP(A4436, IMPORTRANGE(""https://docs.google.com/spreadsheets/d/1AVX9GT0dgogEBStecCXMMQ29tWz3gBrtNB8yIromXbY/edit?gid=741673867"", ""out1g!A:B""), 2, FALSE), 0)"),96.0)</f>
        <v>96</v>
      </c>
      <c r="D4436" s="2" t="str">
        <f>IFERROR(__xludf.DUMMYFUNCTION("IFERROR(VLOOKUP(A4436, IMPORTRANGE(""https://docs.google.com/spreadsheets/d/1-3Vjw2Cyy-mry5gbC8ypIR3YVGFfEpyFESummAta6sg/edit"", ""Sheet1!B:D""), 2, FALSE), ""Not Found"")"),"lɪstɪŋ")</f>
        <v>lɪstɪŋ</v>
      </c>
      <c r="E4436" s="2" t="str">
        <f>IFERROR(__xludf.DUMMYFUNCTION("IFERROR(VLOOKUP(A4436, IMPORTRANGE(""https://docs.google.com/spreadsheets/d/1-3Vjw2Cyy-mry5gbC8ypIR3YVGFfEpyFESummAta6sg/edit"", ""Sheet1!B:D""), 3, FALSE), ""Not Found"")"),"l ɪ s t ɪ ŋ ")</f>
        <v>l ɪ s t ɪ ŋ </v>
      </c>
    </row>
    <row r="4437">
      <c r="A4437" s="1" t="s">
        <v>4438</v>
      </c>
      <c r="B4437" s="1" t="s">
        <v>5</v>
      </c>
      <c r="C4437" s="2">
        <f>IFERROR(__xludf.DUMMYFUNCTION("IFERROR(VLOOKUP(A4437, IMPORTRANGE(""https://docs.google.com/spreadsheets/d/1AVX9GT0dgogEBStecCXMMQ29tWz3gBrtNB8yIromXbY/edit?gid=741673867"", ""out1g!A:B""), 2, FALSE), 0)"),61.0)</f>
        <v>61</v>
      </c>
      <c r="D4437" s="2" t="str">
        <f>IFERROR(__xludf.DUMMYFUNCTION("IFERROR(VLOOKUP(A4437, IMPORTRANGE(""https://docs.google.com/spreadsheets/d/1-3Vjw2Cyy-mry5gbC8ypIR3YVGFfEpyFESummAta6sg/edit"", ""Sheet1!B:D""), 2, FALSE), ""Not Found"")"),"spreɪŋ")</f>
        <v>spreɪŋ</v>
      </c>
      <c r="E4437" s="2" t="str">
        <f>IFERROR(__xludf.DUMMYFUNCTION("IFERROR(VLOOKUP(A4437, IMPORTRANGE(""https://docs.google.com/spreadsheets/d/1-3Vjw2Cyy-mry5gbC8ypIR3YVGFfEpyFESummAta6sg/edit"", ""Sheet1!B:D""), 3, FALSE), ""Not Found"")"),"s p r e ɪ ŋ ")</f>
        <v>s p r e ɪ ŋ </v>
      </c>
    </row>
    <row r="4438">
      <c r="A4438" s="1" t="s">
        <v>4439</v>
      </c>
      <c r="B4438" s="1" t="s">
        <v>5</v>
      </c>
      <c r="C4438" s="2">
        <f>IFERROR(__xludf.DUMMYFUNCTION("IFERROR(VLOOKUP(A4438, IMPORTRANGE(""https://docs.google.com/spreadsheets/d/1AVX9GT0dgogEBStecCXMMQ29tWz3gBrtNB8yIromXbY/edit?gid=741673867"", ""out1g!A:B""), 2, FALSE), 0)"),856.0)</f>
        <v>856</v>
      </c>
      <c r="D4438" s="2" t="str">
        <f>IFERROR(__xludf.DUMMYFUNCTION("IFERROR(VLOOKUP(A4438, IMPORTRANGE(""https://docs.google.com/spreadsheets/d/1-3Vjw2Cyy-mry5gbC8ypIR3YVGFfEpyFESummAta6sg/edit"", ""Sheet1!B:D""), 2, FALSE), ""Not Found"")"),"ʤɛn")</f>
        <v>ʤɛn</v>
      </c>
      <c r="E4438" s="2" t="str">
        <f>IFERROR(__xludf.DUMMYFUNCTION("IFERROR(VLOOKUP(A4438, IMPORTRANGE(""https://docs.google.com/spreadsheets/d/1-3Vjw2Cyy-mry5gbC8ypIR3YVGFfEpyFESummAta6sg/edit"", ""Sheet1!B:D""), 3, FALSE), ""Not Found"")"),"ʤ ɛ n ")</f>
        <v>ʤ ɛ n </v>
      </c>
    </row>
    <row r="4439">
      <c r="A4439" s="1" t="s">
        <v>4440</v>
      </c>
      <c r="B4439" s="1" t="s">
        <v>5</v>
      </c>
      <c r="C4439" s="2">
        <f>IFERROR(__xludf.DUMMYFUNCTION("IFERROR(VLOOKUP(A4439, IMPORTRANGE(""https://docs.google.com/spreadsheets/d/1AVX9GT0dgogEBStecCXMMQ29tWz3gBrtNB8yIromXbY/edit?gid=741673867"", ""out1g!A:B""), 2, FALSE), 0)"),14.0)</f>
        <v>14</v>
      </c>
      <c r="D4439" s="2" t="str">
        <f>IFERROR(__xludf.DUMMYFUNCTION("IFERROR(VLOOKUP(A4439, IMPORTRANGE(""https://docs.google.com/spreadsheets/d/1-3Vjw2Cyy-mry5gbC8ypIR3YVGFfEpyFESummAta6sg/edit"", ""Sheet1!B:D""), 2, FALSE), ""Not Found"")"),"rəŋ")</f>
        <v>rəŋ</v>
      </c>
      <c r="E4439" s="2" t="str">
        <f>IFERROR(__xludf.DUMMYFUNCTION("IFERROR(VLOOKUP(A4439, IMPORTRANGE(""https://docs.google.com/spreadsheets/d/1-3Vjw2Cyy-mry5gbC8ypIR3YVGFfEpyFESummAta6sg/edit"", ""Sheet1!B:D""), 3, FALSE), ""Not Found"")"),"r ə ŋ ")</f>
        <v>r ə ŋ </v>
      </c>
    </row>
    <row r="4440">
      <c r="A4440" s="1" t="s">
        <v>4441</v>
      </c>
      <c r="B4440" s="1" t="s">
        <v>5</v>
      </c>
      <c r="C4440" s="2">
        <f>IFERROR(__xludf.DUMMYFUNCTION("IFERROR(VLOOKUP(A4440, IMPORTRANGE(""https://docs.google.com/spreadsheets/d/1AVX9GT0dgogEBStecCXMMQ29tWz3gBrtNB8yIromXbY/edit?gid=741673867"", ""out1g!A:B""), 2, FALSE), 0)"),50.0)</f>
        <v>50</v>
      </c>
      <c r="D4440" s="2" t="str">
        <f>IFERROR(__xludf.DUMMYFUNCTION("IFERROR(VLOOKUP(A4440, IMPORTRANGE(""https://docs.google.com/spreadsheets/d/1-3Vjw2Cyy-mry5gbC8ypIR3YVGFfEpyFESummAta6sg/edit"", ""Sheet1!B:D""), 2, FALSE), ""Not Found"")"),"kɑmə")</f>
        <v>kɑmə</v>
      </c>
      <c r="E4440" s="2" t="str">
        <f>IFERROR(__xludf.DUMMYFUNCTION("IFERROR(VLOOKUP(A4440, IMPORTRANGE(""https://docs.google.com/spreadsheets/d/1-3Vjw2Cyy-mry5gbC8ypIR3YVGFfEpyFESummAta6sg/edit"", ""Sheet1!B:D""), 3, FALSE), ""Not Found"")"),"k ɑ m ə ")</f>
        <v>k ɑ m ə </v>
      </c>
    </row>
    <row r="4441">
      <c r="A4441" s="1" t="s">
        <v>4442</v>
      </c>
      <c r="B4441" s="1" t="s">
        <v>5</v>
      </c>
      <c r="C4441" s="2">
        <f>IFERROR(__xludf.DUMMYFUNCTION("IFERROR(VLOOKUP(A4441, IMPORTRANGE(""https://docs.google.com/spreadsheets/d/1AVX9GT0dgogEBStecCXMMQ29tWz3gBrtNB8yIromXbY/edit?gid=741673867"", ""out1g!A:B""), 2, FALSE), 0)"),178.0)</f>
        <v>178</v>
      </c>
      <c r="D4441" s="2" t="str">
        <f>IFERROR(__xludf.DUMMYFUNCTION("IFERROR(VLOOKUP(A4441, IMPORTRANGE(""https://docs.google.com/spreadsheets/d/1-3Vjw2Cyy-mry5gbC8ypIR3YVGFfEpyFESummAta6sg/edit"", ""Sheet1!B:D""), 2, FALSE), ""Not Found"")"),"risɛs")</f>
        <v>risɛs</v>
      </c>
      <c r="E4441" s="2" t="str">
        <f>IFERROR(__xludf.DUMMYFUNCTION("IFERROR(VLOOKUP(A4441, IMPORTRANGE(""https://docs.google.com/spreadsheets/d/1-3Vjw2Cyy-mry5gbC8ypIR3YVGFfEpyFESummAta6sg/edit"", ""Sheet1!B:D""), 3, FALSE), ""Not Found"")"),"r i s ɛ s ")</f>
        <v>r i s ɛ s </v>
      </c>
    </row>
    <row r="4442">
      <c r="A4442" s="1" t="s">
        <v>4443</v>
      </c>
      <c r="B4442" s="1" t="s">
        <v>5</v>
      </c>
      <c r="C4442" s="2">
        <f>IFERROR(__xludf.DUMMYFUNCTION("IFERROR(VLOOKUP(A4442, IMPORTRANGE(""https://docs.google.com/spreadsheets/d/1AVX9GT0dgogEBStecCXMMQ29tWz3gBrtNB8yIromXbY/edit?gid=741673867"", ""out1g!A:B""), 2, FALSE), 0)"),354.0)</f>
        <v>354</v>
      </c>
      <c r="D4442" s="2" t="str">
        <f>IFERROR(__xludf.DUMMYFUNCTION("IFERROR(VLOOKUP(A4442, IMPORTRANGE(""https://docs.google.com/spreadsheets/d/1-3Vjw2Cyy-mry5gbC8ypIR3YVGFfEpyFESummAta6sg/edit"", ""Sheet1!B:D""), 2, FALSE), ""Not Found"")"),"moʊ")</f>
        <v>moʊ</v>
      </c>
      <c r="E4442" s="2" t="str">
        <f>IFERROR(__xludf.DUMMYFUNCTION("IFERROR(VLOOKUP(A4442, IMPORTRANGE(""https://docs.google.com/spreadsheets/d/1-3Vjw2Cyy-mry5gbC8ypIR3YVGFfEpyFESummAta6sg/edit"", ""Sheet1!B:D""), 3, FALSE), ""Not Found"")"),"m o ʊ ")</f>
        <v>m o ʊ </v>
      </c>
    </row>
    <row r="4443">
      <c r="A4443" s="1" t="s">
        <v>4444</v>
      </c>
      <c r="B4443" s="1" t="s">
        <v>5</v>
      </c>
      <c r="C4443" s="2">
        <f>IFERROR(__xludf.DUMMYFUNCTION("IFERROR(VLOOKUP(A4443, IMPORTRANGE(""https://docs.google.com/spreadsheets/d/1AVX9GT0dgogEBStecCXMMQ29tWz3gBrtNB8yIromXbY/edit?gid=741673867"", ""out1g!A:B""), 2, FALSE), 0)"),440.0)</f>
        <v>440</v>
      </c>
      <c r="D4443" s="2" t="str">
        <f>IFERROR(__xludf.DUMMYFUNCTION("IFERROR(VLOOKUP(A4443, IMPORTRANGE(""https://docs.google.com/spreadsheets/d/1-3Vjw2Cyy-mry5gbC8ypIR3YVGFfEpyFESummAta6sg/edit"", ""Sheet1!B:D""), 2, FALSE), ""Not Found"")"),"pɪmp")</f>
        <v>pɪmp</v>
      </c>
      <c r="E4443" s="2" t="str">
        <f>IFERROR(__xludf.DUMMYFUNCTION("IFERROR(VLOOKUP(A4443, IMPORTRANGE(""https://docs.google.com/spreadsheets/d/1-3Vjw2Cyy-mry5gbC8ypIR3YVGFfEpyFESummAta6sg/edit"", ""Sheet1!B:D""), 3, FALSE), ""Not Found"")"),"p ɪ m p ")</f>
        <v>p ɪ m p </v>
      </c>
    </row>
    <row r="4444">
      <c r="A4444" s="1" t="s">
        <v>4445</v>
      </c>
      <c r="B4444" s="1" t="s">
        <v>5</v>
      </c>
      <c r="C4444" s="2">
        <f>IFERROR(__xludf.DUMMYFUNCTION("IFERROR(VLOOKUP(A4444, IMPORTRANGE(""https://docs.google.com/spreadsheets/d/1AVX9GT0dgogEBStecCXMMQ29tWz3gBrtNB8yIromXbY/edit?gid=741673867"", ""out1g!A:B""), 2, FALSE), 0)"),433.0)</f>
        <v>433</v>
      </c>
      <c r="D4444" s="2" t="str">
        <f>IFERROR(__xludf.DUMMYFUNCTION("IFERROR(VLOOKUP(A4444, IMPORTRANGE(""https://docs.google.com/spreadsheets/d/1-3Vjw2Cyy-mry5gbC8ypIR3YVGFfEpyFESummAta6sg/edit"", ""Sheet1!B:D""), 2, FALSE), ""Not Found"")"),"tɪl")</f>
        <v>tɪl</v>
      </c>
      <c r="E4444" s="2" t="str">
        <f>IFERROR(__xludf.DUMMYFUNCTION("IFERROR(VLOOKUP(A4444, IMPORTRANGE(""https://docs.google.com/spreadsheets/d/1-3Vjw2Cyy-mry5gbC8ypIR3YVGFfEpyFESummAta6sg/edit"", ""Sheet1!B:D""), 3, FALSE), ""Not Found"")"),"t ɪ l ")</f>
        <v>t ɪ l </v>
      </c>
    </row>
    <row r="4445">
      <c r="A4445" s="1" t="s">
        <v>4446</v>
      </c>
      <c r="B4445" s="1" t="s">
        <v>5</v>
      </c>
      <c r="C4445" s="2">
        <f>IFERROR(__xludf.DUMMYFUNCTION("IFERROR(VLOOKUP(A4445, IMPORTRANGE(""https://docs.google.com/spreadsheets/d/1AVX9GT0dgogEBStecCXMMQ29tWz3gBrtNB8yIromXbY/edit?gid=741673867"", ""out1g!A:B""), 2, FALSE), 0)"),468.0)</f>
        <v>468</v>
      </c>
      <c r="D4445" s="2" t="str">
        <f>IFERROR(__xludf.DUMMYFUNCTION("IFERROR(VLOOKUP(A4445, IMPORTRANGE(""https://docs.google.com/spreadsheets/d/1-3Vjw2Cyy-mry5gbC8ypIR3YVGFfEpyFESummAta6sg/edit"", ""Sheet1!B:D""), 2, FALSE), ""Not Found"")"),"pɪks")</f>
        <v>pɪks</v>
      </c>
      <c r="E4445" s="2" t="str">
        <f>IFERROR(__xludf.DUMMYFUNCTION("IFERROR(VLOOKUP(A4445, IMPORTRANGE(""https://docs.google.com/spreadsheets/d/1-3Vjw2Cyy-mry5gbC8ypIR3YVGFfEpyFESummAta6sg/edit"", ""Sheet1!B:D""), 3, FALSE), ""Not Found"")"),"p ɪ k s ")</f>
        <v>p ɪ k s </v>
      </c>
    </row>
    <row r="4446">
      <c r="A4446" s="1" t="s">
        <v>4447</v>
      </c>
      <c r="B4446" s="1" t="s">
        <v>5</v>
      </c>
      <c r="C4446" s="2">
        <f>IFERROR(__xludf.DUMMYFUNCTION("IFERROR(VLOOKUP(A4446, IMPORTRANGE(""https://docs.google.com/spreadsheets/d/1AVX9GT0dgogEBStecCXMMQ29tWz3gBrtNB8yIromXbY/edit?gid=741673867"", ""out1g!A:B""), 2, FALSE), 0)"),4519.0)</f>
        <v>4519</v>
      </c>
      <c r="D4446" s="2" t="str">
        <f>IFERROR(__xludf.DUMMYFUNCTION("IFERROR(VLOOKUP(A4446, IMPORTRANGE(""https://docs.google.com/spreadsheets/d/1-3Vjw2Cyy-mry5gbC8ypIR3YVGFfEpyFESummAta6sg/edit"", ""Sheet1!B:D""), 2, FALSE), ""Not Found"")"),"dɑrk")</f>
        <v>dɑrk</v>
      </c>
      <c r="E4446" s="2" t="str">
        <f>IFERROR(__xludf.DUMMYFUNCTION("IFERROR(VLOOKUP(A4446, IMPORTRANGE(""https://docs.google.com/spreadsheets/d/1-3Vjw2Cyy-mry5gbC8ypIR3YVGFfEpyFESummAta6sg/edit"", ""Sheet1!B:D""), 3, FALSE), ""Not Found"")"),"d ɑ r k ")</f>
        <v>d ɑ r k </v>
      </c>
    </row>
    <row r="4447">
      <c r="A4447" s="1" t="s">
        <v>4448</v>
      </c>
      <c r="B4447" s="1" t="s">
        <v>5</v>
      </c>
      <c r="C4447" s="2">
        <f>IFERROR(__xludf.DUMMYFUNCTION("IFERROR(VLOOKUP(A4447, IMPORTRANGE(""https://docs.google.com/spreadsheets/d/1AVX9GT0dgogEBStecCXMMQ29tWz3gBrtNB8yIromXbY/edit?gid=741673867"", ""out1g!A:B""), 2, FALSE), 0)"),75.0)</f>
        <v>75</v>
      </c>
      <c r="D4447" s="2" t="str">
        <f>IFERROR(__xludf.DUMMYFUNCTION("IFERROR(VLOOKUP(A4447, IMPORTRANGE(""https://docs.google.com/spreadsheets/d/1-3Vjw2Cyy-mry5gbC8ypIR3YVGFfEpyFESummAta6sg/edit"", ""Sheet1!B:D""), 2, FALSE), ""Not Found"")"),"ɛstimd")</f>
        <v>ɛstimd</v>
      </c>
      <c r="E4447" s="2" t="str">
        <f>IFERROR(__xludf.DUMMYFUNCTION("IFERROR(VLOOKUP(A4447, IMPORTRANGE(""https://docs.google.com/spreadsheets/d/1-3Vjw2Cyy-mry5gbC8ypIR3YVGFfEpyFESummAta6sg/edit"", ""Sheet1!B:D""), 3, FALSE), ""Not Found"")"),"ɛ s t i m d ")</f>
        <v>ɛ s t i m d </v>
      </c>
    </row>
    <row r="4448">
      <c r="A4448" s="1" t="s">
        <v>4449</v>
      </c>
      <c r="B4448" s="1" t="s">
        <v>5</v>
      </c>
      <c r="C4448" s="2">
        <f>IFERROR(__xludf.DUMMYFUNCTION("IFERROR(VLOOKUP(A4448, IMPORTRANGE(""https://docs.google.com/spreadsheets/d/1AVX9GT0dgogEBStecCXMMQ29tWz3gBrtNB8yIromXbY/edit?gid=741673867"", ""out1g!A:B""), 2, FALSE), 0)"),96.0)</f>
        <v>96</v>
      </c>
      <c r="D4448" s="2" t="str">
        <f>IFERROR(__xludf.DUMMYFUNCTION("IFERROR(VLOOKUP(A4448, IMPORTRANGE(""https://docs.google.com/spreadsheets/d/1-3Vjw2Cyy-mry5gbC8ypIR3YVGFfEpyFESummAta6sg/edit"", ""Sheet1!B:D""), 2, FALSE), ""Not Found"")"),"moʊn")</f>
        <v>moʊn</v>
      </c>
      <c r="E4448" s="2" t="str">
        <f>IFERROR(__xludf.DUMMYFUNCTION("IFERROR(VLOOKUP(A4448, IMPORTRANGE(""https://docs.google.com/spreadsheets/d/1-3Vjw2Cyy-mry5gbC8ypIR3YVGFfEpyFESummAta6sg/edit"", ""Sheet1!B:D""), 3, FALSE), ""Not Found"")"),"m o ʊ n ")</f>
        <v>m o ʊ n </v>
      </c>
    </row>
    <row r="4449">
      <c r="A4449" s="1" t="s">
        <v>4450</v>
      </c>
      <c r="B4449" s="1" t="s">
        <v>5</v>
      </c>
      <c r="C4449" s="2">
        <f>IFERROR(__xludf.DUMMYFUNCTION("IFERROR(VLOOKUP(A4449, IMPORTRANGE(""https://docs.google.com/spreadsheets/d/1AVX9GT0dgogEBStecCXMMQ29tWz3gBrtNB8yIromXbY/edit?gid=741673867"", ""out1g!A:B""), 2, FALSE), 0)"),251.0)</f>
        <v>251</v>
      </c>
      <c r="D4449" s="2" t="str">
        <f>IFERROR(__xludf.DUMMYFUNCTION("IFERROR(VLOOKUP(A4449, IMPORTRANGE(""https://docs.google.com/spreadsheets/d/1-3Vjw2Cyy-mry5gbC8ypIR3YVGFfEpyFESummAta6sg/edit"", ""Sheet1!B:D""), 2, FALSE), ""Not Found"")"),"lɪd")</f>
        <v>lɪd</v>
      </c>
      <c r="E4449" s="2" t="str">
        <f>IFERROR(__xludf.DUMMYFUNCTION("IFERROR(VLOOKUP(A4449, IMPORTRANGE(""https://docs.google.com/spreadsheets/d/1-3Vjw2Cyy-mry5gbC8ypIR3YVGFfEpyFESummAta6sg/edit"", ""Sheet1!B:D""), 3, FALSE), ""Not Found"")"),"l ɪ d ")</f>
        <v>l ɪ d </v>
      </c>
    </row>
    <row r="4450">
      <c r="A4450" s="1" t="s">
        <v>4451</v>
      </c>
      <c r="B4450" s="1" t="s">
        <v>5</v>
      </c>
      <c r="C4450" s="2">
        <f>IFERROR(__xludf.DUMMYFUNCTION("IFERROR(VLOOKUP(A4450, IMPORTRANGE(""https://docs.google.com/spreadsheets/d/1AVX9GT0dgogEBStecCXMMQ29tWz3gBrtNB8yIromXbY/edit?gid=741673867"", ""out1g!A:B""), 2, FALSE), 0)"),176.0)</f>
        <v>176</v>
      </c>
      <c r="D4450" s="2" t="str">
        <f>IFERROR(__xludf.DUMMYFUNCTION("IFERROR(VLOOKUP(A4450, IMPORTRANGE(""https://docs.google.com/spreadsheets/d/1-3Vjw2Cyy-mry5gbC8ypIR3YVGFfEpyFESummAta6sg/edit"", ""Sheet1!B:D""), 2, FALSE), ""Not Found"")"),"pieʧ")</f>
        <v>pieʧ</v>
      </c>
      <c r="E4450" s="2" t="str">
        <f>IFERROR(__xludf.DUMMYFUNCTION("IFERROR(VLOOKUP(A4450, IMPORTRANGE(""https://docs.google.com/spreadsheets/d/1-3Vjw2Cyy-mry5gbC8ypIR3YVGFfEpyFESummAta6sg/edit"", ""Sheet1!B:D""), 3, FALSE), ""Not Found"")"),"p i e ʧ ")</f>
        <v>p i e ʧ </v>
      </c>
    </row>
    <row r="4451">
      <c r="A4451" s="1" t="s">
        <v>4452</v>
      </c>
      <c r="B4451" s="1" t="s">
        <v>5</v>
      </c>
      <c r="C4451" s="2">
        <f>IFERROR(__xludf.DUMMYFUNCTION("IFERROR(VLOOKUP(A4451, IMPORTRANGE(""https://docs.google.com/spreadsheets/d/1AVX9GT0dgogEBStecCXMMQ29tWz3gBrtNB8yIromXbY/edit?gid=741673867"", ""out1g!A:B""), 2, FALSE), 0)"),238.0)</f>
        <v>238</v>
      </c>
      <c r="D4451" s="2" t="str">
        <f>IFERROR(__xludf.DUMMYFUNCTION("IFERROR(VLOOKUP(A4451, IMPORTRANGE(""https://docs.google.com/spreadsheets/d/1-3Vjw2Cyy-mry5gbC8ypIR3YVGFfEpyFESummAta6sg/edit"", ""Sheet1!B:D""), 2, FALSE), ""Not Found"")"),"dɪnərz")</f>
        <v>dɪnərz</v>
      </c>
      <c r="E4451" s="2" t="str">
        <f>IFERROR(__xludf.DUMMYFUNCTION("IFERROR(VLOOKUP(A4451, IMPORTRANGE(""https://docs.google.com/spreadsheets/d/1-3Vjw2Cyy-mry5gbC8ypIR3YVGFfEpyFESummAta6sg/edit"", ""Sheet1!B:D""), 3, FALSE), ""Not Found"")"),"d ɪ n ə r z ")</f>
        <v>d ɪ n ə r z </v>
      </c>
    </row>
    <row r="4452">
      <c r="A4452" s="1" t="s">
        <v>4453</v>
      </c>
      <c r="B4452" s="1" t="s">
        <v>5</v>
      </c>
      <c r="C4452" s="2">
        <f>IFERROR(__xludf.DUMMYFUNCTION("IFERROR(VLOOKUP(A4452, IMPORTRANGE(""https://docs.google.com/spreadsheets/d/1AVX9GT0dgogEBStecCXMMQ29tWz3gBrtNB8yIromXbY/edit?gid=741673867"", ""out1g!A:B""), 2, FALSE), 0)"),891.0)</f>
        <v>891</v>
      </c>
      <c r="D4452" s="2" t="str">
        <f>IFERROR(__xludf.DUMMYFUNCTION("IFERROR(VLOOKUP(A4452, IMPORTRANGE(""https://docs.google.com/spreadsheets/d/1-3Vjw2Cyy-mry5gbC8ypIR3YVGFfEpyFESummAta6sg/edit"", ""Sheet1!B:D""), 2, FALSE), ""Not Found"")"),"rɑtən")</f>
        <v>rɑtən</v>
      </c>
      <c r="E4452" s="2" t="str">
        <f>IFERROR(__xludf.DUMMYFUNCTION("IFERROR(VLOOKUP(A4452, IMPORTRANGE(""https://docs.google.com/spreadsheets/d/1-3Vjw2Cyy-mry5gbC8ypIR3YVGFfEpyFESummAta6sg/edit"", ""Sheet1!B:D""), 3, FALSE), ""Not Found"")"),"r ɑ t ə n ")</f>
        <v>r ɑ t ə n </v>
      </c>
    </row>
    <row r="4453">
      <c r="A4453" s="1" t="s">
        <v>4454</v>
      </c>
      <c r="B4453" s="1" t="s">
        <v>5</v>
      </c>
      <c r="C4453" s="2">
        <f>IFERROR(__xludf.DUMMYFUNCTION("IFERROR(VLOOKUP(A4453, IMPORTRANGE(""https://docs.google.com/spreadsheets/d/1AVX9GT0dgogEBStecCXMMQ29tWz3gBrtNB8yIromXbY/edit?gid=741673867"", ""out1g!A:B""), 2, FALSE), 0)"),560.0)</f>
        <v>560</v>
      </c>
      <c r="D4453" s="2" t="str">
        <f>IFERROR(__xludf.DUMMYFUNCTION("IFERROR(VLOOKUP(A4453, IMPORTRANGE(""https://docs.google.com/spreadsheets/d/1-3Vjw2Cyy-mry5gbC8ypIR3YVGFfEpyFESummAta6sg/edit"", ""Sheet1!B:D""), 2, FALSE), ""Not Found"")"),"ʃɛd")</f>
        <v>ʃɛd</v>
      </c>
      <c r="E4453" s="2" t="str">
        <f>IFERROR(__xludf.DUMMYFUNCTION("IFERROR(VLOOKUP(A4453, IMPORTRANGE(""https://docs.google.com/spreadsheets/d/1-3Vjw2Cyy-mry5gbC8ypIR3YVGFfEpyFESummAta6sg/edit"", ""Sheet1!B:D""), 3, FALSE), ""Not Found"")"),"ʃ ɛ d ")</f>
        <v>ʃ ɛ d </v>
      </c>
    </row>
    <row r="4454">
      <c r="A4454" s="1" t="s">
        <v>4455</v>
      </c>
      <c r="B4454" s="1" t="s">
        <v>5</v>
      </c>
      <c r="C4454" s="2">
        <f>IFERROR(__xludf.DUMMYFUNCTION("IFERROR(VLOOKUP(A4454, IMPORTRANGE(""https://docs.google.com/spreadsheets/d/1AVX9GT0dgogEBStecCXMMQ29tWz3gBrtNB8yIromXbY/edit?gid=741673867"", ""out1g!A:B""), 2, FALSE), 0)"),665.0)</f>
        <v>665</v>
      </c>
      <c r="D4454" s="2" t="str">
        <f>IFERROR(__xludf.DUMMYFUNCTION("IFERROR(VLOOKUP(A4454, IMPORTRANGE(""https://docs.google.com/spreadsheets/d/1-3Vjw2Cyy-mry5gbC8ypIR3YVGFfEpyFESummAta6sg/edit"", ""Sheet1!B:D""), 2, FALSE), ""Not Found"")"),"mɛsɪŋ")</f>
        <v>mɛsɪŋ</v>
      </c>
      <c r="E4454" s="2" t="str">
        <f>IFERROR(__xludf.DUMMYFUNCTION("IFERROR(VLOOKUP(A4454, IMPORTRANGE(""https://docs.google.com/spreadsheets/d/1-3Vjw2Cyy-mry5gbC8ypIR3YVGFfEpyFESummAta6sg/edit"", ""Sheet1!B:D""), 3, FALSE), ""Not Found"")"),"m ɛ s ɪ ŋ ")</f>
        <v>m ɛ s ɪ ŋ </v>
      </c>
    </row>
    <row r="4455">
      <c r="A4455" s="1" t="s">
        <v>4456</v>
      </c>
      <c r="B4455" s="1" t="s">
        <v>5</v>
      </c>
      <c r="C4455" s="2">
        <f>IFERROR(__xludf.DUMMYFUNCTION("IFERROR(VLOOKUP(A4455, IMPORTRANGE(""https://docs.google.com/spreadsheets/d/1AVX9GT0dgogEBStecCXMMQ29tWz3gBrtNB8yIromXbY/edit?gid=741673867"", ""out1g!A:B""), 2, FALSE), 0)"),104.0)</f>
        <v>104</v>
      </c>
      <c r="D4455" s="2" t="str">
        <f>IFERROR(__xludf.DUMMYFUNCTION("IFERROR(VLOOKUP(A4455, IMPORTRANGE(""https://docs.google.com/spreadsheets/d/1-3Vjw2Cyy-mry5gbC8ypIR3YVGFfEpyFESummAta6sg/edit"", ""Sheet1!B:D""), 2, FALSE), ""Not Found"")"),"boʊnoʊ")</f>
        <v>boʊnoʊ</v>
      </c>
      <c r="E4455" s="2" t="str">
        <f>IFERROR(__xludf.DUMMYFUNCTION("IFERROR(VLOOKUP(A4455, IMPORTRANGE(""https://docs.google.com/spreadsheets/d/1-3Vjw2Cyy-mry5gbC8ypIR3YVGFfEpyFESummAta6sg/edit"", ""Sheet1!B:D""), 3, FALSE), ""Not Found"")"),"b o ʊ n o ʊ ")</f>
        <v>b o ʊ n o ʊ </v>
      </c>
    </row>
    <row r="4456">
      <c r="A4456" s="1" t="s">
        <v>4457</v>
      </c>
      <c r="B4456" s="1" t="s">
        <v>5</v>
      </c>
      <c r="C4456" s="2">
        <f>IFERROR(__xludf.DUMMYFUNCTION("IFERROR(VLOOKUP(A4456, IMPORTRANGE(""https://docs.google.com/spreadsheets/d/1AVX9GT0dgogEBStecCXMMQ29tWz3gBrtNB8yIromXbY/edit?gid=741673867"", ""out1g!A:B""), 2, FALSE), 0)"),365.0)</f>
        <v>365</v>
      </c>
      <c r="D4456" s="2" t="str">
        <f>IFERROR(__xludf.DUMMYFUNCTION("IFERROR(VLOOKUP(A4456, IMPORTRANGE(""https://docs.google.com/spreadsheets/d/1-3Vjw2Cyy-mry5gbC8ypIR3YVGFfEpyFESummAta6sg/edit"", ""Sheet1!B:D""), 2, FALSE), ""Not Found"")"),"ænts")</f>
        <v>ænts</v>
      </c>
      <c r="E4456" s="2" t="str">
        <f>IFERROR(__xludf.DUMMYFUNCTION("IFERROR(VLOOKUP(A4456, IMPORTRANGE(""https://docs.google.com/spreadsheets/d/1-3Vjw2Cyy-mry5gbC8ypIR3YVGFfEpyFESummAta6sg/edit"", ""Sheet1!B:D""), 3, FALSE), ""Not Found"")"),"æ n t s ")</f>
        <v>æ n t s </v>
      </c>
    </row>
    <row r="4457">
      <c r="A4457" s="1" t="s">
        <v>4458</v>
      </c>
      <c r="B4457" s="1" t="s">
        <v>5</v>
      </c>
      <c r="C4457" s="2">
        <f>IFERROR(__xludf.DUMMYFUNCTION("IFERROR(VLOOKUP(A4457, IMPORTRANGE(""https://docs.google.com/spreadsheets/d/1AVX9GT0dgogEBStecCXMMQ29tWz3gBrtNB8yIromXbY/edit?gid=741673867"", ""out1g!A:B""), 2, FALSE), 0)"),344.0)</f>
        <v>344</v>
      </c>
      <c r="D4457" s="2" t="str">
        <f>IFERROR(__xludf.DUMMYFUNCTION("IFERROR(VLOOKUP(A4457, IMPORTRANGE(""https://docs.google.com/spreadsheets/d/1-3Vjw2Cyy-mry5gbC8ypIR3YVGFfEpyFESummAta6sg/edit"", ""Sheet1!B:D""), 2, FALSE), ""Not Found"")"),"mɛd")</f>
        <v>mɛd</v>
      </c>
      <c r="E4457" s="2" t="str">
        <f>IFERROR(__xludf.DUMMYFUNCTION("IFERROR(VLOOKUP(A4457, IMPORTRANGE(""https://docs.google.com/spreadsheets/d/1-3Vjw2Cyy-mry5gbC8ypIR3YVGFfEpyFESummAta6sg/edit"", ""Sheet1!B:D""), 3, FALSE), ""Not Found"")"),"m ɛ d ")</f>
        <v>m ɛ d </v>
      </c>
    </row>
    <row r="4458">
      <c r="A4458" s="1" t="s">
        <v>4459</v>
      </c>
      <c r="B4458" s="1" t="s">
        <v>5</v>
      </c>
      <c r="C4458" s="2">
        <f>IFERROR(__xludf.DUMMYFUNCTION("IFERROR(VLOOKUP(A4458, IMPORTRANGE(""https://docs.google.com/spreadsheets/d/1AVX9GT0dgogEBStecCXMMQ29tWz3gBrtNB8yIromXbY/edit?gid=741673867"", ""out1g!A:B""), 2, FALSE), 0)"),169.0)</f>
        <v>169</v>
      </c>
      <c r="D4458" s="2" t="str">
        <f>IFERROR(__xludf.DUMMYFUNCTION("IFERROR(VLOOKUP(A4458, IMPORTRANGE(""https://docs.google.com/spreadsheets/d/1-3Vjw2Cyy-mry5gbC8ypIR3YVGFfEpyFESummAta6sg/edit"", ""Sheet1!B:D""), 2, FALSE), ""Not Found"")"),"dɔgi")</f>
        <v>dɔgi</v>
      </c>
      <c r="E4458" s="2" t="str">
        <f>IFERROR(__xludf.DUMMYFUNCTION("IFERROR(VLOOKUP(A4458, IMPORTRANGE(""https://docs.google.com/spreadsheets/d/1-3Vjw2Cyy-mry5gbC8ypIR3YVGFfEpyFESummAta6sg/edit"", ""Sheet1!B:D""), 3, FALSE), ""Not Found"")"),"d ɔ g i ")</f>
        <v>d ɔ g i </v>
      </c>
    </row>
    <row r="4459">
      <c r="A4459" s="1" t="s">
        <v>4460</v>
      </c>
      <c r="B4459" s="1" t="s">
        <v>5</v>
      </c>
      <c r="C4459" s="2">
        <f>IFERROR(__xludf.DUMMYFUNCTION("IFERROR(VLOOKUP(A4459, IMPORTRANGE(""https://docs.google.com/spreadsheets/d/1AVX9GT0dgogEBStecCXMMQ29tWz3gBrtNB8yIromXbY/edit?gid=741673867"", ""out1g!A:B""), 2, FALSE), 0)"),93.0)</f>
        <v>93</v>
      </c>
      <c r="D4459" s="2" t="str">
        <f>IFERROR(__xludf.DUMMYFUNCTION("IFERROR(VLOOKUP(A4459, IMPORTRANGE(""https://docs.google.com/spreadsheets/d/1-3Vjw2Cyy-mry5gbC8ypIR3YVGFfEpyFESummAta6sg/edit"", ""Sheet1!B:D""), 2, FALSE), ""Not Found"")"),"oʊd")</f>
        <v>oʊd</v>
      </c>
      <c r="E4459" s="2" t="str">
        <f>IFERROR(__xludf.DUMMYFUNCTION("IFERROR(VLOOKUP(A4459, IMPORTRANGE(""https://docs.google.com/spreadsheets/d/1-3Vjw2Cyy-mry5gbC8ypIR3YVGFfEpyFESummAta6sg/edit"", ""Sheet1!B:D""), 3, FALSE), ""Not Found"")"),"o ʊ d ")</f>
        <v>o ʊ d </v>
      </c>
    </row>
    <row r="4460">
      <c r="A4460" s="1" t="s">
        <v>4461</v>
      </c>
      <c r="B4460" s="1" t="s">
        <v>5</v>
      </c>
      <c r="C4460" s="2">
        <f>IFERROR(__xludf.DUMMYFUNCTION("IFERROR(VLOOKUP(A4460, IMPORTRANGE(""https://docs.google.com/spreadsheets/d/1AVX9GT0dgogEBStecCXMMQ29tWz3gBrtNB8yIromXbY/edit?gid=741673867"", ""out1g!A:B""), 2, FALSE), 0)"),559.0)</f>
        <v>559</v>
      </c>
      <c r="D4460" s="2" t="str">
        <f>IFERROR(__xludf.DUMMYFUNCTION("IFERROR(VLOOKUP(A4460, IMPORTRANGE(""https://docs.google.com/spreadsheets/d/1-3Vjw2Cyy-mry5gbC8ypIR3YVGFfEpyFESummAta6sg/edit"", ""Sheet1!B:D""), 2, FALSE), ""Not Found"")"),"aʊʧ")</f>
        <v>aʊʧ</v>
      </c>
      <c r="E4460" s="2" t="str">
        <f>IFERROR(__xludf.DUMMYFUNCTION("IFERROR(VLOOKUP(A4460, IMPORTRANGE(""https://docs.google.com/spreadsheets/d/1-3Vjw2Cyy-mry5gbC8ypIR3YVGFfEpyFESummAta6sg/edit"", ""Sheet1!B:D""), 3, FALSE), ""Not Found"")"),"a ʊ ʧ ")</f>
        <v>a ʊ ʧ </v>
      </c>
    </row>
    <row r="4461">
      <c r="A4461" s="1" t="s">
        <v>4462</v>
      </c>
      <c r="B4461" s="1" t="s">
        <v>5</v>
      </c>
      <c r="C4461" s="2">
        <f>IFERROR(__xludf.DUMMYFUNCTION("IFERROR(VLOOKUP(A4461, IMPORTRANGE(""https://docs.google.com/spreadsheets/d/1AVX9GT0dgogEBStecCXMMQ29tWz3gBrtNB8yIromXbY/edit?gid=741673867"", ""out1g!A:B""), 2, FALSE), 0)"),151.0)</f>
        <v>151</v>
      </c>
      <c r="D4461" s="2" t="str">
        <f>IFERROR(__xludf.DUMMYFUNCTION("IFERROR(VLOOKUP(A4461, IMPORTRANGE(""https://docs.google.com/spreadsheets/d/1-3Vjw2Cyy-mry5gbC8ypIR3YVGFfEpyFESummAta6sg/edit"", ""Sheet1!B:D""), 2, FALSE), ""Not Found"")"),"ʃeki")</f>
        <v>ʃeki</v>
      </c>
      <c r="E4461" s="2" t="str">
        <f>IFERROR(__xludf.DUMMYFUNCTION("IFERROR(VLOOKUP(A4461, IMPORTRANGE(""https://docs.google.com/spreadsheets/d/1-3Vjw2Cyy-mry5gbC8ypIR3YVGFfEpyFESummAta6sg/edit"", ""Sheet1!B:D""), 3, FALSE), ""Not Found"")"),"ʃ e k i ")</f>
        <v>ʃ e k i </v>
      </c>
    </row>
    <row r="4462">
      <c r="A4462" s="1" t="s">
        <v>4463</v>
      </c>
      <c r="B4462" s="1" t="s">
        <v>5</v>
      </c>
      <c r="C4462" s="2">
        <f>IFERROR(__xludf.DUMMYFUNCTION("IFERROR(VLOOKUP(A4462, IMPORTRANGE(""https://docs.google.com/spreadsheets/d/1AVX9GT0dgogEBStecCXMMQ29tWz3gBrtNB8yIromXbY/edit?gid=741673867"", ""out1g!A:B""), 2, FALSE), 0)"),58.0)</f>
        <v>58</v>
      </c>
      <c r="D4462" s="2" t="str">
        <f>IFERROR(__xludf.DUMMYFUNCTION("IFERROR(VLOOKUP(A4462, IMPORTRANGE(""https://docs.google.com/spreadsheets/d/1-3Vjw2Cyy-mry5gbC8ypIR3YVGFfEpyFESummAta6sg/edit"", ""Sheet1!B:D""), 2, FALSE), ""Not Found"")"),"wɪŋd")</f>
        <v>wɪŋd</v>
      </c>
      <c r="E4462" s="2" t="str">
        <f>IFERROR(__xludf.DUMMYFUNCTION("IFERROR(VLOOKUP(A4462, IMPORTRANGE(""https://docs.google.com/spreadsheets/d/1-3Vjw2Cyy-mry5gbC8ypIR3YVGFfEpyFESummAta6sg/edit"", ""Sheet1!B:D""), 3, FALSE), ""Not Found"")"),"w ɪ ŋ d ")</f>
        <v>w ɪ ŋ d </v>
      </c>
    </row>
    <row r="4463">
      <c r="A4463" s="1" t="s">
        <v>4464</v>
      </c>
      <c r="B4463" s="1" t="s">
        <v>5</v>
      </c>
      <c r="C4463" s="2">
        <f>IFERROR(__xludf.DUMMYFUNCTION("IFERROR(VLOOKUP(A4463, IMPORTRANGE(""https://docs.google.com/spreadsheets/d/1AVX9GT0dgogEBStecCXMMQ29tWz3gBrtNB8yIromXbY/edit?gid=741673867"", ""out1g!A:B""), 2, FALSE), 0)"),324.0)</f>
        <v>324</v>
      </c>
      <c r="D4463" s="2" t="str">
        <f>IFERROR(__xludf.DUMMYFUNCTION("IFERROR(VLOOKUP(A4463, IMPORTRANGE(""https://docs.google.com/spreadsheets/d/1-3Vjw2Cyy-mry5gbC8ypIR3YVGFfEpyFESummAta6sg/edit"", ""Sheet1!B:D""), 2, FALSE), ""Not Found"")"),"spɪld")</f>
        <v>spɪld</v>
      </c>
      <c r="E4463" s="2" t="str">
        <f>IFERROR(__xludf.DUMMYFUNCTION("IFERROR(VLOOKUP(A4463, IMPORTRANGE(""https://docs.google.com/spreadsheets/d/1-3Vjw2Cyy-mry5gbC8ypIR3YVGFfEpyFESummAta6sg/edit"", ""Sheet1!B:D""), 3, FALSE), ""Not Found"")"),"s p ɪ l d ")</f>
        <v>s p ɪ l d </v>
      </c>
    </row>
    <row r="4464">
      <c r="A4464" s="1" t="s">
        <v>4465</v>
      </c>
      <c r="B4464" s="1" t="s">
        <v>5</v>
      </c>
      <c r="C4464" s="2">
        <f>IFERROR(__xludf.DUMMYFUNCTION("IFERROR(VLOOKUP(A4464, IMPORTRANGE(""https://docs.google.com/spreadsheets/d/1AVX9GT0dgogEBStecCXMMQ29tWz3gBrtNB8yIromXbY/edit?gid=741673867"", ""out1g!A:B""), 2, FALSE), 0)"),131.0)</f>
        <v>131</v>
      </c>
      <c r="D4464" s="2" t="str">
        <f>IFERROR(__xludf.DUMMYFUNCTION("IFERROR(VLOOKUP(A4464, IMPORTRANGE(""https://docs.google.com/spreadsheets/d/1-3Vjw2Cyy-mry5gbC8ypIR3YVGFfEpyFESummAta6sg/edit"", ""Sheet1!B:D""), 2, FALSE), ""Not Found"")"),"ʧæps")</f>
        <v>ʧæps</v>
      </c>
      <c r="E4464" s="2" t="str">
        <f>IFERROR(__xludf.DUMMYFUNCTION("IFERROR(VLOOKUP(A4464, IMPORTRANGE(""https://docs.google.com/spreadsheets/d/1-3Vjw2Cyy-mry5gbC8ypIR3YVGFfEpyFESummAta6sg/edit"", ""Sheet1!B:D""), 3, FALSE), ""Not Found"")"),"ʧ æ p s ")</f>
        <v>ʧ æ p s </v>
      </c>
    </row>
    <row r="4465">
      <c r="A4465" s="1" t="s">
        <v>4466</v>
      </c>
      <c r="B4465" s="1" t="s">
        <v>5</v>
      </c>
      <c r="C4465" s="2">
        <f>IFERROR(__xludf.DUMMYFUNCTION("IFERROR(VLOOKUP(A4465, IMPORTRANGE(""https://docs.google.com/spreadsheets/d/1AVX9GT0dgogEBStecCXMMQ29tWz3gBrtNB8yIromXbY/edit?gid=741673867"", ""out1g!A:B""), 2, FALSE), 0)"),102.0)</f>
        <v>102</v>
      </c>
      <c r="D4465" s="2" t="str">
        <f>IFERROR(__xludf.DUMMYFUNCTION("IFERROR(VLOOKUP(A4465, IMPORTRANGE(""https://docs.google.com/spreadsheets/d/1-3Vjw2Cyy-mry5gbC8ypIR3YVGFfEpyFESummAta6sg/edit"", ""Sheet1!B:D""), 2, FALSE), ""Not Found"")"),"hɪk")</f>
        <v>hɪk</v>
      </c>
      <c r="E4465" s="2" t="str">
        <f>IFERROR(__xludf.DUMMYFUNCTION("IFERROR(VLOOKUP(A4465, IMPORTRANGE(""https://docs.google.com/spreadsheets/d/1-3Vjw2Cyy-mry5gbC8ypIR3YVGFfEpyFESummAta6sg/edit"", ""Sheet1!B:D""), 3, FALSE), ""Not Found"")"),"h ɪ k ")</f>
        <v>h ɪ k </v>
      </c>
    </row>
    <row r="4466">
      <c r="A4466" s="1" t="s">
        <v>4467</v>
      </c>
      <c r="B4466" s="1" t="s">
        <v>5</v>
      </c>
      <c r="C4466" s="2">
        <f>IFERROR(__xludf.DUMMYFUNCTION("IFERROR(VLOOKUP(A4466, IMPORTRANGE(""https://docs.google.com/spreadsheets/d/1AVX9GT0dgogEBStecCXMMQ29tWz3gBrtNB8yIromXbY/edit?gid=741673867"", ""out1g!A:B""), 2, FALSE), 0)"),90.0)</f>
        <v>90</v>
      </c>
      <c r="D4466" s="2" t="str">
        <f>IFERROR(__xludf.DUMMYFUNCTION("IFERROR(VLOOKUP(A4466, IMPORTRANGE(""https://docs.google.com/spreadsheets/d/1-3Vjw2Cyy-mry5gbC8ypIR3YVGFfEpyFESummAta6sg/edit"", ""Sheet1!B:D""), 2, FALSE), ""Not Found"")"),"pərks")</f>
        <v>pərks</v>
      </c>
      <c r="E4466" s="2" t="str">
        <f>IFERROR(__xludf.DUMMYFUNCTION("IFERROR(VLOOKUP(A4466, IMPORTRANGE(""https://docs.google.com/spreadsheets/d/1-3Vjw2Cyy-mry5gbC8ypIR3YVGFfEpyFESummAta6sg/edit"", ""Sheet1!B:D""), 3, FALSE), ""Not Found"")"),"p ə r k s ")</f>
        <v>p ə r k s </v>
      </c>
    </row>
    <row r="4467">
      <c r="A4467" s="1" t="s">
        <v>4468</v>
      </c>
      <c r="B4467" s="1" t="s">
        <v>5</v>
      </c>
      <c r="C4467" s="2">
        <f>IFERROR(__xludf.DUMMYFUNCTION("IFERROR(VLOOKUP(A4467, IMPORTRANGE(""https://docs.google.com/spreadsheets/d/1AVX9GT0dgogEBStecCXMMQ29tWz3gBrtNB8yIromXbY/edit?gid=741673867"", ""out1g!A:B""), 2, FALSE), 0)"),904.0)</f>
        <v>904</v>
      </c>
      <c r="D4467" s="2" t="str">
        <f>IFERROR(__xludf.DUMMYFUNCTION("IFERROR(VLOOKUP(A4467, IMPORTRANGE(""https://docs.google.com/spreadsheets/d/1-3Vjw2Cyy-mry5gbC8ypIR3YVGFfEpyFESummAta6sg/edit"", ""Sheet1!B:D""), 2, FALSE), ""Not Found"")"),"ʤin")</f>
        <v>ʤin</v>
      </c>
      <c r="E4467" s="2" t="str">
        <f>IFERROR(__xludf.DUMMYFUNCTION("IFERROR(VLOOKUP(A4467, IMPORTRANGE(""https://docs.google.com/spreadsheets/d/1-3Vjw2Cyy-mry5gbC8ypIR3YVGFfEpyFESummAta6sg/edit"", ""Sheet1!B:D""), 3, FALSE), ""Not Found"")"),"ʤ i n ")</f>
        <v>ʤ i n </v>
      </c>
    </row>
    <row r="4468">
      <c r="A4468" s="1" t="s">
        <v>4469</v>
      </c>
      <c r="B4468" s="1" t="s">
        <v>5</v>
      </c>
      <c r="C4468" s="2">
        <f>IFERROR(__xludf.DUMMYFUNCTION("IFERROR(VLOOKUP(A4468, IMPORTRANGE(""https://docs.google.com/spreadsheets/d/1AVX9GT0dgogEBStecCXMMQ29tWz3gBrtNB8yIromXbY/edit?gid=741673867"", ""out1g!A:B""), 2, FALSE), 0)"),282.0)</f>
        <v>282</v>
      </c>
      <c r="D4468" s="2" t="str">
        <f>IFERROR(__xludf.DUMMYFUNCTION("IFERROR(VLOOKUP(A4468, IMPORTRANGE(""https://docs.google.com/spreadsheets/d/1-3Vjw2Cyy-mry5gbC8ypIR3YVGFfEpyFESummAta6sg/edit"", ""Sheet1!B:D""), 2, FALSE), ""Not Found"")"),"mus")</f>
        <v>mus</v>
      </c>
      <c r="E4468" s="2" t="str">
        <f>IFERROR(__xludf.DUMMYFUNCTION("IFERROR(VLOOKUP(A4468, IMPORTRANGE(""https://docs.google.com/spreadsheets/d/1-3Vjw2Cyy-mry5gbC8ypIR3YVGFfEpyFESummAta6sg/edit"", ""Sheet1!B:D""), 3, FALSE), ""Not Found"")"),"m u s ")</f>
        <v>m u s </v>
      </c>
    </row>
    <row r="4469">
      <c r="A4469" s="1" t="s">
        <v>4470</v>
      </c>
      <c r="B4469" s="1" t="s">
        <v>5</v>
      </c>
      <c r="C4469" s="2">
        <f>IFERROR(__xludf.DUMMYFUNCTION("IFERROR(VLOOKUP(A4469, IMPORTRANGE(""https://docs.google.com/spreadsheets/d/1AVX9GT0dgogEBStecCXMMQ29tWz3gBrtNB8yIromXbY/edit?gid=741673867"", ""out1g!A:B""), 2, FALSE), 0)"),161.0)</f>
        <v>161</v>
      </c>
      <c r="D4469" s="2" t="str">
        <f>IFERROR(__xludf.DUMMYFUNCTION("IFERROR(VLOOKUP(A4469, IMPORTRANGE(""https://docs.google.com/spreadsheets/d/1-3Vjw2Cyy-mry5gbC8ypIR3YVGFfEpyFESummAta6sg/edit"", ""Sheet1!B:D""), 2, FALSE), ""Not Found"")"),"kwɪd")</f>
        <v>kwɪd</v>
      </c>
      <c r="E4469" s="2" t="str">
        <f>IFERROR(__xludf.DUMMYFUNCTION("IFERROR(VLOOKUP(A4469, IMPORTRANGE(""https://docs.google.com/spreadsheets/d/1-3Vjw2Cyy-mry5gbC8ypIR3YVGFfEpyFESummAta6sg/edit"", ""Sheet1!B:D""), 3, FALSE), ""Not Found"")"),"k w ɪ d ")</f>
        <v>k w ɪ d </v>
      </c>
    </row>
    <row r="4470">
      <c r="A4470" s="1" t="s">
        <v>4471</v>
      </c>
      <c r="B4470" s="1" t="s">
        <v>5</v>
      </c>
      <c r="C4470" s="2">
        <f>IFERROR(__xludf.DUMMYFUNCTION("IFERROR(VLOOKUP(A4470, IMPORTRANGE(""https://docs.google.com/spreadsheets/d/1AVX9GT0dgogEBStecCXMMQ29tWz3gBrtNB8yIromXbY/edit?gid=741673867"", ""out1g!A:B""), 2, FALSE), 0)"),372.0)</f>
        <v>372</v>
      </c>
      <c r="D4470" s="2" t="str">
        <f>IFERROR(__xludf.DUMMYFUNCTION("IFERROR(VLOOKUP(A4470, IMPORTRANGE(""https://docs.google.com/spreadsheets/d/1-3Vjw2Cyy-mry5gbC8ypIR3YVGFfEpyFESummAta6sg/edit"", ""Sheet1!B:D""), 2, FALSE), ""Not Found"")"),"sɪsi")</f>
        <v>sɪsi</v>
      </c>
      <c r="E4470" s="2" t="str">
        <f>IFERROR(__xludf.DUMMYFUNCTION("IFERROR(VLOOKUP(A4470, IMPORTRANGE(""https://docs.google.com/spreadsheets/d/1-3Vjw2Cyy-mry5gbC8ypIR3YVGFfEpyFESummAta6sg/edit"", ""Sheet1!B:D""), 3, FALSE), ""Not Found"")"),"s ɪ s i ")</f>
        <v>s ɪ s i </v>
      </c>
    </row>
    <row r="4471">
      <c r="A4471" s="1" t="s">
        <v>4472</v>
      </c>
      <c r="B4471" s="1" t="s">
        <v>5</v>
      </c>
      <c r="C4471" s="2">
        <f>IFERROR(__xludf.DUMMYFUNCTION("IFERROR(VLOOKUP(A4471, IMPORTRANGE(""https://docs.google.com/spreadsheets/d/1AVX9GT0dgogEBStecCXMMQ29tWz3gBrtNB8yIromXbY/edit?gid=741673867"", ""out1g!A:B""), 2, FALSE), 0)"),548.0)</f>
        <v>548</v>
      </c>
      <c r="D4471" s="2" t="str">
        <f>IFERROR(__xludf.DUMMYFUNCTION("IFERROR(VLOOKUP(A4471, IMPORTRANGE(""https://docs.google.com/spreadsheets/d/1-3Vjw2Cyy-mry5gbC8ypIR3YVGFfEpyFESummAta6sg/edit"", ""Sheet1!B:D""), 2, FALSE), ""Not Found"")"),"tul")</f>
        <v>tul</v>
      </c>
      <c r="E4471" s="2" t="str">
        <f>IFERROR(__xludf.DUMMYFUNCTION("IFERROR(VLOOKUP(A4471, IMPORTRANGE(""https://docs.google.com/spreadsheets/d/1-3Vjw2Cyy-mry5gbC8ypIR3YVGFfEpyFESummAta6sg/edit"", ""Sheet1!B:D""), 3, FALSE), ""Not Found"")"),"t u l ")</f>
        <v>t u l </v>
      </c>
    </row>
    <row r="4472">
      <c r="A4472" s="1" t="s">
        <v>4473</v>
      </c>
      <c r="B4472" s="1" t="s">
        <v>5</v>
      </c>
      <c r="C4472" s="2">
        <f>IFERROR(__xludf.DUMMYFUNCTION("IFERROR(VLOOKUP(A4472, IMPORTRANGE(""https://docs.google.com/spreadsheets/d/1AVX9GT0dgogEBStecCXMMQ29tWz3gBrtNB8yIromXbY/edit?gid=741673867"", ""out1g!A:B""), 2, FALSE), 0)"),229.0)</f>
        <v>229</v>
      </c>
      <c r="D4472" s="2" t="str">
        <f>IFERROR(__xludf.DUMMYFUNCTION("IFERROR(VLOOKUP(A4472, IMPORTRANGE(""https://docs.google.com/spreadsheets/d/1-3Vjw2Cyy-mry5gbC8ypIR3YVGFfEpyFESummAta6sg/edit"", ""Sheet1!B:D""), 2, FALSE), ""Not Found"")"),"ʃɑps")</f>
        <v>ʃɑps</v>
      </c>
      <c r="E4472" s="2" t="str">
        <f>IFERROR(__xludf.DUMMYFUNCTION("IFERROR(VLOOKUP(A4472, IMPORTRANGE(""https://docs.google.com/spreadsheets/d/1-3Vjw2Cyy-mry5gbC8ypIR3YVGFfEpyFESummAta6sg/edit"", ""Sheet1!B:D""), 3, FALSE), ""Not Found"")"),"ʃ ɑ p s ")</f>
        <v>ʃ ɑ p s </v>
      </c>
    </row>
    <row r="4473">
      <c r="A4473" s="1" t="s">
        <v>4474</v>
      </c>
      <c r="B4473" s="1" t="s">
        <v>5</v>
      </c>
      <c r="C4473" s="2">
        <f>IFERROR(__xludf.DUMMYFUNCTION("IFERROR(VLOOKUP(A4473, IMPORTRANGE(""https://docs.google.com/spreadsheets/d/1AVX9GT0dgogEBStecCXMMQ29tWz3gBrtNB8yIromXbY/edit?gid=741673867"", ""out1g!A:B""), 2, FALSE), 0)"),56149.0)</f>
        <v>56149</v>
      </c>
      <c r="D4473" s="2" t="str">
        <f>IFERROR(__xludf.DUMMYFUNCTION("IFERROR(VLOOKUP(A4473, IMPORTRANGE(""https://docs.google.com/spreadsheets/d/1-3Vjw2Cyy-mry5gbC8ypIR3YVGFfEpyFESummAta6sg/edit"", ""Sheet1!B:D""), 2, FALSE), ""Not Found"")"),"pliz")</f>
        <v>pliz</v>
      </c>
      <c r="E4473" s="2" t="str">
        <f>IFERROR(__xludf.DUMMYFUNCTION("IFERROR(VLOOKUP(A4473, IMPORTRANGE(""https://docs.google.com/spreadsheets/d/1-3Vjw2Cyy-mry5gbC8ypIR3YVGFfEpyFESummAta6sg/edit"", ""Sheet1!B:D""), 3, FALSE), ""Not Found"")"),"p l i z ")</f>
        <v>p l i z </v>
      </c>
    </row>
    <row r="4474">
      <c r="A4474" s="1" t="s">
        <v>4475</v>
      </c>
      <c r="B4474" s="1" t="s">
        <v>5</v>
      </c>
      <c r="C4474" s="2">
        <f>IFERROR(__xludf.DUMMYFUNCTION("IFERROR(VLOOKUP(A4474, IMPORTRANGE(""https://docs.google.com/spreadsheets/d/1AVX9GT0dgogEBStecCXMMQ29tWz3gBrtNB8yIromXbY/edit?gid=741673867"", ""out1g!A:B""), 2, FALSE), 0)"),108.0)</f>
        <v>108</v>
      </c>
      <c r="D4474" s="2" t="str">
        <f>IFERROR(__xludf.DUMMYFUNCTION("IFERROR(VLOOKUP(A4474, IMPORTRANGE(""https://docs.google.com/spreadsheets/d/1-3Vjw2Cyy-mry5gbC8ypIR3YVGFfEpyFESummAta6sg/edit"", ""Sheet1!B:D""), 2, FALSE), ""Not Found"")"),"bun")</f>
        <v>bun</v>
      </c>
      <c r="E4474" s="2" t="str">
        <f>IFERROR(__xludf.DUMMYFUNCTION("IFERROR(VLOOKUP(A4474, IMPORTRANGE(""https://docs.google.com/spreadsheets/d/1-3Vjw2Cyy-mry5gbC8ypIR3YVGFfEpyFESummAta6sg/edit"", ""Sheet1!B:D""), 3, FALSE), ""Not Found"")"),"b u n ")</f>
        <v>b u n </v>
      </c>
    </row>
    <row r="4475">
      <c r="A4475" s="1" t="s">
        <v>4476</v>
      </c>
      <c r="B4475" s="1" t="s">
        <v>5</v>
      </c>
      <c r="C4475" s="2">
        <f>IFERROR(__xludf.DUMMYFUNCTION("IFERROR(VLOOKUP(A4475, IMPORTRANGE(""https://docs.google.com/spreadsheets/d/1AVX9GT0dgogEBStecCXMMQ29tWz3gBrtNB8yIromXbY/edit?gid=741673867"", ""out1g!A:B""), 2, FALSE), 0)"),109.0)</f>
        <v>109</v>
      </c>
      <c r="D4475" s="2" t="str">
        <f>IFERROR(__xludf.DUMMYFUNCTION("IFERROR(VLOOKUP(A4475, IMPORTRANGE(""https://docs.google.com/spreadsheets/d/1-3Vjw2Cyy-mry5gbC8ypIR3YVGFfEpyFESummAta6sg/edit"", ""Sheet1!B:D""), 2, FALSE), ""Not Found"")"),"twɪʧ")</f>
        <v>twɪʧ</v>
      </c>
      <c r="E4475" s="2" t="str">
        <f>IFERROR(__xludf.DUMMYFUNCTION("IFERROR(VLOOKUP(A4475, IMPORTRANGE(""https://docs.google.com/spreadsheets/d/1-3Vjw2Cyy-mry5gbC8ypIR3YVGFfEpyFESummAta6sg/edit"", ""Sheet1!B:D""), 3, FALSE), ""Not Found"")"),"t w ɪ ʧ ")</f>
        <v>t w ɪ ʧ </v>
      </c>
    </row>
    <row r="4476">
      <c r="A4476" s="1" t="s">
        <v>4477</v>
      </c>
      <c r="B4476" s="1" t="s">
        <v>5</v>
      </c>
      <c r="C4476" s="2">
        <f>IFERROR(__xludf.DUMMYFUNCTION("IFERROR(VLOOKUP(A4476, IMPORTRANGE(""https://docs.google.com/spreadsheets/d/1AVX9GT0dgogEBStecCXMMQ29tWz3gBrtNB8yIromXbY/edit?gid=741673867"", ""out1g!A:B""), 2, FALSE), 0)"),11.0)</f>
        <v>11</v>
      </c>
      <c r="D4476" s="2" t="str">
        <f>IFERROR(__xludf.DUMMYFUNCTION("IFERROR(VLOOKUP(A4476, IMPORTRANGE(""https://docs.google.com/spreadsheets/d/1-3Vjw2Cyy-mry5gbC8ypIR3YVGFfEpyFESummAta6sg/edit"", ""Sheet1!B:D""), 2, FALSE), ""Not Found"")"),"jɔ")</f>
        <v>jɔ</v>
      </c>
      <c r="E4476" s="2" t="str">
        <f>IFERROR(__xludf.DUMMYFUNCTION("IFERROR(VLOOKUP(A4476, IMPORTRANGE(""https://docs.google.com/spreadsheets/d/1-3Vjw2Cyy-mry5gbC8ypIR3YVGFfEpyFESummAta6sg/edit"", ""Sheet1!B:D""), 3, FALSE), ""Not Found"")"),"j ɔ ")</f>
        <v>j ɔ </v>
      </c>
    </row>
    <row r="4477">
      <c r="A4477" s="1" t="s">
        <v>4478</v>
      </c>
      <c r="B4477" s="1" t="s">
        <v>5</v>
      </c>
      <c r="C4477" s="2">
        <f>IFERROR(__xludf.DUMMYFUNCTION("IFERROR(VLOOKUP(A4477, IMPORTRANGE(""https://docs.google.com/spreadsheets/d/1AVX9GT0dgogEBStecCXMMQ29tWz3gBrtNB8yIromXbY/edit?gid=741673867"", ""out1g!A:B""), 2, FALSE), 0)"),74.0)</f>
        <v>74</v>
      </c>
      <c r="D4477" s="2" t="str">
        <f>IFERROR(__xludf.DUMMYFUNCTION("IFERROR(VLOOKUP(A4477, IMPORTRANGE(""https://docs.google.com/spreadsheets/d/1-3Vjw2Cyy-mry5gbC8ypIR3YVGFfEpyFESummAta6sg/edit"", ""Sheet1!B:D""), 2, FALSE), ""Not Found"")"),"stɔrmi")</f>
        <v>stɔrmi</v>
      </c>
      <c r="E4477" s="2" t="str">
        <f>IFERROR(__xludf.DUMMYFUNCTION("IFERROR(VLOOKUP(A4477, IMPORTRANGE(""https://docs.google.com/spreadsheets/d/1-3Vjw2Cyy-mry5gbC8ypIR3YVGFfEpyFESummAta6sg/edit"", ""Sheet1!B:D""), 3, FALSE), ""Not Found"")"),"s t ɔ r m i ")</f>
        <v>s t ɔ r m i </v>
      </c>
    </row>
    <row r="4478">
      <c r="A4478" s="1" t="s">
        <v>4479</v>
      </c>
      <c r="B4478" s="1" t="s">
        <v>5</v>
      </c>
      <c r="C4478" s="2">
        <f>IFERROR(__xludf.DUMMYFUNCTION("IFERROR(VLOOKUP(A4478, IMPORTRANGE(""https://docs.google.com/spreadsheets/d/1AVX9GT0dgogEBStecCXMMQ29tWz3gBrtNB8yIromXbY/edit?gid=741673867"", ""out1g!A:B""), 2, FALSE), 0)"),927.0)</f>
        <v>927</v>
      </c>
      <c r="D4478" s="2" t="str">
        <f>IFERROR(__xludf.DUMMYFUNCTION("IFERROR(VLOOKUP(A4478, IMPORTRANGE(""https://docs.google.com/spreadsheets/d/1-3Vjw2Cyy-mry5gbC8ypIR3YVGFfEpyFESummAta6sg/edit"", ""Sheet1!B:D""), 2, FALSE), ""Not Found"")"),"itən")</f>
        <v>itən</v>
      </c>
      <c r="E4478" s="2" t="str">
        <f>IFERROR(__xludf.DUMMYFUNCTION("IFERROR(VLOOKUP(A4478, IMPORTRANGE(""https://docs.google.com/spreadsheets/d/1-3Vjw2Cyy-mry5gbC8ypIR3YVGFfEpyFESummAta6sg/edit"", ""Sheet1!B:D""), 3, FALSE), ""Not Found"")"),"i t ə n ")</f>
        <v>i t ə n </v>
      </c>
    </row>
    <row r="4479">
      <c r="A4479" s="1" t="s">
        <v>4480</v>
      </c>
      <c r="B4479" s="1" t="s">
        <v>5</v>
      </c>
      <c r="C4479" s="2">
        <f>IFERROR(__xludf.DUMMYFUNCTION("IFERROR(VLOOKUP(A4479, IMPORTRANGE(""https://docs.google.com/spreadsheets/d/1AVX9GT0dgogEBStecCXMMQ29tWz3gBrtNB8yIromXbY/edit?gid=741673867"", ""out1g!A:B""), 2, FALSE), 0)"),48.0)</f>
        <v>48</v>
      </c>
      <c r="D4479" s="2" t="str">
        <f>IFERROR(__xludf.DUMMYFUNCTION("IFERROR(VLOOKUP(A4479, IMPORTRANGE(""https://docs.google.com/spreadsheets/d/1-3Vjw2Cyy-mry5gbC8ypIR3YVGFfEpyFESummAta6sg/edit"", ""Sheet1!B:D""), 2, FALSE), ""Not Found"")"),"vɑk")</f>
        <v>vɑk</v>
      </c>
      <c r="E4479" s="2" t="str">
        <f>IFERROR(__xludf.DUMMYFUNCTION("IFERROR(VLOOKUP(A4479, IMPORTRANGE(""https://docs.google.com/spreadsheets/d/1-3Vjw2Cyy-mry5gbC8ypIR3YVGFfEpyFESummAta6sg/edit"", ""Sheet1!B:D""), 3, FALSE), ""Not Found"")"),"v ɑ k ")</f>
        <v>v ɑ k </v>
      </c>
    </row>
    <row r="4480">
      <c r="A4480" s="1" t="s">
        <v>4481</v>
      </c>
      <c r="B4480" s="1" t="s">
        <v>5</v>
      </c>
      <c r="C4480" s="2">
        <f>IFERROR(__xludf.DUMMYFUNCTION("IFERROR(VLOOKUP(A4480, IMPORTRANGE(""https://docs.google.com/spreadsheets/d/1AVX9GT0dgogEBStecCXMMQ29tWz3gBrtNB8yIromXbY/edit?gid=741673867"", ""out1g!A:B""), 2, FALSE), 0)"),930.0)</f>
        <v>930</v>
      </c>
      <c r="D4480" s="2" t="str">
        <f>IFERROR(__xludf.DUMMYFUNCTION("IFERROR(VLOOKUP(A4480, IMPORTRANGE(""https://docs.google.com/spreadsheets/d/1-3Vjw2Cyy-mry5gbC8ypIR3YVGFfEpyFESummAta6sg/edit"", ""Sheet1!B:D""), 2, FALSE), ""Not Found"")"),"sərfəs")</f>
        <v>sərfəs</v>
      </c>
      <c r="E4480" s="2" t="str">
        <f>IFERROR(__xludf.DUMMYFUNCTION("IFERROR(VLOOKUP(A4480, IMPORTRANGE(""https://docs.google.com/spreadsheets/d/1-3Vjw2Cyy-mry5gbC8ypIR3YVGFfEpyFESummAta6sg/edit"", ""Sheet1!B:D""), 3, FALSE), ""Not Found"")"),"s ə r f ə s ")</f>
        <v>s ə r f ə s </v>
      </c>
    </row>
    <row r="4481">
      <c r="A4481" s="1" t="s">
        <v>4482</v>
      </c>
      <c r="B4481" s="1" t="s">
        <v>5</v>
      </c>
      <c r="C4481" s="2">
        <f>IFERROR(__xludf.DUMMYFUNCTION("IFERROR(VLOOKUP(A4481, IMPORTRANGE(""https://docs.google.com/spreadsheets/d/1AVX9GT0dgogEBStecCXMMQ29tWz3gBrtNB8yIromXbY/edit?gid=741673867"", ""out1g!A:B""), 2, FALSE), 0)"),50.0)</f>
        <v>50</v>
      </c>
      <c r="D4481" s="2" t="str">
        <f>IFERROR(__xludf.DUMMYFUNCTION("IFERROR(VLOOKUP(A4481, IMPORTRANGE(""https://docs.google.com/spreadsheets/d/1-3Vjw2Cyy-mry5gbC8ypIR3YVGFfEpyFESummAta6sg/edit"", ""Sheet1!B:D""), 2, FALSE), ""Not Found"")"),"pɛti")</f>
        <v>pɛti</v>
      </c>
      <c r="E4481" s="2" t="str">
        <f>IFERROR(__xludf.DUMMYFUNCTION("IFERROR(VLOOKUP(A4481, IMPORTRANGE(""https://docs.google.com/spreadsheets/d/1-3Vjw2Cyy-mry5gbC8ypIR3YVGFfEpyFESummAta6sg/edit"", ""Sheet1!B:D""), 3, FALSE), ""Not Found"")"),"p ɛ t i ")</f>
        <v>p ɛ t i </v>
      </c>
    </row>
    <row r="4482">
      <c r="A4482" s="1" t="s">
        <v>4483</v>
      </c>
      <c r="B4482" s="1" t="s">
        <v>5</v>
      </c>
      <c r="C4482" s="2">
        <f>IFERROR(__xludf.DUMMYFUNCTION("IFERROR(VLOOKUP(A4482, IMPORTRANGE(""https://docs.google.com/spreadsheets/d/1AVX9GT0dgogEBStecCXMMQ29tWz3gBrtNB8yIromXbY/edit?gid=741673867"", ""out1g!A:B""), 2, FALSE), 0)"),11987.0)</f>
        <v>11987</v>
      </c>
      <c r="D4482" s="2" t="str">
        <f>IFERROR(__xludf.DUMMYFUNCTION("IFERROR(VLOOKUP(A4482, IMPORTRANGE(""https://docs.google.com/spreadsheets/d/1-3Vjw2Cyy-mry5gbC8ypIR3YVGFfEpyFESummAta6sg/edit"", ""Sheet1!B:D""), 2, FALSE), ""Not Found"")"),"bɪt")</f>
        <v>bɪt</v>
      </c>
      <c r="E4482" s="2" t="str">
        <f>IFERROR(__xludf.DUMMYFUNCTION("IFERROR(VLOOKUP(A4482, IMPORTRANGE(""https://docs.google.com/spreadsheets/d/1-3Vjw2Cyy-mry5gbC8ypIR3YVGFfEpyFESummAta6sg/edit"", ""Sheet1!B:D""), 3, FALSE), ""Not Found"")"),"b ɪ t ")</f>
        <v>b ɪ t </v>
      </c>
    </row>
    <row r="4483">
      <c r="A4483" s="1" t="s">
        <v>4484</v>
      </c>
      <c r="B4483" s="1" t="s">
        <v>5</v>
      </c>
      <c r="C4483" s="2">
        <f>IFERROR(__xludf.DUMMYFUNCTION("IFERROR(VLOOKUP(A4483, IMPORTRANGE(""https://docs.google.com/spreadsheets/d/1AVX9GT0dgogEBStecCXMMQ29tWz3gBrtNB8yIromXbY/edit?gid=741673867"", ""out1g!A:B""), 2, FALSE), 0)"),122.0)</f>
        <v>122</v>
      </c>
      <c r="D4483" s="2" t="str">
        <f>IFERROR(__xludf.DUMMYFUNCTION("IFERROR(VLOOKUP(A4483, IMPORTRANGE(""https://docs.google.com/spreadsheets/d/1-3Vjw2Cyy-mry5gbC8ypIR3YVGFfEpyFESummAta6sg/edit"", ""Sheet1!B:D""), 2, FALSE), ""Not Found"")"),"tæfi")</f>
        <v>tæfi</v>
      </c>
      <c r="E4483" s="2" t="str">
        <f>IFERROR(__xludf.DUMMYFUNCTION("IFERROR(VLOOKUP(A4483, IMPORTRANGE(""https://docs.google.com/spreadsheets/d/1-3Vjw2Cyy-mry5gbC8ypIR3YVGFfEpyFESummAta6sg/edit"", ""Sheet1!B:D""), 3, FALSE), ""Not Found"")"),"t æ f i ")</f>
        <v>t æ f i </v>
      </c>
    </row>
    <row r="4484">
      <c r="A4484" s="1" t="s">
        <v>4485</v>
      </c>
      <c r="B4484" s="1" t="s">
        <v>5</v>
      </c>
      <c r="C4484" s="2">
        <f>IFERROR(__xludf.DUMMYFUNCTION("IFERROR(VLOOKUP(A4484, IMPORTRANGE(""https://docs.google.com/spreadsheets/d/1AVX9GT0dgogEBStecCXMMQ29tWz3gBrtNB8yIromXbY/edit?gid=741673867"", ""out1g!A:B""), 2, FALSE), 0)"),60.0)</f>
        <v>60</v>
      </c>
      <c r="D4484" s="2" t="str">
        <f>IFERROR(__xludf.DUMMYFUNCTION("IFERROR(VLOOKUP(A4484, IMPORTRANGE(""https://docs.google.com/spreadsheets/d/1-3Vjw2Cyy-mry5gbC8ypIR3YVGFfEpyFESummAta6sg/edit"", ""Sheet1!B:D""), 2, FALSE), ""Not Found"")"),"dɪn")</f>
        <v>dɪn</v>
      </c>
      <c r="E4484" s="2" t="str">
        <f>IFERROR(__xludf.DUMMYFUNCTION("IFERROR(VLOOKUP(A4484, IMPORTRANGE(""https://docs.google.com/spreadsheets/d/1-3Vjw2Cyy-mry5gbC8ypIR3YVGFfEpyFESummAta6sg/edit"", ""Sheet1!B:D""), 3, FALSE), ""Not Found"")"),"d ɪ n ")</f>
        <v>d ɪ n </v>
      </c>
    </row>
    <row r="4485">
      <c r="A4485" s="1" t="s">
        <v>4486</v>
      </c>
      <c r="B4485" s="1" t="s">
        <v>5</v>
      </c>
      <c r="C4485" s="2">
        <f>IFERROR(__xludf.DUMMYFUNCTION("IFERROR(VLOOKUP(A4485, IMPORTRANGE(""https://docs.google.com/spreadsheets/d/1AVX9GT0dgogEBStecCXMMQ29tWz3gBrtNB8yIromXbY/edit?gid=741673867"", ""out1g!A:B""), 2, FALSE), 0)"),158.0)</f>
        <v>158</v>
      </c>
      <c r="D4485" s="2" t="str">
        <f>IFERROR(__xludf.DUMMYFUNCTION("IFERROR(VLOOKUP(A4485, IMPORTRANGE(""https://docs.google.com/spreadsheets/d/1-3Vjw2Cyy-mry5gbC8ypIR3YVGFfEpyFESummAta6sg/edit"", ""Sheet1!B:D""), 2, FALSE), ""Not Found"")"),"petrən")</f>
        <v>petrən</v>
      </c>
      <c r="E4485" s="2" t="str">
        <f>IFERROR(__xludf.DUMMYFUNCTION("IFERROR(VLOOKUP(A4485, IMPORTRANGE(""https://docs.google.com/spreadsheets/d/1-3Vjw2Cyy-mry5gbC8ypIR3YVGFfEpyFESummAta6sg/edit"", ""Sheet1!B:D""), 3, FALSE), ""Not Found"")"),"p e t r ə n ")</f>
        <v>p e t r ə n </v>
      </c>
    </row>
    <row r="4486">
      <c r="A4486" s="1" t="s">
        <v>4487</v>
      </c>
      <c r="B4486" s="1" t="s">
        <v>5</v>
      </c>
      <c r="C4486" s="2">
        <f>IFERROR(__xludf.DUMMYFUNCTION("IFERROR(VLOOKUP(A4486, IMPORTRANGE(""https://docs.google.com/spreadsheets/d/1AVX9GT0dgogEBStecCXMMQ29tWz3gBrtNB8yIromXbY/edit?gid=741673867"", ""out1g!A:B""), 2, FALSE), 0)"),118.0)</f>
        <v>118</v>
      </c>
      <c r="D4486" s="2" t="str">
        <f>IFERROR(__xludf.DUMMYFUNCTION("IFERROR(VLOOKUP(A4486, IMPORTRANGE(""https://docs.google.com/spreadsheets/d/1-3Vjw2Cyy-mry5gbC8ypIR3YVGFfEpyFESummAta6sg/edit"", ""Sheet1!B:D""), 2, FALSE), ""Not Found"")"),"ʤɛd")</f>
        <v>ʤɛd</v>
      </c>
      <c r="E4486" s="2" t="str">
        <f>IFERROR(__xludf.DUMMYFUNCTION("IFERROR(VLOOKUP(A4486, IMPORTRANGE(""https://docs.google.com/spreadsheets/d/1-3Vjw2Cyy-mry5gbC8ypIR3YVGFfEpyFESummAta6sg/edit"", ""Sheet1!B:D""), 3, FALSE), ""Not Found"")"),"ʤ ɛ d ")</f>
        <v>ʤ ɛ d </v>
      </c>
    </row>
    <row r="4487">
      <c r="A4487" s="1" t="s">
        <v>4488</v>
      </c>
      <c r="B4487" s="1" t="s">
        <v>5</v>
      </c>
      <c r="C4487" s="2">
        <f>IFERROR(__xludf.DUMMYFUNCTION("IFERROR(VLOOKUP(A4487, IMPORTRANGE(""https://docs.google.com/spreadsheets/d/1AVX9GT0dgogEBStecCXMMQ29tWz3gBrtNB8yIromXbY/edit?gid=741673867"", ""out1g!A:B""), 2, FALSE), 0)"),857.0)</f>
        <v>857</v>
      </c>
      <c r="D4487" s="2" t="str">
        <f>IFERROR(__xludf.DUMMYFUNCTION("IFERROR(VLOOKUP(A4487, IMPORTRANGE(""https://docs.google.com/spreadsheets/d/1-3Vjw2Cyy-mry5gbC8ypIR3YVGFfEpyFESummAta6sg/edit"", ""Sheet1!B:D""), 2, FALSE), ""Not Found"")"),"krəʃ")</f>
        <v>krəʃ</v>
      </c>
      <c r="E4487" s="2" t="str">
        <f>IFERROR(__xludf.DUMMYFUNCTION("IFERROR(VLOOKUP(A4487, IMPORTRANGE(""https://docs.google.com/spreadsheets/d/1-3Vjw2Cyy-mry5gbC8ypIR3YVGFfEpyFESummAta6sg/edit"", ""Sheet1!B:D""), 3, FALSE), ""Not Found"")"),"k r ə ʃ ")</f>
        <v>k r ə ʃ </v>
      </c>
    </row>
    <row r="4488">
      <c r="A4488" s="1" t="s">
        <v>4489</v>
      </c>
      <c r="B4488" s="1" t="s">
        <v>5</v>
      </c>
      <c r="C4488" s="2">
        <f>IFERROR(__xludf.DUMMYFUNCTION("IFERROR(VLOOKUP(A4488, IMPORTRANGE(""https://docs.google.com/spreadsheets/d/1AVX9GT0dgogEBStecCXMMQ29tWz3gBrtNB8yIromXbY/edit?gid=741673867"", ""out1g!A:B""), 2, FALSE), 0)"),179.0)</f>
        <v>179</v>
      </c>
      <c r="D4488" s="2" t="str">
        <f>IFERROR(__xludf.DUMMYFUNCTION("IFERROR(VLOOKUP(A4488, IMPORTRANGE(""https://docs.google.com/spreadsheets/d/1-3Vjw2Cyy-mry5gbC8ypIR3YVGFfEpyFESummAta6sg/edit"", ""Sheet1!B:D""), 2, FALSE), ""Not Found"")"),"bræg")</f>
        <v>bræg</v>
      </c>
      <c r="E4488" s="2" t="str">
        <f>IFERROR(__xludf.DUMMYFUNCTION("IFERROR(VLOOKUP(A4488, IMPORTRANGE(""https://docs.google.com/spreadsheets/d/1-3Vjw2Cyy-mry5gbC8ypIR3YVGFfEpyFESummAta6sg/edit"", ""Sheet1!B:D""), 3, FALSE), ""Not Found"")"),"b r æ g ")</f>
        <v>b r æ g </v>
      </c>
    </row>
    <row r="4489">
      <c r="A4489" s="1" t="s">
        <v>4490</v>
      </c>
      <c r="B4489" s="1" t="s">
        <v>5</v>
      </c>
      <c r="C4489" s="2">
        <f>IFERROR(__xludf.DUMMYFUNCTION("IFERROR(VLOOKUP(A4489, IMPORTRANGE(""https://docs.google.com/spreadsheets/d/1AVX9GT0dgogEBStecCXMMQ29tWz3gBrtNB8yIromXbY/edit?gid=741673867"", ""out1g!A:B""), 2, FALSE), 0)"),96.0)</f>
        <v>96</v>
      </c>
      <c r="D4489" s="2" t="str">
        <f>IFERROR(__xludf.DUMMYFUNCTION("IFERROR(VLOOKUP(A4489, IMPORTRANGE(""https://docs.google.com/spreadsheets/d/1-3Vjw2Cyy-mry5gbC8ypIR3YVGFfEpyFESummAta6sg/edit"", ""Sheet1!B:D""), 2, FALSE), ""Not Found"")"),"gəmz")</f>
        <v>gəmz</v>
      </c>
      <c r="E4489" s="2" t="str">
        <f>IFERROR(__xludf.DUMMYFUNCTION("IFERROR(VLOOKUP(A4489, IMPORTRANGE(""https://docs.google.com/spreadsheets/d/1-3Vjw2Cyy-mry5gbC8ypIR3YVGFfEpyFESummAta6sg/edit"", ""Sheet1!B:D""), 3, FALSE), ""Not Found"")"),"g ə m z ")</f>
        <v>g ə m z </v>
      </c>
    </row>
    <row r="4490">
      <c r="A4490" s="1" t="s">
        <v>4491</v>
      </c>
      <c r="B4490" s="1" t="s">
        <v>5</v>
      </c>
      <c r="C4490" s="2">
        <f>IFERROR(__xludf.DUMMYFUNCTION("IFERROR(VLOOKUP(A4490, IMPORTRANGE(""https://docs.google.com/spreadsheets/d/1AVX9GT0dgogEBStecCXMMQ29tWz3gBrtNB8yIromXbY/edit?gid=741673867"", ""out1g!A:B""), 2, FALSE), 0)"),153.0)</f>
        <v>153</v>
      </c>
      <c r="D4490" s="2" t="str">
        <f>IFERROR(__xludf.DUMMYFUNCTION("IFERROR(VLOOKUP(A4490, IMPORTRANGE(""https://docs.google.com/spreadsheets/d/1-3Vjw2Cyy-mry5gbC8ypIR3YVGFfEpyFESummAta6sg/edit"", ""Sheet1!B:D""), 2, FALSE), ""Not Found"")"),"wed")</f>
        <v>wed</v>
      </c>
      <c r="E4490" s="2" t="str">
        <f>IFERROR(__xludf.DUMMYFUNCTION("IFERROR(VLOOKUP(A4490, IMPORTRANGE(""https://docs.google.com/spreadsheets/d/1-3Vjw2Cyy-mry5gbC8ypIR3YVGFfEpyFESummAta6sg/edit"", ""Sheet1!B:D""), 3, FALSE), ""Not Found"")"),"w e d ")</f>
        <v>w e d </v>
      </c>
    </row>
    <row r="4491">
      <c r="A4491" s="1" t="s">
        <v>4492</v>
      </c>
      <c r="B4491" s="1" t="s">
        <v>5</v>
      </c>
      <c r="C4491" s="2">
        <f>IFERROR(__xludf.DUMMYFUNCTION("IFERROR(VLOOKUP(A4491, IMPORTRANGE(""https://docs.google.com/spreadsheets/d/1AVX9GT0dgogEBStecCXMMQ29tWz3gBrtNB8yIromXbY/edit?gid=741673867"", ""out1g!A:B""), 2, FALSE), 0)"),209.0)</f>
        <v>209</v>
      </c>
      <c r="D4491" s="2" t="str">
        <f>IFERROR(__xludf.DUMMYFUNCTION("IFERROR(VLOOKUP(A4491, IMPORTRANGE(""https://docs.google.com/spreadsheets/d/1-3Vjw2Cyy-mry5gbC8ypIR3YVGFfEpyFESummAta6sg/edit"", ""Sheet1!B:D""), 2, FALSE), ""Not Found"")"),"tin")</f>
        <v>tin</v>
      </c>
      <c r="E4491" s="2" t="str">
        <f>IFERROR(__xludf.DUMMYFUNCTION("IFERROR(VLOOKUP(A4491, IMPORTRANGE(""https://docs.google.com/spreadsheets/d/1-3Vjw2Cyy-mry5gbC8ypIR3YVGFfEpyFESummAta6sg/edit"", ""Sheet1!B:D""), 3, FALSE), ""Not Found"")"),"t i n ")</f>
        <v>t i n </v>
      </c>
    </row>
    <row r="4492">
      <c r="A4492" s="1" t="s">
        <v>4493</v>
      </c>
      <c r="B4492" s="1" t="s">
        <v>5</v>
      </c>
      <c r="C4492" s="2">
        <f>IFERROR(__xludf.DUMMYFUNCTION("IFERROR(VLOOKUP(A4492, IMPORTRANGE(""https://docs.google.com/spreadsheets/d/1AVX9GT0dgogEBStecCXMMQ29tWz3gBrtNB8yIromXbY/edit?gid=741673867"", ""out1g!A:B""), 2, FALSE), 0)"),95.0)</f>
        <v>95</v>
      </c>
      <c r="D4492" s="2" t="str">
        <f>IFERROR(__xludf.DUMMYFUNCTION("IFERROR(VLOOKUP(A4492, IMPORTRANGE(""https://docs.google.com/spreadsheets/d/1-3Vjw2Cyy-mry5gbC8ypIR3YVGFfEpyFESummAta6sg/edit"", ""Sheet1!B:D""), 2, FALSE), ""Not Found"")"),"mɪlki")</f>
        <v>mɪlki</v>
      </c>
      <c r="E4492" s="2" t="str">
        <f>IFERROR(__xludf.DUMMYFUNCTION("IFERROR(VLOOKUP(A4492, IMPORTRANGE(""https://docs.google.com/spreadsheets/d/1-3Vjw2Cyy-mry5gbC8ypIR3YVGFfEpyFESummAta6sg/edit"", ""Sheet1!B:D""), 3, FALSE), ""Not Found"")"),"m ɪ l k i ")</f>
        <v>m ɪ l k i </v>
      </c>
    </row>
    <row r="4493">
      <c r="A4493" s="1" t="s">
        <v>4494</v>
      </c>
      <c r="B4493" s="1" t="s">
        <v>5</v>
      </c>
      <c r="C4493" s="2">
        <f>IFERROR(__xludf.DUMMYFUNCTION("IFERROR(VLOOKUP(A4493, IMPORTRANGE(""https://docs.google.com/spreadsheets/d/1AVX9GT0dgogEBStecCXMMQ29tWz3gBrtNB8yIromXbY/edit?gid=741673867"", ""out1g!A:B""), 2, FALSE), 0)"),667.0)</f>
        <v>667</v>
      </c>
      <c r="D4493" s="2" t="str">
        <f>IFERROR(__xludf.DUMMYFUNCTION("IFERROR(VLOOKUP(A4493, IMPORTRANGE(""https://docs.google.com/spreadsheets/d/1-3Vjw2Cyy-mry5gbC8ypIR3YVGFfEpyFESummAta6sg/edit"", ""Sheet1!B:D""), 2, FALSE), ""Not Found"")"),"stroʊk")</f>
        <v>stroʊk</v>
      </c>
      <c r="E4493" s="2" t="str">
        <f>IFERROR(__xludf.DUMMYFUNCTION("IFERROR(VLOOKUP(A4493, IMPORTRANGE(""https://docs.google.com/spreadsheets/d/1-3Vjw2Cyy-mry5gbC8ypIR3YVGFfEpyFESummAta6sg/edit"", ""Sheet1!B:D""), 3, FALSE), ""Not Found"")"),"s t r o ʊ k ")</f>
        <v>s t r o ʊ k </v>
      </c>
    </row>
    <row r="4494">
      <c r="A4494" s="1" t="s">
        <v>4495</v>
      </c>
      <c r="B4494" s="1" t="s">
        <v>5</v>
      </c>
      <c r="C4494" s="2">
        <f>IFERROR(__xludf.DUMMYFUNCTION("IFERROR(VLOOKUP(A4494, IMPORTRANGE(""https://docs.google.com/spreadsheets/d/1AVX9GT0dgogEBStecCXMMQ29tWz3gBrtNB8yIromXbY/edit?gid=741673867"", ""out1g!A:B""), 2, FALSE), 0)"),799.0)</f>
        <v>799</v>
      </c>
      <c r="D4494" s="2" t="str">
        <f>IFERROR(__xludf.DUMMYFUNCTION("IFERROR(VLOOKUP(A4494, IMPORTRANGE(""https://docs.google.com/spreadsheets/d/1-3Vjw2Cyy-mry5gbC8ypIR3YVGFfEpyFESummAta6sg/edit"", ""Sheet1!B:D""), 2, FALSE), ""Not Found"")"),"pərl")</f>
        <v>pərl</v>
      </c>
      <c r="E4494" s="2" t="str">
        <f>IFERROR(__xludf.DUMMYFUNCTION("IFERROR(VLOOKUP(A4494, IMPORTRANGE(""https://docs.google.com/spreadsheets/d/1-3Vjw2Cyy-mry5gbC8ypIR3YVGFfEpyFESummAta6sg/edit"", ""Sheet1!B:D""), 3, FALSE), ""Not Found"")"),"p ə r l ")</f>
        <v>p ə r l </v>
      </c>
    </row>
    <row r="4495">
      <c r="A4495" s="1" t="s">
        <v>4496</v>
      </c>
      <c r="B4495" s="1" t="s">
        <v>5</v>
      </c>
      <c r="C4495" s="2">
        <f>IFERROR(__xludf.DUMMYFUNCTION("IFERROR(VLOOKUP(A4495, IMPORTRANGE(""https://docs.google.com/spreadsheets/d/1AVX9GT0dgogEBStecCXMMQ29tWz3gBrtNB8yIromXbY/edit?gid=741673867"", ""out1g!A:B""), 2, FALSE), 0)"),53.0)</f>
        <v>53</v>
      </c>
      <c r="D4495" s="2" t="str">
        <f>IFERROR(__xludf.DUMMYFUNCTION("IFERROR(VLOOKUP(A4495, IMPORTRANGE(""https://docs.google.com/spreadsheets/d/1-3Vjw2Cyy-mry5gbC8ypIR3YVGFfEpyFESummAta6sg/edit"", ""Sheet1!B:D""), 2, FALSE), ""Not Found"")"),"koʊpɪŋ")</f>
        <v>koʊpɪŋ</v>
      </c>
      <c r="E4495" s="2" t="str">
        <f>IFERROR(__xludf.DUMMYFUNCTION("IFERROR(VLOOKUP(A4495, IMPORTRANGE(""https://docs.google.com/spreadsheets/d/1-3Vjw2Cyy-mry5gbC8ypIR3YVGFfEpyFESummAta6sg/edit"", ""Sheet1!B:D""), 3, FALSE), ""Not Found"")"),"k o ʊ p ɪ ŋ ")</f>
        <v>k o ʊ p ɪ ŋ </v>
      </c>
    </row>
    <row r="4496">
      <c r="A4496" s="1" t="s">
        <v>4497</v>
      </c>
      <c r="B4496" s="1" t="s">
        <v>5</v>
      </c>
      <c r="C4496" s="2">
        <f>IFERROR(__xludf.DUMMYFUNCTION("IFERROR(VLOOKUP(A4496, IMPORTRANGE(""https://docs.google.com/spreadsheets/d/1AVX9GT0dgogEBStecCXMMQ29tWz3gBrtNB8yIromXbY/edit?gid=741673867"", ""out1g!A:B""), 2, FALSE), 0)"),844.0)</f>
        <v>844</v>
      </c>
      <c r="D4496" s="2" t="str">
        <f>IFERROR(__xludf.DUMMYFUNCTION("IFERROR(VLOOKUP(A4496, IMPORTRANGE(""https://docs.google.com/spreadsheets/d/1-3Vjw2Cyy-mry5gbC8ypIR3YVGFfEpyFESummAta6sg/edit"", ""Sheet1!B:D""), 2, FALSE), ""Not Found"")"),"ʤɛnəl")</f>
        <v>ʤɛnəl</v>
      </c>
      <c r="E4496" s="2" t="str">
        <f>IFERROR(__xludf.DUMMYFUNCTION("IFERROR(VLOOKUP(A4496, IMPORTRANGE(""https://docs.google.com/spreadsheets/d/1-3Vjw2Cyy-mry5gbC8ypIR3YVGFfEpyFESummAta6sg/edit"", ""Sheet1!B:D""), 3, FALSE), ""Not Found"")"),"ʤ ɛ n ə l ")</f>
        <v>ʤ ɛ n ə l </v>
      </c>
    </row>
    <row r="4497">
      <c r="A4497" s="1" t="s">
        <v>4498</v>
      </c>
      <c r="B4497" s="1" t="s">
        <v>5</v>
      </c>
      <c r="C4497" s="2">
        <f>IFERROR(__xludf.DUMMYFUNCTION("IFERROR(VLOOKUP(A4497, IMPORTRANGE(""https://docs.google.com/spreadsheets/d/1AVX9GT0dgogEBStecCXMMQ29tWz3gBrtNB8yIromXbY/edit?gid=741673867"", ""out1g!A:B""), 2, FALSE), 0)"),466.0)</f>
        <v>466</v>
      </c>
      <c r="D4497" s="2" t="str">
        <f>IFERROR(__xludf.DUMMYFUNCTION("IFERROR(VLOOKUP(A4497, IMPORTRANGE(""https://docs.google.com/spreadsheets/d/1-3Vjw2Cyy-mry5gbC8ypIR3YVGFfEpyFESummAta6sg/edit"", ""Sheet1!B:D""), 2, FALSE), ""Not Found"")"),"snæk")</f>
        <v>snæk</v>
      </c>
      <c r="E4497" s="2" t="str">
        <f>IFERROR(__xludf.DUMMYFUNCTION("IFERROR(VLOOKUP(A4497, IMPORTRANGE(""https://docs.google.com/spreadsheets/d/1-3Vjw2Cyy-mry5gbC8ypIR3YVGFfEpyFESummAta6sg/edit"", ""Sheet1!B:D""), 3, FALSE), ""Not Found"")"),"s n æ k ")</f>
        <v>s n æ k </v>
      </c>
    </row>
    <row r="4498">
      <c r="A4498" s="1" t="s">
        <v>4499</v>
      </c>
      <c r="B4498" s="1" t="s">
        <v>5</v>
      </c>
      <c r="C4498" s="2">
        <f>IFERROR(__xludf.DUMMYFUNCTION("IFERROR(VLOOKUP(A4498, IMPORTRANGE(""https://docs.google.com/spreadsheets/d/1AVX9GT0dgogEBStecCXMMQ29tWz3gBrtNB8yIromXbY/edit?gid=741673867"", ""out1g!A:B""), 2, FALSE), 0)"),8577.0)</f>
        <v>8577</v>
      </c>
      <c r="D4498" s="2" t="str">
        <f>IFERROR(__xludf.DUMMYFUNCTION("IFERROR(VLOOKUP(A4498, IMPORTRANGE(""https://docs.google.com/spreadsheets/d/1-3Vjw2Cyy-mry5gbC8ypIR3YVGFfEpyFESummAta6sg/edit"", ""Sheet1!B:D""), 2, FALSE), ""Not Found"")"),"filɪŋ")</f>
        <v>filɪŋ</v>
      </c>
      <c r="E4498" s="2" t="str">
        <f>IFERROR(__xludf.DUMMYFUNCTION("IFERROR(VLOOKUP(A4498, IMPORTRANGE(""https://docs.google.com/spreadsheets/d/1-3Vjw2Cyy-mry5gbC8ypIR3YVGFfEpyFESummAta6sg/edit"", ""Sheet1!B:D""), 3, FALSE), ""Not Found"")"),"f i l ɪ ŋ ")</f>
        <v>f i l ɪ ŋ </v>
      </c>
    </row>
    <row r="4499">
      <c r="A4499" s="1" t="s">
        <v>4500</v>
      </c>
      <c r="B4499" s="1" t="s">
        <v>5</v>
      </c>
      <c r="C4499" s="2">
        <f>IFERROR(__xludf.DUMMYFUNCTION("IFERROR(VLOOKUP(A4499, IMPORTRANGE(""https://docs.google.com/spreadsheets/d/1AVX9GT0dgogEBStecCXMMQ29tWz3gBrtNB8yIromXbY/edit?gid=741673867"", ""out1g!A:B""), 2, FALSE), 0)"),227.0)</f>
        <v>227</v>
      </c>
      <c r="D4499" s="2" t="str">
        <f>IFERROR(__xludf.DUMMYFUNCTION("IFERROR(VLOOKUP(A4499, IMPORTRANGE(""https://docs.google.com/spreadsheets/d/1-3Vjw2Cyy-mry5gbC8ypIR3YVGFfEpyFESummAta6sg/edit"", ""Sheet1!B:D""), 2, FALSE), ""Not Found"")"),"kəlt")</f>
        <v>kəlt</v>
      </c>
      <c r="E4499" s="2" t="str">
        <f>IFERROR(__xludf.DUMMYFUNCTION("IFERROR(VLOOKUP(A4499, IMPORTRANGE(""https://docs.google.com/spreadsheets/d/1-3Vjw2Cyy-mry5gbC8ypIR3YVGFfEpyFESummAta6sg/edit"", ""Sheet1!B:D""), 3, FALSE), ""Not Found"")"),"k ə l t ")</f>
        <v>k ə l t </v>
      </c>
    </row>
    <row r="4500">
      <c r="A4500" s="1" t="s">
        <v>4501</v>
      </c>
      <c r="B4500" s="1" t="s">
        <v>5</v>
      </c>
      <c r="C4500" s="2">
        <f>IFERROR(__xludf.DUMMYFUNCTION("IFERROR(VLOOKUP(A4500, IMPORTRANGE(""https://docs.google.com/spreadsheets/d/1AVX9GT0dgogEBStecCXMMQ29tWz3gBrtNB8yIromXbY/edit?gid=741673867"", ""out1g!A:B""), 2, FALSE), 0)"),98.0)</f>
        <v>98</v>
      </c>
      <c r="D4500" s="2" t="str">
        <f>IFERROR(__xludf.DUMMYFUNCTION("IFERROR(VLOOKUP(A4500, IMPORTRANGE(""https://docs.google.com/spreadsheets/d/1-3Vjw2Cyy-mry5gbC8ypIR3YVGFfEpyFESummAta6sg/edit"", ""Sheet1!B:D""), 2, FALSE), ""Not Found"")"),"fedz")</f>
        <v>fedz</v>
      </c>
      <c r="E4500" s="2" t="str">
        <f>IFERROR(__xludf.DUMMYFUNCTION("IFERROR(VLOOKUP(A4500, IMPORTRANGE(""https://docs.google.com/spreadsheets/d/1-3Vjw2Cyy-mry5gbC8ypIR3YVGFfEpyFESummAta6sg/edit"", ""Sheet1!B:D""), 3, FALSE), ""Not Found"")"),"f e d z ")</f>
        <v>f e d z </v>
      </c>
    </row>
    <row r="4501">
      <c r="A4501" s="1" t="s">
        <v>4502</v>
      </c>
      <c r="B4501" s="1" t="s">
        <v>5</v>
      </c>
      <c r="C4501" s="2">
        <f>IFERROR(__xludf.DUMMYFUNCTION("IFERROR(VLOOKUP(A4501, IMPORTRANGE(""https://docs.google.com/spreadsheets/d/1AVX9GT0dgogEBStecCXMMQ29tWz3gBrtNB8yIromXbY/edit?gid=741673867"", ""out1g!A:B""), 2, FALSE), 0)"),21984.0)</f>
        <v>21984</v>
      </c>
      <c r="D4501" s="2" t="str">
        <f>IFERROR(__xludf.DUMMYFUNCTION("IFERROR(VLOOKUP(A4501, IMPORTRANGE(""https://docs.google.com/spreadsheets/d/1-3Vjw2Cyy-mry5gbC8ypIR3YVGFfEpyFESummAta6sg/edit"", ""Sheet1!B:D""), 2, FALSE), ""Not Found"")"),"wɔzn")</f>
        <v>wɔzn</v>
      </c>
      <c r="E4501" s="2" t="str">
        <f>IFERROR(__xludf.DUMMYFUNCTION("IFERROR(VLOOKUP(A4501, IMPORTRANGE(""https://docs.google.com/spreadsheets/d/1-3Vjw2Cyy-mry5gbC8ypIR3YVGFfEpyFESummAta6sg/edit"", ""Sheet1!B:D""), 3, FALSE), ""Not Found"")"),"w ɔ z n ")</f>
        <v>w ɔ z n </v>
      </c>
    </row>
    <row r="4502">
      <c r="A4502" s="1" t="s">
        <v>4503</v>
      </c>
      <c r="B4502" s="1" t="s">
        <v>5</v>
      </c>
      <c r="C4502" s="2">
        <f>IFERROR(__xludf.DUMMYFUNCTION("IFERROR(VLOOKUP(A4502, IMPORTRANGE(""https://docs.google.com/spreadsheets/d/1AVX9GT0dgogEBStecCXMMQ29tWz3gBrtNB8yIromXbY/edit?gid=741673867"", ""out1g!A:B""), 2, FALSE), 0)"),1315.0)</f>
        <v>1315</v>
      </c>
      <c r="D4502" s="2" t="str">
        <f>IFERROR(__xludf.DUMMYFUNCTION("IFERROR(VLOOKUP(A4502, IMPORTRANGE(""https://docs.google.com/spreadsheets/d/1-3Vjw2Cyy-mry5gbC8ypIR3YVGFfEpyFESummAta6sg/edit"", ""Sheet1!B:D""), 2, FALSE), ""Not Found"")"),"stʊd")</f>
        <v>stʊd</v>
      </c>
      <c r="E4502" s="2" t="str">
        <f>IFERROR(__xludf.DUMMYFUNCTION("IFERROR(VLOOKUP(A4502, IMPORTRANGE(""https://docs.google.com/spreadsheets/d/1-3Vjw2Cyy-mry5gbC8ypIR3YVGFfEpyFESummAta6sg/edit"", ""Sheet1!B:D""), 3, FALSE), ""Not Found"")"),"s t ʊ d ")</f>
        <v>s t ʊ d </v>
      </c>
    </row>
    <row r="4503">
      <c r="A4503" s="1" t="s">
        <v>4504</v>
      </c>
      <c r="B4503" s="1" t="s">
        <v>5</v>
      </c>
      <c r="C4503" s="2">
        <f>IFERROR(__xludf.DUMMYFUNCTION("IFERROR(VLOOKUP(A4503, IMPORTRANGE(""https://docs.google.com/spreadsheets/d/1AVX9GT0dgogEBStecCXMMQ29tWz3gBrtNB8yIromXbY/edit?gid=741673867"", ""out1g!A:B""), 2, FALSE), 0)"),2291.0)</f>
        <v>2291</v>
      </c>
      <c r="D4503" s="2" t="str">
        <f>IFERROR(__xludf.DUMMYFUNCTION("IFERROR(VLOOKUP(A4503, IMPORTRANGE(""https://docs.google.com/spreadsheets/d/1-3Vjw2Cyy-mry5gbC8ypIR3YVGFfEpyFESummAta6sg/edit"", ""Sheet1!B:D""), 2, FALSE), ""Not Found"")"),"brɛθ")</f>
        <v>brɛθ</v>
      </c>
      <c r="E4503" s="2" t="str">
        <f>IFERROR(__xludf.DUMMYFUNCTION("IFERROR(VLOOKUP(A4503, IMPORTRANGE(""https://docs.google.com/spreadsheets/d/1-3Vjw2Cyy-mry5gbC8ypIR3YVGFfEpyFESummAta6sg/edit"", ""Sheet1!B:D""), 3, FALSE), ""Not Found"")"),"b r ɛ θ ")</f>
        <v>b r ɛ θ </v>
      </c>
    </row>
    <row r="4504">
      <c r="A4504" s="1" t="s">
        <v>4505</v>
      </c>
      <c r="B4504" s="1" t="s">
        <v>5</v>
      </c>
      <c r="C4504" s="2">
        <f>IFERROR(__xludf.DUMMYFUNCTION("IFERROR(VLOOKUP(A4504, IMPORTRANGE(""https://docs.google.com/spreadsheets/d/1AVX9GT0dgogEBStecCXMMQ29tWz3gBrtNB8yIromXbY/edit?gid=741673867"", ""out1g!A:B""), 2, FALSE), 0)"),483.0)</f>
        <v>483</v>
      </c>
      <c r="D4504" s="2" t="str">
        <f>IFERROR(__xludf.DUMMYFUNCTION("IFERROR(VLOOKUP(A4504, IMPORTRANGE(""https://docs.google.com/spreadsheets/d/1-3Vjw2Cyy-mry5gbC8ypIR3YVGFfEpyFESummAta6sg/edit"", ""Sheet1!B:D""), 2, FALSE), ""Not Found"")"),"lui")</f>
        <v>lui</v>
      </c>
      <c r="E4504" s="2" t="str">
        <f>IFERROR(__xludf.DUMMYFUNCTION("IFERROR(VLOOKUP(A4504, IMPORTRANGE(""https://docs.google.com/spreadsheets/d/1-3Vjw2Cyy-mry5gbC8ypIR3YVGFfEpyFESummAta6sg/edit"", ""Sheet1!B:D""), 3, FALSE), ""Not Found"")"),"l u i ")</f>
        <v>l u i </v>
      </c>
    </row>
    <row r="4505">
      <c r="A4505" s="1" t="s">
        <v>4506</v>
      </c>
      <c r="B4505" s="1" t="s">
        <v>5</v>
      </c>
      <c r="C4505" s="2">
        <f>IFERROR(__xludf.DUMMYFUNCTION("IFERROR(VLOOKUP(A4505, IMPORTRANGE(""https://docs.google.com/spreadsheets/d/1AVX9GT0dgogEBStecCXMMQ29tWz3gBrtNB8yIromXbY/edit?gid=741673867"", ""out1g!A:B""), 2, FALSE), 0)"),333.0)</f>
        <v>333</v>
      </c>
      <c r="D4505" s="2" t="str">
        <f>IFERROR(__xludf.DUMMYFUNCTION("IFERROR(VLOOKUP(A4505, IMPORTRANGE(""https://docs.google.com/spreadsheets/d/1-3Vjw2Cyy-mry5gbC8ypIR3YVGFfEpyFESummAta6sg/edit"", ""Sheet1!B:D""), 2, FALSE), ""Not Found"")"),"haɪk")</f>
        <v>haɪk</v>
      </c>
      <c r="E4505" s="2" t="str">
        <f>IFERROR(__xludf.DUMMYFUNCTION("IFERROR(VLOOKUP(A4505, IMPORTRANGE(""https://docs.google.com/spreadsheets/d/1-3Vjw2Cyy-mry5gbC8ypIR3YVGFfEpyFESummAta6sg/edit"", ""Sheet1!B:D""), 3, FALSE), ""Not Found"")"),"h a ɪ k ")</f>
        <v>h a ɪ k </v>
      </c>
    </row>
    <row r="4506">
      <c r="A4506" s="1" t="s">
        <v>4507</v>
      </c>
      <c r="B4506" s="1" t="s">
        <v>5</v>
      </c>
      <c r="C4506" s="2">
        <f>IFERROR(__xludf.DUMMYFUNCTION("IFERROR(VLOOKUP(A4506, IMPORTRANGE(""https://docs.google.com/spreadsheets/d/1AVX9GT0dgogEBStecCXMMQ29tWz3gBrtNB8yIromXbY/edit?gid=741673867"", ""out1g!A:B""), 2, FALSE), 0)"),289.0)</f>
        <v>289</v>
      </c>
      <c r="D4506" s="2" t="str">
        <f>IFERROR(__xludf.DUMMYFUNCTION("IFERROR(VLOOKUP(A4506, IMPORTRANGE(""https://docs.google.com/spreadsheets/d/1-3Vjw2Cyy-mry5gbC8ypIR3YVGFfEpyFESummAta6sg/edit"", ""Sheet1!B:D""), 2, FALSE), ""Not Found"")"),"dɑlz")</f>
        <v>dɑlz</v>
      </c>
      <c r="E4506" s="2" t="str">
        <f>IFERROR(__xludf.DUMMYFUNCTION("IFERROR(VLOOKUP(A4506, IMPORTRANGE(""https://docs.google.com/spreadsheets/d/1-3Vjw2Cyy-mry5gbC8ypIR3YVGFfEpyFESummAta6sg/edit"", ""Sheet1!B:D""), 3, FALSE), ""Not Found"")"),"d ɑ l z ")</f>
        <v>d ɑ l z </v>
      </c>
    </row>
    <row r="4507">
      <c r="A4507" s="1" t="s">
        <v>4508</v>
      </c>
      <c r="B4507" s="1" t="s">
        <v>5</v>
      </c>
      <c r="C4507" s="2">
        <f>IFERROR(__xludf.DUMMYFUNCTION("IFERROR(VLOOKUP(A4507, IMPORTRANGE(""https://docs.google.com/spreadsheets/d/1AVX9GT0dgogEBStecCXMMQ29tWz3gBrtNB8yIromXbY/edit?gid=741673867"", ""out1g!A:B""), 2, FALSE), 0)"),6638.0)</f>
        <v>6638</v>
      </c>
      <c r="D4507" s="2" t="str">
        <f>IFERROR(__xludf.DUMMYFUNCTION("IFERROR(VLOOKUP(A4507, IMPORTRANGE(""https://docs.google.com/spreadsheets/d/1-3Vjw2Cyy-mry5gbC8ypIR3YVGFfEpyFESummAta6sg/edit"", ""Sheet1!B:D""), 2, FALSE), ""Not Found"")"),"koʊld")</f>
        <v>koʊld</v>
      </c>
      <c r="E4507" s="2" t="str">
        <f>IFERROR(__xludf.DUMMYFUNCTION("IFERROR(VLOOKUP(A4507, IMPORTRANGE(""https://docs.google.com/spreadsheets/d/1-3Vjw2Cyy-mry5gbC8ypIR3YVGFfEpyFESummAta6sg/edit"", ""Sheet1!B:D""), 3, FALSE), ""Not Found"")"),"k o ʊ l d ")</f>
        <v>k o ʊ l d </v>
      </c>
    </row>
    <row r="4508">
      <c r="A4508" s="1" t="s">
        <v>4509</v>
      </c>
      <c r="B4508" s="1" t="s">
        <v>5</v>
      </c>
      <c r="C4508" s="2">
        <f>IFERROR(__xludf.DUMMYFUNCTION("IFERROR(VLOOKUP(A4508, IMPORTRANGE(""https://docs.google.com/spreadsheets/d/1AVX9GT0dgogEBStecCXMMQ29tWz3gBrtNB8yIromXbY/edit?gid=741673867"", ""out1g!A:B""), 2, FALSE), 0)"),282.0)</f>
        <v>282</v>
      </c>
      <c r="D4508" s="2" t="str">
        <f>IFERROR(__xludf.DUMMYFUNCTION("IFERROR(VLOOKUP(A4508, IMPORTRANGE(""https://docs.google.com/spreadsheets/d/1-3Vjw2Cyy-mry5gbC8ypIR3YVGFfEpyFESummAta6sg/edit"", ""Sheet1!B:D""), 2, FALSE), ""Not Found"")"),"səbmɪt")</f>
        <v>səbmɪt</v>
      </c>
      <c r="E4508" s="2" t="str">
        <f>IFERROR(__xludf.DUMMYFUNCTION("IFERROR(VLOOKUP(A4508, IMPORTRANGE(""https://docs.google.com/spreadsheets/d/1-3Vjw2Cyy-mry5gbC8ypIR3YVGFfEpyFESummAta6sg/edit"", ""Sheet1!B:D""), 3, FALSE), ""Not Found"")"),"s ə b m ɪ t ")</f>
        <v>s ə b m ɪ t </v>
      </c>
    </row>
    <row r="4509">
      <c r="A4509" s="1" t="s">
        <v>4510</v>
      </c>
      <c r="B4509" s="1" t="s">
        <v>5</v>
      </c>
      <c r="C4509" s="2">
        <f>IFERROR(__xludf.DUMMYFUNCTION("IFERROR(VLOOKUP(A4509, IMPORTRANGE(""https://docs.google.com/spreadsheets/d/1AVX9GT0dgogEBStecCXMMQ29tWz3gBrtNB8yIromXbY/edit?gid=741673867"", ""out1g!A:B""), 2, FALSE), 0)"),15.0)</f>
        <v>15</v>
      </c>
      <c r="D4509" s="2" t="str">
        <f>IFERROR(__xludf.DUMMYFUNCTION("IFERROR(VLOOKUP(A4509, IMPORTRANGE(""https://docs.google.com/spreadsheets/d/1-3Vjw2Cyy-mry5gbC8ypIR3YVGFfEpyFESummAta6sg/edit"", ""Sheet1!B:D""), 2, FALSE), ""Not Found"")"),"æst")</f>
        <v>æst</v>
      </c>
      <c r="E4509" s="2" t="str">
        <f>IFERROR(__xludf.DUMMYFUNCTION("IFERROR(VLOOKUP(A4509, IMPORTRANGE(""https://docs.google.com/spreadsheets/d/1-3Vjw2Cyy-mry5gbC8ypIR3YVGFfEpyFESummAta6sg/edit"", ""Sheet1!B:D""), 3, FALSE), ""Not Found"")"),"æ s t ")</f>
        <v>æ s t </v>
      </c>
    </row>
    <row r="4510">
      <c r="A4510" s="1" t="s">
        <v>4511</v>
      </c>
      <c r="B4510" s="1" t="s">
        <v>5</v>
      </c>
      <c r="C4510" s="2">
        <f>IFERROR(__xludf.DUMMYFUNCTION("IFERROR(VLOOKUP(A4510, IMPORTRANGE(""https://docs.google.com/spreadsheets/d/1AVX9GT0dgogEBStecCXMMQ29tWz3gBrtNB8yIromXbY/edit?gid=741673867"", ""out1g!A:B""), 2, FALSE), 0)"),122.0)</f>
        <v>122</v>
      </c>
      <c r="D4510" s="2" t="str">
        <f>IFERROR(__xludf.DUMMYFUNCTION("IFERROR(VLOOKUP(A4510, IMPORTRANGE(""https://docs.google.com/spreadsheets/d/1-3Vjw2Cyy-mry5gbC8ypIR3YVGFfEpyFESummAta6sg/edit"", ""Sheet1!B:D""), 2, FALSE), ""Not Found"")"),"tɑrt")</f>
        <v>tɑrt</v>
      </c>
      <c r="E4510" s="2" t="str">
        <f>IFERROR(__xludf.DUMMYFUNCTION("IFERROR(VLOOKUP(A4510, IMPORTRANGE(""https://docs.google.com/spreadsheets/d/1-3Vjw2Cyy-mry5gbC8ypIR3YVGFfEpyFESummAta6sg/edit"", ""Sheet1!B:D""), 3, FALSE), ""Not Found"")"),"t ɑ r t ")</f>
        <v>t ɑ r t </v>
      </c>
    </row>
    <row r="4511">
      <c r="A4511" s="1" t="s">
        <v>4512</v>
      </c>
      <c r="B4511" s="1" t="s">
        <v>5</v>
      </c>
      <c r="C4511" s="2">
        <f>IFERROR(__xludf.DUMMYFUNCTION("IFERROR(VLOOKUP(A4511, IMPORTRANGE(""https://docs.google.com/spreadsheets/d/1AVX9GT0dgogEBStecCXMMQ29tWz3gBrtNB8yIromXbY/edit?gid=741673867"", ""out1g!A:B""), 2, FALSE), 0)"),60098.0)</f>
        <v>60098</v>
      </c>
      <c r="D4511" s="2" t="str">
        <f>IFERROR(__xludf.DUMMYFUNCTION("IFERROR(VLOOKUP(A4511, IMPORTRANGE(""https://docs.google.com/spreadsheets/d/1-3Vjw2Cyy-mry5gbC8ypIR3YVGFfEpyFESummAta6sg/edit"", ""Sheet1!B:D""), 2, FALSE), ""Not Found"")"),"mɪstər")</f>
        <v>mɪstər</v>
      </c>
      <c r="E4511" s="2" t="str">
        <f>IFERROR(__xludf.DUMMYFUNCTION("IFERROR(VLOOKUP(A4511, IMPORTRANGE(""https://docs.google.com/spreadsheets/d/1-3Vjw2Cyy-mry5gbC8ypIR3YVGFfEpyFESummAta6sg/edit"", ""Sheet1!B:D""), 3, FALSE), ""Not Found"")"),"m ɪ s t ə r ")</f>
        <v>m ɪ s t ə r </v>
      </c>
    </row>
    <row r="4512">
      <c r="A4512" s="1" t="s">
        <v>4513</v>
      </c>
      <c r="B4512" s="1" t="s">
        <v>5</v>
      </c>
      <c r="C4512" s="2">
        <f>IFERROR(__xludf.DUMMYFUNCTION("IFERROR(VLOOKUP(A4512, IMPORTRANGE(""https://docs.google.com/spreadsheets/d/1AVX9GT0dgogEBStecCXMMQ29tWz3gBrtNB8yIromXbY/edit?gid=741673867"", ""out1g!A:B""), 2, FALSE), 0)"),214.0)</f>
        <v>214</v>
      </c>
      <c r="D4512" s="2" t="str">
        <f>IFERROR(__xludf.DUMMYFUNCTION("IFERROR(VLOOKUP(A4512, IMPORTRANGE(""https://docs.google.com/spreadsheets/d/1-3Vjw2Cyy-mry5gbC8ypIR3YVGFfEpyFESummAta6sg/edit"", ""Sheet1!B:D""), 2, FALSE), ""Not Found"")"),"koʊkə")</f>
        <v>koʊkə</v>
      </c>
      <c r="E4512" s="2" t="str">
        <f>IFERROR(__xludf.DUMMYFUNCTION("IFERROR(VLOOKUP(A4512, IMPORTRANGE(""https://docs.google.com/spreadsheets/d/1-3Vjw2Cyy-mry5gbC8ypIR3YVGFfEpyFESummAta6sg/edit"", ""Sheet1!B:D""), 3, FALSE), ""Not Found"")"),"k o ʊ k ə ")</f>
        <v>k o ʊ k ə </v>
      </c>
    </row>
    <row r="4513">
      <c r="A4513" s="1" t="s">
        <v>4514</v>
      </c>
      <c r="B4513" s="1" t="s">
        <v>5</v>
      </c>
      <c r="C4513" s="2">
        <f>IFERROR(__xludf.DUMMYFUNCTION("IFERROR(VLOOKUP(A4513, IMPORTRANGE(""https://docs.google.com/spreadsheets/d/1AVX9GT0dgogEBStecCXMMQ29tWz3gBrtNB8yIromXbY/edit?gid=741673867"", ""out1g!A:B""), 2, FALSE), 0)"),51.0)</f>
        <v>51</v>
      </c>
      <c r="D4513" s="2" t="str">
        <f>IFERROR(__xludf.DUMMYFUNCTION("IFERROR(VLOOKUP(A4513, IMPORTRANGE(""https://docs.google.com/spreadsheets/d/1-3Vjw2Cyy-mry5gbC8ypIR3YVGFfEpyFESummAta6sg/edit"", ""Sheet1!B:D""), 2, FALSE), ""Not Found"")"),"tɔɪl")</f>
        <v>tɔɪl</v>
      </c>
      <c r="E4513" s="2" t="str">
        <f>IFERROR(__xludf.DUMMYFUNCTION("IFERROR(VLOOKUP(A4513, IMPORTRANGE(""https://docs.google.com/spreadsheets/d/1-3Vjw2Cyy-mry5gbC8ypIR3YVGFfEpyFESummAta6sg/edit"", ""Sheet1!B:D""), 3, FALSE), ""Not Found"")"),"t ɔ ɪ l ")</f>
        <v>t ɔ ɪ l </v>
      </c>
    </row>
    <row r="4514">
      <c r="A4514" s="1" t="s">
        <v>4515</v>
      </c>
      <c r="B4514" s="1" t="s">
        <v>5</v>
      </c>
      <c r="C4514" s="2">
        <f>IFERROR(__xludf.DUMMYFUNCTION("IFERROR(VLOOKUP(A4514, IMPORTRANGE(""https://docs.google.com/spreadsheets/d/1AVX9GT0dgogEBStecCXMMQ29tWz3gBrtNB8yIromXbY/edit?gid=741673867"", ""out1g!A:B""), 2, FALSE), 0)"),176.0)</f>
        <v>176</v>
      </c>
      <c r="D4514" s="2" t="str">
        <f>IFERROR(__xludf.DUMMYFUNCTION("IFERROR(VLOOKUP(A4514, IMPORTRANGE(""https://docs.google.com/spreadsheets/d/1-3Vjw2Cyy-mry5gbC8ypIR3YVGFfEpyFESummAta6sg/edit"", ""Sheet1!B:D""), 2, FALSE), ""Not Found"")"),"paɪz")</f>
        <v>paɪz</v>
      </c>
      <c r="E4514" s="2" t="str">
        <f>IFERROR(__xludf.DUMMYFUNCTION("IFERROR(VLOOKUP(A4514, IMPORTRANGE(""https://docs.google.com/spreadsheets/d/1-3Vjw2Cyy-mry5gbC8ypIR3YVGFfEpyFESummAta6sg/edit"", ""Sheet1!B:D""), 3, FALSE), ""Not Found"")"),"p a ɪ z ")</f>
        <v>p a ɪ z </v>
      </c>
    </row>
    <row r="4515">
      <c r="A4515" s="1" t="s">
        <v>4516</v>
      </c>
      <c r="B4515" s="1" t="s">
        <v>5</v>
      </c>
      <c r="C4515" s="2">
        <f>IFERROR(__xludf.DUMMYFUNCTION("IFERROR(VLOOKUP(A4515, IMPORTRANGE(""https://docs.google.com/spreadsheets/d/1AVX9GT0dgogEBStecCXMMQ29tWz3gBrtNB8yIromXbY/edit?gid=741673867"", ""out1g!A:B""), 2, FALSE), 0)"),114.0)</f>
        <v>114</v>
      </c>
      <c r="D4515" s="2" t="str">
        <f>IFERROR(__xludf.DUMMYFUNCTION("IFERROR(VLOOKUP(A4515, IMPORTRANGE(""https://docs.google.com/spreadsheets/d/1-3Vjw2Cyy-mry5gbC8ypIR3YVGFfEpyFESummAta6sg/edit"", ""Sheet1!B:D""), 2, FALSE), ""Not Found"")"),"nuks")</f>
        <v>nuks</v>
      </c>
      <c r="E4515" s="2" t="str">
        <f>IFERROR(__xludf.DUMMYFUNCTION("IFERROR(VLOOKUP(A4515, IMPORTRANGE(""https://docs.google.com/spreadsheets/d/1-3Vjw2Cyy-mry5gbC8ypIR3YVGFfEpyFESummAta6sg/edit"", ""Sheet1!B:D""), 3, FALSE), ""Not Found"")"),"n u k s ")</f>
        <v>n u k s </v>
      </c>
    </row>
    <row r="4516">
      <c r="A4516" s="1" t="s">
        <v>4517</v>
      </c>
      <c r="B4516" s="1" t="s">
        <v>5</v>
      </c>
      <c r="C4516" s="2">
        <f>IFERROR(__xludf.DUMMYFUNCTION("IFERROR(VLOOKUP(A4516, IMPORTRANGE(""https://docs.google.com/spreadsheets/d/1AVX9GT0dgogEBStecCXMMQ29tWz3gBrtNB8yIromXbY/edit?gid=741673867"", ""out1g!A:B""), 2, FALSE), 0)"),196.0)</f>
        <v>196</v>
      </c>
      <c r="D4516" s="2" t="str">
        <f>IFERROR(__xludf.DUMMYFUNCTION("IFERROR(VLOOKUP(A4516, IMPORTRANGE(""https://docs.google.com/spreadsheets/d/1-3Vjw2Cyy-mry5gbC8ypIR3YVGFfEpyFESummAta6sg/edit"", ""Sheet1!B:D""), 2, FALSE), ""Not Found"")"),"kriets")</f>
        <v>kriets</v>
      </c>
      <c r="E4516" s="2" t="str">
        <f>IFERROR(__xludf.DUMMYFUNCTION("IFERROR(VLOOKUP(A4516, IMPORTRANGE(""https://docs.google.com/spreadsheets/d/1-3Vjw2Cyy-mry5gbC8ypIR3YVGFfEpyFESummAta6sg/edit"", ""Sheet1!B:D""), 3, FALSE), ""Not Found"")"),"k r i e t s ")</f>
        <v>k r i e t s </v>
      </c>
    </row>
    <row r="4517">
      <c r="A4517" s="1" t="s">
        <v>4518</v>
      </c>
      <c r="B4517" s="1" t="s">
        <v>5</v>
      </c>
      <c r="C4517" s="2">
        <f>IFERROR(__xludf.DUMMYFUNCTION("IFERROR(VLOOKUP(A4517, IMPORTRANGE(""https://docs.google.com/spreadsheets/d/1AVX9GT0dgogEBStecCXMMQ29tWz3gBrtNB8yIromXbY/edit?gid=741673867"", ""out1g!A:B""), 2, FALSE), 0)"),61.0)</f>
        <v>61</v>
      </c>
      <c r="D4517" s="2" t="str">
        <f>IFERROR(__xludf.DUMMYFUNCTION("IFERROR(VLOOKUP(A4517, IMPORTRANGE(""https://docs.google.com/spreadsheets/d/1-3Vjw2Cyy-mry5gbC8ypIR3YVGFfEpyFESummAta6sg/edit"", ""Sheet1!B:D""), 2, FALSE), ""Not Found"")"),"koʊnz")</f>
        <v>koʊnz</v>
      </c>
      <c r="E4517" s="2" t="str">
        <f>IFERROR(__xludf.DUMMYFUNCTION("IFERROR(VLOOKUP(A4517, IMPORTRANGE(""https://docs.google.com/spreadsheets/d/1-3Vjw2Cyy-mry5gbC8ypIR3YVGFfEpyFESummAta6sg/edit"", ""Sheet1!B:D""), 3, FALSE), ""Not Found"")"),"k o ʊ n z ")</f>
        <v>k o ʊ n z </v>
      </c>
    </row>
    <row r="4518">
      <c r="A4518" s="1" t="s">
        <v>4519</v>
      </c>
      <c r="B4518" s="1" t="s">
        <v>5</v>
      </c>
      <c r="C4518" s="2">
        <f>IFERROR(__xludf.DUMMYFUNCTION("IFERROR(VLOOKUP(A4518, IMPORTRANGE(""https://docs.google.com/spreadsheets/d/1AVX9GT0dgogEBStecCXMMQ29tWz3gBrtNB8yIromXbY/edit?gid=741673867"", ""out1g!A:B""), 2, FALSE), 0)"),964.0)</f>
        <v>964</v>
      </c>
      <c r="D4518" s="2" t="str">
        <f>IFERROR(__xludf.DUMMYFUNCTION("IFERROR(VLOOKUP(A4518, IMPORTRANGE(""https://docs.google.com/spreadsheets/d/1-3Vjw2Cyy-mry5gbC8ypIR3YVGFfEpyFESummAta6sg/edit"", ""Sheet1!B:D""), 2, FALSE), ""Not Found"")"),"kərk")</f>
        <v>kərk</v>
      </c>
      <c r="E4518" s="2" t="str">
        <f>IFERROR(__xludf.DUMMYFUNCTION("IFERROR(VLOOKUP(A4518, IMPORTRANGE(""https://docs.google.com/spreadsheets/d/1-3Vjw2Cyy-mry5gbC8ypIR3YVGFfEpyFESummAta6sg/edit"", ""Sheet1!B:D""), 3, FALSE), ""Not Found"")"),"k ə r k ")</f>
        <v>k ə r k </v>
      </c>
    </row>
    <row r="4519">
      <c r="A4519" s="1" t="s">
        <v>4520</v>
      </c>
      <c r="B4519" s="1" t="s">
        <v>5</v>
      </c>
      <c r="C4519" s="2">
        <f>IFERROR(__xludf.DUMMYFUNCTION("IFERROR(VLOOKUP(A4519, IMPORTRANGE(""https://docs.google.com/spreadsheets/d/1AVX9GT0dgogEBStecCXMMQ29tWz3gBrtNB8yIromXbY/edit?gid=741673867"", ""out1g!A:B""), 2, FALSE), 0)"),183.0)</f>
        <v>183</v>
      </c>
      <c r="D4519" s="2" t="str">
        <f>IFERROR(__xludf.DUMMYFUNCTION("IFERROR(VLOOKUP(A4519, IMPORTRANGE(""https://docs.google.com/spreadsheets/d/1-3Vjw2Cyy-mry5gbC8ypIR3YVGFfEpyFESummAta6sg/edit"", ""Sheet1!B:D""), 2, FALSE), ""Not Found"")"),"tɛks")</f>
        <v>tɛks</v>
      </c>
      <c r="E4519" s="2" t="str">
        <f>IFERROR(__xludf.DUMMYFUNCTION("IFERROR(VLOOKUP(A4519, IMPORTRANGE(""https://docs.google.com/spreadsheets/d/1-3Vjw2Cyy-mry5gbC8ypIR3YVGFfEpyFESummAta6sg/edit"", ""Sheet1!B:D""), 3, FALSE), ""Not Found"")"),"t ɛ k s ")</f>
        <v>t ɛ k s </v>
      </c>
    </row>
    <row r="4520">
      <c r="A4520" s="1" t="s">
        <v>4521</v>
      </c>
      <c r="B4520" s="1" t="s">
        <v>5</v>
      </c>
      <c r="C4520" s="2">
        <f>IFERROR(__xludf.DUMMYFUNCTION("IFERROR(VLOOKUP(A4520, IMPORTRANGE(""https://docs.google.com/spreadsheets/d/1AVX9GT0dgogEBStecCXMMQ29tWz3gBrtNB8yIromXbY/edit?gid=741673867"", ""out1g!A:B""), 2, FALSE), 0)"),771.0)</f>
        <v>771</v>
      </c>
      <c r="D4520" s="2" t="str">
        <f>IFERROR(__xludf.DUMMYFUNCTION("IFERROR(VLOOKUP(A4520, IMPORTRANGE(""https://docs.google.com/spreadsheets/d/1-3Vjw2Cyy-mry5gbC8ypIR3YVGFfEpyFESummAta6sg/edit"", ""Sheet1!B:D""), 2, FALSE), ""Not Found"")"),"tɛstɪŋ")</f>
        <v>tɛstɪŋ</v>
      </c>
      <c r="E4520" s="2" t="str">
        <f>IFERROR(__xludf.DUMMYFUNCTION("IFERROR(VLOOKUP(A4520, IMPORTRANGE(""https://docs.google.com/spreadsheets/d/1-3Vjw2Cyy-mry5gbC8ypIR3YVGFfEpyFESummAta6sg/edit"", ""Sheet1!B:D""), 3, FALSE), ""Not Found"")"),"t ɛ s t ɪ ŋ ")</f>
        <v>t ɛ s t ɪ ŋ </v>
      </c>
    </row>
    <row r="4521">
      <c r="A4521" s="1" t="s">
        <v>4522</v>
      </c>
      <c r="B4521" s="1" t="s">
        <v>5</v>
      </c>
      <c r="C4521" s="2">
        <f>IFERROR(__xludf.DUMMYFUNCTION("IFERROR(VLOOKUP(A4521, IMPORTRANGE(""https://docs.google.com/spreadsheets/d/1AVX9GT0dgogEBStecCXMMQ29tWz3gBrtNB8yIromXbY/edit?gid=741673867"", ""out1g!A:B""), 2, FALSE), 0)"),2303.0)</f>
        <v>2303</v>
      </c>
      <c r="D4521" s="2" t="str">
        <f>IFERROR(__xludf.DUMMYFUNCTION("IFERROR(VLOOKUP(A4521, IMPORTRANGE(""https://docs.google.com/spreadsheets/d/1-3Vjw2Cyy-mry5gbC8ypIR3YVGFfEpyFESummAta6sg/edit"", ""Sheet1!B:D""), 2, FALSE), ""Not Found"")"),"neʧər")</f>
        <v>neʧər</v>
      </c>
      <c r="E4521" s="2" t="str">
        <f>IFERROR(__xludf.DUMMYFUNCTION("IFERROR(VLOOKUP(A4521, IMPORTRANGE(""https://docs.google.com/spreadsheets/d/1-3Vjw2Cyy-mry5gbC8ypIR3YVGFfEpyFESummAta6sg/edit"", ""Sheet1!B:D""), 3, FALSE), ""Not Found"")"),"n e ʧ ə r ")</f>
        <v>n e ʧ ə r </v>
      </c>
    </row>
    <row r="4522">
      <c r="A4522" s="1" t="s">
        <v>4523</v>
      </c>
      <c r="B4522" s="1" t="s">
        <v>5</v>
      </c>
      <c r="C4522" s="2">
        <f>IFERROR(__xludf.DUMMYFUNCTION("IFERROR(VLOOKUP(A4522, IMPORTRANGE(""https://docs.google.com/spreadsheets/d/1AVX9GT0dgogEBStecCXMMQ29tWz3gBrtNB8yIromXbY/edit?gid=741673867"", ""out1g!A:B""), 2, FALSE), 0)"),284.0)</f>
        <v>284</v>
      </c>
      <c r="D4522" s="2" t="str">
        <f>IFERROR(__xludf.DUMMYFUNCTION("IFERROR(VLOOKUP(A4522, IMPORTRANGE(""https://docs.google.com/spreadsheets/d/1-3Vjw2Cyy-mry5gbC8ypIR3YVGFfEpyFESummAta6sg/edit"", ""Sheet1!B:D""), 2, FALSE), ""Not Found"")"),"dəv")</f>
        <v>dəv</v>
      </c>
      <c r="E4522" s="2" t="str">
        <f>IFERROR(__xludf.DUMMYFUNCTION("IFERROR(VLOOKUP(A4522, IMPORTRANGE(""https://docs.google.com/spreadsheets/d/1-3Vjw2Cyy-mry5gbC8ypIR3YVGFfEpyFESummAta6sg/edit"", ""Sheet1!B:D""), 3, FALSE), ""Not Found"")"),"d ə v ")</f>
        <v>d ə v </v>
      </c>
    </row>
    <row r="4523">
      <c r="A4523" s="1" t="s">
        <v>4524</v>
      </c>
      <c r="B4523" s="1" t="s">
        <v>5</v>
      </c>
      <c r="C4523" s="2">
        <f>IFERROR(__xludf.DUMMYFUNCTION("IFERROR(VLOOKUP(A4523, IMPORTRANGE(""https://docs.google.com/spreadsheets/d/1AVX9GT0dgogEBStecCXMMQ29tWz3gBrtNB8yIromXbY/edit?gid=741673867"", ""out1g!A:B""), 2, FALSE), 0)"),64.0)</f>
        <v>64</v>
      </c>
      <c r="D4523" s="2" t="str">
        <f>IFERROR(__xludf.DUMMYFUNCTION("IFERROR(VLOOKUP(A4523, IMPORTRANGE(""https://docs.google.com/spreadsheets/d/1-3Vjw2Cyy-mry5gbC8ypIR3YVGFfEpyFESummAta6sg/edit"", ""Sheet1!B:D""), 2, FALSE), ""Not Found"")"),"tupe")</f>
        <v>tupe</v>
      </c>
      <c r="E4523" s="2" t="str">
        <f>IFERROR(__xludf.DUMMYFUNCTION("IFERROR(VLOOKUP(A4523, IMPORTRANGE(""https://docs.google.com/spreadsheets/d/1-3Vjw2Cyy-mry5gbC8ypIR3YVGFfEpyFESummAta6sg/edit"", ""Sheet1!B:D""), 3, FALSE), ""Not Found"")"),"t u p e ")</f>
        <v>t u p e </v>
      </c>
    </row>
    <row r="4524">
      <c r="A4524" s="1" t="s">
        <v>4525</v>
      </c>
      <c r="B4524" s="1" t="s">
        <v>5</v>
      </c>
      <c r="C4524" s="2">
        <f>IFERROR(__xludf.DUMMYFUNCTION("IFERROR(VLOOKUP(A4524, IMPORTRANGE(""https://docs.google.com/spreadsheets/d/1AVX9GT0dgogEBStecCXMMQ29tWz3gBrtNB8yIromXbY/edit?gid=741673867"", ""out1g!A:B""), 2, FALSE), 0)"),6583.0)</f>
        <v>6583</v>
      </c>
      <c r="D4524" s="2" t="str">
        <f>IFERROR(__xludf.DUMMYFUNCTION("IFERROR(VLOOKUP(A4524, IMPORTRANGE(""https://docs.google.com/spreadsheets/d/1-3Vjw2Cyy-mry5gbC8ypIR3YVGFfEpyFESummAta6sg/edit"", ""Sheet1!B:D""), 2, FALSE), ""Not Found"")"),"pur")</f>
        <v>pur</v>
      </c>
      <c r="E4524" s="2" t="str">
        <f>IFERROR(__xludf.DUMMYFUNCTION("IFERROR(VLOOKUP(A4524, IMPORTRANGE(""https://docs.google.com/spreadsheets/d/1-3Vjw2Cyy-mry5gbC8ypIR3YVGFfEpyFESummAta6sg/edit"", ""Sheet1!B:D""), 3, FALSE), ""Not Found"")"),"p u r ")</f>
        <v>p u r </v>
      </c>
    </row>
    <row r="4525">
      <c r="A4525" s="1" t="s">
        <v>4526</v>
      </c>
      <c r="B4525" s="1" t="s">
        <v>5</v>
      </c>
      <c r="C4525" s="2">
        <f>IFERROR(__xludf.DUMMYFUNCTION("IFERROR(VLOOKUP(A4525, IMPORTRANGE(""https://docs.google.com/spreadsheets/d/1AVX9GT0dgogEBStecCXMMQ29tWz3gBrtNB8yIromXbY/edit?gid=741673867"", ""out1g!A:B""), 2, FALSE), 0)"),116.0)</f>
        <v>116</v>
      </c>
      <c r="D4525" s="2" t="str">
        <f>IFERROR(__xludf.DUMMYFUNCTION("IFERROR(VLOOKUP(A4525, IMPORTRANGE(""https://docs.google.com/spreadsheets/d/1-3Vjw2Cyy-mry5gbC8ypIR3YVGFfEpyFESummAta6sg/edit"", ""Sheet1!B:D""), 2, FALSE), ""Not Found"")"),"giks")</f>
        <v>giks</v>
      </c>
      <c r="E4525" s="2" t="str">
        <f>IFERROR(__xludf.DUMMYFUNCTION("IFERROR(VLOOKUP(A4525, IMPORTRANGE(""https://docs.google.com/spreadsheets/d/1-3Vjw2Cyy-mry5gbC8ypIR3YVGFfEpyFESummAta6sg/edit"", ""Sheet1!B:D""), 3, FALSE), ""Not Found"")"),"g i k s ")</f>
        <v>g i k s </v>
      </c>
    </row>
    <row r="4526">
      <c r="A4526" s="1" t="s">
        <v>4527</v>
      </c>
      <c r="B4526" s="1" t="s">
        <v>5</v>
      </c>
      <c r="C4526" s="2">
        <f>IFERROR(__xludf.DUMMYFUNCTION("IFERROR(VLOOKUP(A4526, IMPORTRANGE(""https://docs.google.com/spreadsheets/d/1AVX9GT0dgogEBStecCXMMQ29tWz3gBrtNB8yIromXbY/edit?gid=741673867"", ""out1g!A:B""), 2, FALSE), 0)"),48.0)</f>
        <v>48</v>
      </c>
      <c r="D4526" s="2" t="str">
        <f>IFERROR(__xludf.DUMMYFUNCTION("IFERROR(VLOOKUP(A4526, IMPORTRANGE(""https://docs.google.com/spreadsheets/d/1-3Vjw2Cyy-mry5gbC8ypIR3YVGFfEpyFESummAta6sg/edit"", ""Sheet1!B:D""), 2, FALSE), ""Not Found"")"),"toʊɪŋ")</f>
        <v>toʊɪŋ</v>
      </c>
      <c r="E4526" s="2" t="str">
        <f>IFERROR(__xludf.DUMMYFUNCTION("IFERROR(VLOOKUP(A4526, IMPORTRANGE(""https://docs.google.com/spreadsheets/d/1-3Vjw2Cyy-mry5gbC8ypIR3YVGFfEpyFESummAta6sg/edit"", ""Sheet1!B:D""), 3, FALSE), ""Not Found"")"),"t o ʊ ɪ ŋ ")</f>
        <v>t o ʊ ɪ ŋ </v>
      </c>
    </row>
    <row r="4527">
      <c r="A4527" s="1" t="s">
        <v>4528</v>
      </c>
      <c r="B4527" s="1" t="s">
        <v>5</v>
      </c>
      <c r="C4527" s="2">
        <f>IFERROR(__xludf.DUMMYFUNCTION("IFERROR(VLOOKUP(A4527, IMPORTRANGE(""https://docs.google.com/spreadsheets/d/1AVX9GT0dgogEBStecCXMMQ29tWz3gBrtNB8yIromXbY/edit?gid=741673867"", ""out1g!A:B""), 2, FALSE), 0)"),49.0)</f>
        <v>49</v>
      </c>
      <c r="D4527" s="2" t="str">
        <f>IFERROR(__xludf.DUMMYFUNCTION("IFERROR(VLOOKUP(A4527, IMPORTRANGE(""https://docs.google.com/spreadsheets/d/1-3Vjw2Cyy-mry5gbC8ypIR3YVGFfEpyFESummAta6sg/edit"", ""Sheet1!B:D""), 2, FALSE), ""Not Found"")"),"ɪnɪŋz")</f>
        <v>ɪnɪŋz</v>
      </c>
      <c r="E4527" s="2" t="str">
        <f>IFERROR(__xludf.DUMMYFUNCTION("IFERROR(VLOOKUP(A4527, IMPORTRANGE(""https://docs.google.com/spreadsheets/d/1-3Vjw2Cyy-mry5gbC8ypIR3YVGFfEpyFESummAta6sg/edit"", ""Sheet1!B:D""), 3, FALSE), ""Not Found"")"),"ɪ n ɪ ŋ z ")</f>
        <v>ɪ n ɪ ŋ z </v>
      </c>
    </row>
    <row r="4528">
      <c r="A4528" s="1" t="s">
        <v>4529</v>
      </c>
      <c r="B4528" s="1" t="s">
        <v>5</v>
      </c>
      <c r="C4528" s="2">
        <f>IFERROR(__xludf.DUMMYFUNCTION("IFERROR(VLOOKUP(A4528, IMPORTRANGE(""https://docs.google.com/spreadsheets/d/1AVX9GT0dgogEBStecCXMMQ29tWz3gBrtNB8yIromXbY/edit?gid=741673867"", ""out1g!A:B""), 2, FALSE), 0)"),723.0)</f>
        <v>723</v>
      </c>
      <c r="D4528" s="2" t="str">
        <f>IFERROR(__xludf.DUMMYFUNCTION("IFERROR(VLOOKUP(A4528, IMPORTRANGE(""https://docs.google.com/spreadsheets/d/1-3Vjw2Cyy-mry5gbC8ypIR3YVGFfEpyFESummAta6sg/edit"", ""Sheet1!B:D""), 2, FALSE), ""Not Found"")"),"kɛrd")</f>
        <v>kɛrd</v>
      </c>
      <c r="E4528" s="2" t="str">
        <f>IFERROR(__xludf.DUMMYFUNCTION("IFERROR(VLOOKUP(A4528, IMPORTRANGE(""https://docs.google.com/spreadsheets/d/1-3Vjw2Cyy-mry5gbC8ypIR3YVGFfEpyFESummAta6sg/edit"", ""Sheet1!B:D""), 3, FALSE), ""Not Found"")"),"k ɛ r d ")</f>
        <v>k ɛ r d </v>
      </c>
    </row>
    <row r="4529">
      <c r="A4529" s="1" t="s">
        <v>4530</v>
      </c>
      <c r="B4529" s="1" t="s">
        <v>5</v>
      </c>
      <c r="C4529" s="2">
        <f>IFERROR(__xludf.DUMMYFUNCTION("IFERROR(VLOOKUP(A4529, IMPORTRANGE(""https://docs.google.com/spreadsheets/d/1AVX9GT0dgogEBStecCXMMQ29tWz3gBrtNB8yIromXbY/edit?gid=741673867"", ""out1g!A:B""), 2, FALSE), 0)"),153.0)</f>
        <v>153</v>
      </c>
      <c r="D4529" s="2" t="str">
        <f>IFERROR(__xludf.DUMMYFUNCTION("IFERROR(VLOOKUP(A4529, IMPORTRANGE(""https://docs.google.com/spreadsheets/d/1-3Vjw2Cyy-mry5gbC8ypIR3YVGFfEpyFESummAta6sg/edit"", ""Sheet1!B:D""), 2, FALSE), ""Not Found"")"),"snæʧt")</f>
        <v>snæʧt</v>
      </c>
      <c r="E4529" s="2" t="str">
        <f>IFERROR(__xludf.DUMMYFUNCTION("IFERROR(VLOOKUP(A4529, IMPORTRANGE(""https://docs.google.com/spreadsheets/d/1-3Vjw2Cyy-mry5gbC8ypIR3YVGFfEpyFESummAta6sg/edit"", ""Sheet1!B:D""), 3, FALSE), ""Not Found"")"),"s n æ ʧ t ")</f>
        <v>s n æ ʧ t </v>
      </c>
    </row>
    <row r="4530">
      <c r="A4530" s="1" t="s">
        <v>4531</v>
      </c>
      <c r="B4530" s="1" t="s">
        <v>5</v>
      </c>
      <c r="C4530" s="2">
        <f>IFERROR(__xludf.DUMMYFUNCTION("IFERROR(VLOOKUP(A4530, IMPORTRANGE(""https://docs.google.com/spreadsheets/d/1AVX9GT0dgogEBStecCXMMQ29tWz3gBrtNB8yIromXbY/edit?gid=741673867"", ""out1g!A:B""), 2, FALSE), 0)"),1605.0)</f>
        <v>1605</v>
      </c>
      <c r="D4530" s="2" t="str">
        <f>IFERROR(__xludf.DUMMYFUNCTION("IFERROR(VLOOKUP(A4530, IMPORTRANGE(""https://docs.google.com/spreadsheets/d/1-3Vjw2Cyy-mry5gbC8ypIR3YVGFfEpyFESummAta6sg/edit"", ""Sheet1!B:D""), 2, FALSE), ""Not Found"")"),"sizən")</f>
        <v>sizən</v>
      </c>
      <c r="E4530" s="2" t="str">
        <f>IFERROR(__xludf.DUMMYFUNCTION("IFERROR(VLOOKUP(A4530, IMPORTRANGE(""https://docs.google.com/spreadsheets/d/1-3Vjw2Cyy-mry5gbC8ypIR3YVGFfEpyFESummAta6sg/edit"", ""Sheet1!B:D""), 3, FALSE), ""Not Found"")"),"s i z ə n ")</f>
        <v>s i z ə n </v>
      </c>
    </row>
    <row r="4531">
      <c r="A4531" s="1" t="s">
        <v>4532</v>
      </c>
      <c r="B4531" s="1" t="s">
        <v>5</v>
      </c>
      <c r="C4531" s="2">
        <f>IFERROR(__xludf.DUMMYFUNCTION("IFERROR(VLOOKUP(A4531, IMPORTRANGE(""https://docs.google.com/spreadsheets/d/1AVX9GT0dgogEBStecCXMMQ29tWz3gBrtNB8yIromXbY/edit?gid=741673867"", ""out1g!A:B""), 2, FALSE), 0)"),157.0)</f>
        <v>157</v>
      </c>
      <c r="D4531" s="2" t="str">
        <f>IFERROR(__xludf.DUMMYFUNCTION("IFERROR(VLOOKUP(A4531, IMPORTRANGE(""https://docs.google.com/spreadsheets/d/1-3Vjw2Cyy-mry5gbC8ypIR3YVGFfEpyFESummAta6sg/edit"", ""Sheet1!B:D""), 2, FALSE), ""Not Found"")"),"dwɔrf")</f>
        <v>dwɔrf</v>
      </c>
      <c r="E4531" s="2" t="str">
        <f>IFERROR(__xludf.DUMMYFUNCTION("IFERROR(VLOOKUP(A4531, IMPORTRANGE(""https://docs.google.com/spreadsheets/d/1-3Vjw2Cyy-mry5gbC8ypIR3YVGFfEpyFESummAta6sg/edit"", ""Sheet1!B:D""), 3, FALSE), ""Not Found"")"),"d w ɔ r f ")</f>
        <v>d w ɔ r f </v>
      </c>
    </row>
    <row r="4532">
      <c r="A4532" s="1" t="s">
        <v>4533</v>
      </c>
      <c r="B4532" s="1" t="s">
        <v>5</v>
      </c>
      <c r="C4532" s="2">
        <f>IFERROR(__xludf.DUMMYFUNCTION("IFERROR(VLOOKUP(A4532, IMPORTRANGE(""https://docs.google.com/spreadsheets/d/1AVX9GT0dgogEBStecCXMMQ29tWz3gBrtNB8yIromXbY/edit?gid=741673867"", ""out1g!A:B""), 2, FALSE), 0)"),828.0)</f>
        <v>828</v>
      </c>
      <c r="D4532" s="2" t="str">
        <f>IFERROR(__xludf.DUMMYFUNCTION("IFERROR(VLOOKUP(A4532, IMPORTRANGE(""https://docs.google.com/spreadsheets/d/1-3Vjw2Cyy-mry5gbC8ypIR3YVGFfEpyFESummAta6sg/edit"", ""Sheet1!B:D""), 2, FALSE), ""Not Found"")"),"fænəsi")</f>
        <v>fænəsi</v>
      </c>
      <c r="E4532" s="2" t="str">
        <f>IFERROR(__xludf.DUMMYFUNCTION("IFERROR(VLOOKUP(A4532, IMPORTRANGE(""https://docs.google.com/spreadsheets/d/1-3Vjw2Cyy-mry5gbC8ypIR3YVGFfEpyFESummAta6sg/edit"", ""Sheet1!B:D""), 3, FALSE), ""Not Found"")"),"f æ n ə s i ")</f>
        <v>f æ n ə s i </v>
      </c>
    </row>
    <row r="4533">
      <c r="A4533" s="1" t="s">
        <v>4534</v>
      </c>
      <c r="B4533" s="1" t="s">
        <v>5</v>
      </c>
      <c r="C4533" s="2">
        <f>IFERROR(__xludf.DUMMYFUNCTION("IFERROR(VLOOKUP(A4533, IMPORTRANGE(""https://docs.google.com/spreadsheets/d/1AVX9GT0dgogEBStecCXMMQ29tWz3gBrtNB8yIromXbY/edit?gid=741673867"", ""out1g!A:B""), 2, FALSE), 0)"),56.0)</f>
        <v>56</v>
      </c>
      <c r="D4533" s="2" t="str">
        <f>IFERROR(__xludf.DUMMYFUNCTION("IFERROR(VLOOKUP(A4533, IMPORTRANGE(""https://docs.google.com/spreadsheets/d/1-3Vjw2Cyy-mry5gbC8ypIR3YVGFfEpyFESummAta6sg/edit"", ""Sheet1!B:D""), 2, FALSE), ""Not Found"")"),"taɪpe")</f>
        <v>taɪpe</v>
      </c>
      <c r="E4533" s="2" t="str">
        <f>IFERROR(__xludf.DUMMYFUNCTION("IFERROR(VLOOKUP(A4533, IMPORTRANGE(""https://docs.google.com/spreadsheets/d/1-3Vjw2Cyy-mry5gbC8ypIR3YVGFfEpyFESummAta6sg/edit"", ""Sheet1!B:D""), 3, FALSE), ""Not Found"")"),"t a ɪ p e ")</f>
        <v>t a ɪ p e </v>
      </c>
    </row>
    <row r="4534">
      <c r="A4534" s="1" t="s">
        <v>4535</v>
      </c>
      <c r="B4534" s="1" t="s">
        <v>5</v>
      </c>
      <c r="C4534" s="2">
        <f>IFERROR(__xludf.DUMMYFUNCTION("IFERROR(VLOOKUP(A4534, IMPORTRANGE(""https://docs.google.com/spreadsheets/d/1AVX9GT0dgogEBStecCXMMQ29tWz3gBrtNB8yIromXbY/edit?gid=741673867"", ""out1g!A:B""), 2, FALSE), 0)"),83.0)</f>
        <v>83</v>
      </c>
      <c r="D4534" s="2" t="str">
        <f>IFERROR(__xludf.DUMMYFUNCTION("IFERROR(VLOOKUP(A4534, IMPORTRANGE(""https://docs.google.com/spreadsheets/d/1-3Vjw2Cyy-mry5gbC8ypIR3YVGFfEpyFESummAta6sg/edit"", ""Sheet1!B:D""), 2, FALSE), ""Not Found"")"),"haɪp")</f>
        <v>haɪp</v>
      </c>
      <c r="E4534" s="2" t="str">
        <f>IFERROR(__xludf.DUMMYFUNCTION("IFERROR(VLOOKUP(A4534, IMPORTRANGE(""https://docs.google.com/spreadsheets/d/1-3Vjw2Cyy-mry5gbC8ypIR3YVGFfEpyFESummAta6sg/edit"", ""Sheet1!B:D""), 3, FALSE), ""Not Found"")"),"h a ɪ p ")</f>
        <v>h a ɪ p </v>
      </c>
    </row>
    <row r="4535">
      <c r="A4535" s="1" t="s">
        <v>4536</v>
      </c>
      <c r="B4535" s="1" t="s">
        <v>5</v>
      </c>
      <c r="C4535" s="2">
        <f>IFERROR(__xludf.DUMMYFUNCTION("IFERROR(VLOOKUP(A4535, IMPORTRANGE(""https://docs.google.com/spreadsheets/d/1AVX9GT0dgogEBStecCXMMQ29tWz3gBrtNB8yIromXbY/edit?gid=741673867"", ""out1g!A:B""), 2, FALSE), 0)"),59.0)</f>
        <v>59</v>
      </c>
      <c r="D4535" s="2" t="str">
        <f>IFERROR(__xludf.DUMMYFUNCTION("IFERROR(VLOOKUP(A4535, IMPORTRANGE(""https://docs.google.com/spreadsheets/d/1-3Vjw2Cyy-mry5gbC8ypIR3YVGFfEpyFESummAta6sg/edit"", ""Sheet1!B:D""), 2, FALSE), ""Not Found"")"),"koʊmɪŋ")</f>
        <v>koʊmɪŋ</v>
      </c>
      <c r="E4535" s="2" t="str">
        <f>IFERROR(__xludf.DUMMYFUNCTION("IFERROR(VLOOKUP(A4535, IMPORTRANGE(""https://docs.google.com/spreadsheets/d/1-3Vjw2Cyy-mry5gbC8ypIR3YVGFfEpyFESummAta6sg/edit"", ""Sheet1!B:D""), 3, FALSE), ""Not Found"")"),"k o ʊ m ɪ ŋ ")</f>
        <v>k o ʊ m ɪ ŋ </v>
      </c>
    </row>
    <row r="4536">
      <c r="A4536" s="1" t="s">
        <v>4537</v>
      </c>
      <c r="B4536" s="1" t="s">
        <v>5</v>
      </c>
      <c r="C4536" s="2">
        <f>IFERROR(__xludf.DUMMYFUNCTION("IFERROR(VLOOKUP(A4536, IMPORTRANGE(""https://docs.google.com/spreadsheets/d/1AVX9GT0dgogEBStecCXMMQ29tWz3gBrtNB8yIromXbY/edit?gid=741673867"", ""out1g!A:B""), 2, FALSE), 0)"),6805.0)</f>
        <v>6805</v>
      </c>
      <c r="D4536" s="2" t="str">
        <f>IFERROR(__xludf.DUMMYFUNCTION("IFERROR(VLOOKUP(A4536, IMPORTRANGE(""https://docs.google.com/spreadsheets/d/1-3Vjw2Cyy-mry5gbC8ypIR3YVGFfEpyFESummAta6sg/edit"", ""Sheet1!B:D""), 2, FALSE), ""Not Found"")"),"tɔp")</f>
        <v>tɔp</v>
      </c>
      <c r="E4536" s="2" t="str">
        <f>IFERROR(__xludf.DUMMYFUNCTION("IFERROR(VLOOKUP(A4536, IMPORTRANGE(""https://docs.google.com/spreadsheets/d/1-3Vjw2Cyy-mry5gbC8ypIR3YVGFfEpyFESummAta6sg/edit"", ""Sheet1!B:D""), 3, FALSE), ""Not Found"")"),"t ɔ p ")</f>
        <v>t ɔ p </v>
      </c>
    </row>
    <row r="4537">
      <c r="A4537" s="1" t="s">
        <v>4538</v>
      </c>
      <c r="B4537" s="1" t="s">
        <v>5</v>
      </c>
      <c r="C4537" s="2">
        <f>IFERROR(__xludf.DUMMYFUNCTION("IFERROR(VLOOKUP(A4537, IMPORTRANGE(""https://docs.google.com/spreadsheets/d/1AVX9GT0dgogEBStecCXMMQ29tWz3gBrtNB8yIromXbY/edit?gid=741673867"", ""out1g!A:B""), 2, FALSE), 0)"),1467.0)</f>
        <v>1467</v>
      </c>
      <c r="D4537" s="2" t="str">
        <f>IFERROR(__xludf.DUMMYFUNCTION("IFERROR(VLOOKUP(A4537, IMPORTRANGE(""https://docs.google.com/spreadsheets/d/1-3Vjw2Cyy-mry5gbC8ypIR3YVGFfEpyFESummAta6sg/edit"", ""Sheet1!B:D""), 2, FALSE), ""Not Found"")"),"feld")</f>
        <v>feld</v>
      </c>
      <c r="E4537" s="2" t="str">
        <f>IFERROR(__xludf.DUMMYFUNCTION("IFERROR(VLOOKUP(A4537, IMPORTRANGE(""https://docs.google.com/spreadsheets/d/1-3Vjw2Cyy-mry5gbC8ypIR3YVGFfEpyFESummAta6sg/edit"", ""Sheet1!B:D""), 3, FALSE), ""Not Found"")"),"f e l d ")</f>
        <v>f e l d </v>
      </c>
    </row>
    <row r="4538">
      <c r="A4538" s="1" t="s">
        <v>4539</v>
      </c>
      <c r="B4538" s="1" t="s">
        <v>5</v>
      </c>
      <c r="C4538" s="2">
        <f>IFERROR(__xludf.DUMMYFUNCTION("IFERROR(VLOOKUP(A4538, IMPORTRANGE(""https://docs.google.com/spreadsheets/d/1AVX9GT0dgogEBStecCXMMQ29tWz3gBrtNB8yIromXbY/edit?gid=741673867"", ""out1g!A:B""), 2, FALSE), 0)"),41.0)</f>
        <v>41</v>
      </c>
      <c r="D4538" s="2" t="str">
        <f>IFERROR(__xludf.DUMMYFUNCTION("IFERROR(VLOOKUP(A4538, IMPORTRANGE(""https://docs.google.com/spreadsheets/d/1-3Vjw2Cyy-mry5gbC8ypIR3YVGFfEpyFESummAta6sg/edit"", ""Sheet1!B:D""), 2, FALSE), ""Not Found"")"),"boʊd")</f>
        <v>boʊd</v>
      </c>
      <c r="E4538" s="2" t="str">
        <f>IFERROR(__xludf.DUMMYFUNCTION("IFERROR(VLOOKUP(A4538, IMPORTRANGE(""https://docs.google.com/spreadsheets/d/1-3Vjw2Cyy-mry5gbC8ypIR3YVGFfEpyFESummAta6sg/edit"", ""Sheet1!B:D""), 3, FALSE), ""Not Found"")"),"b o ʊ d ")</f>
        <v>b o ʊ d </v>
      </c>
    </row>
    <row r="4539">
      <c r="A4539" s="1" t="s">
        <v>4540</v>
      </c>
      <c r="B4539" s="1" t="s">
        <v>5</v>
      </c>
      <c r="C4539" s="2">
        <f>IFERROR(__xludf.DUMMYFUNCTION("IFERROR(VLOOKUP(A4539, IMPORTRANGE(""https://docs.google.com/spreadsheets/d/1AVX9GT0dgogEBStecCXMMQ29tWz3gBrtNB8yIromXbY/edit?gid=741673867"", ""out1g!A:B""), 2, FALSE), 0)"),15.0)</f>
        <v>15</v>
      </c>
      <c r="D4539" s="2" t="str">
        <f>IFERROR(__xludf.DUMMYFUNCTION("IFERROR(VLOOKUP(A4539, IMPORTRANGE(""https://docs.google.com/spreadsheets/d/1-3Vjw2Cyy-mry5gbC8ypIR3YVGFfEpyFESummAta6sg/edit"", ""Sheet1!B:D""), 2, FALSE), ""Not Found"")"),"rɪf")</f>
        <v>rɪf</v>
      </c>
      <c r="E4539" s="2" t="str">
        <f>IFERROR(__xludf.DUMMYFUNCTION("IFERROR(VLOOKUP(A4539, IMPORTRANGE(""https://docs.google.com/spreadsheets/d/1-3Vjw2Cyy-mry5gbC8ypIR3YVGFfEpyFESummAta6sg/edit"", ""Sheet1!B:D""), 3, FALSE), ""Not Found"")"),"r ɪ f ")</f>
        <v>r ɪ f </v>
      </c>
    </row>
    <row r="4540">
      <c r="A4540" s="1" t="s">
        <v>4541</v>
      </c>
      <c r="B4540" s="1" t="s">
        <v>5</v>
      </c>
      <c r="C4540" s="2">
        <f>IFERROR(__xludf.DUMMYFUNCTION("IFERROR(VLOOKUP(A4540, IMPORTRANGE(""https://docs.google.com/spreadsheets/d/1AVX9GT0dgogEBStecCXMMQ29tWz3gBrtNB8yIromXbY/edit?gid=741673867"", ""out1g!A:B""), 2, FALSE), 0)"),81.0)</f>
        <v>81</v>
      </c>
      <c r="D4540" s="2" t="str">
        <f>IFERROR(__xludf.DUMMYFUNCTION("IFERROR(VLOOKUP(A4540, IMPORTRANGE(""https://docs.google.com/spreadsheets/d/1-3Vjw2Cyy-mry5gbC8ypIR3YVGFfEpyFESummAta6sg/edit"", ""Sheet1!B:D""), 2, FALSE), ""Not Found"")"),"hiðən")</f>
        <v>hiðən</v>
      </c>
      <c r="E4540" s="2" t="str">
        <f>IFERROR(__xludf.DUMMYFUNCTION("IFERROR(VLOOKUP(A4540, IMPORTRANGE(""https://docs.google.com/spreadsheets/d/1-3Vjw2Cyy-mry5gbC8ypIR3YVGFfEpyFESummAta6sg/edit"", ""Sheet1!B:D""), 3, FALSE), ""Not Found"")"),"h i ð ə n ")</f>
        <v>h i ð ə n </v>
      </c>
    </row>
    <row r="4541">
      <c r="A4541" s="1" t="s">
        <v>4542</v>
      </c>
      <c r="B4541" s="1" t="s">
        <v>5</v>
      </c>
      <c r="C4541" s="2">
        <f>IFERROR(__xludf.DUMMYFUNCTION("IFERROR(VLOOKUP(A4541, IMPORTRANGE(""https://docs.google.com/spreadsheets/d/1AVX9GT0dgogEBStecCXMMQ29tWz3gBrtNB8yIromXbY/edit?gid=741673867"", ""out1g!A:B""), 2, FALSE), 0)"),63.0)</f>
        <v>63</v>
      </c>
      <c r="D4541" s="2" t="str">
        <f>IFERROR(__xludf.DUMMYFUNCTION("IFERROR(VLOOKUP(A4541, IMPORTRANGE(""https://docs.google.com/spreadsheets/d/1-3Vjw2Cyy-mry5gbC8ypIR3YVGFfEpyFESummAta6sg/edit"", ""Sheet1!B:D""), 2, FALSE), ""Not Found"")"),"wɔrt")</f>
        <v>wɔrt</v>
      </c>
      <c r="E4541" s="2" t="str">
        <f>IFERROR(__xludf.DUMMYFUNCTION("IFERROR(VLOOKUP(A4541, IMPORTRANGE(""https://docs.google.com/spreadsheets/d/1-3Vjw2Cyy-mry5gbC8ypIR3YVGFfEpyFESummAta6sg/edit"", ""Sheet1!B:D""), 3, FALSE), ""Not Found"")"),"w ɔ r t ")</f>
        <v>w ɔ r t </v>
      </c>
    </row>
    <row r="4542">
      <c r="A4542" s="1" t="s">
        <v>4543</v>
      </c>
      <c r="B4542" s="1" t="s">
        <v>5</v>
      </c>
      <c r="C4542" s="2">
        <f>IFERROR(__xludf.DUMMYFUNCTION("IFERROR(VLOOKUP(A4542, IMPORTRANGE(""https://docs.google.com/spreadsheets/d/1AVX9GT0dgogEBStecCXMMQ29tWz3gBrtNB8yIromXbY/edit?gid=741673867"", ""out1g!A:B""), 2, FALSE), 0)"),47.0)</f>
        <v>47</v>
      </c>
      <c r="D4542" s="2" t="str">
        <f>IFERROR(__xludf.DUMMYFUNCTION("IFERROR(VLOOKUP(A4542, IMPORTRANGE(""https://docs.google.com/spreadsheets/d/1-3Vjw2Cyy-mry5gbC8ypIR3YVGFfEpyFESummAta6sg/edit"", ""Sheet1!B:D""), 2, FALSE), ""Not Found"")"),"ælz")</f>
        <v>ælz</v>
      </c>
      <c r="E4542" s="2" t="str">
        <f>IFERROR(__xludf.DUMMYFUNCTION("IFERROR(VLOOKUP(A4542, IMPORTRANGE(""https://docs.google.com/spreadsheets/d/1-3Vjw2Cyy-mry5gbC8ypIR3YVGFfEpyFESummAta6sg/edit"", ""Sheet1!B:D""), 3, FALSE), ""Not Found"")"),"æ l z ")</f>
        <v>æ l z </v>
      </c>
    </row>
    <row r="4543">
      <c r="A4543" s="1" t="s">
        <v>4544</v>
      </c>
      <c r="B4543" s="1" t="s">
        <v>5</v>
      </c>
      <c r="C4543" s="2">
        <f>IFERROR(__xludf.DUMMYFUNCTION("IFERROR(VLOOKUP(A4543, IMPORTRANGE(""https://docs.google.com/spreadsheets/d/1AVX9GT0dgogEBStecCXMMQ29tWz3gBrtNB8yIromXbY/edit?gid=741673867"", ""out1g!A:B""), 2, FALSE), 0)"),243.0)</f>
        <v>243</v>
      </c>
      <c r="D4543" s="2" t="str">
        <f>IFERROR(__xludf.DUMMYFUNCTION("IFERROR(VLOOKUP(A4543, IMPORTRANGE(""https://docs.google.com/spreadsheets/d/1-3Vjw2Cyy-mry5gbC8ypIR3YVGFfEpyFESummAta6sg/edit"", ""Sheet1!B:D""), 2, FALSE), ""Not Found"")"),"swɛpt")</f>
        <v>swɛpt</v>
      </c>
      <c r="E4543" s="2" t="str">
        <f>IFERROR(__xludf.DUMMYFUNCTION("IFERROR(VLOOKUP(A4543, IMPORTRANGE(""https://docs.google.com/spreadsheets/d/1-3Vjw2Cyy-mry5gbC8ypIR3YVGFfEpyFESummAta6sg/edit"", ""Sheet1!B:D""), 3, FALSE), ""Not Found"")"),"s w ɛ p t ")</f>
        <v>s w ɛ p t </v>
      </c>
    </row>
    <row r="4544">
      <c r="A4544" s="1" t="s">
        <v>4545</v>
      </c>
      <c r="B4544" s="1" t="s">
        <v>5</v>
      </c>
      <c r="C4544" s="2">
        <f>IFERROR(__xludf.DUMMYFUNCTION("IFERROR(VLOOKUP(A4544, IMPORTRANGE(""https://docs.google.com/spreadsheets/d/1AVX9GT0dgogEBStecCXMMQ29tWz3gBrtNB8yIromXbY/edit?gid=741673867"", ""out1g!A:B""), 2, FALSE), 0)"),664.0)</f>
        <v>664</v>
      </c>
      <c r="D4544" s="2" t="str">
        <f>IFERROR(__xludf.DUMMYFUNCTION("IFERROR(VLOOKUP(A4544, IMPORTRANGE(""https://docs.google.com/spreadsheets/d/1-3Vjw2Cyy-mry5gbC8ypIR3YVGFfEpyFESummAta6sg/edit"", ""Sheet1!B:D""), 2, FALSE), ""Not Found"")"),"teps")</f>
        <v>teps</v>
      </c>
      <c r="E4544" s="2" t="str">
        <f>IFERROR(__xludf.DUMMYFUNCTION("IFERROR(VLOOKUP(A4544, IMPORTRANGE(""https://docs.google.com/spreadsheets/d/1-3Vjw2Cyy-mry5gbC8ypIR3YVGFfEpyFESummAta6sg/edit"", ""Sheet1!B:D""), 3, FALSE), ""Not Found"")"),"t e p s ")</f>
        <v>t e p s </v>
      </c>
    </row>
    <row r="4545">
      <c r="A4545" s="1" t="s">
        <v>4546</v>
      </c>
      <c r="B4545" s="1" t="s">
        <v>5</v>
      </c>
      <c r="C4545" s="2">
        <f>IFERROR(__xludf.DUMMYFUNCTION("IFERROR(VLOOKUP(A4545, IMPORTRANGE(""https://docs.google.com/spreadsheets/d/1AVX9GT0dgogEBStecCXMMQ29tWz3gBrtNB8yIromXbY/edit?gid=741673867"", ""out1g!A:B""), 2, FALSE), 0)"),239.0)</f>
        <v>239</v>
      </c>
      <c r="D4545" s="2" t="str">
        <f>IFERROR(__xludf.DUMMYFUNCTION("IFERROR(VLOOKUP(A4545, IMPORTRANGE(""https://docs.google.com/spreadsheets/d/1-3Vjw2Cyy-mry5gbC8ypIR3YVGFfEpyFESummAta6sg/edit"", ""Sheet1!B:D""), 2, FALSE), ""Not Found"")"),"rɑbər")</f>
        <v>rɑbər</v>
      </c>
      <c r="E4545" s="2" t="str">
        <f>IFERROR(__xludf.DUMMYFUNCTION("IFERROR(VLOOKUP(A4545, IMPORTRANGE(""https://docs.google.com/spreadsheets/d/1-3Vjw2Cyy-mry5gbC8ypIR3YVGFfEpyFESummAta6sg/edit"", ""Sheet1!B:D""), 3, FALSE), ""Not Found"")"),"r ɑ b ə r ")</f>
        <v>r ɑ b ə r </v>
      </c>
    </row>
    <row r="4546">
      <c r="A4546" s="1" t="s">
        <v>4547</v>
      </c>
      <c r="B4546" s="1" t="s">
        <v>5</v>
      </c>
      <c r="C4546" s="2">
        <f>IFERROR(__xludf.DUMMYFUNCTION("IFERROR(VLOOKUP(A4546, IMPORTRANGE(""https://docs.google.com/spreadsheets/d/1AVX9GT0dgogEBStecCXMMQ29tWz3gBrtNB8yIromXbY/edit?gid=741673867"", ""out1g!A:B""), 2, FALSE), 0)"),281.0)</f>
        <v>281</v>
      </c>
      <c r="D4546" s="2" t="str">
        <f>IFERROR(__xludf.DUMMYFUNCTION("IFERROR(VLOOKUP(A4546, IMPORTRANGE(""https://docs.google.com/spreadsheets/d/1-3Vjw2Cyy-mry5gbC8ypIR3YVGFfEpyFESummAta6sg/edit"", ""Sheet1!B:D""), 2, FALSE), ""Not Found"")"),"hɑ")</f>
        <v>hɑ</v>
      </c>
      <c r="E4546" s="2" t="str">
        <f>IFERROR(__xludf.DUMMYFUNCTION("IFERROR(VLOOKUP(A4546, IMPORTRANGE(""https://docs.google.com/spreadsheets/d/1-3Vjw2Cyy-mry5gbC8ypIR3YVGFfEpyFESummAta6sg/edit"", ""Sheet1!B:D""), 3, FALSE), ""Not Found"")"),"h ɑ ")</f>
        <v>h ɑ </v>
      </c>
    </row>
    <row r="4547">
      <c r="A4547" s="1" t="s">
        <v>4548</v>
      </c>
      <c r="B4547" s="1" t="s">
        <v>5</v>
      </c>
      <c r="C4547" s="2">
        <f>IFERROR(__xludf.DUMMYFUNCTION("IFERROR(VLOOKUP(A4547, IMPORTRANGE(""https://docs.google.com/spreadsheets/d/1AVX9GT0dgogEBStecCXMMQ29tWz3gBrtNB8yIromXbY/edit?gid=741673867"", ""out1g!A:B""), 2, FALSE), 0)"),109.0)</f>
        <v>109</v>
      </c>
      <c r="D4547" s="2" t="str">
        <f>IFERROR(__xludf.DUMMYFUNCTION("IFERROR(VLOOKUP(A4547, IMPORTRANGE(""https://docs.google.com/spreadsheets/d/1-3Vjw2Cyy-mry5gbC8ypIR3YVGFfEpyFESummAta6sg/edit"", ""Sheet1!B:D""), 2, FALSE), ""Not Found"")"),"maɪkə")</f>
        <v>maɪkə</v>
      </c>
      <c r="E4547" s="2" t="str">
        <f>IFERROR(__xludf.DUMMYFUNCTION("IFERROR(VLOOKUP(A4547, IMPORTRANGE(""https://docs.google.com/spreadsheets/d/1-3Vjw2Cyy-mry5gbC8ypIR3YVGFfEpyFESummAta6sg/edit"", ""Sheet1!B:D""), 3, FALSE), ""Not Found"")"),"m a ɪ k ə ")</f>
        <v>m a ɪ k ə </v>
      </c>
    </row>
    <row r="4548">
      <c r="A4548" s="1" t="s">
        <v>4549</v>
      </c>
      <c r="B4548" s="1" t="s">
        <v>5</v>
      </c>
      <c r="C4548" s="2">
        <f>IFERROR(__xludf.DUMMYFUNCTION("IFERROR(VLOOKUP(A4548, IMPORTRANGE(""https://docs.google.com/spreadsheets/d/1AVX9GT0dgogEBStecCXMMQ29tWz3gBrtNB8yIromXbY/edit?gid=741673867"", ""out1g!A:B""), 2, FALSE), 0)"),86.0)</f>
        <v>86</v>
      </c>
      <c r="D4548" s="2" t="str">
        <f>IFERROR(__xludf.DUMMYFUNCTION("IFERROR(VLOOKUP(A4548, IMPORTRANGE(""https://docs.google.com/spreadsheets/d/1-3Vjw2Cyy-mry5gbC8ypIR3YVGFfEpyFESummAta6sg/edit"", ""Sheet1!B:D""), 2, FALSE), ""Not Found"")"),"ʤæmɪŋ")</f>
        <v>ʤæmɪŋ</v>
      </c>
      <c r="E4548" s="2" t="str">
        <f>IFERROR(__xludf.DUMMYFUNCTION("IFERROR(VLOOKUP(A4548, IMPORTRANGE(""https://docs.google.com/spreadsheets/d/1-3Vjw2Cyy-mry5gbC8ypIR3YVGFfEpyFESummAta6sg/edit"", ""Sheet1!B:D""), 3, FALSE), ""Not Found"")"),"ʤ æ m ɪ ŋ ")</f>
        <v>ʤ æ m ɪ ŋ </v>
      </c>
    </row>
    <row r="4549">
      <c r="A4549" s="1" t="s">
        <v>4550</v>
      </c>
      <c r="B4549" s="1" t="s">
        <v>5</v>
      </c>
      <c r="C4549" s="2">
        <f>IFERROR(__xludf.DUMMYFUNCTION("IFERROR(VLOOKUP(A4549, IMPORTRANGE(""https://docs.google.com/spreadsheets/d/1AVX9GT0dgogEBStecCXMMQ29tWz3gBrtNB8yIromXbY/edit?gid=741673867"", ""out1g!A:B""), 2, FALSE), 0)"),233.0)</f>
        <v>233</v>
      </c>
      <c r="D4549" s="2" t="str">
        <f>IFERROR(__xludf.DUMMYFUNCTION("IFERROR(VLOOKUP(A4549, IMPORTRANGE(""https://docs.google.com/spreadsheets/d/1-3Vjw2Cyy-mry5gbC8ypIR3YVGFfEpyFESummAta6sg/edit"", ""Sheet1!B:D""), 2, FALSE), ""Not Found"")"),"græsp")</f>
        <v>græsp</v>
      </c>
      <c r="E4549" s="2" t="str">
        <f>IFERROR(__xludf.DUMMYFUNCTION("IFERROR(VLOOKUP(A4549, IMPORTRANGE(""https://docs.google.com/spreadsheets/d/1-3Vjw2Cyy-mry5gbC8ypIR3YVGFfEpyFESummAta6sg/edit"", ""Sheet1!B:D""), 3, FALSE), ""Not Found"")"),"g r æ s p ")</f>
        <v>g r æ s p </v>
      </c>
    </row>
    <row r="4550">
      <c r="A4550" s="1" t="s">
        <v>4551</v>
      </c>
      <c r="B4550" s="1" t="s">
        <v>5</v>
      </c>
      <c r="C4550" s="2">
        <f>IFERROR(__xludf.DUMMYFUNCTION("IFERROR(VLOOKUP(A4550, IMPORTRANGE(""https://docs.google.com/spreadsheets/d/1AVX9GT0dgogEBStecCXMMQ29tWz3gBrtNB8yIromXbY/edit?gid=741673867"", ""out1g!A:B""), 2, FALSE), 0)"),2044.0)</f>
        <v>2044</v>
      </c>
      <c r="D4550" s="2" t="str">
        <f>IFERROR(__xludf.DUMMYFUNCTION("IFERROR(VLOOKUP(A4550, IMPORTRANGE(""https://docs.google.com/spreadsheets/d/1-3Vjw2Cyy-mry5gbC8ypIR3YVGFfEpyFESummAta6sg/edit"", ""Sheet1!B:D""), 2, FALSE), ""Not Found"")"),"hit")</f>
        <v>hit</v>
      </c>
      <c r="E4550" s="2" t="str">
        <f>IFERROR(__xludf.DUMMYFUNCTION("IFERROR(VLOOKUP(A4550, IMPORTRANGE(""https://docs.google.com/spreadsheets/d/1-3Vjw2Cyy-mry5gbC8ypIR3YVGFfEpyFESummAta6sg/edit"", ""Sheet1!B:D""), 3, FALSE), ""Not Found"")"),"h i t ")</f>
        <v>h i t </v>
      </c>
    </row>
    <row r="4551">
      <c r="A4551" s="1" t="s">
        <v>4552</v>
      </c>
      <c r="B4551" s="1" t="s">
        <v>5</v>
      </c>
      <c r="C4551" s="2">
        <f>IFERROR(__xludf.DUMMYFUNCTION("IFERROR(VLOOKUP(A4551, IMPORTRANGE(""https://docs.google.com/spreadsheets/d/1AVX9GT0dgogEBStecCXMMQ29tWz3gBrtNB8yIromXbY/edit?gid=741673867"", ""out1g!A:B""), 2, FALSE), 0)"),3348.0)</f>
        <v>3348</v>
      </c>
      <c r="D4551" s="2" t="str">
        <f>IFERROR(__xludf.DUMMYFUNCTION("IFERROR(VLOOKUP(A4551, IMPORTRANGE(""https://docs.google.com/spreadsheets/d/1-3Vjw2Cyy-mry5gbC8ypIR3YVGFfEpyFESummAta6sg/edit"", ""Sheet1!B:D""), 2, FALSE), ""Not Found"")"),"kraɪ")</f>
        <v>kraɪ</v>
      </c>
      <c r="E4551" s="2" t="str">
        <f>IFERROR(__xludf.DUMMYFUNCTION("IFERROR(VLOOKUP(A4551, IMPORTRANGE(""https://docs.google.com/spreadsheets/d/1-3Vjw2Cyy-mry5gbC8ypIR3YVGFfEpyFESummAta6sg/edit"", ""Sheet1!B:D""), 3, FALSE), ""Not Found"")"),"k r a ɪ ")</f>
        <v>k r a ɪ </v>
      </c>
    </row>
    <row r="4552">
      <c r="A4552" s="1" t="s">
        <v>4553</v>
      </c>
      <c r="B4552" s="1" t="s">
        <v>5</v>
      </c>
      <c r="C4552" s="2">
        <f>IFERROR(__xludf.DUMMYFUNCTION("IFERROR(VLOOKUP(A4552, IMPORTRANGE(""https://docs.google.com/spreadsheets/d/1AVX9GT0dgogEBStecCXMMQ29tWz3gBrtNB8yIromXbY/edit?gid=741673867"", ""out1g!A:B""), 2, FALSE), 0)"),155.0)</f>
        <v>155</v>
      </c>
      <c r="D4552" s="2" t="str">
        <f>IFERROR(__xludf.DUMMYFUNCTION("IFERROR(VLOOKUP(A4552, IMPORTRANGE(""https://docs.google.com/spreadsheets/d/1-3Vjw2Cyy-mry5gbC8ypIR3YVGFfEpyFESummAta6sg/edit"", ""Sheet1!B:D""), 2, FALSE), ""Not Found"")"),"flɔ")</f>
        <v>flɔ</v>
      </c>
      <c r="E4552" s="2" t="str">
        <f>IFERROR(__xludf.DUMMYFUNCTION("IFERROR(VLOOKUP(A4552, IMPORTRANGE(""https://docs.google.com/spreadsheets/d/1-3Vjw2Cyy-mry5gbC8ypIR3YVGFfEpyFESummAta6sg/edit"", ""Sheet1!B:D""), 3, FALSE), ""Not Found"")"),"f l ɔ ")</f>
        <v>f l ɔ </v>
      </c>
    </row>
    <row r="4553">
      <c r="A4553" s="1" t="s">
        <v>4554</v>
      </c>
      <c r="B4553" s="1" t="s">
        <v>5</v>
      </c>
      <c r="C4553" s="2">
        <f>IFERROR(__xludf.DUMMYFUNCTION("IFERROR(VLOOKUP(A4553, IMPORTRANGE(""https://docs.google.com/spreadsheets/d/1AVX9GT0dgogEBStecCXMMQ29tWz3gBrtNB8yIromXbY/edit?gid=741673867"", ""out1g!A:B""), 2, FALSE), 0)"),26.0)</f>
        <v>26</v>
      </c>
      <c r="D4553" s="2" t="str">
        <f>IFERROR(__xludf.DUMMYFUNCTION("IFERROR(VLOOKUP(A4553, IMPORTRANGE(""https://docs.google.com/spreadsheets/d/1-3Vjw2Cyy-mry5gbC8ypIR3YVGFfEpyFESummAta6sg/edit"", ""Sheet1!B:D""), 2, FALSE), ""Not Found"")"),"flərti")</f>
        <v>flərti</v>
      </c>
      <c r="E4553" s="2" t="str">
        <f>IFERROR(__xludf.DUMMYFUNCTION("IFERROR(VLOOKUP(A4553, IMPORTRANGE(""https://docs.google.com/spreadsheets/d/1-3Vjw2Cyy-mry5gbC8ypIR3YVGFfEpyFESummAta6sg/edit"", ""Sheet1!B:D""), 3, FALSE), ""Not Found"")"),"f l ə r t i ")</f>
        <v>f l ə r t i </v>
      </c>
    </row>
    <row r="4554">
      <c r="A4554" s="1" t="s">
        <v>4555</v>
      </c>
      <c r="B4554" s="1" t="s">
        <v>5</v>
      </c>
      <c r="C4554" s="2">
        <f>IFERROR(__xludf.DUMMYFUNCTION("IFERROR(VLOOKUP(A4554, IMPORTRANGE(""https://docs.google.com/spreadsheets/d/1AVX9GT0dgogEBStecCXMMQ29tWz3gBrtNB8yIromXbY/edit?gid=741673867"", ""out1g!A:B""), 2, FALSE), 0)"),77.0)</f>
        <v>77</v>
      </c>
      <c r="D4554" s="2" t="str">
        <f>IFERROR(__xludf.DUMMYFUNCTION("IFERROR(VLOOKUP(A4554, IMPORTRANGE(""https://docs.google.com/spreadsheets/d/1-3Vjw2Cyy-mry5gbC8ypIR3YVGFfEpyFESummAta6sg/edit"", ""Sheet1!B:D""), 2, FALSE), ""Not Found"")"),"hez")</f>
        <v>hez</v>
      </c>
      <c r="E4554" s="2" t="str">
        <f>IFERROR(__xludf.DUMMYFUNCTION("IFERROR(VLOOKUP(A4554, IMPORTRANGE(""https://docs.google.com/spreadsheets/d/1-3Vjw2Cyy-mry5gbC8ypIR3YVGFfEpyFESummAta6sg/edit"", ""Sheet1!B:D""), 3, FALSE), ""Not Found"")"),"h e z ")</f>
        <v>h e z </v>
      </c>
    </row>
    <row r="4555">
      <c r="A4555" s="1" t="s">
        <v>4556</v>
      </c>
      <c r="B4555" s="1" t="s">
        <v>5</v>
      </c>
      <c r="C4555" s="2">
        <f>IFERROR(__xludf.DUMMYFUNCTION("IFERROR(VLOOKUP(A4555, IMPORTRANGE(""https://docs.google.com/spreadsheets/d/1AVX9GT0dgogEBStecCXMMQ29tWz3gBrtNB8yIromXbY/edit?gid=741673867"", ""out1g!A:B""), 2, FALSE), 0)"),718.0)</f>
        <v>718</v>
      </c>
      <c r="D4555" s="2" t="str">
        <f>IFERROR(__xludf.DUMMYFUNCTION("IFERROR(VLOOKUP(A4555, IMPORTRANGE(""https://docs.google.com/spreadsheets/d/1-3Vjw2Cyy-mry5gbC8ypIR3YVGFfEpyFESummAta6sg/edit"", ""Sheet1!B:D""), 2, FALSE), ""Not Found"")"),"wɑʃt")</f>
        <v>wɑʃt</v>
      </c>
      <c r="E4555" s="2" t="str">
        <f>IFERROR(__xludf.DUMMYFUNCTION("IFERROR(VLOOKUP(A4555, IMPORTRANGE(""https://docs.google.com/spreadsheets/d/1-3Vjw2Cyy-mry5gbC8ypIR3YVGFfEpyFESummAta6sg/edit"", ""Sheet1!B:D""), 3, FALSE), ""Not Found"")"),"w ɑ ʃ t ")</f>
        <v>w ɑ ʃ t </v>
      </c>
    </row>
    <row r="4556">
      <c r="A4556" s="1" t="s">
        <v>4557</v>
      </c>
      <c r="B4556" s="1" t="s">
        <v>5</v>
      </c>
      <c r="C4556" s="2">
        <f>IFERROR(__xludf.DUMMYFUNCTION("IFERROR(VLOOKUP(A4556, IMPORTRANGE(""https://docs.google.com/spreadsheets/d/1AVX9GT0dgogEBStecCXMMQ29tWz3gBrtNB8yIromXbY/edit?gid=741673867"", ""out1g!A:B""), 2, FALSE), 0)"),52.0)</f>
        <v>52</v>
      </c>
      <c r="D4556" s="2" t="str">
        <f>IFERROR(__xludf.DUMMYFUNCTION("IFERROR(VLOOKUP(A4556, IMPORTRANGE(""https://docs.google.com/spreadsheets/d/1-3Vjw2Cyy-mry5gbC8ypIR3YVGFfEpyFESummAta6sg/edit"", ""Sheet1!B:D""), 2, FALSE), ""Not Found"")"),"wɔrts")</f>
        <v>wɔrts</v>
      </c>
      <c r="E4556" s="2" t="str">
        <f>IFERROR(__xludf.DUMMYFUNCTION("IFERROR(VLOOKUP(A4556, IMPORTRANGE(""https://docs.google.com/spreadsheets/d/1-3Vjw2Cyy-mry5gbC8ypIR3YVGFfEpyFESummAta6sg/edit"", ""Sheet1!B:D""), 3, FALSE), ""Not Found"")"),"w ɔ r t s ")</f>
        <v>w ɔ r t s </v>
      </c>
    </row>
    <row r="4557">
      <c r="A4557" s="1" t="s">
        <v>4558</v>
      </c>
      <c r="B4557" s="1" t="s">
        <v>5</v>
      </c>
      <c r="C4557" s="2">
        <f>IFERROR(__xludf.DUMMYFUNCTION("IFERROR(VLOOKUP(A4557, IMPORTRANGE(""https://docs.google.com/spreadsheets/d/1AVX9GT0dgogEBStecCXMMQ29tWz3gBrtNB8yIromXbY/edit?gid=741673867"", ""out1g!A:B""), 2, FALSE), 0)"),154.0)</f>
        <v>154</v>
      </c>
      <c r="D4557" s="2" t="str">
        <f>IFERROR(__xludf.DUMMYFUNCTION("IFERROR(VLOOKUP(A4557, IMPORTRANGE(""https://docs.google.com/spreadsheets/d/1-3Vjw2Cyy-mry5gbC8ypIR3YVGFfEpyFESummAta6sg/edit"", ""Sheet1!B:D""), 2, FALSE), ""Not Found"")"),"fudz")</f>
        <v>fudz</v>
      </c>
      <c r="E4557" s="2" t="str">
        <f>IFERROR(__xludf.DUMMYFUNCTION("IFERROR(VLOOKUP(A4557, IMPORTRANGE(""https://docs.google.com/spreadsheets/d/1-3Vjw2Cyy-mry5gbC8ypIR3YVGFfEpyFESummAta6sg/edit"", ""Sheet1!B:D""), 3, FALSE), ""Not Found"")"),"f u d z ")</f>
        <v>f u d z </v>
      </c>
    </row>
    <row r="4558">
      <c r="A4558" s="1" t="s">
        <v>4559</v>
      </c>
      <c r="B4558" s="1" t="s">
        <v>5</v>
      </c>
      <c r="C4558" s="2">
        <f>IFERROR(__xludf.DUMMYFUNCTION("IFERROR(VLOOKUP(A4558, IMPORTRANGE(""https://docs.google.com/spreadsheets/d/1AVX9GT0dgogEBStecCXMMQ29tWz3gBrtNB8yIromXbY/edit?gid=741673867"", ""out1g!A:B""), 2, FALSE), 0)"),312.0)</f>
        <v>312</v>
      </c>
      <c r="D4558" s="2" t="str">
        <f>IFERROR(__xludf.DUMMYFUNCTION("IFERROR(VLOOKUP(A4558, IMPORTRANGE(""https://docs.google.com/spreadsheets/d/1-3Vjw2Cyy-mry5gbC8ypIR3YVGFfEpyFESummAta6sg/edit"", ""Sheet1!B:D""), 2, FALSE), ""Not Found"")"),"pɪnʧ")</f>
        <v>pɪnʧ</v>
      </c>
      <c r="E4558" s="2" t="str">
        <f>IFERROR(__xludf.DUMMYFUNCTION("IFERROR(VLOOKUP(A4558, IMPORTRANGE(""https://docs.google.com/spreadsheets/d/1-3Vjw2Cyy-mry5gbC8ypIR3YVGFfEpyFESummAta6sg/edit"", ""Sheet1!B:D""), 3, FALSE), ""Not Found"")"),"p ɪ n ʧ ")</f>
        <v>p ɪ n ʧ </v>
      </c>
    </row>
    <row r="4559">
      <c r="A4559" s="1" t="s">
        <v>4560</v>
      </c>
      <c r="B4559" s="1" t="s">
        <v>5</v>
      </c>
      <c r="C4559" s="2">
        <f>IFERROR(__xludf.DUMMYFUNCTION("IFERROR(VLOOKUP(A4559, IMPORTRANGE(""https://docs.google.com/spreadsheets/d/1AVX9GT0dgogEBStecCXMMQ29tWz3gBrtNB8yIromXbY/edit?gid=741673867"", ""out1g!A:B""), 2, FALSE), 0)"),65.0)</f>
        <v>65</v>
      </c>
      <c r="D4559" s="2" t="str">
        <f>IFERROR(__xludf.DUMMYFUNCTION("IFERROR(VLOOKUP(A4559, IMPORTRANGE(""https://docs.google.com/spreadsheets/d/1-3Vjw2Cyy-mry5gbC8ypIR3YVGFfEpyFESummAta6sg/edit"", ""Sheet1!B:D""), 2, FALSE), ""Not Found"")"),"snɔti")</f>
        <v>snɔti</v>
      </c>
      <c r="E4559" s="2" t="str">
        <f>IFERROR(__xludf.DUMMYFUNCTION("IFERROR(VLOOKUP(A4559, IMPORTRANGE(""https://docs.google.com/spreadsheets/d/1-3Vjw2Cyy-mry5gbC8ypIR3YVGFfEpyFESummAta6sg/edit"", ""Sheet1!B:D""), 3, FALSE), ""Not Found"")"),"s n ɔ t i ")</f>
        <v>s n ɔ t i </v>
      </c>
    </row>
    <row r="4560">
      <c r="A4560" s="1" t="s">
        <v>4561</v>
      </c>
      <c r="B4560" s="1" t="s">
        <v>5</v>
      </c>
      <c r="C4560" s="2">
        <f>IFERROR(__xludf.DUMMYFUNCTION("IFERROR(VLOOKUP(A4560, IMPORTRANGE(""https://docs.google.com/spreadsheets/d/1AVX9GT0dgogEBStecCXMMQ29tWz3gBrtNB8yIromXbY/edit?gid=741673867"", ""out1g!A:B""), 2, FALSE), 0)"),257.0)</f>
        <v>257</v>
      </c>
      <c r="D4560" s="2" t="str">
        <f>IFERROR(__xludf.DUMMYFUNCTION("IFERROR(VLOOKUP(A4560, IMPORTRANGE(""https://docs.google.com/spreadsheets/d/1-3Vjw2Cyy-mry5gbC8ypIR3YVGFfEpyFESummAta6sg/edit"", ""Sheet1!B:D""), 2, FALSE), ""Not Found"")"),"tɛrə")</f>
        <v>tɛrə</v>
      </c>
      <c r="E4560" s="2" t="str">
        <f>IFERROR(__xludf.DUMMYFUNCTION("IFERROR(VLOOKUP(A4560, IMPORTRANGE(""https://docs.google.com/spreadsheets/d/1-3Vjw2Cyy-mry5gbC8ypIR3YVGFfEpyFESummAta6sg/edit"", ""Sheet1!B:D""), 3, FALSE), ""Not Found"")"),"t ɛ r ə ")</f>
        <v>t ɛ r ə </v>
      </c>
    </row>
    <row r="4561">
      <c r="A4561" s="1" t="s">
        <v>4562</v>
      </c>
      <c r="B4561" s="1" t="s">
        <v>5</v>
      </c>
      <c r="C4561" s="2">
        <f>IFERROR(__xludf.DUMMYFUNCTION("IFERROR(VLOOKUP(A4561, IMPORTRANGE(""https://docs.google.com/spreadsheets/d/1AVX9GT0dgogEBStecCXMMQ29tWz3gBrtNB8yIromXbY/edit?gid=741673867"", ""out1g!A:B""), 2, FALSE), 0)"),7469.0)</f>
        <v>7469</v>
      </c>
      <c r="D4561" s="2" t="str">
        <f>IFERROR(__xludf.DUMMYFUNCTION("IFERROR(VLOOKUP(A4561, IMPORTRANGE(""https://docs.google.com/spreadsheets/d/1-3Vjw2Cyy-mry5gbC8ypIR3YVGFfEpyFESummAta6sg/edit"", ""Sheet1!B:D""), 2, FALSE), ""Not Found"")"),"pʊl")</f>
        <v>pʊl</v>
      </c>
      <c r="E4561" s="2" t="str">
        <f>IFERROR(__xludf.DUMMYFUNCTION("IFERROR(VLOOKUP(A4561, IMPORTRANGE(""https://docs.google.com/spreadsheets/d/1-3Vjw2Cyy-mry5gbC8ypIR3YVGFfEpyFESummAta6sg/edit"", ""Sheet1!B:D""), 3, FALSE), ""Not Found"")"),"p ʊ l ")</f>
        <v>p ʊ l </v>
      </c>
    </row>
    <row r="4562">
      <c r="A4562" s="1" t="s">
        <v>4563</v>
      </c>
      <c r="B4562" s="1" t="s">
        <v>5</v>
      </c>
      <c r="C4562" s="2">
        <f>IFERROR(__xludf.DUMMYFUNCTION("IFERROR(VLOOKUP(A4562, IMPORTRANGE(""https://docs.google.com/spreadsheets/d/1AVX9GT0dgogEBStecCXMMQ29tWz3gBrtNB8yIromXbY/edit?gid=741673867"", ""out1g!A:B""), 2, FALSE), 0)"),1296.0)</f>
        <v>1296</v>
      </c>
      <c r="D4562" s="2" t="str">
        <f>IFERROR(__xludf.DUMMYFUNCTION("IFERROR(VLOOKUP(A4562, IMPORTRANGE(""https://docs.google.com/spreadsheets/d/1-3Vjw2Cyy-mry5gbC8ypIR3YVGFfEpyFESummAta6sg/edit"", ""Sheet1!B:D""), 2, FALSE), ""Not Found"")"),"æn")</f>
        <v>æn</v>
      </c>
      <c r="E4562" s="2" t="str">
        <f>IFERROR(__xludf.DUMMYFUNCTION("IFERROR(VLOOKUP(A4562, IMPORTRANGE(""https://docs.google.com/spreadsheets/d/1-3Vjw2Cyy-mry5gbC8ypIR3YVGFfEpyFESummAta6sg/edit"", ""Sheet1!B:D""), 3, FALSE), ""Not Found"")"),"æ n ")</f>
        <v>æ n </v>
      </c>
    </row>
    <row r="4563">
      <c r="A4563" s="1" t="s">
        <v>4564</v>
      </c>
      <c r="B4563" s="1" t="s">
        <v>5</v>
      </c>
      <c r="C4563" s="2">
        <f>IFERROR(__xludf.DUMMYFUNCTION("IFERROR(VLOOKUP(A4563, IMPORTRANGE(""https://docs.google.com/spreadsheets/d/1AVX9GT0dgogEBStecCXMMQ29tWz3gBrtNB8yIromXbY/edit?gid=741673867"", ""out1g!A:B""), 2, FALSE), 0)"),418.0)</f>
        <v>418</v>
      </c>
      <c r="D4563" s="2" t="str">
        <f>IFERROR(__xludf.DUMMYFUNCTION("IFERROR(VLOOKUP(A4563, IMPORTRANGE(""https://docs.google.com/spreadsheets/d/1-3Vjw2Cyy-mry5gbC8ypIR3YVGFfEpyFESummAta6sg/edit"", ""Sheet1!B:D""), 2, FALSE), ""Not Found"")"),"kɛnt")</f>
        <v>kɛnt</v>
      </c>
      <c r="E4563" s="2" t="str">
        <f>IFERROR(__xludf.DUMMYFUNCTION("IFERROR(VLOOKUP(A4563, IMPORTRANGE(""https://docs.google.com/spreadsheets/d/1-3Vjw2Cyy-mry5gbC8ypIR3YVGFfEpyFESummAta6sg/edit"", ""Sheet1!B:D""), 3, FALSE), ""Not Found"")"),"k ɛ n t ")</f>
        <v>k ɛ n t </v>
      </c>
    </row>
    <row r="4564">
      <c r="A4564" s="1" t="s">
        <v>4565</v>
      </c>
      <c r="B4564" s="1" t="s">
        <v>5</v>
      </c>
      <c r="C4564" s="2">
        <f>IFERROR(__xludf.DUMMYFUNCTION("IFERROR(VLOOKUP(A4564, IMPORTRANGE(""https://docs.google.com/spreadsheets/d/1AVX9GT0dgogEBStecCXMMQ29tWz3gBrtNB8yIromXbY/edit?gid=741673867"", ""out1g!A:B""), 2, FALSE), 0)"),209.0)</f>
        <v>209</v>
      </c>
      <c r="D4564" s="2" t="str">
        <f>IFERROR(__xludf.DUMMYFUNCTION("IFERROR(VLOOKUP(A4564, IMPORTRANGE(""https://docs.google.com/spreadsheets/d/1-3Vjw2Cyy-mry5gbC8ypIR3YVGFfEpyFESummAta6sg/edit"", ""Sheet1!B:D""), 2, FALSE), ""Not Found"")"),"rulɪŋ")</f>
        <v>rulɪŋ</v>
      </c>
      <c r="E4564" s="2" t="str">
        <f>IFERROR(__xludf.DUMMYFUNCTION("IFERROR(VLOOKUP(A4564, IMPORTRANGE(""https://docs.google.com/spreadsheets/d/1-3Vjw2Cyy-mry5gbC8ypIR3YVGFfEpyFESummAta6sg/edit"", ""Sheet1!B:D""), 3, FALSE), ""Not Found"")"),"r u l ɪ ŋ ")</f>
        <v>r u l ɪ ŋ </v>
      </c>
    </row>
    <row r="4565">
      <c r="A4565" s="1" t="s">
        <v>4566</v>
      </c>
      <c r="B4565" s="1" t="s">
        <v>5</v>
      </c>
      <c r="C4565" s="2">
        <f>IFERROR(__xludf.DUMMYFUNCTION("IFERROR(VLOOKUP(A4565, IMPORTRANGE(""https://docs.google.com/spreadsheets/d/1AVX9GT0dgogEBStecCXMMQ29tWz3gBrtNB8yIromXbY/edit?gid=741673867"", ""out1g!A:B""), 2, FALSE), 0)"),2247.0)</f>
        <v>2247</v>
      </c>
      <c r="D4565" s="2" t="str">
        <f>IFERROR(__xludf.DUMMYFUNCTION("IFERROR(VLOOKUP(A4565, IMPORTRANGE(""https://docs.google.com/spreadsheets/d/1-3Vjw2Cyy-mry5gbC8ypIR3YVGFfEpyFESummAta6sg/edit"", ""Sheet1!B:D""), 2, FALSE), ""Not Found"")"),"rɪtən")</f>
        <v>rɪtən</v>
      </c>
      <c r="E4565" s="2" t="str">
        <f>IFERROR(__xludf.DUMMYFUNCTION("IFERROR(VLOOKUP(A4565, IMPORTRANGE(""https://docs.google.com/spreadsheets/d/1-3Vjw2Cyy-mry5gbC8ypIR3YVGFfEpyFESummAta6sg/edit"", ""Sheet1!B:D""), 3, FALSE), ""Not Found"")"),"r ɪ t ə n ")</f>
        <v>r ɪ t ə n </v>
      </c>
    </row>
    <row r="4566">
      <c r="A4566" s="1" t="s">
        <v>4567</v>
      </c>
      <c r="B4566" s="1" t="s">
        <v>5</v>
      </c>
      <c r="C4566" s="2">
        <f>IFERROR(__xludf.DUMMYFUNCTION("IFERROR(VLOOKUP(A4566, IMPORTRANGE(""https://docs.google.com/spreadsheets/d/1AVX9GT0dgogEBStecCXMMQ29tWz3gBrtNB8yIromXbY/edit?gid=741673867"", ""out1g!A:B""), 2, FALSE), 0)"),133.0)</f>
        <v>133</v>
      </c>
      <c r="D4566" s="2" t="str">
        <f>IFERROR(__xludf.DUMMYFUNCTION("IFERROR(VLOOKUP(A4566, IMPORTRANGE(""https://docs.google.com/spreadsheets/d/1-3Vjw2Cyy-mry5gbC8ypIR3YVGFfEpyFESummAta6sg/edit"", ""Sheet1!B:D""), 2, FALSE), ""Not Found"")"),"sætən")</f>
        <v>sætən</v>
      </c>
      <c r="E4566" s="2" t="str">
        <f>IFERROR(__xludf.DUMMYFUNCTION("IFERROR(VLOOKUP(A4566, IMPORTRANGE(""https://docs.google.com/spreadsheets/d/1-3Vjw2Cyy-mry5gbC8ypIR3YVGFfEpyFESummAta6sg/edit"", ""Sheet1!B:D""), 3, FALSE), ""Not Found"")"),"s æ t ə n ")</f>
        <v>s æ t ə n </v>
      </c>
    </row>
    <row r="4567">
      <c r="A4567" s="1" t="s">
        <v>4568</v>
      </c>
      <c r="B4567" s="1" t="s">
        <v>5</v>
      </c>
      <c r="C4567" s="2">
        <f>IFERROR(__xludf.DUMMYFUNCTION("IFERROR(VLOOKUP(A4567, IMPORTRANGE(""https://docs.google.com/spreadsheets/d/1AVX9GT0dgogEBStecCXMMQ29tWz3gBrtNB8yIromXbY/edit?gid=741673867"", ""out1g!A:B""), 2, FALSE), 0)"),263.0)</f>
        <v>263</v>
      </c>
      <c r="D4567" s="2" t="str">
        <f>IFERROR(__xludf.DUMMYFUNCTION("IFERROR(VLOOKUP(A4567, IMPORTRANGE(""https://docs.google.com/spreadsheets/d/1-3Vjw2Cyy-mry5gbC8ypIR3YVGFfEpyFESummAta6sg/edit"", ""Sheet1!B:D""), 2, FALSE), ""Not Found"")"),"moʊd")</f>
        <v>moʊd</v>
      </c>
      <c r="E4567" s="2" t="str">
        <f>IFERROR(__xludf.DUMMYFUNCTION("IFERROR(VLOOKUP(A4567, IMPORTRANGE(""https://docs.google.com/spreadsheets/d/1-3Vjw2Cyy-mry5gbC8ypIR3YVGFfEpyFESummAta6sg/edit"", ""Sheet1!B:D""), 3, FALSE), ""Not Found"")"),"m o ʊ d ")</f>
        <v>m o ʊ d </v>
      </c>
    </row>
    <row r="4568">
      <c r="A4568" s="1" t="s">
        <v>4569</v>
      </c>
      <c r="B4568" s="1" t="s">
        <v>5</v>
      </c>
      <c r="C4568" s="2">
        <f>IFERROR(__xludf.DUMMYFUNCTION("IFERROR(VLOOKUP(A4568, IMPORTRANGE(""https://docs.google.com/spreadsheets/d/1AVX9GT0dgogEBStecCXMMQ29tWz3gBrtNB8yIromXbY/edit?gid=741673867"", ""out1g!A:B""), 2, FALSE), 0)"),78.0)</f>
        <v>78</v>
      </c>
      <c r="D4568" s="2" t="str">
        <f>IFERROR(__xludf.DUMMYFUNCTION("IFERROR(VLOOKUP(A4568, IMPORTRANGE(""https://docs.google.com/spreadsheets/d/1-3Vjw2Cyy-mry5gbC8ypIR3YVGFfEpyFESummAta6sg/edit"", ""Sheet1!B:D""), 2, FALSE), ""Not Found"")"),"divə")</f>
        <v>divə</v>
      </c>
      <c r="E4568" s="2" t="str">
        <f>IFERROR(__xludf.DUMMYFUNCTION("IFERROR(VLOOKUP(A4568, IMPORTRANGE(""https://docs.google.com/spreadsheets/d/1-3Vjw2Cyy-mry5gbC8ypIR3YVGFfEpyFESummAta6sg/edit"", ""Sheet1!B:D""), 3, FALSE), ""Not Found"")"),"d i v ə ")</f>
        <v>d i v ə </v>
      </c>
    </row>
    <row r="4569">
      <c r="A4569" s="1" t="s">
        <v>4570</v>
      </c>
      <c r="B4569" s="1" t="s">
        <v>5</v>
      </c>
      <c r="C4569" s="2">
        <f>IFERROR(__xludf.DUMMYFUNCTION("IFERROR(VLOOKUP(A4569, IMPORTRANGE(""https://docs.google.com/spreadsheets/d/1AVX9GT0dgogEBStecCXMMQ29tWz3gBrtNB8yIromXbY/edit?gid=741673867"", ""out1g!A:B""), 2, FALSE), 0)"),448.0)</f>
        <v>448</v>
      </c>
      <c r="D4569" s="2" t="str">
        <f>IFERROR(__xludf.DUMMYFUNCTION("IFERROR(VLOOKUP(A4569, IMPORTRANGE(""https://docs.google.com/spreadsheets/d/1-3Vjw2Cyy-mry5gbC8ypIR3YVGFfEpyFESummAta6sg/edit"", ""Sheet1!B:D""), 2, FALSE), ""Not Found"")"),"roʊlz")</f>
        <v>roʊlz</v>
      </c>
      <c r="E4569" s="2" t="str">
        <f>IFERROR(__xludf.DUMMYFUNCTION("IFERROR(VLOOKUP(A4569, IMPORTRANGE(""https://docs.google.com/spreadsheets/d/1-3Vjw2Cyy-mry5gbC8ypIR3YVGFfEpyFESummAta6sg/edit"", ""Sheet1!B:D""), 3, FALSE), ""Not Found"")"),"r o ʊ l z ")</f>
        <v>r o ʊ l z </v>
      </c>
    </row>
    <row r="4570">
      <c r="A4570" s="1" t="s">
        <v>4571</v>
      </c>
      <c r="B4570" s="1" t="s">
        <v>5</v>
      </c>
      <c r="C4570" s="2">
        <f>IFERROR(__xludf.DUMMYFUNCTION("IFERROR(VLOOKUP(A4570, IMPORTRANGE(""https://docs.google.com/spreadsheets/d/1AVX9GT0dgogEBStecCXMMQ29tWz3gBrtNB8yIromXbY/edit?gid=741673867"", ""out1g!A:B""), 2, FALSE), 0)"),462.0)</f>
        <v>462</v>
      </c>
      <c r="D4570" s="2" t="str">
        <f>IFERROR(__xludf.DUMMYFUNCTION("IFERROR(VLOOKUP(A4570, IMPORTRANGE(""https://docs.google.com/spreadsheets/d/1-3Vjw2Cyy-mry5gbC8ypIR3YVGFfEpyFESummAta6sg/edit"", ""Sheet1!B:D""), 2, FALSE), ""Not Found"")"),"roʊdz")</f>
        <v>roʊdz</v>
      </c>
      <c r="E4570" s="2" t="str">
        <f>IFERROR(__xludf.DUMMYFUNCTION("IFERROR(VLOOKUP(A4570, IMPORTRANGE(""https://docs.google.com/spreadsheets/d/1-3Vjw2Cyy-mry5gbC8ypIR3YVGFfEpyFESummAta6sg/edit"", ""Sheet1!B:D""), 3, FALSE), ""Not Found"")"),"r o ʊ d z ")</f>
        <v>r o ʊ d z </v>
      </c>
    </row>
    <row r="4571">
      <c r="A4571" s="1" t="s">
        <v>4572</v>
      </c>
      <c r="B4571" s="1" t="s">
        <v>5</v>
      </c>
      <c r="C4571" s="2">
        <f>IFERROR(__xludf.DUMMYFUNCTION("IFERROR(VLOOKUP(A4571, IMPORTRANGE(""https://docs.google.com/spreadsheets/d/1AVX9GT0dgogEBStecCXMMQ29tWz3gBrtNB8yIromXbY/edit?gid=741673867"", ""out1g!A:B""), 2, FALSE), 0)"),13.0)</f>
        <v>13</v>
      </c>
      <c r="D4571" s="2" t="str">
        <f>IFERROR(__xludf.DUMMYFUNCTION("IFERROR(VLOOKUP(A4571, IMPORTRANGE(""https://docs.google.com/spreadsheets/d/1-3Vjw2Cyy-mry5gbC8ypIR3YVGFfEpyFESummAta6sg/edit"", ""Sheet1!B:D""), 2, FALSE), ""Not Found"")"),"wɪʧi")</f>
        <v>wɪʧi</v>
      </c>
      <c r="E4571" s="2" t="str">
        <f>IFERROR(__xludf.DUMMYFUNCTION("IFERROR(VLOOKUP(A4571, IMPORTRANGE(""https://docs.google.com/spreadsheets/d/1-3Vjw2Cyy-mry5gbC8ypIR3YVGFfEpyFESummAta6sg/edit"", ""Sheet1!B:D""), 3, FALSE), ""Not Found"")"),"w ɪ ʧ i ")</f>
        <v>w ɪ ʧ i </v>
      </c>
    </row>
    <row r="4572">
      <c r="A4572" s="1" t="s">
        <v>4573</v>
      </c>
      <c r="B4572" s="1" t="s">
        <v>5</v>
      </c>
      <c r="C4572" s="2">
        <f>IFERROR(__xludf.DUMMYFUNCTION("IFERROR(VLOOKUP(A4572, IMPORTRANGE(""https://docs.google.com/spreadsheets/d/1AVX9GT0dgogEBStecCXMMQ29tWz3gBrtNB8yIromXbY/edit?gid=741673867"", ""out1g!A:B""), 2, FALSE), 0)"),79.0)</f>
        <v>79</v>
      </c>
      <c r="D4572" s="2" t="str">
        <f>IFERROR(__xludf.DUMMYFUNCTION("IFERROR(VLOOKUP(A4572, IMPORTRANGE(""https://docs.google.com/spreadsheets/d/1-3Vjw2Cyy-mry5gbC8ypIR3YVGFfEpyFESummAta6sg/edit"", ""Sheet1!B:D""), 2, FALSE), ""Not Found"")"),"kərlz")</f>
        <v>kərlz</v>
      </c>
      <c r="E4572" s="2" t="str">
        <f>IFERROR(__xludf.DUMMYFUNCTION("IFERROR(VLOOKUP(A4572, IMPORTRANGE(""https://docs.google.com/spreadsheets/d/1-3Vjw2Cyy-mry5gbC8ypIR3YVGFfEpyFESummAta6sg/edit"", ""Sheet1!B:D""), 3, FALSE), ""Not Found"")"),"k ə r l z ")</f>
        <v>k ə r l z </v>
      </c>
    </row>
    <row r="4573">
      <c r="A4573" s="1" t="s">
        <v>4574</v>
      </c>
      <c r="B4573" s="1" t="s">
        <v>5</v>
      </c>
      <c r="C4573" s="2">
        <f>IFERROR(__xludf.DUMMYFUNCTION("IFERROR(VLOOKUP(A4573, IMPORTRANGE(""https://docs.google.com/spreadsheets/d/1AVX9GT0dgogEBStecCXMMQ29tWz3gBrtNB8yIromXbY/edit?gid=741673867"", ""out1g!A:B""), 2, FALSE), 0)"),3337.0)</f>
        <v>3337</v>
      </c>
      <c r="D4573" s="2" t="str">
        <f>IFERROR(__xludf.DUMMYFUNCTION("IFERROR(VLOOKUP(A4573, IMPORTRANGE(""https://docs.google.com/spreadsheets/d/1-3Vjw2Cyy-mry5gbC8ypIR3YVGFfEpyFESummAta6sg/edit"", ""Sheet1!B:D""), 2, FALSE), ""Not Found"")"),"smoʊk")</f>
        <v>smoʊk</v>
      </c>
      <c r="E4573" s="2" t="str">
        <f>IFERROR(__xludf.DUMMYFUNCTION("IFERROR(VLOOKUP(A4573, IMPORTRANGE(""https://docs.google.com/spreadsheets/d/1-3Vjw2Cyy-mry5gbC8ypIR3YVGFfEpyFESummAta6sg/edit"", ""Sheet1!B:D""), 3, FALSE), ""Not Found"")"),"s m o ʊ k ")</f>
        <v>s m o ʊ k </v>
      </c>
    </row>
    <row r="4574">
      <c r="A4574" s="1" t="s">
        <v>4575</v>
      </c>
      <c r="B4574" s="1" t="s">
        <v>5</v>
      </c>
      <c r="C4574" s="2">
        <f>IFERROR(__xludf.DUMMYFUNCTION("IFERROR(VLOOKUP(A4574, IMPORTRANGE(""https://docs.google.com/spreadsheets/d/1AVX9GT0dgogEBStecCXMMQ29tWz3gBrtNB8yIromXbY/edit?gid=741673867"", ""out1g!A:B""), 2, FALSE), 0)"),60.0)</f>
        <v>60</v>
      </c>
      <c r="D4574" s="2" t="str">
        <f>IFERROR(__xludf.DUMMYFUNCTION("IFERROR(VLOOKUP(A4574, IMPORTRANGE(""https://docs.google.com/spreadsheets/d/1-3Vjw2Cyy-mry5gbC8ypIR3YVGFfEpyFESummAta6sg/edit"", ""Sheet1!B:D""), 2, FALSE), ""Not Found"")"),"zɪŋ")</f>
        <v>zɪŋ</v>
      </c>
      <c r="E4574" s="2" t="str">
        <f>IFERROR(__xludf.DUMMYFUNCTION("IFERROR(VLOOKUP(A4574, IMPORTRANGE(""https://docs.google.com/spreadsheets/d/1-3Vjw2Cyy-mry5gbC8ypIR3YVGFfEpyFESummAta6sg/edit"", ""Sheet1!B:D""), 3, FALSE), ""Not Found"")"),"z ɪ ŋ ")</f>
        <v>z ɪ ŋ </v>
      </c>
    </row>
    <row r="4575">
      <c r="A4575" s="1" t="s">
        <v>4576</v>
      </c>
      <c r="B4575" s="1" t="s">
        <v>5</v>
      </c>
      <c r="C4575" s="2">
        <f>IFERROR(__xludf.DUMMYFUNCTION("IFERROR(VLOOKUP(A4575, IMPORTRANGE(""https://docs.google.com/spreadsheets/d/1AVX9GT0dgogEBStecCXMMQ29tWz3gBrtNB8yIromXbY/edit?gid=741673867"", ""out1g!A:B""), 2, FALSE), 0)"),261.0)</f>
        <v>261</v>
      </c>
      <c r="D4575" s="2" t="str">
        <f>IFERROR(__xludf.DUMMYFUNCTION("IFERROR(VLOOKUP(A4575, IMPORTRANGE(""https://docs.google.com/spreadsheets/d/1-3Vjw2Cyy-mry5gbC8ypIR3YVGFfEpyFESummAta6sg/edit"", ""Sheet1!B:D""), 2, FALSE), ""Not Found"")"),"drɪp")</f>
        <v>drɪp</v>
      </c>
      <c r="E4575" s="2" t="str">
        <f>IFERROR(__xludf.DUMMYFUNCTION("IFERROR(VLOOKUP(A4575, IMPORTRANGE(""https://docs.google.com/spreadsheets/d/1-3Vjw2Cyy-mry5gbC8ypIR3YVGFfEpyFESummAta6sg/edit"", ""Sheet1!B:D""), 3, FALSE), ""Not Found"")"),"d r ɪ p ")</f>
        <v>d r ɪ p </v>
      </c>
    </row>
    <row r="4576">
      <c r="A4576" s="1" t="s">
        <v>4577</v>
      </c>
      <c r="B4576" s="1" t="s">
        <v>5</v>
      </c>
      <c r="C4576" s="2">
        <f>IFERROR(__xludf.DUMMYFUNCTION("IFERROR(VLOOKUP(A4576, IMPORTRANGE(""https://docs.google.com/spreadsheets/d/1AVX9GT0dgogEBStecCXMMQ29tWz3gBrtNB8yIromXbY/edit?gid=741673867"", ""out1g!A:B""), 2, FALSE), 0)"),162.0)</f>
        <v>162</v>
      </c>
      <c r="D4576" s="2" t="str">
        <f>IFERROR(__xludf.DUMMYFUNCTION("IFERROR(VLOOKUP(A4576, IMPORTRANGE(""https://docs.google.com/spreadsheets/d/1-3Vjw2Cyy-mry5gbC8ypIR3YVGFfEpyFESummAta6sg/edit"", ""Sheet1!B:D""), 2, FALSE), ""Not Found"")"),"tɛli")</f>
        <v>tɛli</v>
      </c>
      <c r="E4576" s="2" t="str">
        <f>IFERROR(__xludf.DUMMYFUNCTION("IFERROR(VLOOKUP(A4576, IMPORTRANGE(""https://docs.google.com/spreadsheets/d/1-3Vjw2Cyy-mry5gbC8ypIR3YVGFfEpyFESummAta6sg/edit"", ""Sheet1!B:D""), 3, FALSE), ""Not Found"")"),"t ɛ l i ")</f>
        <v>t ɛ l i </v>
      </c>
    </row>
    <row r="4577">
      <c r="A4577" s="1" t="s">
        <v>4578</v>
      </c>
      <c r="B4577" s="1" t="s">
        <v>5</v>
      </c>
      <c r="C4577" s="2">
        <f>IFERROR(__xludf.DUMMYFUNCTION("IFERROR(VLOOKUP(A4577, IMPORTRANGE(""https://docs.google.com/spreadsheets/d/1AVX9GT0dgogEBStecCXMMQ29tWz3gBrtNB8yIromXbY/edit?gid=741673867"", ""out1g!A:B""), 2, FALSE), 0)"),104.0)</f>
        <v>104</v>
      </c>
      <c r="D4577" s="2" t="str">
        <f>IFERROR(__xludf.DUMMYFUNCTION("IFERROR(VLOOKUP(A4577, IMPORTRANGE(""https://docs.google.com/spreadsheets/d/1-3Vjw2Cyy-mry5gbC8ypIR3YVGFfEpyFESummAta6sg/edit"", ""Sheet1!B:D""), 2, FALSE), ""Not Found"")"),"krɔts")</f>
        <v>krɔts</v>
      </c>
      <c r="E4577" s="2" t="str">
        <f>IFERROR(__xludf.DUMMYFUNCTION("IFERROR(VLOOKUP(A4577, IMPORTRANGE(""https://docs.google.com/spreadsheets/d/1-3Vjw2Cyy-mry5gbC8ypIR3YVGFfEpyFESummAta6sg/edit"", ""Sheet1!B:D""), 3, FALSE), ""Not Found"")"),"k r ɔ t s ")</f>
        <v>k r ɔ t s </v>
      </c>
    </row>
    <row r="4578">
      <c r="A4578" s="1" t="s">
        <v>4579</v>
      </c>
      <c r="B4578" s="1" t="s">
        <v>5</v>
      </c>
      <c r="C4578" s="2">
        <f>IFERROR(__xludf.DUMMYFUNCTION("IFERROR(VLOOKUP(A4578, IMPORTRANGE(""https://docs.google.com/spreadsheets/d/1AVX9GT0dgogEBStecCXMMQ29tWz3gBrtNB8yIromXbY/edit?gid=741673867"", ""out1g!A:B""), 2, FALSE), 0)"),71.0)</f>
        <v>71</v>
      </c>
      <c r="D4578" s="2" t="str">
        <f>IFERROR(__xludf.DUMMYFUNCTION("IFERROR(VLOOKUP(A4578, IMPORTRANGE(""https://docs.google.com/spreadsheets/d/1-3Vjw2Cyy-mry5gbC8ypIR3YVGFfEpyFESummAta6sg/edit"", ""Sheet1!B:D""), 2, FALSE), ""Not Found"")"),"nɪkt")</f>
        <v>nɪkt</v>
      </c>
      <c r="E4578" s="2" t="str">
        <f>IFERROR(__xludf.DUMMYFUNCTION("IFERROR(VLOOKUP(A4578, IMPORTRANGE(""https://docs.google.com/spreadsheets/d/1-3Vjw2Cyy-mry5gbC8ypIR3YVGFfEpyFESummAta6sg/edit"", ""Sheet1!B:D""), 3, FALSE), ""Not Found"")"),"n ɪ k t ")</f>
        <v>n ɪ k t </v>
      </c>
    </row>
    <row r="4579">
      <c r="A4579" s="1" t="s">
        <v>4580</v>
      </c>
      <c r="B4579" s="1" t="s">
        <v>5</v>
      </c>
      <c r="C4579" s="2">
        <f>IFERROR(__xludf.DUMMYFUNCTION("IFERROR(VLOOKUP(A4579, IMPORTRANGE(""https://docs.google.com/spreadsheets/d/1AVX9GT0dgogEBStecCXMMQ29tWz3gBrtNB8yIromXbY/edit?gid=741673867"", ""out1g!A:B""), 2, FALSE), 0)"),5388.0)</f>
        <v>5388</v>
      </c>
      <c r="D4579" s="2" t="str">
        <f>IFERROR(__xludf.DUMMYFUNCTION("IFERROR(VLOOKUP(A4579, IMPORTRANGE(""https://docs.google.com/spreadsheets/d/1-3Vjw2Cyy-mry5gbC8ypIR3YVGFfEpyFESummAta6sg/edit"", ""Sheet1!B:D""), 2, FALSE), ""Not Found"")"),"tərnd")</f>
        <v>tərnd</v>
      </c>
      <c r="E4579" s="2" t="str">
        <f>IFERROR(__xludf.DUMMYFUNCTION("IFERROR(VLOOKUP(A4579, IMPORTRANGE(""https://docs.google.com/spreadsheets/d/1-3Vjw2Cyy-mry5gbC8ypIR3YVGFfEpyFESummAta6sg/edit"", ""Sheet1!B:D""), 3, FALSE), ""Not Found"")"),"t ə r n d ")</f>
        <v>t ə r n d </v>
      </c>
    </row>
    <row r="4580">
      <c r="A4580" s="1" t="s">
        <v>4581</v>
      </c>
      <c r="B4580" s="1" t="s">
        <v>5</v>
      </c>
      <c r="C4580" s="2">
        <f>IFERROR(__xludf.DUMMYFUNCTION("IFERROR(VLOOKUP(A4580, IMPORTRANGE(""https://docs.google.com/spreadsheets/d/1AVX9GT0dgogEBStecCXMMQ29tWz3gBrtNB8yIromXbY/edit?gid=741673867"", ""out1g!A:B""), 2, FALSE), 0)"),54.0)</f>
        <v>54</v>
      </c>
      <c r="D4580" s="2" t="str">
        <f>IFERROR(__xludf.DUMMYFUNCTION("IFERROR(VLOOKUP(A4580, IMPORTRANGE(""https://docs.google.com/spreadsheets/d/1-3Vjw2Cyy-mry5gbC8ypIR3YVGFfEpyFESummAta6sg/edit"", ""Sheet1!B:D""), 2, FALSE), ""Not Found"")"),"raɪtɪŋz")</f>
        <v>raɪtɪŋz</v>
      </c>
      <c r="E4580" s="2" t="str">
        <f>IFERROR(__xludf.DUMMYFUNCTION("IFERROR(VLOOKUP(A4580, IMPORTRANGE(""https://docs.google.com/spreadsheets/d/1-3Vjw2Cyy-mry5gbC8ypIR3YVGFfEpyFESummAta6sg/edit"", ""Sheet1!B:D""), 3, FALSE), ""Not Found"")"),"r a ɪ t ɪ ŋ z ")</f>
        <v>r a ɪ t ɪ ŋ z </v>
      </c>
    </row>
    <row r="4581">
      <c r="A4581" s="1" t="s">
        <v>4582</v>
      </c>
      <c r="B4581" s="1" t="s">
        <v>5</v>
      </c>
      <c r="C4581" s="2">
        <f>IFERROR(__xludf.DUMMYFUNCTION("IFERROR(VLOOKUP(A4581, IMPORTRANGE(""https://docs.google.com/spreadsheets/d/1AVX9GT0dgogEBStecCXMMQ29tWz3gBrtNB8yIromXbY/edit?gid=741673867"", ""out1g!A:B""), 2, FALSE), 0)"),108.0)</f>
        <v>108</v>
      </c>
      <c r="D4581" s="2" t="str">
        <f>IFERROR(__xludf.DUMMYFUNCTION("IFERROR(VLOOKUP(A4581, IMPORTRANGE(""https://docs.google.com/spreadsheets/d/1-3Vjw2Cyy-mry5gbC8ypIR3YVGFfEpyFESummAta6sg/edit"", ""Sheet1!B:D""), 2, FALSE), ""Not Found"")"),"plæntɪŋ")</f>
        <v>plæntɪŋ</v>
      </c>
      <c r="E4581" s="2" t="str">
        <f>IFERROR(__xludf.DUMMYFUNCTION("IFERROR(VLOOKUP(A4581, IMPORTRANGE(""https://docs.google.com/spreadsheets/d/1-3Vjw2Cyy-mry5gbC8ypIR3YVGFfEpyFESummAta6sg/edit"", ""Sheet1!B:D""), 3, FALSE), ""Not Found"")"),"p l æ n t ɪ ŋ ")</f>
        <v>p l æ n t ɪ ŋ </v>
      </c>
    </row>
    <row r="4582">
      <c r="A4582" s="1" t="s">
        <v>4583</v>
      </c>
      <c r="B4582" s="1" t="s">
        <v>5</v>
      </c>
      <c r="C4582" s="2">
        <f>IFERROR(__xludf.DUMMYFUNCTION("IFERROR(VLOOKUP(A4582, IMPORTRANGE(""https://docs.google.com/spreadsheets/d/1AVX9GT0dgogEBStecCXMMQ29tWz3gBrtNB8yIromXbY/edit?gid=741673867"", ""out1g!A:B""), 2, FALSE), 0)"),47.0)</f>
        <v>47</v>
      </c>
      <c r="D4582" s="2" t="str">
        <f>IFERROR(__xludf.DUMMYFUNCTION("IFERROR(VLOOKUP(A4582, IMPORTRANGE(""https://docs.google.com/spreadsheets/d/1-3Vjw2Cyy-mry5gbC8ypIR3YVGFfEpyFESummAta6sg/edit"", ""Sheet1!B:D""), 2, FALSE), ""Not Found"")"),"soʊlz")</f>
        <v>soʊlz</v>
      </c>
      <c r="E4582" s="2" t="str">
        <f>IFERROR(__xludf.DUMMYFUNCTION("IFERROR(VLOOKUP(A4582, IMPORTRANGE(""https://docs.google.com/spreadsheets/d/1-3Vjw2Cyy-mry5gbC8ypIR3YVGFfEpyFESummAta6sg/edit"", ""Sheet1!B:D""), 3, FALSE), ""Not Found"")"),"s o ʊ l z ")</f>
        <v>s o ʊ l z </v>
      </c>
    </row>
    <row r="4583">
      <c r="A4583" s="1" t="s">
        <v>4584</v>
      </c>
      <c r="B4583" s="1" t="s">
        <v>5</v>
      </c>
      <c r="C4583" s="2">
        <f>IFERROR(__xludf.DUMMYFUNCTION("IFERROR(VLOOKUP(A4583, IMPORTRANGE(""https://docs.google.com/spreadsheets/d/1AVX9GT0dgogEBStecCXMMQ29tWz3gBrtNB8yIromXbY/edit?gid=741673867"", ""out1g!A:B""), 2, FALSE), 0)"),700.0)</f>
        <v>700</v>
      </c>
      <c r="D4583" s="2" t="str">
        <f>IFERROR(__xludf.DUMMYFUNCTION("IFERROR(VLOOKUP(A4583, IMPORTRANGE(""https://docs.google.com/spreadsheets/d/1-3Vjw2Cyy-mry5gbC8ypIR3YVGFfEpyFESummAta6sg/edit"", ""Sheet1!B:D""), 2, FALSE), ""Not Found"")"),"gen")</f>
        <v>gen</v>
      </c>
      <c r="E4583" s="2" t="str">
        <f>IFERROR(__xludf.DUMMYFUNCTION("IFERROR(VLOOKUP(A4583, IMPORTRANGE(""https://docs.google.com/spreadsheets/d/1-3Vjw2Cyy-mry5gbC8ypIR3YVGFfEpyFESummAta6sg/edit"", ""Sheet1!B:D""), 3, FALSE), ""Not Found"")"),"g e n ")</f>
        <v>g e n </v>
      </c>
    </row>
    <row r="4584">
      <c r="A4584" s="1" t="s">
        <v>4585</v>
      </c>
      <c r="B4584" s="1" t="s">
        <v>5</v>
      </c>
      <c r="C4584" s="2">
        <f>IFERROR(__xludf.DUMMYFUNCTION("IFERROR(VLOOKUP(A4584, IMPORTRANGE(""https://docs.google.com/spreadsheets/d/1AVX9GT0dgogEBStecCXMMQ29tWz3gBrtNB8yIromXbY/edit?gid=741673867"", ""out1g!A:B""), 2, FALSE), 0)"),1626.0)</f>
        <v>1626</v>
      </c>
      <c r="D4584" s="2" t="str">
        <f>IFERROR(__xludf.DUMMYFUNCTION("IFERROR(VLOOKUP(A4584, IMPORTRANGE(""https://docs.google.com/spreadsheets/d/1-3Vjw2Cyy-mry5gbC8ypIR3YVGFfEpyFESummAta6sg/edit"", ""Sheet1!B:D""), 2, FALSE), ""Not Found"")"),"ɪnʤən")</f>
        <v>ɪnʤən</v>
      </c>
      <c r="E4584" s="2" t="str">
        <f>IFERROR(__xludf.DUMMYFUNCTION("IFERROR(VLOOKUP(A4584, IMPORTRANGE(""https://docs.google.com/spreadsheets/d/1-3Vjw2Cyy-mry5gbC8ypIR3YVGFfEpyFESummAta6sg/edit"", ""Sheet1!B:D""), 3, FALSE), ""Not Found"")"),"ɪ n ʤ ə n ")</f>
        <v>ɪ n ʤ ə n </v>
      </c>
    </row>
    <row r="4585">
      <c r="A4585" s="1" t="s">
        <v>4586</v>
      </c>
      <c r="B4585" s="1" t="s">
        <v>5</v>
      </c>
      <c r="C4585" s="2">
        <f>IFERROR(__xludf.DUMMYFUNCTION("IFERROR(VLOOKUP(A4585, IMPORTRANGE(""https://docs.google.com/spreadsheets/d/1AVX9GT0dgogEBStecCXMMQ29tWz3gBrtNB8yIromXbY/edit?gid=741673867"", ""out1g!A:B""), 2, FALSE), 0)"),162.0)</f>
        <v>162</v>
      </c>
      <c r="D4585" s="2" t="str">
        <f>IFERROR(__xludf.DUMMYFUNCTION("IFERROR(VLOOKUP(A4585, IMPORTRANGE(""https://docs.google.com/spreadsheets/d/1-3Vjw2Cyy-mry5gbC8ypIR3YVGFfEpyFESummAta6sg/edit"", ""Sheet1!B:D""), 2, FALSE), ""Not Found"")"),"wipɪŋ")</f>
        <v>wipɪŋ</v>
      </c>
      <c r="E4585" s="2" t="str">
        <f>IFERROR(__xludf.DUMMYFUNCTION("IFERROR(VLOOKUP(A4585, IMPORTRANGE(""https://docs.google.com/spreadsheets/d/1-3Vjw2Cyy-mry5gbC8ypIR3YVGFfEpyFESummAta6sg/edit"", ""Sheet1!B:D""), 3, FALSE), ""Not Found"")"),"w i p ɪ ŋ ")</f>
        <v>w i p ɪ ŋ </v>
      </c>
    </row>
    <row r="4586">
      <c r="A4586" s="1" t="s">
        <v>4587</v>
      </c>
      <c r="B4586" s="1" t="s">
        <v>5</v>
      </c>
      <c r="C4586" s="2">
        <f>IFERROR(__xludf.DUMMYFUNCTION("IFERROR(VLOOKUP(A4586, IMPORTRANGE(""https://docs.google.com/spreadsheets/d/1AVX9GT0dgogEBStecCXMMQ29tWz3gBrtNB8yIromXbY/edit?gid=741673867"", ""out1g!A:B""), 2, FALSE), 0)"),1654.0)</f>
        <v>1654</v>
      </c>
      <c r="D4586" s="2" t="str">
        <f>IFERROR(__xludf.DUMMYFUNCTION("IFERROR(VLOOKUP(A4586, IMPORTRANGE(""https://docs.google.com/spreadsheets/d/1-3Vjw2Cyy-mry5gbC8ypIR3YVGFfEpyFESummAta6sg/edit"", ""Sheet1!B:D""), 2, FALSE), ""Not Found"")"),"poʊst")</f>
        <v>poʊst</v>
      </c>
      <c r="E4586" s="2" t="str">
        <f>IFERROR(__xludf.DUMMYFUNCTION("IFERROR(VLOOKUP(A4586, IMPORTRANGE(""https://docs.google.com/spreadsheets/d/1-3Vjw2Cyy-mry5gbC8ypIR3YVGFfEpyFESummAta6sg/edit"", ""Sheet1!B:D""), 3, FALSE), ""Not Found"")"),"p o ʊ s t ")</f>
        <v>p o ʊ s t </v>
      </c>
    </row>
    <row r="4587">
      <c r="A4587" s="1" t="s">
        <v>4588</v>
      </c>
      <c r="B4587" s="1" t="s">
        <v>5</v>
      </c>
      <c r="C4587" s="2">
        <f>IFERROR(__xludf.DUMMYFUNCTION("IFERROR(VLOOKUP(A4587, IMPORTRANGE(""https://docs.google.com/spreadsheets/d/1AVX9GT0dgogEBStecCXMMQ29tWz3gBrtNB8yIromXbY/edit?gid=741673867"", ""out1g!A:B""), 2, FALSE), 0)"),81.0)</f>
        <v>81</v>
      </c>
      <c r="D4587" s="2" t="str">
        <f>IFERROR(__xludf.DUMMYFUNCTION("IFERROR(VLOOKUP(A4587, IMPORTRANGE(""https://docs.google.com/spreadsheets/d/1-3Vjw2Cyy-mry5gbC8ypIR3YVGFfEpyFESummAta6sg/edit"", ""Sheet1!B:D""), 2, FALSE), ""Not Found"")"),"frel")</f>
        <v>frel</v>
      </c>
      <c r="E4587" s="2" t="str">
        <f>IFERROR(__xludf.DUMMYFUNCTION("IFERROR(VLOOKUP(A4587, IMPORTRANGE(""https://docs.google.com/spreadsheets/d/1-3Vjw2Cyy-mry5gbC8ypIR3YVGFfEpyFESummAta6sg/edit"", ""Sheet1!B:D""), 3, FALSE), ""Not Found"")"),"f r e l ")</f>
        <v>f r e l </v>
      </c>
    </row>
    <row r="4588">
      <c r="A4588" s="1" t="s">
        <v>4589</v>
      </c>
      <c r="B4588" s="1" t="s">
        <v>5</v>
      </c>
      <c r="C4588" s="2">
        <f>IFERROR(__xludf.DUMMYFUNCTION("IFERROR(VLOOKUP(A4588, IMPORTRANGE(""https://docs.google.com/spreadsheets/d/1AVX9GT0dgogEBStecCXMMQ29tWz3gBrtNB8yIromXbY/edit?gid=741673867"", ""out1g!A:B""), 2, FALSE), 0)"),375.0)</f>
        <v>375</v>
      </c>
      <c r="D4588" s="2" t="str">
        <f>IFERROR(__xludf.DUMMYFUNCTION("IFERROR(VLOOKUP(A4588, IMPORTRANGE(""https://docs.google.com/spreadsheets/d/1-3Vjw2Cyy-mry5gbC8ypIR3YVGFfEpyFESummAta6sg/edit"", ""Sheet1!B:D""), 2, FALSE), ""Not Found"")"),"paɪrət")</f>
        <v>paɪrət</v>
      </c>
      <c r="E4588" s="2" t="str">
        <f>IFERROR(__xludf.DUMMYFUNCTION("IFERROR(VLOOKUP(A4588, IMPORTRANGE(""https://docs.google.com/spreadsheets/d/1-3Vjw2Cyy-mry5gbC8ypIR3YVGFfEpyFESummAta6sg/edit"", ""Sheet1!B:D""), 3, FALSE), ""Not Found"")"),"p a ɪ r ə t ")</f>
        <v>p a ɪ r ə t </v>
      </c>
    </row>
    <row r="4589">
      <c r="A4589" s="1" t="s">
        <v>4590</v>
      </c>
      <c r="B4589" s="1" t="s">
        <v>5</v>
      </c>
      <c r="C4589" s="2">
        <f>IFERROR(__xludf.DUMMYFUNCTION("IFERROR(VLOOKUP(A4589, IMPORTRANGE(""https://docs.google.com/spreadsheets/d/1AVX9GT0dgogEBStecCXMMQ29tWz3gBrtNB8yIromXbY/edit?gid=741673867"", ""out1g!A:B""), 2, FALSE), 0)"),103.0)</f>
        <v>103</v>
      </c>
      <c r="D4589" s="2" t="str">
        <f>IFERROR(__xludf.DUMMYFUNCTION("IFERROR(VLOOKUP(A4589, IMPORTRANGE(""https://docs.google.com/spreadsheets/d/1-3Vjw2Cyy-mry5gbC8ypIR3YVGFfEpyFESummAta6sg/edit"", ""Sheet1!B:D""), 2, FALSE), ""Not Found"")"),"skelz")</f>
        <v>skelz</v>
      </c>
      <c r="E4589" s="2" t="str">
        <f>IFERROR(__xludf.DUMMYFUNCTION("IFERROR(VLOOKUP(A4589, IMPORTRANGE(""https://docs.google.com/spreadsheets/d/1-3Vjw2Cyy-mry5gbC8ypIR3YVGFfEpyFESummAta6sg/edit"", ""Sheet1!B:D""), 3, FALSE), ""Not Found"")"),"s k e l z ")</f>
        <v>s k e l z </v>
      </c>
    </row>
    <row r="4590">
      <c r="A4590" s="1" t="s">
        <v>4591</v>
      </c>
      <c r="B4590" s="1" t="s">
        <v>5</v>
      </c>
      <c r="C4590" s="2">
        <f>IFERROR(__xludf.DUMMYFUNCTION("IFERROR(VLOOKUP(A4590, IMPORTRANGE(""https://docs.google.com/spreadsheets/d/1AVX9GT0dgogEBStecCXMMQ29tWz3gBrtNB8yIromXbY/edit?gid=741673867"", ""out1g!A:B""), 2, FALSE), 0)"),40.0)</f>
        <v>40</v>
      </c>
      <c r="D4590" s="2" t="str">
        <f>IFERROR(__xludf.DUMMYFUNCTION("IFERROR(VLOOKUP(A4590, IMPORTRANGE(""https://docs.google.com/spreadsheets/d/1-3Vjw2Cyy-mry5gbC8ypIR3YVGFfEpyFESummAta6sg/edit"", ""Sheet1!B:D""), 2, FALSE), ""Not Found"")"),"twɪgz")</f>
        <v>twɪgz</v>
      </c>
      <c r="E4590" s="2" t="str">
        <f>IFERROR(__xludf.DUMMYFUNCTION("IFERROR(VLOOKUP(A4590, IMPORTRANGE(""https://docs.google.com/spreadsheets/d/1-3Vjw2Cyy-mry5gbC8ypIR3YVGFfEpyFESummAta6sg/edit"", ""Sheet1!B:D""), 3, FALSE), ""Not Found"")"),"t w ɪ g z ")</f>
        <v>t w ɪ g z </v>
      </c>
    </row>
    <row r="4591">
      <c r="A4591" s="1" t="s">
        <v>4592</v>
      </c>
      <c r="B4591" s="1" t="s">
        <v>5</v>
      </c>
      <c r="C4591" s="2">
        <f>IFERROR(__xludf.DUMMYFUNCTION("IFERROR(VLOOKUP(A4591, IMPORTRANGE(""https://docs.google.com/spreadsheets/d/1AVX9GT0dgogEBStecCXMMQ29tWz3gBrtNB8yIromXbY/edit?gid=741673867"", ""out1g!A:B""), 2, FALSE), 0)"),973.0)</f>
        <v>973</v>
      </c>
      <c r="D4591" s="2" t="str">
        <f>IFERROR(__xludf.DUMMYFUNCTION("IFERROR(VLOOKUP(A4591, IMPORTRANGE(""https://docs.google.com/spreadsheets/d/1-3Vjw2Cyy-mry5gbC8ypIR3YVGFfEpyFESummAta6sg/edit"", ""Sheet1!B:D""), 2, FALSE), ""Not Found"")"),"kloʊi")</f>
        <v>kloʊi</v>
      </c>
      <c r="E4591" s="2" t="str">
        <f>IFERROR(__xludf.DUMMYFUNCTION("IFERROR(VLOOKUP(A4591, IMPORTRANGE(""https://docs.google.com/spreadsheets/d/1-3Vjw2Cyy-mry5gbC8ypIR3YVGFfEpyFESummAta6sg/edit"", ""Sheet1!B:D""), 3, FALSE), ""Not Found"")"),"k l o ʊ i ")</f>
        <v>k l o ʊ i </v>
      </c>
    </row>
    <row r="4592">
      <c r="A4592" s="1" t="s">
        <v>4593</v>
      </c>
      <c r="B4592" s="1" t="s">
        <v>5</v>
      </c>
      <c r="C4592" s="2">
        <f>IFERROR(__xludf.DUMMYFUNCTION("IFERROR(VLOOKUP(A4592, IMPORTRANGE(""https://docs.google.com/spreadsheets/d/1AVX9GT0dgogEBStecCXMMQ29tWz3gBrtNB8yIromXbY/edit?gid=741673867"", ""out1g!A:B""), 2, FALSE), 0)"),223.0)</f>
        <v>223</v>
      </c>
      <c r="D4592" s="2" t="str">
        <f>IFERROR(__xludf.DUMMYFUNCTION("IFERROR(VLOOKUP(A4592, IMPORTRANGE(""https://docs.google.com/spreadsheets/d/1-3Vjw2Cyy-mry5gbC8ypIR3YVGFfEpyFESummAta6sg/edit"", ""Sheet1!B:D""), 2, FALSE), ""Not Found"")"),"selərz")</f>
        <v>selərz</v>
      </c>
      <c r="E4592" s="2" t="str">
        <f>IFERROR(__xludf.DUMMYFUNCTION("IFERROR(VLOOKUP(A4592, IMPORTRANGE(""https://docs.google.com/spreadsheets/d/1-3Vjw2Cyy-mry5gbC8ypIR3YVGFfEpyFESummAta6sg/edit"", ""Sheet1!B:D""), 3, FALSE), ""Not Found"")"),"s e l ə r z ")</f>
        <v>s e l ə r z </v>
      </c>
    </row>
    <row r="4593">
      <c r="A4593" s="1" t="s">
        <v>4594</v>
      </c>
      <c r="B4593" s="1" t="s">
        <v>5</v>
      </c>
      <c r="C4593" s="2">
        <f>IFERROR(__xludf.DUMMYFUNCTION("IFERROR(VLOOKUP(A4593, IMPORTRANGE(""https://docs.google.com/spreadsheets/d/1AVX9GT0dgogEBStecCXMMQ29tWz3gBrtNB8yIromXbY/edit?gid=741673867"", ""out1g!A:B""), 2, FALSE), 0)"),1235.0)</f>
        <v>1235</v>
      </c>
      <c r="D4593" s="2" t="str">
        <f>IFERROR(__xludf.DUMMYFUNCTION("IFERROR(VLOOKUP(A4593, IMPORTRANGE(""https://docs.google.com/spreadsheets/d/1-3Vjw2Cyy-mry5gbC8ypIR3YVGFfEpyFESummAta6sg/edit"", ""Sheet1!B:D""), 2, FALSE), ""Not Found"")"),"braɪd")</f>
        <v>braɪd</v>
      </c>
      <c r="E4593" s="2" t="str">
        <f>IFERROR(__xludf.DUMMYFUNCTION("IFERROR(VLOOKUP(A4593, IMPORTRANGE(""https://docs.google.com/spreadsheets/d/1-3Vjw2Cyy-mry5gbC8ypIR3YVGFfEpyFESummAta6sg/edit"", ""Sheet1!B:D""), 3, FALSE), ""Not Found"")"),"b r a ɪ d ")</f>
        <v>b r a ɪ d </v>
      </c>
    </row>
    <row r="4594">
      <c r="A4594" s="1" t="s">
        <v>4595</v>
      </c>
      <c r="B4594" s="1" t="s">
        <v>5</v>
      </c>
      <c r="C4594" s="2">
        <f>IFERROR(__xludf.DUMMYFUNCTION("IFERROR(VLOOKUP(A4594, IMPORTRANGE(""https://docs.google.com/spreadsheets/d/1AVX9GT0dgogEBStecCXMMQ29tWz3gBrtNB8yIromXbY/edit?gid=741673867"", ""out1g!A:B""), 2, FALSE), 0)"),236.0)</f>
        <v>236</v>
      </c>
      <c r="D4594" s="2" t="str">
        <f>IFERROR(__xludf.DUMMYFUNCTION("IFERROR(VLOOKUP(A4594, IMPORTRANGE(""https://docs.google.com/spreadsheets/d/1-3Vjw2Cyy-mry5gbC8ypIR3YVGFfEpyFESummAta6sg/edit"", ""Sheet1!B:D""), 2, FALSE), ""Not Found"")"),"kwæk")</f>
        <v>kwæk</v>
      </c>
      <c r="E4594" s="2" t="str">
        <f>IFERROR(__xludf.DUMMYFUNCTION("IFERROR(VLOOKUP(A4594, IMPORTRANGE(""https://docs.google.com/spreadsheets/d/1-3Vjw2Cyy-mry5gbC8ypIR3YVGFfEpyFESummAta6sg/edit"", ""Sheet1!B:D""), 3, FALSE), ""Not Found"")"),"k w æ k ")</f>
        <v>k w æ k </v>
      </c>
    </row>
    <row r="4595">
      <c r="A4595" s="1" t="s">
        <v>4596</v>
      </c>
      <c r="B4595" s="1" t="s">
        <v>5</v>
      </c>
      <c r="C4595" s="2">
        <f>IFERROR(__xludf.DUMMYFUNCTION("IFERROR(VLOOKUP(A4595, IMPORTRANGE(""https://docs.google.com/spreadsheets/d/1AVX9GT0dgogEBStecCXMMQ29tWz3gBrtNB8yIromXbY/edit?gid=741673867"", ""out1g!A:B""), 2, FALSE), 0)"),1679.0)</f>
        <v>1679</v>
      </c>
      <c r="D4595" s="2" t="str">
        <f>IFERROR(__xludf.DUMMYFUNCTION("IFERROR(VLOOKUP(A4595, IMPORTRANGE(""https://docs.google.com/spreadsheets/d/1-3Vjw2Cyy-mry5gbC8ypIR3YVGFfEpyFESummAta6sg/edit"", ""Sheet1!B:D""), 2, FALSE), ""Not Found"")"),"baɪɪŋ")</f>
        <v>baɪɪŋ</v>
      </c>
      <c r="E4595" s="2" t="str">
        <f>IFERROR(__xludf.DUMMYFUNCTION("IFERROR(VLOOKUP(A4595, IMPORTRANGE(""https://docs.google.com/spreadsheets/d/1-3Vjw2Cyy-mry5gbC8ypIR3YVGFfEpyFESummAta6sg/edit"", ""Sheet1!B:D""), 3, FALSE), ""Not Found"")"),"b a ɪ ɪ ŋ ")</f>
        <v>b a ɪ ɪ ŋ </v>
      </c>
    </row>
    <row r="4596">
      <c r="A4596" s="1" t="s">
        <v>4597</v>
      </c>
      <c r="B4596" s="1" t="s">
        <v>5</v>
      </c>
      <c r="C4596" s="2">
        <f>IFERROR(__xludf.DUMMYFUNCTION("IFERROR(VLOOKUP(A4596, IMPORTRANGE(""https://docs.google.com/spreadsheets/d/1AVX9GT0dgogEBStecCXMMQ29tWz3gBrtNB8yIromXbY/edit?gid=741673867"", ""out1g!A:B""), 2, FALSE), 0)"),83.0)</f>
        <v>83</v>
      </c>
      <c r="D4596" s="2" t="str">
        <f>IFERROR(__xludf.DUMMYFUNCTION("IFERROR(VLOOKUP(A4596, IMPORTRANGE(""https://docs.google.com/spreadsheets/d/1-3Vjw2Cyy-mry5gbC8ypIR3YVGFfEpyFESummAta6sg/edit"", ""Sheet1!B:D""), 2, FALSE), ""Not Found"")"),"ʃe")</f>
        <v>ʃe</v>
      </c>
      <c r="E4596" s="2" t="str">
        <f>IFERROR(__xludf.DUMMYFUNCTION("IFERROR(VLOOKUP(A4596, IMPORTRANGE(""https://docs.google.com/spreadsheets/d/1-3Vjw2Cyy-mry5gbC8ypIR3YVGFfEpyFESummAta6sg/edit"", ""Sheet1!B:D""), 3, FALSE), ""Not Found"")"),"ʃ e ")</f>
        <v>ʃ e </v>
      </c>
    </row>
    <row r="4597">
      <c r="A4597" s="1" t="s">
        <v>4598</v>
      </c>
      <c r="B4597" s="1" t="s">
        <v>5</v>
      </c>
      <c r="C4597" s="2">
        <f>IFERROR(__xludf.DUMMYFUNCTION("IFERROR(VLOOKUP(A4597, IMPORTRANGE(""https://docs.google.com/spreadsheets/d/1AVX9GT0dgogEBStecCXMMQ29tWz3gBrtNB8yIromXbY/edit?gid=741673867"", ""out1g!A:B""), 2, FALSE), 0)"),520.0)</f>
        <v>520</v>
      </c>
      <c r="D4597" s="2" t="str">
        <f>IFERROR(__xludf.DUMMYFUNCTION("IFERROR(VLOOKUP(A4597, IMPORTRANGE(""https://docs.google.com/spreadsheets/d/1-3Vjw2Cyy-mry5gbC8ypIR3YVGFfEpyFESummAta6sg/edit"", ""Sheet1!B:D""), 2, FALSE), ""Not Found"")"),"ɪnʤəri")</f>
        <v>ɪnʤəri</v>
      </c>
      <c r="E4597" s="2" t="str">
        <f>IFERROR(__xludf.DUMMYFUNCTION("IFERROR(VLOOKUP(A4597, IMPORTRANGE(""https://docs.google.com/spreadsheets/d/1-3Vjw2Cyy-mry5gbC8ypIR3YVGFfEpyFESummAta6sg/edit"", ""Sheet1!B:D""), 3, FALSE), ""Not Found"")"),"ɪ n ʤ ə r i ")</f>
        <v>ɪ n ʤ ə r i </v>
      </c>
    </row>
    <row r="4598">
      <c r="A4598" s="1" t="s">
        <v>4599</v>
      </c>
      <c r="B4598" s="1" t="s">
        <v>5</v>
      </c>
      <c r="C4598" s="2">
        <f>IFERROR(__xludf.DUMMYFUNCTION("IFERROR(VLOOKUP(A4598, IMPORTRANGE(""https://docs.google.com/spreadsheets/d/1AVX9GT0dgogEBStecCXMMQ29tWz3gBrtNB8yIromXbY/edit?gid=741673867"", ""out1g!A:B""), 2, FALSE), 0)"),3617.0)</f>
        <v>3617</v>
      </c>
      <c r="D4598" s="2" t="str">
        <f>IFERROR(__xludf.DUMMYFUNCTION("IFERROR(VLOOKUP(A4598, IMPORTRANGE(""https://docs.google.com/spreadsheets/d/1-3Vjw2Cyy-mry5gbC8ypIR3YVGFfEpyFESummAta6sg/edit"", ""Sheet1!B:D""), 2, FALSE), ""Not Found"")"),"mɑmi")</f>
        <v>mɑmi</v>
      </c>
      <c r="E4598" s="2" t="str">
        <f>IFERROR(__xludf.DUMMYFUNCTION("IFERROR(VLOOKUP(A4598, IMPORTRANGE(""https://docs.google.com/spreadsheets/d/1-3Vjw2Cyy-mry5gbC8ypIR3YVGFfEpyFESummAta6sg/edit"", ""Sheet1!B:D""), 3, FALSE), ""Not Found"")"),"m ɑ m i ")</f>
        <v>m ɑ m i </v>
      </c>
    </row>
    <row r="4599">
      <c r="A4599" s="1" t="s">
        <v>4600</v>
      </c>
      <c r="B4599" s="1" t="s">
        <v>5</v>
      </c>
      <c r="C4599" s="2">
        <f>IFERROR(__xludf.DUMMYFUNCTION("IFERROR(VLOOKUP(A4599, IMPORTRANGE(""https://docs.google.com/spreadsheets/d/1AVX9GT0dgogEBStecCXMMQ29tWz3gBrtNB8yIromXbY/edit?gid=741673867"", ""out1g!A:B""), 2, FALSE), 0)"),59.0)</f>
        <v>59</v>
      </c>
      <c r="D4599" s="2" t="str">
        <f>IFERROR(__xludf.DUMMYFUNCTION("IFERROR(VLOOKUP(A4599, IMPORTRANGE(""https://docs.google.com/spreadsheets/d/1-3Vjw2Cyy-mry5gbC8ypIR3YVGFfEpyFESummAta6sg/edit"", ""Sheet1!B:D""), 2, FALSE), ""Not Found"")"),"rɪplaɪd")</f>
        <v>rɪplaɪd</v>
      </c>
      <c r="E4599" s="2" t="str">
        <f>IFERROR(__xludf.DUMMYFUNCTION("IFERROR(VLOOKUP(A4599, IMPORTRANGE(""https://docs.google.com/spreadsheets/d/1-3Vjw2Cyy-mry5gbC8ypIR3YVGFfEpyFESummAta6sg/edit"", ""Sheet1!B:D""), 3, FALSE), ""Not Found"")"),"r ɪ p l a ɪ d ")</f>
        <v>r ɪ p l a ɪ d </v>
      </c>
    </row>
    <row r="4600">
      <c r="A4600" s="1" t="s">
        <v>4601</v>
      </c>
      <c r="B4600" s="1" t="s">
        <v>5</v>
      </c>
      <c r="C4600" s="2">
        <f>IFERROR(__xludf.DUMMYFUNCTION("IFERROR(VLOOKUP(A4600, IMPORTRANGE(""https://docs.google.com/spreadsheets/d/1AVX9GT0dgogEBStecCXMMQ29tWz3gBrtNB8yIromXbY/edit?gid=741673867"", ""out1g!A:B""), 2, FALSE), 0)"),178.0)</f>
        <v>178</v>
      </c>
      <c r="D4600" s="2" t="str">
        <f>IFERROR(__xludf.DUMMYFUNCTION("IFERROR(VLOOKUP(A4600, IMPORTRANGE(""https://docs.google.com/spreadsheets/d/1-3Vjw2Cyy-mry5gbC8ypIR3YVGFfEpyFESummAta6sg/edit"", ""Sheet1!B:D""), 2, FALSE), ""Not Found"")"),"sæp")</f>
        <v>sæp</v>
      </c>
      <c r="E4600" s="2" t="str">
        <f>IFERROR(__xludf.DUMMYFUNCTION("IFERROR(VLOOKUP(A4600, IMPORTRANGE(""https://docs.google.com/spreadsheets/d/1-3Vjw2Cyy-mry5gbC8ypIR3YVGFfEpyFESummAta6sg/edit"", ""Sheet1!B:D""), 3, FALSE), ""Not Found"")"),"s æ p ")</f>
        <v>s æ p </v>
      </c>
    </row>
    <row r="4601">
      <c r="A4601" s="1" t="s">
        <v>4602</v>
      </c>
      <c r="B4601" s="1" t="s">
        <v>5</v>
      </c>
      <c r="C4601" s="2">
        <f>IFERROR(__xludf.DUMMYFUNCTION("IFERROR(VLOOKUP(A4601, IMPORTRANGE(""https://docs.google.com/spreadsheets/d/1AVX9GT0dgogEBStecCXMMQ29tWz3gBrtNB8yIromXbY/edit?gid=741673867"", ""out1g!A:B""), 2, FALSE), 0)"),22583.0)</f>
        <v>22583</v>
      </c>
      <c r="D4601" s="2" t="str">
        <f>IFERROR(__xludf.DUMMYFUNCTION("IFERROR(VLOOKUP(A4601, IMPORTRANGE(""https://docs.google.com/spreadsheets/d/1-3Vjw2Cyy-mry5gbC8ypIR3YVGFfEpyFESummAta6sg/edit"", ""Sheet1!B:D""), 2, FALSE), ""Not Found"")"),"ril")</f>
        <v>ril</v>
      </c>
      <c r="E4601" s="2" t="str">
        <f>IFERROR(__xludf.DUMMYFUNCTION("IFERROR(VLOOKUP(A4601, IMPORTRANGE(""https://docs.google.com/spreadsheets/d/1-3Vjw2Cyy-mry5gbC8ypIR3YVGFfEpyFESummAta6sg/edit"", ""Sheet1!B:D""), 3, FALSE), ""Not Found"")"),"r i l ")</f>
        <v>r i l </v>
      </c>
    </row>
    <row r="4602">
      <c r="A4602" s="1" t="s">
        <v>4603</v>
      </c>
      <c r="B4602" s="1" t="s">
        <v>5</v>
      </c>
      <c r="C4602" s="2">
        <f>IFERROR(__xludf.DUMMYFUNCTION("IFERROR(VLOOKUP(A4602, IMPORTRANGE(""https://docs.google.com/spreadsheets/d/1AVX9GT0dgogEBStecCXMMQ29tWz3gBrtNB8yIromXbY/edit?gid=741673867"", ""out1g!A:B""), 2, FALSE), 0)"),432.0)</f>
        <v>432</v>
      </c>
      <c r="D4602" s="2" t="str">
        <f>IFERROR(__xludf.DUMMYFUNCTION("IFERROR(VLOOKUP(A4602, IMPORTRANGE(""https://docs.google.com/spreadsheets/d/1-3Vjw2Cyy-mry5gbC8ypIR3YVGFfEpyFESummAta6sg/edit"", ""Sheet1!B:D""), 2, FALSE), ""Not Found"")"),"skɑr")</f>
        <v>skɑr</v>
      </c>
      <c r="E4602" s="2" t="str">
        <f>IFERROR(__xludf.DUMMYFUNCTION("IFERROR(VLOOKUP(A4602, IMPORTRANGE(""https://docs.google.com/spreadsheets/d/1-3Vjw2Cyy-mry5gbC8ypIR3YVGFfEpyFESummAta6sg/edit"", ""Sheet1!B:D""), 3, FALSE), ""Not Found"")"),"s k ɑ r ")</f>
        <v>s k ɑ r </v>
      </c>
    </row>
    <row r="4603">
      <c r="A4603" s="1" t="s">
        <v>4604</v>
      </c>
      <c r="B4603" s="1" t="s">
        <v>5</v>
      </c>
      <c r="C4603" s="2">
        <f>IFERROR(__xludf.DUMMYFUNCTION("IFERROR(VLOOKUP(A4603, IMPORTRANGE(""https://docs.google.com/spreadsheets/d/1AVX9GT0dgogEBStecCXMMQ29tWz3gBrtNB8yIromXbY/edit?gid=741673867"", ""out1g!A:B""), 2, FALSE), 0)"),80.0)</f>
        <v>80</v>
      </c>
      <c r="D4603" s="2" t="str">
        <f>IFERROR(__xludf.DUMMYFUNCTION("IFERROR(VLOOKUP(A4603, IMPORTRANGE(""https://docs.google.com/spreadsheets/d/1-3Vjw2Cyy-mry5gbC8ypIR3YVGFfEpyFESummAta6sg/edit"", ""Sheet1!B:D""), 2, FALSE), ""Not Found"")"),"sɪtər")</f>
        <v>sɪtər</v>
      </c>
      <c r="E4603" s="2" t="str">
        <f>IFERROR(__xludf.DUMMYFUNCTION("IFERROR(VLOOKUP(A4603, IMPORTRANGE(""https://docs.google.com/spreadsheets/d/1-3Vjw2Cyy-mry5gbC8ypIR3YVGFfEpyFESummAta6sg/edit"", ""Sheet1!B:D""), 3, FALSE), ""Not Found"")"),"s ɪ t ə r ")</f>
        <v>s ɪ t ə r </v>
      </c>
    </row>
    <row r="4604">
      <c r="A4604" s="1" t="s">
        <v>4605</v>
      </c>
      <c r="B4604" s="1" t="s">
        <v>5</v>
      </c>
      <c r="C4604" s="2">
        <f>IFERROR(__xludf.DUMMYFUNCTION("IFERROR(VLOOKUP(A4604, IMPORTRANGE(""https://docs.google.com/spreadsheets/d/1AVX9GT0dgogEBStecCXMMQ29tWz3gBrtNB8yIromXbY/edit?gid=741673867"", ""out1g!A:B""), 2, FALSE), 0)"),242.0)</f>
        <v>242</v>
      </c>
      <c r="D4604" s="2" t="str">
        <f>IFERROR(__xludf.DUMMYFUNCTION("IFERROR(VLOOKUP(A4604, IMPORTRANGE(""https://docs.google.com/spreadsheets/d/1-3Vjw2Cyy-mry5gbC8ypIR3YVGFfEpyFESummAta6sg/edit"", ""Sheet1!B:D""), 2, FALSE), ""Not Found"")"),"e")</f>
        <v>e</v>
      </c>
      <c r="E4604" s="2" t="str">
        <f>IFERROR(__xludf.DUMMYFUNCTION("IFERROR(VLOOKUP(A4604, IMPORTRANGE(""https://docs.google.com/spreadsheets/d/1-3Vjw2Cyy-mry5gbC8ypIR3YVGFfEpyFESummAta6sg/edit"", ""Sheet1!B:D""), 3, FALSE), ""Not Found"")"),"e ")</f>
        <v>e </v>
      </c>
    </row>
    <row r="4605">
      <c r="A4605" s="1" t="s">
        <v>4606</v>
      </c>
      <c r="B4605" s="1" t="s">
        <v>5</v>
      </c>
      <c r="C4605" s="2">
        <f>IFERROR(__xludf.DUMMYFUNCTION("IFERROR(VLOOKUP(A4605, IMPORTRANGE(""https://docs.google.com/spreadsheets/d/1AVX9GT0dgogEBStecCXMMQ29tWz3gBrtNB8yIromXbY/edit?gid=741673867"", ""out1g!A:B""), 2, FALSE), 0)"),4796.0)</f>
        <v>4796</v>
      </c>
      <c r="D4605" s="2" t="str">
        <f>IFERROR(__xludf.DUMMYFUNCTION("IFERROR(VLOOKUP(A4605, IMPORTRANGE(""https://docs.google.com/spreadsheets/d/1-3Vjw2Cyy-mry5gbC8ypIR3YVGFfEpyFESummAta6sg/edit"", ""Sheet1!B:D""), 2, FALSE), ""Not Found"")"),"bæg")</f>
        <v>bæg</v>
      </c>
      <c r="E4605" s="2" t="str">
        <f>IFERROR(__xludf.DUMMYFUNCTION("IFERROR(VLOOKUP(A4605, IMPORTRANGE(""https://docs.google.com/spreadsheets/d/1-3Vjw2Cyy-mry5gbC8ypIR3YVGFfEpyFESummAta6sg/edit"", ""Sheet1!B:D""), 3, FALSE), ""Not Found"")"),"b æ g ")</f>
        <v>b æ g </v>
      </c>
    </row>
    <row r="4606">
      <c r="A4606" s="1" t="s">
        <v>4607</v>
      </c>
      <c r="B4606" s="1" t="s">
        <v>5</v>
      </c>
      <c r="C4606" s="2">
        <f>IFERROR(__xludf.DUMMYFUNCTION("IFERROR(VLOOKUP(A4606, IMPORTRANGE(""https://docs.google.com/spreadsheets/d/1AVX9GT0dgogEBStecCXMMQ29tWz3gBrtNB8yIromXbY/edit?gid=741673867"", ""out1g!A:B""), 2, FALSE), 0)"),1455.0)</f>
        <v>1455</v>
      </c>
      <c r="D4606" s="2" t="str">
        <f>IFERROR(__xludf.DUMMYFUNCTION("IFERROR(VLOOKUP(A4606, IMPORTRANGE(""https://docs.google.com/spreadsheets/d/1-3Vjw2Cyy-mry5gbC8ypIR3YVGFfEpyFESummAta6sg/edit"", ""Sheet1!B:D""), 2, FALSE), ""Not Found"")"),"ruɪn")</f>
        <v>ruɪn</v>
      </c>
      <c r="E4606" s="2" t="str">
        <f>IFERROR(__xludf.DUMMYFUNCTION("IFERROR(VLOOKUP(A4606, IMPORTRANGE(""https://docs.google.com/spreadsheets/d/1-3Vjw2Cyy-mry5gbC8ypIR3YVGFfEpyFESummAta6sg/edit"", ""Sheet1!B:D""), 3, FALSE), ""Not Found"")"),"r u ɪ n ")</f>
        <v>r u ɪ n </v>
      </c>
    </row>
    <row r="4607">
      <c r="A4607" s="1" t="s">
        <v>4608</v>
      </c>
      <c r="B4607" s="1" t="s">
        <v>5</v>
      </c>
      <c r="C4607" s="2">
        <f>IFERROR(__xludf.DUMMYFUNCTION("IFERROR(VLOOKUP(A4607, IMPORTRANGE(""https://docs.google.com/spreadsheets/d/1AVX9GT0dgogEBStecCXMMQ29tWz3gBrtNB8yIromXbY/edit?gid=741673867"", ""out1g!A:B""), 2, FALSE), 0)"),213.0)</f>
        <v>213</v>
      </c>
      <c r="D4607" s="2" t="str">
        <f>IFERROR(__xludf.DUMMYFUNCTION("IFERROR(VLOOKUP(A4607, IMPORTRANGE(""https://docs.google.com/spreadsheets/d/1-3Vjw2Cyy-mry5gbC8ypIR3YVGFfEpyFESummAta6sg/edit"", ""Sheet1!B:D""), 2, FALSE), ""Not Found"")"),"bets")</f>
        <v>bets</v>
      </c>
      <c r="E4607" s="2" t="str">
        <f>IFERROR(__xludf.DUMMYFUNCTION("IFERROR(VLOOKUP(A4607, IMPORTRANGE(""https://docs.google.com/spreadsheets/d/1-3Vjw2Cyy-mry5gbC8ypIR3YVGFfEpyFESummAta6sg/edit"", ""Sheet1!B:D""), 3, FALSE), ""Not Found"")"),"b e t s ")</f>
        <v>b e t s </v>
      </c>
    </row>
    <row r="4608">
      <c r="A4608" s="1" t="s">
        <v>4609</v>
      </c>
      <c r="B4608" s="1" t="s">
        <v>5</v>
      </c>
      <c r="C4608" s="2">
        <f>IFERROR(__xludf.DUMMYFUNCTION("IFERROR(VLOOKUP(A4608, IMPORTRANGE(""https://docs.google.com/spreadsheets/d/1AVX9GT0dgogEBStecCXMMQ29tWz3gBrtNB8yIromXbY/edit?gid=741673867"", ""out1g!A:B""), 2, FALSE), 0)"),135.0)</f>
        <v>135</v>
      </c>
      <c r="D4608" s="2" t="str">
        <f>IFERROR(__xludf.DUMMYFUNCTION("IFERROR(VLOOKUP(A4608, IMPORTRANGE(""https://docs.google.com/spreadsheets/d/1-3Vjw2Cyy-mry5gbC8ypIR3YVGFfEpyFESummAta6sg/edit"", ""Sheet1!B:D""), 2, FALSE), ""Not Found"")"),"tɔroʊ")</f>
        <v>tɔroʊ</v>
      </c>
      <c r="E4608" s="2" t="str">
        <f>IFERROR(__xludf.DUMMYFUNCTION("IFERROR(VLOOKUP(A4608, IMPORTRANGE(""https://docs.google.com/spreadsheets/d/1-3Vjw2Cyy-mry5gbC8ypIR3YVGFfEpyFESummAta6sg/edit"", ""Sheet1!B:D""), 3, FALSE), ""Not Found"")"),"t ɔ r o ʊ ")</f>
        <v>t ɔ r o ʊ </v>
      </c>
    </row>
    <row r="4609">
      <c r="A4609" s="1" t="s">
        <v>4610</v>
      </c>
      <c r="B4609" s="1" t="s">
        <v>5</v>
      </c>
      <c r="C4609" s="2">
        <f>IFERROR(__xludf.DUMMYFUNCTION("IFERROR(VLOOKUP(A4609, IMPORTRANGE(""https://docs.google.com/spreadsheets/d/1AVX9GT0dgogEBStecCXMMQ29tWz3gBrtNB8yIromXbY/edit?gid=741673867"", ""out1g!A:B""), 2, FALSE), 0)"),359.0)</f>
        <v>359</v>
      </c>
      <c r="D4609" s="2" t="str">
        <f>IFERROR(__xludf.DUMMYFUNCTION("IFERROR(VLOOKUP(A4609, IMPORTRANGE(""https://docs.google.com/spreadsheets/d/1-3Vjw2Cyy-mry5gbC8ypIR3YVGFfEpyFESummAta6sg/edit"", ""Sheet1!B:D""), 2, FALSE), ""Not Found"")"),"telz")</f>
        <v>telz</v>
      </c>
      <c r="E4609" s="2" t="str">
        <f>IFERROR(__xludf.DUMMYFUNCTION("IFERROR(VLOOKUP(A4609, IMPORTRANGE(""https://docs.google.com/spreadsheets/d/1-3Vjw2Cyy-mry5gbC8ypIR3YVGFfEpyFESummAta6sg/edit"", ""Sheet1!B:D""), 3, FALSE), ""Not Found"")"),"t e l z ")</f>
        <v>t e l z </v>
      </c>
    </row>
    <row r="4610">
      <c r="A4610" s="1" t="s">
        <v>4611</v>
      </c>
      <c r="B4610" s="1" t="s">
        <v>5</v>
      </c>
      <c r="C4610" s="2">
        <f>IFERROR(__xludf.DUMMYFUNCTION("IFERROR(VLOOKUP(A4610, IMPORTRANGE(""https://docs.google.com/spreadsheets/d/1AVX9GT0dgogEBStecCXMMQ29tWz3gBrtNB8yIromXbY/edit?gid=741673867"", ""out1g!A:B""), 2, FALSE), 0)"),75.0)</f>
        <v>75</v>
      </c>
      <c r="D4610" s="2" t="str">
        <f>IFERROR(__xludf.DUMMYFUNCTION("IFERROR(VLOOKUP(A4610, IMPORTRANGE(""https://docs.google.com/spreadsheets/d/1-3Vjw2Cyy-mry5gbC8ypIR3YVGFfEpyFESummAta6sg/edit"", ""Sheet1!B:D""), 2, FALSE), ""Not Found"")"),"rɛtroʊ")</f>
        <v>rɛtroʊ</v>
      </c>
      <c r="E4610" s="2" t="str">
        <f>IFERROR(__xludf.DUMMYFUNCTION("IFERROR(VLOOKUP(A4610, IMPORTRANGE(""https://docs.google.com/spreadsheets/d/1-3Vjw2Cyy-mry5gbC8ypIR3YVGFfEpyFESummAta6sg/edit"", ""Sheet1!B:D""), 3, FALSE), ""Not Found"")"),"r ɛ t r o ʊ ")</f>
        <v>r ɛ t r o ʊ </v>
      </c>
    </row>
    <row r="4611">
      <c r="A4611" s="1" t="s">
        <v>4612</v>
      </c>
      <c r="B4611" s="1" t="s">
        <v>5</v>
      </c>
      <c r="C4611" s="2">
        <f>IFERROR(__xludf.DUMMYFUNCTION("IFERROR(VLOOKUP(A4611, IMPORTRANGE(""https://docs.google.com/spreadsheets/d/1AVX9GT0dgogEBStecCXMMQ29tWz3gBrtNB8yIromXbY/edit?gid=741673867"", ""out1g!A:B""), 2, FALSE), 0)"),654.0)</f>
        <v>654</v>
      </c>
      <c r="D4611" s="2" t="str">
        <f>IFERROR(__xludf.DUMMYFUNCTION("IFERROR(VLOOKUP(A4611, IMPORTRANGE(""https://docs.google.com/spreadsheets/d/1-3Vjw2Cyy-mry5gbC8ypIR3YVGFfEpyFESummAta6sg/edit"", ""Sheet1!B:D""), 2, FALSE), ""Not Found"")"),"hæʧ")</f>
        <v>hæʧ</v>
      </c>
      <c r="E4611" s="2" t="str">
        <f>IFERROR(__xludf.DUMMYFUNCTION("IFERROR(VLOOKUP(A4611, IMPORTRANGE(""https://docs.google.com/spreadsheets/d/1-3Vjw2Cyy-mry5gbC8ypIR3YVGFfEpyFESummAta6sg/edit"", ""Sheet1!B:D""), 3, FALSE), ""Not Found"")"),"h æ ʧ ")</f>
        <v>h æ ʧ </v>
      </c>
    </row>
    <row r="4612">
      <c r="A4612" s="1" t="s">
        <v>4613</v>
      </c>
      <c r="B4612" s="1" t="s">
        <v>5</v>
      </c>
      <c r="C4612" s="2">
        <f>IFERROR(__xludf.DUMMYFUNCTION("IFERROR(VLOOKUP(A4612, IMPORTRANGE(""https://docs.google.com/spreadsheets/d/1AVX9GT0dgogEBStecCXMMQ29tWz3gBrtNB8yIromXbY/edit?gid=741673867"", ""out1g!A:B""), 2, FALSE), 0)"),127.0)</f>
        <v>127</v>
      </c>
      <c r="D4612" s="2" t="str">
        <f>IFERROR(__xludf.DUMMYFUNCTION("IFERROR(VLOOKUP(A4612, IMPORTRANGE(""https://docs.google.com/spreadsheets/d/1-3Vjw2Cyy-mry5gbC8ypIR3YVGFfEpyFESummAta6sg/edit"", ""Sheet1!B:D""), 2, FALSE), ""Not Found"")"),"rɪpər")</f>
        <v>rɪpər</v>
      </c>
      <c r="E4612" s="2" t="str">
        <f>IFERROR(__xludf.DUMMYFUNCTION("IFERROR(VLOOKUP(A4612, IMPORTRANGE(""https://docs.google.com/spreadsheets/d/1-3Vjw2Cyy-mry5gbC8ypIR3YVGFfEpyFESummAta6sg/edit"", ""Sheet1!B:D""), 3, FALSE), ""Not Found"")"),"r ɪ p ə r ")</f>
        <v>r ɪ p ə r </v>
      </c>
    </row>
    <row r="4613">
      <c r="A4613" s="1" t="s">
        <v>4614</v>
      </c>
      <c r="B4613" s="1" t="s">
        <v>5</v>
      </c>
      <c r="C4613" s="2">
        <f>IFERROR(__xludf.DUMMYFUNCTION("IFERROR(VLOOKUP(A4613, IMPORTRANGE(""https://docs.google.com/spreadsheets/d/1AVX9GT0dgogEBStecCXMMQ29tWz3gBrtNB8yIromXbY/edit?gid=741673867"", ""out1g!A:B""), 2, FALSE), 0)"),477.0)</f>
        <v>477</v>
      </c>
      <c r="D4613" s="2" t="str">
        <f>IFERROR(__xludf.DUMMYFUNCTION("IFERROR(VLOOKUP(A4613, IMPORTRANGE(""https://docs.google.com/spreadsheets/d/1-3Vjw2Cyy-mry5gbC8ypIR3YVGFfEpyFESummAta6sg/edit"", ""Sheet1!B:D""), 2, FALSE), ""Not Found"")"),"stədiz")</f>
        <v>stədiz</v>
      </c>
      <c r="E4613" s="2" t="str">
        <f>IFERROR(__xludf.DUMMYFUNCTION("IFERROR(VLOOKUP(A4613, IMPORTRANGE(""https://docs.google.com/spreadsheets/d/1-3Vjw2Cyy-mry5gbC8ypIR3YVGFfEpyFESummAta6sg/edit"", ""Sheet1!B:D""), 3, FALSE), ""Not Found"")"),"s t ə d i z ")</f>
        <v>s t ə d i z </v>
      </c>
    </row>
    <row r="4614">
      <c r="A4614" s="1" t="s">
        <v>4615</v>
      </c>
      <c r="B4614" s="1" t="s">
        <v>5</v>
      </c>
      <c r="C4614" s="2">
        <f>IFERROR(__xludf.DUMMYFUNCTION("IFERROR(VLOOKUP(A4614, IMPORTRANGE(""https://docs.google.com/spreadsheets/d/1AVX9GT0dgogEBStecCXMMQ29tWz3gBrtNB8yIromXbY/edit?gid=741673867"", ""out1g!A:B""), 2, FALSE), 0)"),1252.0)</f>
        <v>1252</v>
      </c>
      <c r="D4614" s="2" t="str">
        <f>IFERROR(__xludf.DUMMYFUNCTION("IFERROR(VLOOKUP(A4614, IMPORTRANGE(""https://docs.google.com/spreadsheets/d/1-3Vjw2Cyy-mry5gbC8ypIR3YVGFfEpyFESummAta6sg/edit"", ""Sheet1!B:D""), 2, FALSE), ""Not Found"")"),"pæθ")</f>
        <v>pæθ</v>
      </c>
      <c r="E4614" s="2" t="str">
        <f>IFERROR(__xludf.DUMMYFUNCTION("IFERROR(VLOOKUP(A4614, IMPORTRANGE(""https://docs.google.com/spreadsheets/d/1-3Vjw2Cyy-mry5gbC8ypIR3YVGFfEpyFESummAta6sg/edit"", ""Sheet1!B:D""), 3, FALSE), ""Not Found"")"),"p æ θ ")</f>
        <v>p æ θ </v>
      </c>
    </row>
    <row r="4615">
      <c r="A4615" s="1" t="s">
        <v>4616</v>
      </c>
      <c r="B4615" s="1" t="s">
        <v>5</v>
      </c>
      <c r="C4615" s="2">
        <f>IFERROR(__xludf.DUMMYFUNCTION("IFERROR(VLOOKUP(A4615, IMPORTRANGE(""https://docs.google.com/spreadsheets/d/1AVX9GT0dgogEBStecCXMMQ29tWz3gBrtNB8yIromXbY/edit?gid=741673867"", ""out1g!A:B""), 2, FALSE), 0)"),227.0)</f>
        <v>227</v>
      </c>
      <c r="D4615" s="2" t="str">
        <f>IFERROR(__xludf.DUMMYFUNCTION("IFERROR(VLOOKUP(A4615, IMPORTRANGE(""https://docs.google.com/spreadsheets/d/1-3Vjw2Cyy-mry5gbC8ypIR3YVGFfEpyFESummAta6sg/edit"", ""Sheet1!B:D""), 2, FALSE), ""Not Found"")"),"hɪks")</f>
        <v>hɪks</v>
      </c>
      <c r="E4615" s="2" t="str">
        <f>IFERROR(__xludf.DUMMYFUNCTION("IFERROR(VLOOKUP(A4615, IMPORTRANGE(""https://docs.google.com/spreadsheets/d/1-3Vjw2Cyy-mry5gbC8ypIR3YVGFfEpyFESummAta6sg/edit"", ""Sheet1!B:D""), 3, FALSE), ""Not Found"")"),"h ɪ k s ")</f>
        <v>h ɪ k s </v>
      </c>
    </row>
    <row r="4616">
      <c r="A4616" s="1" t="s">
        <v>4617</v>
      </c>
      <c r="B4616" s="1" t="s">
        <v>5</v>
      </c>
      <c r="C4616" s="2">
        <f>IFERROR(__xludf.DUMMYFUNCTION("IFERROR(VLOOKUP(A4616, IMPORTRANGE(""https://docs.google.com/spreadsheets/d/1AVX9GT0dgogEBStecCXMMQ29tWz3gBrtNB8yIromXbY/edit?gid=741673867"", ""out1g!A:B""), 2, FALSE), 0)"),48.0)</f>
        <v>48</v>
      </c>
      <c r="D4616" s="2" t="str">
        <f>IFERROR(__xludf.DUMMYFUNCTION("IFERROR(VLOOKUP(A4616, IMPORTRANGE(""https://docs.google.com/spreadsheets/d/1-3Vjw2Cyy-mry5gbC8ypIR3YVGFfEpyFESummAta6sg/edit"", ""Sheet1!B:D""), 2, FALSE), ""Not Found"")"),"proʊz")</f>
        <v>proʊz</v>
      </c>
      <c r="E4616" s="2" t="str">
        <f>IFERROR(__xludf.DUMMYFUNCTION("IFERROR(VLOOKUP(A4616, IMPORTRANGE(""https://docs.google.com/spreadsheets/d/1-3Vjw2Cyy-mry5gbC8ypIR3YVGFfEpyFESummAta6sg/edit"", ""Sheet1!B:D""), 3, FALSE), ""Not Found"")"),"p r o ʊ z ")</f>
        <v>p r o ʊ z </v>
      </c>
    </row>
    <row r="4617">
      <c r="A4617" s="1" t="s">
        <v>4618</v>
      </c>
      <c r="B4617" s="1" t="s">
        <v>5</v>
      </c>
      <c r="C4617" s="2">
        <f>IFERROR(__xludf.DUMMYFUNCTION("IFERROR(VLOOKUP(A4617, IMPORTRANGE(""https://docs.google.com/spreadsheets/d/1AVX9GT0dgogEBStecCXMMQ29tWz3gBrtNB8yIromXbY/edit?gid=741673867"", ""out1g!A:B""), 2, FALSE), 0)"),102.0)</f>
        <v>102</v>
      </c>
      <c r="D4617" s="2" t="str">
        <f>IFERROR(__xludf.DUMMYFUNCTION("IFERROR(VLOOKUP(A4617, IMPORTRANGE(""https://docs.google.com/spreadsheets/d/1-3Vjw2Cyy-mry5gbC8ypIR3YVGFfEpyFESummAta6sg/edit"", ""Sheet1!B:D""), 2, FALSE), ""Not Found"")"),"gaɪgər")</f>
        <v>gaɪgər</v>
      </c>
      <c r="E4617" s="2" t="str">
        <f>IFERROR(__xludf.DUMMYFUNCTION("IFERROR(VLOOKUP(A4617, IMPORTRANGE(""https://docs.google.com/spreadsheets/d/1-3Vjw2Cyy-mry5gbC8ypIR3YVGFfEpyFESummAta6sg/edit"", ""Sheet1!B:D""), 3, FALSE), ""Not Found"")"),"g a ɪ g ə r ")</f>
        <v>g a ɪ g ə r </v>
      </c>
    </row>
    <row r="4618">
      <c r="A4618" s="1" t="s">
        <v>4619</v>
      </c>
      <c r="B4618" s="1" t="s">
        <v>5</v>
      </c>
      <c r="C4618" s="2">
        <f>IFERROR(__xludf.DUMMYFUNCTION("IFERROR(VLOOKUP(A4618, IMPORTRANGE(""https://docs.google.com/spreadsheets/d/1AVX9GT0dgogEBStecCXMMQ29tWz3gBrtNB8yIromXbY/edit?gid=741673867"", ""out1g!A:B""), 2, FALSE), 0)"),15.0)</f>
        <v>15</v>
      </c>
      <c r="D4618" s="2" t="str">
        <f>IFERROR(__xludf.DUMMYFUNCTION("IFERROR(VLOOKUP(A4618, IMPORTRANGE(""https://docs.google.com/spreadsheets/d/1-3Vjw2Cyy-mry5gbC8ypIR3YVGFfEpyFESummAta6sg/edit"", ""Sheet1!B:D""), 2, FALSE), ""Not Found"")"),"hɛklər")</f>
        <v>hɛklər</v>
      </c>
      <c r="E4618" s="2" t="str">
        <f>IFERROR(__xludf.DUMMYFUNCTION("IFERROR(VLOOKUP(A4618, IMPORTRANGE(""https://docs.google.com/spreadsheets/d/1-3Vjw2Cyy-mry5gbC8ypIR3YVGFfEpyFESummAta6sg/edit"", ""Sheet1!B:D""), 3, FALSE), ""Not Found"")"),"h ɛ k l ə r ")</f>
        <v>h ɛ k l ə r </v>
      </c>
    </row>
    <row r="4619">
      <c r="A4619" s="1" t="s">
        <v>4620</v>
      </c>
      <c r="B4619" s="1" t="s">
        <v>5</v>
      </c>
      <c r="C4619" s="2">
        <f>IFERROR(__xludf.DUMMYFUNCTION("IFERROR(VLOOKUP(A4619, IMPORTRANGE(""https://docs.google.com/spreadsheets/d/1AVX9GT0dgogEBStecCXMMQ29tWz3gBrtNB8yIromXbY/edit?gid=741673867"", ""out1g!A:B""), 2, FALSE), 0)"),126.0)</f>
        <v>126</v>
      </c>
      <c r="D4619" s="2" t="str">
        <f>IFERROR(__xludf.DUMMYFUNCTION("IFERROR(VLOOKUP(A4619, IMPORTRANGE(""https://docs.google.com/spreadsheets/d/1-3Vjw2Cyy-mry5gbC8ypIR3YVGFfEpyFESummAta6sg/edit"", ""Sheet1!B:D""), 2, FALSE), ""Not Found"")"),"ʧud")</f>
        <v>ʧud</v>
      </c>
      <c r="E4619" s="2" t="str">
        <f>IFERROR(__xludf.DUMMYFUNCTION("IFERROR(VLOOKUP(A4619, IMPORTRANGE(""https://docs.google.com/spreadsheets/d/1-3Vjw2Cyy-mry5gbC8ypIR3YVGFfEpyFESummAta6sg/edit"", ""Sheet1!B:D""), 3, FALSE), ""Not Found"")"),"ʧ u d ")</f>
        <v>ʧ u d </v>
      </c>
    </row>
    <row r="4620">
      <c r="A4620" s="1" t="s">
        <v>4621</v>
      </c>
      <c r="B4620" s="1" t="s">
        <v>5</v>
      </c>
      <c r="C4620" s="2">
        <f>IFERROR(__xludf.DUMMYFUNCTION("IFERROR(VLOOKUP(A4620, IMPORTRANGE(""https://docs.google.com/spreadsheets/d/1AVX9GT0dgogEBStecCXMMQ29tWz3gBrtNB8yIromXbY/edit?gid=741673867"", ""out1g!A:B""), 2, FALSE), 0)"),193.0)</f>
        <v>193</v>
      </c>
      <c r="D4620" s="2" t="str">
        <f>IFERROR(__xludf.DUMMYFUNCTION("IFERROR(VLOOKUP(A4620, IMPORTRANGE(""https://docs.google.com/spreadsheets/d/1-3Vjw2Cyy-mry5gbC8ypIR3YVGFfEpyFESummAta6sg/edit"", ""Sheet1!B:D""), 2, FALSE), ""Not Found"")"),"fidz")</f>
        <v>fidz</v>
      </c>
      <c r="E4620" s="2" t="str">
        <f>IFERROR(__xludf.DUMMYFUNCTION("IFERROR(VLOOKUP(A4620, IMPORTRANGE(""https://docs.google.com/spreadsheets/d/1-3Vjw2Cyy-mry5gbC8ypIR3YVGFfEpyFESummAta6sg/edit"", ""Sheet1!B:D""), 3, FALSE), ""Not Found"")"),"f i d z ")</f>
        <v>f i d z </v>
      </c>
    </row>
    <row r="4621">
      <c r="A4621" s="1" t="s">
        <v>4622</v>
      </c>
      <c r="B4621" s="1" t="s">
        <v>5</v>
      </c>
      <c r="C4621" s="2">
        <f>IFERROR(__xludf.DUMMYFUNCTION("IFERROR(VLOOKUP(A4621, IMPORTRANGE(""https://docs.google.com/spreadsheets/d/1AVX9GT0dgogEBStecCXMMQ29tWz3gBrtNB8yIromXbY/edit?gid=741673867"", ""out1g!A:B""), 2, FALSE), 0)"),421.0)</f>
        <v>421</v>
      </c>
      <c r="D4621" s="2" t="str">
        <f>IFERROR(__xludf.DUMMYFUNCTION("IFERROR(VLOOKUP(A4621, IMPORTRANGE(""https://docs.google.com/spreadsheets/d/1-3Vjw2Cyy-mry5gbC8ypIR3YVGFfEpyFESummAta6sg/edit"", ""Sheet1!B:D""), 2, FALSE), ""Not Found"")"),"dɛnvər")</f>
        <v>dɛnvər</v>
      </c>
      <c r="E4621" s="2" t="str">
        <f>IFERROR(__xludf.DUMMYFUNCTION("IFERROR(VLOOKUP(A4621, IMPORTRANGE(""https://docs.google.com/spreadsheets/d/1-3Vjw2Cyy-mry5gbC8ypIR3YVGFfEpyFESummAta6sg/edit"", ""Sheet1!B:D""), 3, FALSE), ""Not Found"")"),"d ɛ n v ə r ")</f>
        <v>d ɛ n v ə r </v>
      </c>
    </row>
    <row r="4622">
      <c r="A4622" s="1" t="s">
        <v>4623</v>
      </c>
      <c r="B4622" s="1" t="s">
        <v>5</v>
      </c>
      <c r="C4622" s="2">
        <f>IFERROR(__xludf.DUMMYFUNCTION("IFERROR(VLOOKUP(A4622, IMPORTRANGE(""https://docs.google.com/spreadsheets/d/1AVX9GT0dgogEBStecCXMMQ29tWz3gBrtNB8yIromXbY/edit?gid=741673867"", ""out1g!A:B""), 2, FALSE), 0)"),1878.0)</f>
        <v>1878</v>
      </c>
      <c r="D4622" s="2" t="str">
        <f>IFERROR(__xludf.DUMMYFUNCTION("IFERROR(VLOOKUP(A4622, IMPORTRANGE(""https://docs.google.com/spreadsheets/d/1-3Vjw2Cyy-mry5gbC8ypIR3YVGFfEpyFESummAta6sg/edit"", ""Sheet1!B:D""), 2, FALSE), ""Not Found"")"),"dæn")</f>
        <v>dæn</v>
      </c>
      <c r="E4622" s="2" t="str">
        <f>IFERROR(__xludf.DUMMYFUNCTION("IFERROR(VLOOKUP(A4622, IMPORTRANGE(""https://docs.google.com/spreadsheets/d/1-3Vjw2Cyy-mry5gbC8ypIR3YVGFfEpyFESummAta6sg/edit"", ""Sheet1!B:D""), 3, FALSE), ""Not Found"")"),"d æ n ")</f>
        <v>d æ n </v>
      </c>
    </row>
    <row r="4623">
      <c r="A4623" s="1" t="s">
        <v>4624</v>
      </c>
      <c r="B4623" s="1" t="s">
        <v>5</v>
      </c>
      <c r="C4623" s="2">
        <f>IFERROR(__xludf.DUMMYFUNCTION("IFERROR(VLOOKUP(A4623, IMPORTRANGE(""https://docs.google.com/spreadsheets/d/1AVX9GT0dgogEBStecCXMMQ29tWz3gBrtNB8yIromXbY/edit?gid=741673867"", ""out1g!A:B""), 2, FALSE), 0)"),46.0)</f>
        <v>46</v>
      </c>
      <c r="D4623" s="2" t="str">
        <f>IFERROR(__xludf.DUMMYFUNCTION("IFERROR(VLOOKUP(A4623, IMPORTRANGE(""https://docs.google.com/spreadsheets/d/1-3Vjw2Cyy-mry5gbC8ypIR3YVGFfEpyFESummAta6sg/edit"", ""Sheet1!B:D""), 2, FALSE), ""Not Found"")"),"ʧɔɪə")</f>
        <v>ʧɔɪə</v>
      </c>
      <c r="E4623" s="2" t="str">
        <f>IFERROR(__xludf.DUMMYFUNCTION("IFERROR(VLOOKUP(A4623, IMPORTRANGE(""https://docs.google.com/spreadsheets/d/1-3Vjw2Cyy-mry5gbC8ypIR3YVGFfEpyFESummAta6sg/edit"", ""Sheet1!B:D""), 3, FALSE), ""Not Found"")"),"ʧ ɔ ɪ ə ")</f>
        <v>ʧ ɔ ɪ ə </v>
      </c>
    </row>
    <row r="4624">
      <c r="A4624" s="1" t="s">
        <v>4625</v>
      </c>
      <c r="B4624" s="1" t="s">
        <v>5</v>
      </c>
      <c r="C4624" s="2">
        <f>IFERROR(__xludf.DUMMYFUNCTION("IFERROR(VLOOKUP(A4624, IMPORTRANGE(""https://docs.google.com/spreadsheets/d/1AVX9GT0dgogEBStecCXMMQ29tWz3gBrtNB8yIromXbY/edit?gid=741673867"", ""out1g!A:B""), 2, FALSE), 0)"),48.0)</f>
        <v>48</v>
      </c>
      <c r="D4624" s="2" t="str">
        <f>IFERROR(__xludf.DUMMYFUNCTION("IFERROR(VLOOKUP(A4624, IMPORTRANGE(""https://docs.google.com/spreadsheets/d/1-3Vjw2Cyy-mry5gbC8ypIR3YVGFfEpyFESummAta6sg/edit"", ""Sheet1!B:D""), 2, FALSE), ""Not Found"")"),"te")</f>
        <v>te</v>
      </c>
      <c r="E4624" s="2" t="str">
        <f>IFERROR(__xludf.DUMMYFUNCTION("IFERROR(VLOOKUP(A4624, IMPORTRANGE(""https://docs.google.com/spreadsheets/d/1-3Vjw2Cyy-mry5gbC8ypIR3YVGFfEpyFESummAta6sg/edit"", ""Sheet1!B:D""), 3, FALSE), ""Not Found"")"),"t e ")</f>
        <v>t e </v>
      </c>
    </row>
    <row r="4625">
      <c r="A4625" s="1" t="s">
        <v>4626</v>
      </c>
      <c r="B4625" s="1" t="s">
        <v>5</v>
      </c>
      <c r="C4625" s="2">
        <f>IFERROR(__xludf.DUMMYFUNCTION("IFERROR(VLOOKUP(A4625, IMPORTRANGE(""https://docs.google.com/spreadsheets/d/1AVX9GT0dgogEBStecCXMMQ29tWz3gBrtNB8yIromXbY/edit?gid=741673867"", ""out1g!A:B""), 2, FALSE), 0)"),47.0)</f>
        <v>47</v>
      </c>
      <c r="D4625" s="2" t="str">
        <f>IFERROR(__xludf.DUMMYFUNCTION("IFERROR(VLOOKUP(A4625, IMPORTRANGE(""https://docs.google.com/spreadsheets/d/1-3Vjw2Cyy-mry5gbC8ypIR3YVGFfEpyFESummAta6sg/edit"", ""Sheet1!B:D""), 2, FALSE), ""Not Found"")"),"kɔɪlz")</f>
        <v>kɔɪlz</v>
      </c>
      <c r="E4625" s="2" t="str">
        <f>IFERROR(__xludf.DUMMYFUNCTION("IFERROR(VLOOKUP(A4625, IMPORTRANGE(""https://docs.google.com/spreadsheets/d/1-3Vjw2Cyy-mry5gbC8ypIR3YVGFfEpyFESummAta6sg/edit"", ""Sheet1!B:D""), 3, FALSE), ""Not Found"")"),"k ɔ ɪ l z ")</f>
        <v>k ɔ ɪ l z </v>
      </c>
    </row>
    <row r="4626">
      <c r="A4626" s="1" t="s">
        <v>4627</v>
      </c>
      <c r="B4626" s="1" t="s">
        <v>5</v>
      </c>
      <c r="C4626" s="2">
        <f>IFERROR(__xludf.DUMMYFUNCTION("IFERROR(VLOOKUP(A4626, IMPORTRANGE(""https://docs.google.com/spreadsheets/d/1AVX9GT0dgogEBStecCXMMQ29tWz3gBrtNB8yIromXbY/edit?gid=741673867"", ""out1g!A:B""), 2, FALSE), 0)"),5289.0)</f>
        <v>5289</v>
      </c>
      <c r="D4626" s="2" t="str">
        <f>IFERROR(__xludf.DUMMYFUNCTION("IFERROR(VLOOKUP(A4626, IMPORTRANGE(""https://docs.google.com/spreadsheets/d/1-3Vjw2Cyy-mry5gbC8ypIR3YVGFfEpyFESummAta6sg/edit"", ""Sheet1!B:D""), 2, FALSE), ""Not Found"")"),"mɑmə")</f>
        <v>mɑmə</v>
      </c>
      <c r="E4626" s="2" t="str">
        <f>IFERROR(__xludf.DUMMYFUNCTION("IFERROR(VLOOKUP(A4626, IMPORTRANGE(""https://docs.google.com/spreadsheets/d/1-3Vjw2Cyy-mry5gbC8ypIR3YVGFfEpyFESummAta6sg/edit"", ""Sheet1!B:D""), 3, FALSE), ""Not Found"")"),"m ɑ m ə ")</f>
        <v>m ɑ m ə </v>
      </c>
    </row>
    <row r="4627">
      <c r="A4627" s="1" t="s">
        <v>4628</v>
      </c>
      <c r="B4627" s="1" t="s">
        <v>5</v>
      </c>
      <c r="C4627" s="2">
        <f>IFERROR(__xludf.DUMMYFUNCTION("IFERROR(VLOOKUP(A4627, IMPORTRANGE(""https://docs.google.com/spreadsheets/d/1AVX9GT0dgogEBStecCXMMQ29tWz3gBrtNB8yIromXbY/edit?gid=741673867"", ""out1g!A:B""), 2, FALSE), 0)"),207.0)</f>
        <v>207</v>
      </c>
      <c r="D4627" s="2" t="str">
        <f>IFERROR(__xludf.DUMMYFUNCTION("IFERROR(VLOOKUP(A4627, IMPORTRANGE(""https://docs.google.com/spreadsheets/d/1-3Vjw2Cyy-mry5gbC8ypIR3YVGFfEpyFESummAta6sg/edit"", ""Sheet1!B:D""), 2, FALSE), ""Not Found"")"),"raɪt")</f>
        <v>raɪt</v>
      </c>
      <c r="E4627" s="2" t="str">
        <f>IFERROR(__xludf.DUMMYFUNCTION("IFERROR(VLOOKUP(A4627, IMPORTRANGE(""https://docs.google.com/spreadsheets/d/1-3Vjw2Cyy-mry5gbC8ypIR3YVGFfEpyFESummAta6sg/edit"", ""Sheet1!B:D""), 3, FALSE), ""Not Found"")"),"r a ɪ t ")</f>
        <v>r a ɪ t </v>
      </c>
    </row>
    <row r="4628">
      <c r="A4628" s="1" t="s">
        <v>4629</v>
      </c>
      <c r="B4628" s="1" t="s">
        <v>5</v>
      </c>
      <c r="C4628" s="2">
        <f>IFERROR(__xludf.DUMMYFUNCTION("IFERROR(VLOOKUP(A4628, IMPORTRANGE(""https://docs.google.com/spreadsheets/d/1AVX9GT0dgogEBStecCXMMQ29tWz3gBrtNB8yIromXbY/edit?gid=741673867"", ""out1g!A:B""), 2, FALSE), 0)"),425.0)</f>
        <v>425</v>
      </c>
      <c r="D4628" s="2" t="str">
        <f>IFERROR(__xludf.DUMMYFUNCTION("IFERROR(VLOOKUP(A4628, IMPORTRANGE(""https://docs.google.com/spreadsheets/d/1-3Vjw2Cyy-mry5gbC8ypIR3YVGFfEpyFESummAta6sg/edit"", ""Sheet1!B:D""), 2, FALSE), ""Not Found"")"),"ken")</f>
        <v>ken</v>
      </c>
      <c r="E4628" s="2" t="str">
        <f>IFERROR(__xludf.DUMMYFUNCTION("IFERROR(VLOOKUP(A4628, IMPORTRANGE(""https://docs.google.com/spreadsheets/d/1-3Vjw2Cyy-mry5gbC8ypIR3YVGFfEpyFESummAta6sg/edit"", ""Sheet1!B:D""), 3, FALSE), ""Not Found"")"),"k e n ")</f>
        <v>k e n </v>
      </c>
    </row>
    <row r="4629">
      <c r="A4629" s="1" t="s">
        <v>4630</v>
      </c>
      <c r="B4629" s="1" t="s">
        <v>5</v>
      </c>
      <c r="C4629" s="2">
        <f>IFERROR(__xludf.DUMMYFUNCTION("IFERROR(VLOOKUP(A4629, IMPORTRANGE(""https://docs.google.com/spreadsheets/d/1AVX9GT0dgogEBStecCXMMQ29tWz3gBrtNB8yIromXbY/edit?gid=741673867"", ""out1g!A:B""), 2, FALSE), 0)"),66.0)</f>
        <v>66</v>
      </c>
      <c r="D4629" s="2" t="str">
        <f>IFERROR(__xludf.DUMMYFUNCTION("IFERROR(VLOOKUP(A4629, IMPORTRANGE(""https://docs.google.com/spreadsheets/d/1-3Vjw2Cyy-mry5gbC8ypIR3YVGFfEpyFESummAta6sg/edit"", ""Sheet1!B:D""), 2, FALSE), ""Not Found"")"),"ɪv")</f>
        <v>ɪv</v>
      </c>
      <c r="E4629" s="2" t="str">
        <f>IFERROR(__xludf.DUMMYFUNCTION("IFERROR(VLOOKUP(A4629, IMPORTRANGE(""https://docs.google.com/spreadsheets/d/1-3Vjw2Cyy-mry5gbC8ypIR3YVGFfEpyFESummAta6sg/edit"", ""Sheet1!B:D""), 3, FALSE), ""Not Found"")"),"ɪ v ")</f>
        <v>ɪ v </v>
      </c>
    </row>
    <row r="4630">
      <c r="A4630" s="1" t="s">
        <v>4631</v>
      </c>
      <c r="B4630" s="1" t="s">
        <v>5</v>
      </c>
      <c r="C4630" s="2">
        <f>IFERROR(__xludf.DUMMYFUNCTION("IFERROR(VLOOKUP(A4630, IMPORTRANGE(""https://docs.google.com/spreadsheets/d/1AVX9GT0dgogEBStecCXMMQ29tWz3gBrtNB8yIromXbY/edit?gid=741673867"", ""out1g!A:B""), 2, FALSE), 0)"),87.0)</f>
        <v>87</v>
      </c>
      <c r="D4630" s="2" t="str">
        <f>IFERROR(__xludf.DUMMYFUNCTION("IFERROR(VLOOKUP(A4630, IMPORTRANGE(""https://docs.google.com/spreadsheets/d/1-3Vjw2Cyy-mry5gbC8ypIR3YVGFfEpyFESummAta6sg/edit"", ""Sheet1!B:D""), 2, FALSE), ""Not Found"")"),"ʃəks")</f>
        <v>ʃəks</v>
      </c>
      <c r="E4630" s="2" t="str">
        <f>IFERROR(__xludf.DUMMYFUNCTION("IFERROR(VLOOKUP(A4630, IMPORTRANGE(""https://docs.google.com/spreadsheets/d/1-3Vjw2Cyy-mry5gbC8ypIR3YVGFfEpyFESummAta6sg/edit"", ""Sheet1!B:D""), 3, FALSE), ""Not Found"")"),"ʃ ə k s ")</f>
        <v>ʃ ə k s </v>
      </c>
    </row>
    <row r="4631">
      <c r="A4631" s="1" t="s">
        <v>4632</v>
      </c>
      <c r="B4631" s="1" t="s">
        <v>5</v>
      </c>
      <c r="C4631" s="2">
        <f>IFERROR(__xludf.DUMMYFUNCTION("IFERROR(VLOOKUP(A4631, IMPORTRANGE(""https://docs.google.com/spreadsheets/d/1AVX9GT0dgogEBStecCXMMQ29tWz3gBrtNB8yIromXbY/edit?gid=741673867"", ""out1g!A:B""), 2, FALSE), 0)"),24.0)</f>
        <v>24</v>
      </c>
      <c r="D4631" s="2" t="str">
        <f>IFERROR(__xludf.DUMMYFUNCTION("IFERROR(VLOOKUP(A4631, IMPORTRANGE(""https://docs.google.com/spreadsheets/d/1-3Vjw2Cyy-mry5gbC8ypIR3YVGFfEpyFESummAta6sg/edit"", ""Sheet1!B:D""), 2, FALSE), ""Not Found"")"),"kæg")</f>
        <v>kæg</v>
      </c>
      <c r="E4631" s="2" t="str">
        <f>IFERROR(__xludf.DUMMYFUNCTION("IFERROR(VLOOKUP(A4631, IMPORTRANGE(""https://docs.google.com/spreadsheets/d/1-3Vjw2Cyy-mry5gbC8ypIR3YVGFfEpyFESummAta6sg/edit"", ""Sheet1!B:D""), 3, FALSE), ""Not Found"")"),"k æ g ")</f>
        <v>k æ g </v>
      </c>
    </row>
    <row r="4632">
      <c r="A4632" s="1" t="s">
        <v>4633</v>
      </c>
      <c r="B4632" s="1" t="s">
        <v>5</v>
      </c>
      <c r="C4632" s="2">
        <f>IFERROR(__xludf.DUMMYFUNCTION("IFERROR(VLOOKUP(A4632, IMPORTRANGE(""https://docs.google.com/spreadsheets/d/1AVX9GT0dgogEBStecCXMMQ29tWz3gBrtNB8yIromXbY/edit?gid=741673867"", ""out1g!A:B""), 2, FALSE), 0)"),129.0)</f>
        <v>129</v>
      </c>
      <c r="D4632" s="2" t="str">
        <f>IFERROR(__xludf.DUMMYFUNCTION("IFERROR(VLOOKUP(A4632, IMPORTRANGE(""https://docs.google.com/spreadsheets/d/1-3Vjw2Cyy-mry5gbC8ypIR3YVGFfEpyFESummAta6sg/edit"", ""Sheet1!B:D""), 2, FALSE), ""Not Found"")"),"rev")</f>
        <v>rev</v>
      </c>
      <c r="E4632" s="2" t="str">
        <f>IFERROR(__xludf.DUMMYFUNCTION("IFERROR(VLOOKUP(A4632, IMPORTRANGE(""https://docs.google.com/spreadsheets/d/1-3Vjw2Cyy-mry5gbC8ypIR3YVGFfEpyFESummAta6sg/edit"", ""Sheet1!B:D""), 3, FALSE), ""Not Found"")"),"r e v ")</f>
        <v>r e v </v>
      </c>
    </row>
    <row r="4633">
      <c r="A4633" s="1" t="s">
        <v>4634</v>
      </c>
      <c r="B4633" s="1" t="s">
        <v>5</v>
      </c>
      <c r="C4633" s="2">
        <f>IFERROR(__xludf.DUMMYFUNCTION("IFERROR(VLOOKUP(A4633, IMPORTRANGE(""https://docs.google.com/spreadsheets/d/1AVX9GT0dgogEBStecCXMMQ29tWz3gBrtNB8yIromXbY/edit?gid=741673867"", ""out1g!A:B""), 2, FALSE), 0)"),108.0)</f>
        <v>108</v>
      </c>
      <c r="D4633" s="2" t="str">
        <f>IFERROR(__xludf.DUMMYFUNCTION("IFERROR(VLOOKUP(A4633, IMPORTRANGE(""https://docs.google.com/spreadsheets/d/1-3Vjw2Cyy-mry5gbC8ypIR3YVGFfEpyFESummAta6sg/edit"", ""Sheet1!B:D""), 2, FALSE), ""Not Found"")"),"taɪl")</f>
        <v>taɪl</v>
      </c>
      <c r="E4633" s="2" t="str">
        <f>IFERROR(__xludf.DUMMYFUNCTION("IFERROR(VLOOKUP(A4633, IMPORTRANGE(""https://docs.google.com/spreadsheets/d/1-3Vjw2Cyy-mry5gbC8ypIR3YVGFfEpyFESummAta6sg/edit"", ""Sheet1!B:D""), 3, FALSE), ""Not Found"")"),"t a ɪ l ")</f>
        <v>t a ɪ l </v>
      </c>
    </row>
    <row r="4634">
      <c r="A4634" s="1" t="s">
        <v>4635</v>
      </c>
      <c r="B4634" s="1" t="s">
        <v>5</v>
      </c>
      <c r="C4634" s="2">
        <f>IFERROR(__xludf.DUMMYFUNCTION("IFERROR(VLOOKUP(A4634, IMPORTRANGE(""https://docs.google.com/spreadsheets/d/1AVX9GT0dgogEBStecCXMMQ29tWz3gBrtNB8yIromXbY/edit?gid=741673867"", ""out1g!A:B""), 2, FALSE), 0)"),453.0)</f>
        <v>453</v>
      </c>
      <c r="D4634" s="2" t="str">
        <f>IFERROR(__xludf.DUMMYFUNCTION("IFERROR(VLOOKUP(A4634, IMPORTRANGE(""https://docs.google.com/spreadsheets/d/1-3Vjw2Cyy-mry5gbC8ypIR3YVGFfEpyFESummAta6sg/edit"", ""Sheet1!B:D""), 2, FALSE), ""Not Found"")"),"ʤərnəl")</f>
        <v>ʤərnəl</v>
      </c>
      <c r="E4634" s="2" t="str">
        <f>IFERROR(__xludf.DUMMYFUNCTION("IFERROR(VLOOKUP(A4634, IMPORTRANGE(""https://docs.google.com/spreadsheets/d/1-3Vjw2Cyy-mry5gbC8ypIR3YVGFfEpyFESummAta6sg/edit"", ""Sheet1!B:D""), 3, FALSE), ""Not Found"")"),"ʤ ə r n ə l ")</f>
        <v>ʤ ə r n ə l </v>
      </c>
    </row>
    <row r="4635">
      <c r="A4635" s="1" t="s">
        <v>4636</v>
      </c>
      <c r="B4635" s="1" t="s">
        <v>5</v>
      </c>
      <c r="C4635" s="2">
        <f>IFERROR(__xludf.DUMMYFUNCTION("IFERROR(VLOOKUP(A4635, IMPORTRANGE(""https://docs.google.com/spreadsheets/d/1AVX9GT0dgogEBStecCXMMQ29tWz3gBrtNB8yIromXbY/edit?gid=741673867"", ""out1g!A:B""), 2, FALSE), 0)"),1161.0)</f>
        <v>1161</v>
      </c>
      <c r="D4635" s="2" t="str">
        <f>IFERROR(__xludf.DUMMYFUNCTION("IFERROR(VLOOKUP(A4635, IMPORTRANGE(""https://docs.google.com/spreadsheets/d/1-3Vjw2Cyy-mry5gbC8ypIR3YVGFfEpyFESummAta6sg/edit"", ""Sheet1!B:D""), 2, FALSE), ""Not Found"")"),"flaʊər")</f>
        <v>flaʊər</v>
      </c>
      <c r="E4635" s="2" t="str">
        <f>IFERROR(__xludf.DUMMYFUNCTION("IFERROR(VLOOKUP(A4635, IMPORTRANGE(""https://docs.google.com/spreadsheets/d/1-3Vjw2Cyy-mry5gbC8ypIR3YVGFfEpyFESummAta6sg/edit"", ""Sheet1!B:D""), 3, FALSE), ""Not Found"")"),"f l a ʊ ə r ")</f>
        <v>f l a ʊ ə r </v>
      </c>
    </row>
    <row r="4636">
      <c r="A4636" s="1" t="s">
        <v>4637</v>
      </c>
      <c r="B4636" s="1" t="s">
        <v>5</v>
      </c>
      <c r="C4636" s="2">
        <f>IFERROR(__xludf.DUMMYFUNCTION("IFERROR(VLOOKUP(A4636, IMPORTRANGE(""https://docs.google.com/spreadsheets/d/1AVX9GT0dgogEBStecCXMMQ29tWz3gBrtNB8yIromXbY/edit?gid=741673867"", ""out1g!A:B""), 2, FALSE), 0)"),88.0)</f>
        <v>88</v>
      </c>
      <c r="D4636" s="2" t="str">
        <f>IFERROR(__xludf.DUMMYFUNCTION("IFERROR(VLOOKUP(A4636, IMPORTRANGE(""https://docs.google.com/spreadsheets/d/1-3Vjw2Cyy-mry5gbC8ypIR3YVGFfEpyFESummAta6sg/edit"", ""Sheet1!B:D""), 2, FALSE), ""Not Found"")"),"məfi")</f>
        <v>məfi</v>
      </c>
      <c r="E4636" s="2" t="str">
        <f>IFERROR(__xludf.DUMMYFUNCTION("IFERROR(VLOOKUP(A4636, IMPORTRANGE(""https://docs.google.com/spreadsheets/d/1-3Vjw2Cyy-mry5gbC8ypIR3YVGFfEpyFESummAta6sg/edit"", ""Sheet1!B:D""), 3, FALSE), ""Not Found"")"),"m ə f i ")</f>
        <v>m ə f i </v>
      </c>
    </row>
    <row r="4637">
      <c r="A4637" s="1" t="s">
        <v>4638</v>
      </c>
      <c r="B4637" s="1" t="s">
        <v>5</v>
      </c>
      <c r="C4637" s="2">
        <f>IFERROR(__xludf.DUMMYFUNCTION("IFERROR(VLOOKUP(A4637, IMPORTRANGE(""https://docs.google.com/spreadsheets/d/1AVX9GT0dgogEBStecCXMMQ29tWz3gBrtNB8yIromXbY/edit?gid=741673867"", ""out1g!A:B""), 2, FALSE), 0)"),133.0)</f>
        <v>133</v>
      </c>
      <c r="D4637" s="2" t="str">
        <f>IFERROR(__xludf.DUMMYFUNCTION("IFERROR(VLOOKUP(A4637, IMPORTRANGE(""https://docs.google.com/spreadsheets/d/1-3Vjw2Cyy-mry5gbC8ypIR3YVGFfEpyFESummAta6sg/edit"", ""Sheet1!B:D""), 2, FALSE), ""Not Found"")"),"pætioʊ")</f>
        <v>pætioʊ</v>
      </c>
      <c r="E4637" s="2" t="str">
        <f>IFERROR(__xludf.DUMMYFUNCTION("IFERROR(VLOOKUP(A4637, IMPORTRANGE(""https://docs.google.com/spreadsheets/d/1-3Vjw2Cyy-mry5gbC8ypIR3YVGFfEpyFESummAta6sg/edit"", ""Sheet1!B:D""), 3, FALSE), ""Not Found"")"),"p æ t i o ʊ ")</f>
        <v>p æ t i o ʊ </v>
      </c>
    </row>
    <row r="4638">
      <c r="A4638" s="1" t="s">
        <v>4639</v>
      </c>
      <c r="B4638" s="1" t="s">
        <v>5</v>
      </c>
      <c r="C4638" s="2">
        <f>IFERROR(__xludf.DUMMYFUNCTION("IFERROR(VLOOKUP(A4638, IMPORTRANGE(""https://docs.google.com/spreadsheets/d/1AVX9GT0dgogEBStecCXMMQ29tWz3gBrtNB8yIromXbY/edit?gid=741673867"", ""out1g!A:B""), 2, FALSE), 0)"),28279.0)</f>
        <v>28279</v>
      </c>
      <c r="D4638" s="2" t="str">
        <f>IFERROR(__xludf.DUMMYFUNCTION("IFERROR(VLOOKUP(A4638, IMPORTRANGE(""https://docs.google.com/spreadsheets/d/1-3Vjw2Cyy-mry5gbC8ypIR3YVGFfEpyFESummAta6sg/edit"", ""Sheet1!B:D""), 2, FALSE), ""Not Found"")"),"fɑðər")</f>
        <v>fɑðər</v>
      </c>
      <c r="E4638" s="2" t="str">
        <f>IFERROR(__xludf.DUMMYFUNCTION("IFERROR(VLOOKUP(A4638, IMPORTRANGE(""https://docs.google.com/spreadsheets/d/1-3Vjw2Cyy-mry5gbC8ypIR3YVGFfEpyFESummAta6sg/edit"", ""Sheet1!B:D""), 3, FALSE), ""Not Found"")"),"f ɑ ð ə r ")</f>
        <v>f ɑ ð ə r </v>
      </c>
    </row>
    <row r="4639">
      <c r="A4639" s="1" t="s">
        <v>4640</v>
      </c>
      <c r="B4639" s="1" t="s">
        <v>5</v>
      </c>
      <c r="C4639" s="2">
        <f>IFERROR(__xludf.DUMMYFUNCTION("IFERROR(VLOOKUP(A4639, IMPORTRANGE(""https://docs.google.com/spreadsheets/d/1AVX9GT0dgogEBStecCXMMQ29tWz3gBrtNB8yIromXbY/edit?gid=741673867"", ""out1g!A:B""), 2, FALSE), 0)"),90.0)</f>
        <v>90</v>
      </c>
      <c r="D4639" s="2" t="str">
        <f>IFERROR(__xludf.DUMMYFUNCTION("IFERROR(VLOOKUP(A4639, IMPORTRANGE(""https://docs.google.com/spreadsheets/d/1-3Vjw2Cyy-mry5gbC8ypIR3YVGFfEpyFESummAta6sg/edit"", ""Sheet1!B:D""), 2, FALSE), ""Not Found"")"),"zoʊnz")</f>
        <v>zoʊnz</v>
      </c>
      <c r="E4639" s="2" t="str">
        <f>IFERROR(__xludf.DUMMYFUNCTION("IFERROR(VLOOKUP(A4639, IMPORTRANGE(""https://docs.google.com/spreadsheets/d/1-3Vjw2Cyy-mry5gbC8ypIR3YVGFfEpyFESummAta6sg/edit"", ""Sheet1!B:D""), 3, FALSE), ""Not Found"")"),"z o ʊ n z ")</f>
        <v>z o ʊ n z </v>
      </c>
    </row>
    <row r="4640">
      <c r="A4640" s="1" t="s">
        <v>4641</v>
      </c>
      <c r="B4640" s="1" t="s">
        <v>5</v>
      </c>
      <c r="C4640" s="2">
        <f>IFERROR(__xludf.DUMMYFUNCTION("IFERROR(VLOOKUP(A4640, IMPORTRANGE(""https://docs.google.com/spreadsheets/d/1AVX9GT0dgogEBStecCXMMQ29tWz3gBrtNB8yIromXbY/edit?gid=741673867"", ""out1g!A:B""), 2, FALSE), 0)"),3441.0)</f>
        <v>3441</v>
      </c>
      <c r="D4640" s="2" t="str">
        <f>IFERROR(__xludf.DUMMYFUNCTION("IFERROR(VLOOKUP(A4640, IMPORTRANGE(""https://docs.google.com/spreadsheets/d/1-3Vjw2Cyy-mry5gbC8ypIR3YVGFfEpyFESummAta6sg/edit"", ""Sheet1!B:D""), 2, FALSE), ""Not Found"")"),"naɪn")</f>
        <v>naɪn</v>
      </c>
      <c r="E4640" s="2" t="str">
        <f>IFERROR(__xludf.DUMMYFUNCTION("IFERROR(VLOOKUP(A4640, IMPORTRANGE(""https://docs.google.com/spreadsheets/d/1-3Vjw2Cyy-mry5gbC8ypIR3YVGFfEpyFESummAta6sg/edit"", ""Sheet1!B:D""), 3, FALSE), ""Not Found"")"),"n a ɪ n ")</f>
        <v>n a ɪ n </v>
      </c>
    </row>
    <row r="4641">
      <c r="A4641" s="1" t="s">
        <v>4642</v>
      </c>
      <c r="B4641" s="1" t="s">
        <v>5</v>
      </c>
      <c r="C4641" s="2">
        <f>IFERROR(__xludf.DUMMYFUNCTION("IFERROR(VLOOKUP(A4641, IMPORTRANGE(""https://docs.google.com/spreadsheets/d/1AVX9GT0dgogEBStecCXMMQ29tWz3gBrtNB8yIromXbY/edit?gid=741673867"", ""out1g!A:B""), 2, FALSE), 0)"),1225.0)</f>
        <v>1225</v>
      </c>
      <c r="D4641" s="2" t="str">
        <f>IFERROR(__xludf.DUMMYFUNCTION("IFERROR(VLOOKUP(A4641, IMPORTRANGE(""https://docs.google.com/spreadsheets/d/1-3Vjw2Cyy-mry5gbC8ypIR3YVGFfEpyFESummAta6sg/edit"", ""Sheet1!B:D""), 2, FALSE), ""Not Found"")"),"bɔstən")</f>
        <v>bɔstən</v>
      </c>
      <c r="E4641" s="2" t="str">
        <f>IFERROR(__xludf.DUMMYFUNCTION("IFERROR(VLOOKUP(A4641, IMPORTRANGE(""https://docs.google.com/spreadsheets/d/1-3Vjw2Cyy-mry5gbC8ypIR3YVGFfEpyFESummAta6sg/edit"", ""Sheet1!B:D""), 3, FALSE), ""Not Found"")"),"b ɔ s t ə n ")</f>
        <v>b ɔ s t ə n </v>
      </c>
    </row>
    <row r="4642">
      <c r="A4642" s="1" t="s">
        <v>4643</v>
      </c>
      <c r="B4642" s="1" t="s">
        <v>5</v>
      </c>
      <c r="C4642" s="2">
        <f>IFERROR(__xludf.DUMMYFUNCTION("IFERROR(VLOOKUP(A4642, IMPORTRANGE(""https://docs.google.com/spreadsheets/d/1AVX9GT0dgogEBStecCXMMQ29tWz3gBrtNB8yIromXbY/edit?gid=741673867"", ""out1g!A:B""), 2, FALSE), 0)"),11.0)</f>
        <v>11</v>
      </c>
      <c r="D4642" s="2" t="str">
        <f>IFERROR(__xludf.DUMMYFUNCTION("IFERROR(VLOOKUP(A4642, IMPORTRANGE(""https://docs.google.com/spreadsheets/d/1-3Vjw2Cyy-mry5gbC8ypIR3YVGFfEpyFESummAta6sg/edit"", ""Sheet1!B:D""), 2, FALSE), ""Not Found"")"),"ɪlum")</f>
        <v>ɪlum</v>
      </c>
      <c r="E4642" s="2" t="str">
        <f>IFERROR(__xludf.DUMMYFUNCTION("IFERROR(VLOOKUP(A4642, IMPORTRANGE(""https://docs.google.com/spreadsheets/d/1-3Vjw2Cyy-mry5gbC8ypIR3YVGFfEpyFESummAta6sg/edit"", ""Sheet1!B:D""), 3, FALSE), ""Not Found"")"),"ɪ l u m ")</f>
        <v>ɪ l u m </v>
      </c>
    </row>
    <row r="4643">
      <c r="A4643" s="1" t="s">
        <v>4644</v>
      </c>
      <c r="B4643" s="1" t="s">
        <v>5</v>
      </c>
      <c r="C4643" s="2">
        <f>IFERROR(__xludf.DUMMYFUNCTION("IFERROR(VLOOKUP(A4643, IMPORTRANGE(""https://docs.google.com/spreadsheets/d/1AVX9GT0dgogEBStecCXMMQ29tWz3gBrtNB8yIromXbY/edit?gid=741673867"", ""out1g!A:B""), 2, FALSE), 0)"),136.0)</f>
        <v>136</v>
      </c>
      <c r="D4643" s="2" t="str">
        <f>IFERROR(__xludf.DUMMYFUNCTION("IFERROR(VLOOKUP(A4643, IMPORTRANGE(""https://docs.google.com/spreadsheets/d/1-3Vjw2Cyy-mry5gbC8ypIR3YVGFfEpyFESummAta6sg/edit"", ""Sheet1!B:D""), 2, FALSE), ""Not Found"")"),"mɪli")</f>
        <v>mɪli</v>
      </c>
      <c r="E4643" s="2" t="str">
        <f>IFERROR(__xludf.DUMMYFUNCTION("IFERROR(VLOOKUP(A4643, IMPORTRANGE(""https://docs.google.com/spreadsheets/d/1-3Vjw2Cyy-mry5gbC8ypIR3YVGFfEpyFESummAta6sg/edit"", ""Sheet1!B:D""), 3, FALSE), ""Not Found"")"),"m ɪ l i ")</f>
        <v>m ɪ l i </v>
      </c>
    </row>
    <row r="4644">
      <c r="A4644" s="1" t="s">
        <v>4645</v>
      </c>
      <c r="B4644" s="1" t="s">
        <v>5</v>
      </c>
      <c r="C4644" s="2">
        <f>IFERROR(__xludf.DUMMYFUNCTION("IFERROR(VLOOKUP(A4644, IMPORTRANGE(""https://docs.google.com/spreadsheets/d/1AVX9GT0dgogEBStecCXMMQ29tWz3gBrtNB8yIromXbY/edit?gid=741673867"", ""out1g!A:B""), 2, FALSE), 0)"),7557.0)</f>
        <v>7557</v>
      </c>
      <c r="D4644" s="2" t="str">
        <f>IFERROR(__xludf.DUMMYFUNCTION("IFERROR(VLOOKUP(A4644, IMPORTRANGE(""https://docs.google.com/spreadsheets/d/1-3Vjw2Cyy-mry5gbC8ypIR3YVGFfEpyFESummAta6sg/edit"", ""Sheet1!B:D""), 2, FALSE), ""Not Found"")"),"strit")</f>
        <v>strit</v>
      </c>
      <c r="E4644" s="2" t="str">
        <f>IFERROR(__xludf.DUMMYFUNCTION("IFERROR(VLOOKUP(A4644, IMPORTRANGE(""https://docs.google.com/spreadsheets/d/1-3Vjw2Cyy-mry5gbC8ypIR3YVGFfEpyFESummAta6sg/edit"", ""Sheet1!B:D""), 3, FALSE), ""Not Found"")"),"s t r i t ")</f>
        <v>s t r i t </v>
      </c>
    </row>
    <row r="4645">
      <c r="A4645" s="1" t="s">
        <v>4646</v>
      </c>
      <c r="B4645" s="1" t="s">
        <v>5</v>
      </c>
      <c r="C4645" s="2">
        <f>IFERROR(__xludf.DUMMYFUNCTION("IFERROR(VLOOKUP(A4645, IMPORTRANGE(""https://docs.google.com/spreadsheets/d/1AVX9GT0dgogEBStecCXMMQ29tWz3gBrtNB8yIromXbY/edit?gid=741673867"", ""out1g!A:B""), 2, FALSE), 0)"),131.0)</f>
        <v>131</v>
      </c>
      <c r="D4645" s="2" t="str">
        <f>IFERROR(__xludf.DUMMYFUNCTION("IFERROR(VLOOKUP(A4645, IMPORTRANGE(""https://docs.google.com/spreadsheets/d/1-3Vjw2Cyy-mry5gbC8ypIR3YVGFfEpyFESummAta6sg/edit"", ""Sheet1!B:D""), 2, FALSE), ""Not Found"")"),"mələn")</f>
        <v>mələn</v>
      </c>
      <c r="E4645" s="2" t="str">
        <f>IFERROR(__xludf.DUMMYFUNCTION("IFERROR(VLOOKUP(A4645, IMPORTRANGE(""https://docs.google.com/spreadsheets/d/1-3Vjw2Cyy-mry5gbC8ypIR3YVGFfEpyFESummAta6sg/edit"", ""Sheet1!B:D""), 3, FALSE), ""Not Found"")"),"m ə l ə n ")</f>
        <v>m ə l ə n </v>
      </c>
    </row>
    <row r="4646">
      <c r="A4646" s="1" t="s">
        <v>4647</v>
      </c>
      <c r="B4646" s="1" t="s">
        <v>5</v>
      </c>
      <c r="C4646" s="2">
        <f>IFERROR(__xludf.DUMMYFUNCTION("IFERROR(VLOOKUP(A4646, IMPORTRANGE(""https://docs.google.com/spreadsheets/d/1AVX9GT0dgogEBStecCXMMQ29tWz3gBrtNB8yIromXbY/edit?gid=741673867"", ""out1g!A:B""), 2, FALSE), 0)"),115.0)</f>
        <v>115</v>
      </c>
      <c r="D4646" s="2" t="str">
        <f>IFERROR(__xludf.DUMMYFUNCTION("IFERROR(VLOOKUP(A4646, IMPORTRANGE(""https://docs.google.com/spreadsheets/d/1-3Vjw2Cyy-mry5gbC8ypIR3YVGFfEpyFESummAta6sg/edit"", ""Sheet1!B:D""), 2, FALSE), ""Not Found"")"),"dən")</f>
        <v>dən</v>
      </c>
      <c r="E4646" s="2" t="str">
        <f>IFERROR(__xludf.DUMMYFUNCTION("IFERROR(VLOOKUP(A4646, IMPORTRANGE(""https://docs.google.com/spreadsheets/d/1-3Vjw2Cyy-mry5gbC8ypIR3YVGFfEpyFESummAta6sg/edit"", ""Sheet1!B:D""), 3, FALSE), ""Not Found"")"),"d ə n ")</f>
        <v>d ə n </v>
      </c>
    </row>
    <row r="4647">
      <c r="A4647" s="1" t="s">
        <v>4648</v>
      </c>
      <c r="B4647" s="1" t="s">
        <v>5</v>
      </c>
      <c r="C4647" s="2">
        <f>IFERROR(__xludf.DUMMYFUNCTION("IFERROR(VLOOKUP(A4647, IMPORTRANGE(""https://docs.google.com/spreadsheets/d/1AVX9GT0dgogEBStecCXMMQ29tWz3gBrtNB8yIromXbY/edit?gid=741673867"", ""out1g!A:B""), 2, FALSE), 0)"),635.0)</f>
        <v>635</v>
      </c>
      <c r="D4647" s="2" t="str">
        <f>IFERROR(__xludf.DUMMYFUNCTION("IFERROR(VLOOKUP(A4647, IMPORTRANGE(""https://docs.google.com/spreadsheets/d/1-3Vjw2Cyy-mry5gbC8ypIR3YVGFfEpyFESummAta6sg/edit"", ""Sheet1!B:D""), 2, FALSE), ""Not Found"")"),"nit")</f>
        <v>nit</v>
      </c>
      <c r="E4647" s="2" t="str">
        <f>IFERROR(__xludf.DUMMYFUNCTION("IFERROR(VLOOKUP(A4647, IMPORTRANGE(""https://docs.google.com/spreadsheets/d/1-3Vjw2Cyy-mry5gbC8ypIR3YVGFfEpyFESummAta6sg/edit"", ""Sheet1!B:D""), 3, FALSE), ""Not Found"")"),"n i t ")</f>
        <v>n i t </v>
      </c>
    </row>
    <row r="4648">
      <c r="A4648" s="1" t="s">
        <v>4649</v>
      </c>
      <c r="B4648" s="1" t="s">
        <v>5</v>
      </c>
      <c r="C4648" s="2">
        <f>IFERROR(__xludf.DUMMYFUNCTION("IFERROR(VLOOKUP(A4648, IMPORTRANGE(""https://docs.google.com/spreadsheets/d/1AVX9GT0dgogEBStecCXMMQ29tWz3gBrtNB8yIromXbY/edit?gid=741673867"", ""out1g!A:B""), 2, FALSE), 0)"),77.0)</f>
        <v>77</v>
      </c>
      <c r="D4648" s="2" t="str">
        <f>IFERROR(__xludf.DUMMYFUNCTION("IFERROR(VLOOKUP(A4648, IMPORTRANGE(""https://docs.google.com/spreadsheets/d/1-3Vjw2Cyy-mry5gbC8ypIR3YVGFfEpyFESummAta6sg/edit"", ""Sheet1!B:D""), 2, FALSE), ""Not Found"")"),"tɪk")</f>
        <v>tɪk</v>
      </c>
      <c r="E4648" s="2" t="str">
        <f>IFERROR(__xludf.DUMMYFUNCTION("IFERROR(VLOOKUP(A4648, IMPORTRANGE(""https://docs.google.com/spreadsheets/d/1-3Vjw2Cyy-mry5gbC8ypIR3YVGFfEpyFESummAta6sg/edit"", ""Sheet1!B:D""), 3, FALSE), ""Not Found"")"),"t ɪ k ")</f>
        <v>t ɪ k </v>
      </c>
    </row>
    <row r="4649">
      <c r="A4649" s="1" t="s">
        <v>4650</v>
      </c>
      <c r="B4649" s="1" t="s">
        <v>5</v>
      </c>
      <c r="C4649" s="2">
        <f>IFERROR(__xludf.DUMMYFUNCTION("IFERROR(VLOOKUP(A4649, IMPORTRANGE(""https://docs.google.com/spreadsheets/d/1AVX9GT0dgogEBStecCXMMQ29tWz3gBrtNB8yIromXbY/edit?gid=741673867"", ""out1g!A:B""), 2, FALSE), 0)"),111.0)</f>
        <v>111</v>
      </c>
      <c r="D4649" s="2" t="str">
        <f>IFERROR(__xludf.DUMMYFUNCTION("IFERROR(VLOOKUP(A4649, IMPORTRANGE(""https://docs.google.com/spreadsheets/d/1-3Vjw2Cyy-mry5gbC8ypIR3YVGFfEpyFESummAta6sg/edit"", ""Sheet1!B:D""), 2, FALSE), ""Not Found"")"),"pərp")</f>
        <v>pərp</v>
      </c>
      <c r="E4649" s="2" t="str">
        <f>IFERROR(__xludf.DUMMYFUNCTION("IFERROR(VLOOKUP(A4649, IMPORTRANGE(""https://docs.google.com/spreadsheets/d/1-3Vjw2Cyy-mry5gbC8ypIR3YVGFfEpyFESummAta6sg/edit"", ""Sheet1!B:D""), 3, FALSE), ""Not Found"")"),"p ə r p ")</f>
        <v>p ə r p </v>
      </c>
    </row>
    <row r="4650">
      <c r="A4650" s="1" t="s">
        <v>4651</v>
      </c>
      <c r="B4650" s="1" t="s">
        <v>5</v>
      </c>
      <c r="C4650" s="2">
        <f>IFERROR(__xludf.DUMMYFUNCTION("IFERROR(VLOOKUP(A4650, IMPORTRANGE(""https://docs.google.com/spreadsheets/d/1AVX9GT0dgogEBStecCXMMQ29tWz3gBrtNB8yIromXbY/edit?gid=741673867"", ""out1g!A:B""), 2, FALSE), 0)"),5156.0)</f>
        <v>5156</v>
      </c>
      <c r="D4650" s="2" t="str">
        <f>IFERROR(__xludf.DUMMYFUNCTION("IFERROR(VLOOKUP(A4650, IMPORTRANGE(""https://docs.google.com/spreadsheets/d/1-3Vjw2Cyy-mry5gbC8ypIR3YVGFfEpyFESummAta6sg/edit"", ""Sheet1!B:D""), 2, FALSE), ""Not Found"")"),"wɪrd")</f>
        <v>wɪrd</v>
      </c>
      <c r="E4650" s="2" t="str">
        <f>IFERROR(__xludf.DUMMYFUNCTION("IFERROR(VLOOKUP(A4650, IMPORTRANGE(""https://docs.google.com/spreadsheets/d/1-3Vjw2Cyy-mry5gbC8ypIR3YVGFfEpyFESummAta6sg/edit"", ""Sheet1!B:D""), 3, FALSE), ""Not Found"")"),"w ɪ r d ")</f>
        <v>w ɪ r d </v>
      </c>
    </row>
    <row r="4651">
      <c r="A4651" s="1" t="s">
        <v>4652</v>
      </c>
      <c r="B4651" s="1" t="s">
        <v>5</v>
      </c>
      <c r="C4651" s="2">
        <f>IFERROR(__xludf.DUMMYFUNCTION("IFERROR(VLOOKUP(A4651, IMPORTRANGE(""https://docs.google.com/spreadsheets/d/1AVX9GT0dgogEBStecCXMMQ29tWz3gBrtNB8yIromXbY/edit?gid=741673867"", ""out1g!A:B""), 2, FALSE), 0)"),103.0)</f>
        <v>103</v>
      </c>
      <c r="D4651" s="2" t="str">
        <f>IFERROR(__xludf.DUMMYFUNCTION("IFERROR(VLOOKUP(A4651, IMPORTRANGE(""https://docs.google.com/spreadsheets/d/1-3Vjw2Cyy-mry5gbC8ypIR3YVGFfEpyFESummAta6sg/edit"", ""Sheet1!B:D""), 2, FALSE), ""Not Found"")"),"hɛlpər")</f>
        <v>hɛlpər</v>
      </c>
      <c r="E4651" s="2" t="str">
        <f>IFERROR(__xludf.DUMMYFUNCTION("IFERROR(VLOOKUP(A4651, IMPORTRANGE(""https://docs.google.com/spreadsheets/d/1-3Vjw2Cyy-mry5gbC8ypIR3YVGFfEpyFESummAta6sg/edit"", ""Sheet1!B:D""), 3, FALSE), ""Not Found"")"),"h ɛ l p ə r ")</f>
        <v>h ɛ l p ə r </v>
      </c>
    </row>
    <row r="4652">
      <c r="A4652" s="1" t="s">
        <v>4653</v>
      </c>
      <c r="B4652" s="1" t="s">
        <v>5</v>
      </c>
      <c r="C4652" s="2">
        <f>IFERROR(__xludf.DUMMYFUNCTION("IFERROR(VLOOKUP(A4652, IMPORTRANGE(""https://docs.google.com/spreadsheets/d/1AVX9GT0dgogEBStecCXMMQ29tWz3gBrtNB8yIromXbY/edit?gid=741673867"", ""out1g!A:B""), 2, FALSE), 0)"),40629.0)</f>
        <v>40629</v>
      </c>
      <c r="D4652" s="2" t="str">
        <f>IFERROR(__xludf.DUMMYFUNCTION("IFERROR(VLOOKUP(A4652, IMPORTRANGE(""https://docs.google.com/spreadsheets/d/1-3Vjw2Cyy-mry5gbC8ypIR3YVGFfEpyFESummAta6sg/edit"", ""Sheet1!B:D""), 2, FALSE), ""Not Found"")"),"laɪf")</f>
        <v>laɪf</v>
      </c>
      <c r="E4652" s="2" t="str">
        <f>IFERROR(__xludf.DUMMYFUNCTION("IFERROR(VLOOKUP(A4652, IMPORTRANGE(""https://docs.google.com/spreadsheets/d/1-3Vjw2Cyy-mry5gbC8ypIR3YVGFfEpyFESummAta6sg/edit"", ""Sheet1!B:D""), 3, FALSE), ""Not Found"")"),"l a ɪ f ")</f>
        <v>l a ɪ f </v>
      </c>
    </row>
    <row r="4653">
      <c r="A4653" s="1" t="s">
        <v>4654</v>
      </c>
      <c r="B4653" s="1" t="s">
        <v>5</v>
      </c>
      <c r="C4653" s="2">
        <f>IFERROR(__xludf.DUMMYFUNCTION("IFERROR(VLOOKUP(A4653, IMPORTRANGE(""https://docs.google.com/spreadsheets/d/1AVX9GT0dgogEBStecCXMMQ29tWz3gBrtNB8yIromXbY/edit?gid=741673867"", ""out1g!A:B""), 2, FALSE), 0)"),350.0)</f>
        <v>350</v>
      </c>
      <c r="D4653" s="2" t="str">
        <f>IFERROR(__xludf.DUMMYFUNCTION("IFERROR(VLOOKUP(A4653, IMPORTRANGE(""https://docs.google.com/spreadsheets/d/1-3Vjw2Cyy-mry5gbC8ypIR3YVGFfEpyFESummAta6sg/edit"", ""Sheet1!B:D""), 2, FALSE), ""Not Found"")"),"eθ")</f>
        <v>eθ</v>
      </c>
      <c r="E4653" s="2" t="str">
        <f>IFERROR(__xludf.DUMMYFUNCTION("IFERROR(VLOOKUP(A4653, IMPORTRANGE(""https://docs.google.com/spreadsheets/d/1-3Vjw2Cyy-mry5gbC8ypIR3YVGFfEpyFESummAta6sg/edit"", ""Sheet1!B:D""), 3, FALSE), ""Not Found"")"),"e θ ")</f>
        <v>e θ </v>
      </c>
    </row>
    <row r="4654">
      <c r="A4654" s="1" t="s">
        <v>4655</v>
      </c>
      <c r="B4654" s="1" t="s">
        <v>5</v>
      </c>
      <c r="C4654" s="2">
        <f>IFERROR(__xludf.DUMMYFUNCTION("IFERROR(VLOOKUP(A4654, IMPORTRANGE(""https://docs.google.com/spreadsheets/d/1AVX9GT0dgogEBStecCXMMQ29tWz3gBrtNB8yIromXbY/edit?gid=741673867"", ""out1g!A:B""), 2, FALSE), 0)"),2416.0)</f>
        <v>2416</v>
      </c>
      <c r="D4654" s="2" t="str">
        <f>IFERROR(__xludf.DUMMYFUNCTION("IFERROR(VLOOKUP(A4654, IMPORTRANGE(""https://docs.google.com/spreadsheets/d/1-3Vjw2Cyy-mry5gbC8ypIR3YVGFfEpyFESummAta6sg/edit"", ""Sheet1!B:D""), 2, FALSE), ""Not Found"")"),"draɪvər")</f>
        <v>draɪvər</v>
      </c>
      <c r="E4654" s="2" t="str">
        <f>IFERROR(__xludf.DUMMYFUNCTION("IFERROR(VLOOKUP(A4654, IMPORTRANGE(""https://docs.google.com/spreadsheets/d/1-3Vjw2Cyy-mry5gbC8ypIR3YVGFfEpyFESummAta6sg/edit"", ""Sheet1!B:D""), 3, FALSE), ""Not Found"")"),"d r a ɪ v ə r ")</f>
        <v>d r a ɪ v ə r </v>
      </c>
    </row>
    <row r="4655">
      <c r="A4655" s="1" t="s">
        <v>4656</v>
      </c>
      <c r="B4655" s="1" t="s">
        <v>5</v>
      </c>
      <c r="C4655" s="2">
        <f>IFERROR(__xludf.DUMMYFUNCTION("IFERROR(VLOOKUP(A4655, IMPORTRANGE(""https://docs.google.com/spreadsheets/d/1AVX9GT0dgogEBStecCXMMQ29tWz3gBrtNB8yIromXbY/edit?gid=741673867"", ""out1g!A:B""), 2, FALSE), 0)"),2655.0)</f>
        <v>2655</v>
      </c>
      <c r="D4655" s="2" t="str">
        <f>IFERROR(__xludf.DUMMYFUNCTION("IFERROR(VLOOKUP(A4655, IMPORTRANGE(""https://docs.google.com/spreadsheets/d/1-3Vjw2Cyy-mry5gbC8ypIR3YVGFfEpyFESummAta6sg/edit"", ""Sheet1!B:D""), 2, FALSE), ""Not Found"")"),"soʊld")</f>
        <v>soʊld</v>
      </c>
      <c r="E4655" s="2" t="str">
        <f>IFERROR(__xludf.DUMMYFUNCTION("IFERROR(VLOOKUP(A4655, IMPORTRANGE(""https://docs.google.com/spreadsheets/d/1-3Vjw2Cyy-mry5gbC8ypIR3YVGFfEpyFESummAta6sg/edit"", ""Sheet1!B:D""), 3, FALSE), ""Not Found"")"),"s o ʊ l d ")</f>
        <v>s o ʊ l d </v>
      </c>
    </row>
    <row r="4656">
      <c r="A4656" s="1" t="s">
        <v>4657</v>
      </c>
      <c r="B4656" s="1" t="s">
        <v>5</v>
      </c>
      <c r="C4656" s="2">
        <f>IFERROR(__xludf.DUMMYFUNCTION("IFERROR(VLOOKUP(A4656, IMPORTRANGE(""https://docs.google.com/spreadsheets/d/1AVX9GT0dgogEBStecCXMMQ29tWz3gBrtNB8yIromXbY/edit?gid=741673867"", ""out1g!A:B""), 2, FALSE), 0)"),6283.0)</f>
        <v>6283</v>
      </c>
      <c r="D4656" s="2" t="str">
        <f>IFERROR(__xludf.DUMMYFUNCTION("IFERROR(VLOOKUP(A4656, IMPORTRANGE(""https://docs.google.com/spreadsheets/d/1-3Vjw2Cyy-mry5gbC8ypIR3YVGFfEpyFESummAta6sg/edit"", ""Sheet1!B:D""), 2, FALSE), ""Not Found"")"),"fɑloʊ")</f>
        <v>fɑloʊ</v>
      </c>
      <c r="E4656" s="2" t="str">
        <f>IFERROR(__xludf.DUMMYFUNCTION("IFERROR(VLOOKUP(A4656, IMPORTRANGE(""https://docs.google.com/spreadsheets/d/1-3Vjw2Cyy-mry5gbC8ypIR3YVGFfEpyFESummAta6sg/edit"", ""Sheet1!B:D""), 3, FALSE), ""Not Found"")"),"f ɑ l o ʊ ")</f>
        <v>f ɑ l o ʊ </v>
      </c>
    </row>
    <row r="4657">
      <c r="A4657" s="1" t="s">
        <v>4658</v>
      </c>
      <c r="B4657" s="1" t="s">
        <v>5</v>
      </c>
      <c r="C4657" s="2">
        <f>IFERROR(__xludf.DUMMYFUNCTION("IFERROR(VLOOKUP(A4657, IMPORTRANGE(""https://docs.google.com/spreadsheets/d/1AVX9GT0dgogEBStecCXMMQ29tWz3gBrtNB8yIromXbY/edit?gid=741673867"", ""out1g!A:B""), 2, FALSE), 0)"),754.0)</f>
        <v>754</v>
      </c>
      <c r="D4657" s="2" t="str">
        <f>IFERROR(__xludf.DUMMYFUNCTION("IFERROR(VLOOKUP(A4657, IMPORTRANGE(""https://docs.google.com/spreadsheets/d/1-3Vjw2Cyy-mry5gbC8ypIR3YVGFfEpyFESummAta6sg/edit"", ""Sheet1!B:D""), 2, FALSE), ""Not Found"")"),"mɔrɑn")</f>
        <v>mɔrɑn</v>
      </c>
      <c r="E4657" s="2" t="str">
        <f>IFERROR(__xludf.DUMMYFUNCTION("IFERROR(VLOOKUP(A4657, IMPORTRANGE(""https://docs.google.com/spreadsheets/d/1-3Vjw2Cyy-mry5gbC8ypIR3YVGFfEpyFESummAta6sg/edit"", ""Sheet1!B:D""), 3, FALSE), ""Not Found"")"),"m ɔ r ɑ n ")</f>
        <v>m ɔ r ɑ n </v>
      </c>
    </row>
    <row r="4658">
      <c r="A4658" s="1" t="s">
        <v>4659</v>
      </c>
      <c r="B4658" s="1" t="s">
        <v>5</v>
      </c>
      <c r="C4658" s="2">
        <f>IFERROR(__xludf.DUMMYFUNCTION("IFERROR(VLOOKUP(A4658, IMPORTRANGE(""https://docs.google.com/spreadsheets/d/1AVX9GT0dgogEBStecCXMMQ29tWz3gBrtNB8yIromXbY/edit?gid=741673867"", ""out1g!A:B""), 2, FALSE), 0)"),4494.0)</f>
        <v>4494</v>
      </c>
      <c r="D4658" s="2" t="str">
        <f>IFERROR(__xludf.DUMMYFUNCTION("IFERROR(VLOOKUP(A4658, IMPORTRANGE(""https://docs.google.com/spreadsheets/d/1-3Vjw2Cyy-mry5gbC8ypIR3YVGFfEpyFESummAta6sg/edit"", ""Sheet1!B:D""), 2, FALSE), ""Not Found"")"),"lænd")</f>
        <v>lænd</v>
      </c>
      <c r="E4658" s="2" t="str">
        <f>IFERROR(__xludf.DUMMYFUNCTION("IFERROR(VLOOKUP(A4658, IMPORTRANGE(""https://docs.google.com/spreadsheets/d/1-3Vjw2Cyy-mry5gbC8ypIR3YVGFfEpyFESummAta6sg/edit"", ""Sheet1!B:D""), 3, FALSE), ""Not Found"")"),"l æ n d ")</f>
        <v>l æ n d </v>
      </c>
    </row>
    <row r="4659">
      <c r="A4659" s="1" t="s">
        <v>4660</v>
      </c>
      <c r="B4659" s="1" t="s">
        <v>5</v>
      </c>
      <c r="C4659" s="2">
        <f>IFERROR(__xludf.DUMMYFUNCTION("IFERROR(VLOOKUP(A4659, IMPORTRANGE(""https://docs.google.com/spreadsheets/d/1AVX9GT0dgogEBStecCXMMQ29tWz3gBrtNB8yIromXbY/edit?gid=741673867"", ""out1g!A:B""), 2, FALSE), 0)"),68.0)</f>
        <v>68</v>
      </c>
      <c r="D4659" s="2" t="str">
        <f>IFERROR(__xludf.DUMMYFUNCTION("IFERROR(VLOOKUP(A4659, IMPORTRANGE(""https://docs.google.com/spreadsheets/d/1-3Vjw2Cyy-mry5gbC8ypIR3YVGFfEpyFESummAta6sg/edit"", ""Sheet1!B:D""), 2, FALSE), ""Not Found"")"),"kɑnd")</f>
        <v>kɑnd</v>
      </c>
      <c r="E4659" s="2" t="str">
        <f>IFERROR(__xludf.DUMMYFUNCTION("IFERROR(VLOOKUP(A4659, IMPORTRANGE(""https://docs.google.com/spreadsheets/d/1-3Vjw2Cyy-mry5gbC8ypIR3YVGFfEpyFESummAta6sg/edit"", ""Sheet1!B:D""), 3, FALSE), ""Not Found"")"),"k ɑ n d ")</f>
        <v>k ɑ n d </v>
      </c>
    </row>
    <row r="4660">
      <c r="A4660" s="1" t="s">
        <v>4661</v>
      </c>
      <c r="B4660" s="1" t="s">
        <v>5</v>
      </c>
      <c r="C4660" s="2">
        <f>IFERROR(__xludf.DUMMYFUNCTION("IFERROR(VLOOKUP(A4660, IMPORTRANGE(""https://docs.google.com/spreadsheets/d/1AVX9GT0dgogEBStecCXMMQ29tWz3gBrtNB8yIromXbY/edit?gid=741673867"", ""out1g!A:B""), 2, FALSE), 0)"),100.0)</f>
        <v>100</v>
      </c>
      <c r="D4660" s="2" t="str">
        <f>IFERROR(__xludf.DUMMYFUNCTION("IFERROR(VLOOKUP(A4660, IMPORTRANGE(""https://docs.google.com/spreadsheets/d/1-3Vjw2Cyy-mry5gbC8ypIR3YVGFfEpyFESummAta6sg/edit"", ""Sheet1!B:D""), 2, FALSE), ""Not Found"")"),"toʊnz")</f>
        <v>toʊnz</v>
      </c>
      <c r="E4660" s="2" t="str">
        <f>IFERROR(__xludf.DUMMYFUNCTION("IFERROR(VLOOKUP(A4660, IMPORTRANGE(""https://docs.google.com/spreadsheets/d/1-3Vjw2Cyy-mry5gbC8ypIR3YVGFfEpyFESummAta6sg/edit"", ""Sheet1!B:D""), 3, FALSE), ""Not Found"")"),"t o ʊ n z ")</f>
        <v>t o ʊ n z </v>
      </c>
    </row>
    <row r="4661">
      <c r="A4661" s="1" t="s">
        <v>4662</v>
      </c>
      <c r="B4661" s="1" t="s">
        <v>5</v>
      </c>
      <c r="C4661" s="2">
        <f>IFERROR(__xludf.DUMMYFUNCTION("IFERROR(VLOOKUP(A4661, IMPORTRANGE(""https://docs.google.com/spreadsheets/d/1AVX9GT0dgogEBStecCXMMQ29tWz3gBrtNB8yIromXbY/edit?gid=741673867"", ""out1g!A:B""), 2, FALSE), 0)"),123.0)</f>
        <v>123</v>
      </c>
      <c r="D4661" s="2" t="str">
        <f>IFERROR(__xludf.DUMMYFUNCTION("IFERROR(VLOOKUP(A4661, IMPORTRANGE(""https://docs.google.com/spreadsheets/d/1-3Vjw2Cyy-mry5gbC8ypIR3YVGFfEpyFESummAta6sg/edit"", ""Sheet1!B:D""), 2, FALSE), ""Not Found"")"),"wɑ")</f>
        <v>wɑ</v>
      </c>
      <c r="E4661" s="2" t="str">
        <f>IFERROR(__xludf.DUMMYFUNCTION("IFERROR(VLOOKUP(A4661, IMPORTRANGE(""https://docs.google.com/spreadsheets/d/1-3Vjw2Cyy-mry5gbC8ypIR3YVGFfEpyFESummAta6sg/edit"", ""Sheet1!B:D""), 3, FALSE), ""Not Found"")"),"w ɑ ")</f>
        <v>w ɑ </v>
      </c>
    </row>
    <row r="4662">
      <c r="A4662" s="1" t="s">
        <v>4663</v>
      </c>
      <c r="B4662" s="1" t="s">
        <v>5</v>
      </c>
      <c r="C4662" s="2">
        <f>IFERROR(__xludf.DUMMYFUNCTION("IFERROR(VLOOKUP(A4662, IMPORTRANGE(""https://docs.google.com/spreadsheets/d/1AVX9GT0dgogEBStecCXMMQ29tWz3gBrtNB8yIromXbY/edit?gid=741673867"", ""out1g!A:B""), 2, FALSE), 0)"),1370.0)</f>
        <v>1370</v>
      </c>
      <c r="D4662" s="2" t="str">
        <f>IFERROR(__xludf.DUMMYFUNCTION("IFERROR(VLOOKUP(A4662, IMPORTRANGE(""https://docs.google.com/spreadsheets/d/1-3Vjw2Cyy-mry5gbC8ypIR3YVGFfEpyFESummAta6sg/edit"", ""Sheet1!B:D""), 2, FALSE), ""Not Found"")"),"lɪli")</f>
        <v>lɪli</v>
      </c>
      <c r="E4662" s="2" t="str">
        <f>IFERROR(__xludf.DUMMYFUNCTION("IFERROR(VLOOKUP(A4662, IMPORTRANGE(""https://docs.google.com/spreadsheets/d/1-3Vjw2Cyy-mry5gbC8ypIR3YVGFfEpyFESummAta6sg/edit"", ""Sheet1!B:D""), 3, FALSE), ""Not Found"")"),"l ɪ l i ")</f>
        <v>l ɪ l i </v>
      </c>
    </row>
    <row r="4663">
      <c r="A4663" s="1" t="s">
        <v>4664</v>
      </c>
      <c r="B4663" s="1" t="s">
        <v>5</v>
      </c>
      <c r="C4663" s="2">
        <f>IFERROR(__xludf.DUMMYFUNCTION("IFERROR(VLOOKUP(A4663, IMPORTRANGE(""https://docs.google.com/spreadsheets/d/1AVX9GT0dgogEBStecCXMMQ29tWz3gBrtNB8yIromXbY/edit?gid=741673867"", ""out1g!A:B""), 2, FALSE), 0)"),67.0)</f>
        <v>67</v>
      </c>
      <c r="D4663" s="2" t="str">
        <f>IFERROR(__xludf.DUMMYFUNCTION("IFERROR(VLOOKUP(A4663, IMPORTRANGE(""https://docs.google.com/spreadsheets/d/1-3Vjw2Cyy-mry5gbC8ypIR3YVGFfEpyFESummAta6sg/edit"", ""Sheet1!B:D""), 2, FALSE), ""Not Found"")"),"trɛz")</f>
        <v>trɛz</v>
      </c>
      <c r="E4663" s="2" t="str">
        <f>IFERROR(__xludf.DUMMYFUNCTION("IFERROR(VLOOKUP(A4663, IMPORTRANGE(""https://docs.google.com/spreadsheets/d/1-3Vjw2Cyy-mry5gbC8ypIR3YVGFfEpyFESummAta6sg/edit"", ""Sheet1!B:D""), 3, FALSE), ""Not Found"")"),"t r ɛ z ")</f>
        <v>t r ɛ z </v>
      </c>
    </row>
    <row r="4664">
      <c r="A4664" s="1" t="s">
        <v>4665</v>
      </c>
      <c r="B4664" s="1" t="s">
        <v>5</v>
      </c>
      <c r="C4664" s="2">
        <f>IFERROR(__xludf.DUMMYFUNCTION("IFERROR(VLOOKUP(A4664, IMPORTRANGE(""https://docs.google.com/spreadsheets/d/1AVX9GT0dgogEBStecCXMMQ29tWz3gBrtNB8yIromXbY/edit?gid=741673867"", ""out1g!A:B""), 2, FALSE), 0)"),609.0)</f>
        <v>609</v>
      </c>
      <c r="D4664" s="2" t="str">
        <f>IFERROR(__xludf.DUMMYFUNCTION("IFERROR(VLOOKUP(A4664, IMPORTRANGE(""https://docs.google.com/spreadsheets/d/1-3Vjw2Cyy-mry5gbC8ypIR3YVGFfEpyFESummAta6sg/edit"", ""Sheet1!B:D""), 2, FALSE), ""Not Found"")"),"fildz")</f>
        <v>fildz</v>
      </c>
      <c r="E4664" s="2" t="str">
        <f>IFERROR(__xludf.DUMMYFUNCTION("IFERROR(VLOOKUP(A4664, IMPORTRANGE(""https://docs.google.com/spreadsheets/d/1-3Vjw2Cyy-mry5gbC8ypIR3YVGFfEpyFESummAta6sg/edit"", ""Sheet1!B:D""), 3, FALSE), ""Not Found"")"),"f i l d z ")</f>
        <v>f i l d z </v>
      </c>
    </row>
    <row r="4665">
      <c r="A4665" s="1" t="s">
        <v>4666</v>
      </c>
      <c r="B4665" s="1" t="s">
        <v>5</v>
      </c>
      <c r="C4665" s="2">
        <f>IFERROR(__xludf.DUMMYFUNCTION("IFERROR(VLOOKUP(A4665, IMPORTRANGE(""https://docs.google.com/spreadsheets/d/1AVX9GT0dgogEBStecCXMMQ29tWz3gBrtNB8yIromXbY/edit?gid=741673867"", ""out1g!A:B""), 2, FALSE), 0)"),568.0)</f>
        <v>568</v>
      </c>
      <c r="D4665" s="2" t="str">
        <f>IFERROR(__xludf.DUMMYFUNCTION("IFERROR(VLOOKUP(A4665, IMPORTRANGE(""https://docs.google.com/spreadsheets/d/1-3Vjw2Cyy-mry5gbC8ypIR3YVGFfEpyFESummAta6sg/edit"", ""Sheet1!B:D""), 2, FALSE), ""Not Found"")"),"gɑb")</f>
        <v>gɑb</v>
      </c>
      <c r="E4665" s="2" t="str">
        <f>IFERROR(__xludf.DUMMYFUNCTION("IFERROR(VLOOKUP(A4665, IMPORTRANGE(""https://docs.google.com/spreadsheets/d/1-3Vjw2Cyy-mry5gbC8ypIR3YVGFfEpyFESummAta6sg/edit"", ""Sheet1!B:D""), 3, FALSE), ""Not Found"")"),"g ɑ b ")</f>
        <v>g ɑ b </v>
      </c>
    </row>
    <row r="4666">
      <c r="A4666" s="1" t="s">
        <v>4667</v>
      </c>
      <c r="B4666" s="1" t="s">
        <v>5</v>
      </c>
      <c r="C4666" s="2">
        <f>IFERROR(__xludf.DUMMYFUNCTION("IFERROR(VLOOKUP(A4666, IMPORTRANGE(""https://docs.google.com/spreadsheets/d/1AVX9GT0dgogEBStecCXMMQ29tWz3gBrtNB8yIromXbY/edit?gid=741673867"", ""out1g!A:B""), 2, FALSE), 0)"),227.0)</f>
        <v>227</v>
      </c>
      <c r="D4666" s="2" t="str">
        <f>IFERROR(__xludf.DUMMYFUNCTION("IFERROR(VLOOKUP(A4666, IMPORTRANGE(""https://docs.google.com/spreadsheets/d/1-3Vjw2Cyy-mry5gbC8ypIR3YVGFfEpyFESummAta6sg/edit"", ""Sheet1!B:D""), 2, FALSE), ""Not Found"")"),"wɔrmθ")</f>
        <v>wɔrmθ</v>
      </c>
      <c r="E4666" s="2" t="str">
        <f>IFERROR(__xludf.DUMMYFUNCTION("IFERROR(VLOOKUP(A4666, IMPORTRANGE(""https://docs.google.com/spreadsheets/d/1-3Vjw2Cyy-mry5gbC8ypIR3YVGFfEpyFESummAta6sg/edit"", ""Sheet1!B:D""), 3, FALSE), ""Not Found"")"),"w ɔ r m θ ")</f>
        <v>w ɔ r m θ </v>
      </c>
    </row>
    <row r="4667">
      <c r="A4667" s="1" t="s">
        <v>4668</v>
      </c>
      <c r="B4667" s="1" t="s">
        <v>5</v>
      </c>
      <c r="C4667" s="2">
        <f>IFERROR(__xludf.DUMMYFUNCTION("IFERROR(VLOOKUP(A4667, IMPORTRANGE(""https://docs.google.com/spreadsheets/d/1AVX9GT0dgogEBStecCXMMQ29tWz3gBrtNB8yIromXbY/edit?gid=741673867"", ""out1g!A:B""), 2, FALSE), 0)"),514.0)</f>
        <v>514</v>
      </c>
      <c r="D4667" s="2" t="str">
        <f>IFERROR(__xludf.DUMMYFUNCTION("IFERROR(VLOOKUP(A4667, IMPORTRANGE(""https://docs.google.com/spreadsheets/d/1-3Vjw2Cyy-mry5gbC8ypIR3YVGFfEpyFESummAta6sg/edit"", ""Sheet1!B:D""), 2, FALSE), ""Not Found"")"),"brænʧ")</f>
        <v>brænʧ</v>
      </c>
      <c r="E4667" s="2" t="str">
        <f>IFERROR(__xludf.DUMMYFUNCTION("IFERROR(VLOOKUP(A4667, IMPORTRANGE(""https://docs.google.com/spreadsheets/d/1-3Vjw2Cyy-mry5gbC8ypIR3YVGFfEpyFESummAta6sg/edit"", ""Sheet1!B:D""), 3, FALSE), ""Not Found"")"),"b r æ n ʧ ")</f>
        <v>b r æ n ʧ </v>
      </c>
    </row>
    <row r="4668">
      <c r="A4668" s="1" t="s">
        <v>4669</v>
      </c>
      <c r="B4668" s="1" t="s">
        <v>5</v>
      </c>
      <c r="C4668" s="2">
        <f>IFERROR(__xludf.DUMMYFUNCTION("IFERROR(VLOOKUP(A4668, IMPORTRANGE(""https://docs.google.com/spreadsheets/d/1AVX9GT0dgogEBStecCXMMQ29tWz3gBrtNB8yIromXbY/edit?gid=741673867"", ""out1g!A:B""), 2, FALSE), 0)"),61.0)</f>
        <v>61</v>
      </c>
      <c r="D4668" s="2" t="str">
        <f>IFERROR(__xludf.DUMMYFUNCTION("IFERROR(VLOOKUP(A4668, IMPORTRANGE(""https://docs.google.com/spreadsheets/d/1-3Vjw2Cyy-mry5gbC8ypIR3YVGFfEpyFESummAta6sg/edit"", ""Sheet1!B:D""), 2, FALSE), ""Not Found"")"),"sləmp")</f>
        <v>sləmp</v>
      </c>
      <c r="E4668" s="2" t="str">
        <f>IFERROR(__xludf.DUMMYFUNCTION("IFERROR(VLOOKUP(A4668, IMPORTRANGE(""https://docs.google.com/spreadsheets/d/1-3Vjw2Cyy-mry5gbC8ypIR3YVGFfEpyFESummAta6sg/edit"", ""Sheet1!B:D""), 3, FALSE), ""Not Found"")"),"s l ə m p ")</f>
        <v>s l ə m p </v>
      </c>
    </row>
    <row r="4669">
      <c r="A4669" s="1" t="s">
        <v>4670</v>
      </c>
      <c r="B4669" s="1" t="s">
        <v>5</v>
      </c>
      <c r="C4669" s="2">
        <f>IFERROR(__xludf.DUMMYFUNCTION("IFERROR(VLOOKUP(A4669, IMPORTRANGE(""https://docs.google.com/spreadsheets/d/1AVX9GT0dgogEBStecCXMMQ29tWz3gBrtNB8yIromXbY/edit?gid=741673867"", ""out1g!A:B""), 2, FALSE), 0)"),1689.0)</f>
        <v>1689</v>
      </c>
      <c r="D4669" s="2" t="str">
        <f>IFERROR(__xludf.DUMMYFUNCTION("IFERROR(VLOOKUP(A4669, IMPORTRANGE(""https://docs.google.com/spreadsheets/d/1-3Vjw2Cyy-mry5gbC8ypIR3YVGFfEpyFESummAta6sg/edit"", ""Sheet1!B:D""), 2, FALSE), ""Not Found"")"),"detɪŋ")</f>
        <v>detɪŋ</v>
      </c>
      <c r="E4669" s="2" t="str">
        <f>IFERROR(__xludf.DUMMYFUNCTION("IFERROR(VLOOKUP(A4669, IMPORTRANGE(""https://docs.google.com/spreadsheets/d/1-3Vjw2Cyy-mry5gbC8ypIR3YVGFfEpyFESummAta6sg/edit"", ""Sheet1!B:D""), 3, FALSE), ""Not Found"")"),"d e t ɪ ŋ ")</f>
        <v>d e t ɪ ŋ </v>
      </c>
    </row>
    <row r="4670">
      <c r="A4670" s="1" t="s">
        <v>4671</v>
      </c>
      <c r="B4670" s="1" t="s">
        <v>5</v>
      </c>
      <c r="C4670" s="2">
        <f>IFERROR(__xludf.DUMMYFUNCTION("IFERROR(VLOOKUP(A4670, IMPORTRANGE(""https://docs.google.com/spreadsheets/d/1AVX9GT0dgogEBStecCXMMQ29tWz3gBrtNB8yIromXbY/edit?gid=741673867"", ""out1g!A:B""), 2, FALSE), 0)"),75.0)</f>
        <v>75</v>
      </c>
      <c r="D4670" s="2" t="str">
        <f>IFERROR(__xludf.DUMMYFUNCTION("IFERROR(VLOOKUP(A4670, IMPORTRANGE(""https://docs.google.com/spreadsheets/d/1-3Vjw2Cyy-mry5gbC8ypIR3YVGFfEpyFESummAta6sg/edit"", ""Sheet1!B:D""), 2, FALSE), ""Not Found"")"),"pɑks")</f>
        <v>pɑks</v>
      </c>
      <c r="E4670" s="2" t="str">
        <f>IFERROR(__xludf.DUMMYFUNCTION("IFERROR(VLOOKUP(A4670, IMPORTRANGE(""https://docs.google.com/spreadsheets/d/1-3Vjw2Cyy-mry5gbC8ypIR3YVGFfEpyFESummAta6sg/edit"", ""Sheet1!B:D""), 3, FALSE), ""Not Found"")"),"p ɑ k s ")</f>
        <v>p ɑ k s </v>
      </c>
    </row>
    <row r="4671">
      <c r="A4671" s="1" t="s">
        <v>4672</v>
      </c>
      <c r="B4671" s="1" t="s">
        <v>5</v>
      </c>
      <c r="C4671" s="2">
        <f>IFERROR(__xludf.DUMMYFUNCTION("IFERROR(VLOOKUP(A4671, IMPORTRANGE(""https://docs.google.com/spreadsheets/d/1AVX9GT0dgogEBStecCXMMQ29tWz3gBrtNB8yIromXbY/edit?gid=741673867"", ""out1g!A:B""), 2, FALSE), 0)"),494.0)</f>
        <v>494</v>
      </c>
      <c r="D4671" s="2" t="str">
        <f>IFERROR(__xludf.DUMMYFUNCTION("IFERROR(VLOOKUP(A4671, IMPORTRANGE(""https://docs.google.com/spreadsheets/d/1-3Vjw2Cyy-mry5gbC8ypIR3YVGFfEpyFESummAta6sg/edit"", ""Sheet1!B:D""), 2, FALSE), ""Not Found"")"),"kɑpiz")</f>
        <v>kɑpiz</v>
      </c>
      <c r="E4671" s="2" t="str">
        <f>IFERROR(__xludf.DUMMYFUNCTION("IFERROR(VLOOKUP(A4671, IMPORTRANGE(""https://docs.google.com/spreadsheets/d/1-3Vjw2Cyy-mry5gbC8ypIR3YVGFfEpyFESummAta6sg/edit"", ""Sheet1!B:D""), 3, FALSE), ""Not Found"")"),"k ɑ p i z ")</f>
        <v>k ɑ p i z </v>
      </c>
    </row>
    <row r="4672">
      <c r="A4672" s="1" t="s">
        <v>4673</v>
      </c>
      <c r="B4672" s="1" t="s">
        <v>5</v>
      </c>
      <c r="C4672" s="2">
        <f>IFERROR(__xludf.DUMMYFUNCTION("IFERROR(VLOOKUP(A4672, IMPORTRANGE(""https://docs.google.com/spreadsheets/d/1AVX9GT0dgogEBStecCXMMQ29tWz3gBrtNB8yIromXbY/edit?gid=741673867"", ""out1g!A:B""), 2, FALSE), 0)"),184.0)</f>
        <v>184</v>
      </c>
      <c r="D4672" s="2" t="str">
        <f>IFERROR(__xludf.DUMMYFUNCTION("IFERROR(VLOOKUP(A4672, IMPORTRANGE(""https://docs.google.com/spreadsheets/d/1-3Vjw2Cyy-mry5gbC8ypIR3YVGFfEpyFESummAta6sg/edit"", ""Sheet1!B:D""), 2, FALSE), ""Not Found"")"),"həʧ")</f>
        <v>həʧ</v>
      </c>
      <c r="E4672" s="2" t="str">
        <f>IFERROR(__xludf.DUMMYFUNCTION("IFERROR(VLOOKUP(A4672, IMPORTRANGE(""https://docs.google.com/spreadsheets/d/1-3Vjw2Cyy-mry5gbC8ypIR3YVGFfEpyFESummAta6sg/edit"", ""Sheet1!B:D""), 3, FALSE), ""Not Found"")"),"h ə ʧ ")</f>
        <v>h ə ʧ </v>
      </c>
    </row>
    <row r="4673">
      <c r="A4673" s="1" t="s">
        <v>4674</v>
      </c>
      <c r="B4673" s="1" t="s">
        <v>5</v>
      </c>
      <c r="C4673" s="2">
        <f>IFERROR(__xludf.DUMMYFUNCTION("IFERROR(VLOOKUP(A4673, IMPORTRANGE(""https://docs.google.com/spreadsheets/d/1AVX9GT0dgogEBStecCXMMQ29tWz3gBrtNB8yIromXbY/edit?gid=741673867"", ""out1g!A:B""), 2, FALSE), 0)"),174.0)</f>
        <v>174</v>
      </c>
      <c r="D4673" s="2" t="str">
        <f>IFERROR(__xludf.DUMMYFUNCTION("IFERROR(VLOOKUP(A4673, IMPORTRANGE(""https://docs.google.com/spreadsheets/d/1-3Vjw2Cyy-mry5gbC8ypIR3YVGFfEpyFESummAta6sg/edit"", ""Sheet1!B:D""), 2, FALSE), ""Not Found"")"),"ʧəŋ")</f>
        <v>ʧəŋ</v>
      </c>
      <c r="E4673" s="2" t="str">
        <f>IFERROR(__xludf.DUMMYFUNCTION("IFERROR(VLOOKUP(A4673, IMPORTRANGE(""https://docs.google.com/spreadsheets/d/1-3Vjw2Cyy-mry5gbC8ypIR3YVGFfEpyFESummAta6sg/edit"", ""Sheet1!B:D""), 3, FALSE), ""Not Found"")"),"ʧ ə ŋ ")</f>
        <v>ʧ ə ŋ </v>
      </c>
    </row>
    <row r="4674">
      <c r="A4674" s="1" t="s">
        <v>4675</v>
      </c>
      <c r="B4674" s="1" t="s">
        <v>5</v>
      </c>
      <c r="C4674" s="2">
        <f>IFERROR(__xludf.DUMMYFUNCTION("IFERROR(VLOOKUP(A4674, IMPORTRANGE(""https://docs.google.com/spreadsheets/d/1AVX9GT0dgogEBStecCXMMQ29tWz3gBrtNB8yIromXbY/edit?gid=741673867"", ""out1g!A:B""), 2, FALSE), 0)"),188.0)</f>
        <v>188</v>
      </c>
      <c r="D4674" s="2" t="str">
        <f>IFERROR(__xludf.DUMMYFUNCTION("IFERROR(VLOOKUP(A4674, IMPORTRANGE(""https://docs.google.com/spreadsheets/d/1-3Vjw2Cyy-mry5gbC8ypIR3YVGFfEpyFESummAta6sg/edit"", ""Sheet1!B:D""), 2, FALSE), ""Not Found"")"),"tər")</f>
        <v>tər</v>
      </c>
      <c r="E4674" s="2" t="str">
        <f>IFERROR(__xludf.DUMMYFUNCTION("IFERROR(VLOOKUP(A4674, IMPORTRANGE(""https://docs.google.com/spreadsheets/d/1-3Vjw2Cyy-mry5gbC8ypIR3YVGFfEpyFESummAta6sg/edit"", ""Sheet1!B:D""), 3, FALSE), ""Not Found"")"),"t ə r ")</f>
        <v>t ə r </v>
      </c>
    </row>
    <row r="4675">
      <c r="A4675" s="1" t="s">
        <v>4676</v>
      </c>
      <c r="B4675" s="1" t="s">
        <v>5</v>
      </c>
      <c r="C4675" s="2">
        <f>IFERROR(__xludf.DUMMYFUNCTION("IFERROR(VLOOKUP(A4675, IMPORTRANGE(""https://docs.google.com/spreadsheets/d/1AVX9GT0dgogEBStecCXMMQ29tWz3gBrtNB8yIromXbY/edit?gid=741673867"", ""out1g!A:B""), 2, FALSE), 0)"),86970.0)</f>
        <v>86970</v>
      </c>
      <c r="D4675" s="2" t="str">
        <f>IFERROR(__xludf.DUMMYFUNCTION("IFERROR(VLOOKUP(A4675, IMPORTRANGE(""https://docs.google.com/spreadsheets/d/1-3Vjw2Cyy-mry5gbC8ypIR3YVGFfEpyFESummAta6sg/edit"", ""Sheet1!B:D""), 2, FALSE), ""Not Found"")"),"ər")</f>
        <v>ər</v>
      </c>
      <c r="E4675" s="2" t="str">
        <f>IFERROR(__xludf.DUMMYFUNCTION("IFERROR(VLOOKUP(A4675, IMPORTRANGE(""https://docs.google.com/spreadsheets/d/1-3Vjw2Cyy-mry5gbC8ypIR3YVGFfEpyFESummAta6sg/edit"", ""Sheet1!B:D""), 3, FALSE), ""Not Found"")"),"ə r ")</f>
        <v>ə r </v>
      </c>
    </row>
    <row r="4676">
      <c r="A4676" s="1" t="s">
        <v>4677</v>
      </c>
      <c r="B4676" s="1" t="s">
        <v>5</v>
      </c>
      <c r="C4676" s="2">
        <f>IFERROR(__xludf.DUMMYFUNCTION("IFERROR(VLOOKUP(A4676, IMPORTRANGE(""https://docs.google.com/spreadsheets/d/1AVX9GT0dgogEBStecCXMMQ29tWz3gBrtNB8yIromXbY/edit?gid=741673867"", ""out1g!A:B""), 2, FALSE), 0)"),55.0)</f>
        <v>55</v>
      </c>
      <c r="D4676" s="2" t="str">
        <f>IFERROR(__xludf.DUMMYFUNCTION("IFERROR(VLOOKUP(A4676, IMPORTRANGE(""https://docs.google.com/spreadsheets/d/1-3Vjw2Cyy-mry5gbC8ypIR3YVGFfEpyFESummAta6sg/edit"", ""Sheet1!B:D""), 2, FALSE), ""Not Found"")"),"tumərz")</f>
        <v>tumərz</v>
      </c>
      <c r="E4676" s="2" t="str">
        <f>IFERROR(__xludf.DUMMYFUNCTION("IFERROR(VLOOKUP(A4676, IMPORTRANGE(""https://docs.google.com/spreadsheets/d/1-3Vjw2Cyy-mry5gbC8ypIR3YVGFfEpyFESummAta6sg/edit"", ""Sheet1!B:D""), 3, FALSE), ""Not Found"")"),"t u m ə r z ")</f>
        <v>t u m ə r z </v>
      </c>
    </row>
    <row r="4677">
      <c r="A4677" s="1" t="s">
        <v>4678</v>
      </c>
      <c r="B4677" s="1" t="s">
        <v>5</v>
      </c>
      <c r="C4677" s="2">
        <f>IFERROR(__xludf.DUMMYFUNCTION("IFERROR(VLOOKUP(A4677, IMPORTRANGE(""https://docs.google.com/spreadsheets/d/1AVX9GT0dgogEBStecCXMMQ29tWz3gBrtNB8yIromXbY/edit?gid=741673867"", ""out1g!A:B""), 2, FALSE), 0)"),461.0)</f>
        <v>461</v>
      </c>
      <c r="D4677" s="2" t="str">
        <f>IFERROR(__xludf.DUMMYFUNCTION("IFERROR(VLOOKUP(A4677, IMPORTRANGE(""https://docs.google.com/spreadsheets/d/1-3Vjw2Cyy-mry5gbC8ypIR3YVGFfEpyFESummAta6sg/edit"", ""Sheet1!B:D""), 2, FALSE), ""Not Found"")"),"flem")</f>
        <v>flem</v>
      </c>
      <c r="E4677" s="2" t="str">
        <f>IFERROR(__xludf.DUMMYFUNCTION("IFERROR(VLOOKUP(A4677, IMPORTRANGE(""https://docs.google.com/spreadsheets/d/1-3Vjw2Cyy-mry5gbC8ypIR3YVGFfEpyFESummAta6sg/edit"", ""Sheet1!B:D""), 3, FALSE), ""Not Found"")"),"f l e m ")</f>
        <v>f l e m </v>
      </c>
    </row>
    <row r="4678">
      <c r="A4678" s="1" t="s">
        <v>4679</v>
      </c>
      <c r="B4678" s="1" t="s">
        <v>5</v>
      </c>
      <c r="C4678" s="2">
        <f>IFERROR(__xludf.DUMMYFUNCTION("IFERROR(VLOOKUP(A4678, IMPORTRANGE(""https://docs.google.com/spreadsheets/d/1AVX9GT0dgogEBStecCXMMQ29tWz3gBrtNB8yIromXbY/edit?gid=741673867"", ""out1g!A:B""), 2, FALSE), 0)"),89.0)</f>
        <v>89</v>
      </c>
      <c r="D4678" s="2" t="str">
        <f>IFERROR(__xludf.DUMMYFUNCTION("IFERROR(VLOOKUP(A4678, IMPORTRANGE(""https://docs.google.com/spreadsheets/d/1-3Vjw2Cyy-mry5gbC8ypIR3YVGFfEpyFESummAta6sg/edit"", ""Sheet1!B:D""), 2, FALSE), ""Not Found"")"),"ʤæg")</f>
        <v>ʤæg</v>
      </c>
      <c r="E4678" s="2" t="str">
        <f>IFERROR(__xludf.DUMMYFUNCTION("IFERROR(VLOOKUP(A4678, IMPORTRANGE(""https://docs.google.com/spreadsheets/d/1-3Vjw2Cyy-mry5gbC8ypIR3YVGFfEpyFESummAta6sg/edit"", ""Sheet1!B:D""), 3, FALSE), ""Not Found"")"),"ʤ æ g ")</f>
        <v>ʤ æ g </v>
      </c>
    </row>
    <row r="4679">
      <c r="A4679" s="1" t="s">
        <v>4680</v>
      </c>
      <c r="B4679" s="1" t="s">
        <v>5</v>
      </c>
      <c r="C4679" s="2">
        <f>IFERROR(__xludf.DUMMYFUNCTION("IFERROR(VLOOKUP(A4679, IMPORTRANGE(""https://docs.google.com/spreadsheets/d/1AVX9GT0dgogEBStecCXMMQ29tWz3gBrtNB8yIromXbY/edit?gid=741673867"", ""out1g!A:B""), 2, FALSE), 0)"),1552.0)</f>
        <v>1552</v>
      </c>
      <c r="D4679" s="2" t="str">
        <f>IFERROR(__xludf.DUMMYFUNCTION("IFERROR(VLOOKUP(A4679, IMPORTRANGE(""https://docs.google.com/spreadsheets/d/1-3Vjw2Cyy-mry5gbC8ypIR3YVGFfEpyFESummAta6sg/edit"", ""Sheet1!B:D""), 2, FALSE), ""Not Found"")"),"klɛr")</f>
        <v>klɛr</v>
      </c>
      <c r="E4679" s="2" t="str">
        <f>IFERROR(__xludf.DUMMYFUNCTION("IFERROR(VLOOKUP(A4679, IMPORTRANGE(""https://docs.google.com/spreadsheets/d/1-3Vjw2Cyy-mry5gbC8ypIR3YVGFfEpyFESummAta6sg/edit"", ""Sheet1!B:D""), 3, FALSE), ""Not Found"")"),"k l ɛ r ")</f>
        <v>k l ɛ r </v>
      </c>
    </row>
    <row r="4680">
      <c r="A4680" s="1" t="s">
        <v>4681</v>
      </c>
      <c r="B4680" s="1" t="s">
        <v>5</v>
      </c>
      <c r="C4680" s="2">
        <f>IFERROR(__xludf.DUMMYFUNCTION("IFERROR(VLOOKUP(A4680, IMPORTRANGE(""https://docs.google.com/spreadsheets/d/1AVX9GT0dgogEBStecCXMMQ29tWz3gBrtNB8yIromXbY/edit?gid=741673867"", ""out1g!A:B""), 2, FALSE), 0)"),3499.0)</f>
        <v>3499</v>
      </c>
      <c r="D4680" s="2" t="str">
        <f>IFERROR(__xludf.DUMMYFUNCTION("IFERROR(VLOOKUP(A4680, IMPORTRANGE(""https://docs.google.com/spreadsheets/d/1-3Vjw2Cyy-mry5gbC8ypIR3YVGFfEpyFESummAta6sg/edit"", ""Sheet1!B:D""), 2, FALSE), ""Not Found"")"),"sut")</f>
        <v>sut</v>
      </c>
      <c r="E4680" s="2" t="str">
        <f>IFERROR(__xludf.DUMMYFUNCTION("IFERROR(VLOOKUP(A4680, IMPORTRANGE(""https://docs.google.com/spreadsheets/d/1-3Vjw2Cyy-mry5gbC8ypIR3YVGFfEpyFESummAta6sg/edit"", ""Sheet1!B:D""), 3, FALSE), ""Not Found"")"),"s u t ")</f>
        <v>s u t </v>
      </c>
    </row>
    <row r="4681">
      <c r="A4681" s="1" t="s">
        <v>4682</v>
      </c>
      <c r="B4681" s="1" t="s">
        <v>5</v>
      </c>
      <c r="C4681" s="2">
        <f>IFERROR(__xludf.DUMMYFUNCTION("IFERROR(VLOOKUP(A4681, IMPORTRANGE(""https://docs.google.com/spreadsheets/d/1AVX9GT0dgogEBStecCXMMQ29tWz3gBrtNB8yIromXbY/edit?gid=741673867"", ""out1g!A:B""), 2, FALSE), 0)"),264.0)</f>
        <v>264</v>
      </c>
      <c r="D4681" s="2" t="str">
        <f>IFERROR(__xludf.DUMMYFUNCTION("IFERROR(VLOOKUP(A4681, IMPORTRANGE(""https://docs.google.com/spreadsheets/d/1-3Vjw2Cyy-mry5gbC8ypIR3YVGFfEpyFESummAta6sg/edit"", ""Sheet1!B:D""), 2, FALSE), ""Not Found"")"),"sloʊər")</f>
        <v>sloʊər</v>
      </c>
      <c r="E4681" s="2" t="str">
        <f>IFERROR(__xludf.DUMMYFUNCTION("IFERROR(VLOOKUP(A4681, IMPORTRANGE(""https://docs.google.com/spreadsheets/d/1-3Vjw2Cyy-mry5gbC8ypIR3YVGFfEpyFESummAta6sg/edit"", ""Sheet1!B:D""), 3, FALSE), ""Not Found"")"),"s l o ʊ ə r ")</f>
        <v>s l o ʊ ə r </v>
      </c>
    </row>
    <row r="4682">
      <c r="A4682" s="1" t="s">
        <v>4683</v>
      </c>
      <c r="B4682" s="1" t="s">
        <v>5</v>
      </c>
      <c r="C4682" s="2">
        <f>IFERROR(__xludf.DUMMYFUNCTION("IFERROR(VLOOKUP(A4682, IMPORTRANGE(""https://docs.google.com/spreadsheets/d/1AVX9GT0dgogEBStecCXMMQ29tWz3gBrtNB8yIromXbY/edit?gid=741673867"", ""out1g!A:B""), 2, FALSE), 0)"),302.0)</f>
        <v>302</v>
      </c>
      <c r="D4682" s="2" t="str">
        <f>IFERROR(__xludf.DUMMYFUNCTION("IFERROR(VLOOKUP(A4682, IMPORTRANGE(""https://docs.google.com/spreadsheets/d/1-3Vjw2Cyy-mry5gbC8ypIR3YVGFfEpyFESummAta6sg/edit"", ""Sheet1!B:D""), 2, FALSE), ""Not Found"")"),"bænər")</f>
        <v>bænər</v>
      </c>
      <c r="E4682" s="2" t="str">
        <f>IFERROR(__xludf.DUMMYFUNCTION("IFERROR(VLOOKUP(A4682, IMPORTRANGE(""https://docs.google.com/spreadsheets/d/1-3Vjw2Cyy-mry5gbC8ypIR3YVGFfEpyFESummAta6sg/edit"", ""Sheet1!B:D""), 3, FALSE), ""Not Found"")"),"b æ n ə r ")</f>
        <v>b æ n ə r </v>
      </c>
    </row>
    <row r="4683">
      <c r="A4683" s="1" t="s">
        <v>4684</v>
      </c>
      <c r="B4683" s="1" t="s">
        <v>5</v>
      </c>
      <c r="C4683" s="2">
        <f>IFERROR(__xludf.DUMMYFUNCTION("IFERROR(VLOOKUP(A4683, IMPORTRANGE(""https://docs.google.com/spreadsheets/d/1AVX9GT0dgogEBStecCXMMQ29tWz3gBrtNB8yIromXbY/edit?gid=741673867"", ""out1g!A:B""), 2, FALSE), 0)"),1987.0)</f>
        <v>1987</v>
      </c>
      <c r="D4683" s="2" t="str">
        <f>IFERROR(__xludf.DUMMYFUNCTION("IFERROR(VLOOKUP(A4683, IMPORTRANGE(""https://docs.google.com/spreadsheets/d/1-3Vjw2Cyy-mry5gbC8ypIR3YVGFfEpyFESummAta6sg/edit"", ""Sheet1!B:D""), 2, FALSE), ""Not Found"")"),"aɪdiəz")</f>
        <v>aɪdiəz</v>
      </c>
      <c r="E4683" s="2" t="str">
        <f>IFERROR(__xludf.DUMMYFUNCTION("IFERROR(VLOOKUP(A4683, IMPORTRANGE(""https://docs.google.com/spreadsheets/d/1-3Vjw2Cyy-mry5gbC8ypIR3YVGFfEpyFESummAta6sg/edit"", ""Sheet1!B:D""), 3, FALSE), ""Not Found"")"),"a ɪ d i ə z ")</f>
        <v>a ɪ d i ə z </v>
      </c>
    </row>
    <row r="4684">
      <c r="A4684" s="1" t="s">
        <v>4685</v>
      </c>
      <c r="B4684" s="1" t="s">
        <v>5</v>
      </c>
      <c r="C4684" s="2">
        <f>IFERROR(__xludf.DUMMYFUNCTION("IFERROR(VLOOKUP(A4684, IMPORTRANGE(""https://docs.google.com/spreadsheets/d/1AVX9GT0dgogEBStecCXMMQ29tWz3gBrtNB8yIromXbY/edit?gid=741673867"", ""out1g!A:B""), 2, FALSE), 0)"),125.0)</f>
        <v>125</v>
      </c>
      <c r="D4684" s="2" t="str">
        <f>IFERROR(__xludf.DUMMYFUNCTION("IFERROR(VLOOKUP(A4684, IMPORTRANGE(""https://docs.google.com/spreadsheets/d/1-3Vjw2Cyy-mry5gbC8ypIR3YVGFfEpyFESummAta6sg/edit"", ""Sheet1!B:D""), 2, FALSE), ""Not Found"")"),"ədɔrd")</f>
        <v>ədɔrd</v>
      </c>
      <c r="E4684" s="2" t="str">
        <f>IFERROR(__xludf.DUMMYFUNCTION("IFERROR(VLOOKUP(A4684, IMPORTRANGE(""https://docs.google.com/spreadsheets/d/1-3Vjw2Cyy-mry5gbC8ypIR3YVGFfEpyFESummAta6sg/edit"", ""Sheet1!B:D""), 3, FALSE), ""Not Found"")"),"ə d ɔ r d ")</f>
        <v>ə d ɔ r d </v>
      </c>
    </row>
    <row r="4685">
      <c r="A4685" s="1" t="s">
        <v>4686</v>
      </c>
      <c r="B4685" s="1" t="s">
        <v>5</v>
      </c>
      <c r="C4685" s="2">
        <f>IFERROR(__xludf.DUMMYFUNCTION("IFERROR(VLOOKUP(A4685, IMPORTRANGE(""https://docs.google.com/spreadsheets/d/1AVX9GT0dgogEBStecCXMMQ29tWz3gBrtNB8yIromXbY/edit?gid=741673867"", ""out1g!A:B""), 2, FALSE), 0)"),63443.0)</f>
        <v>63443</v>
      </c>
      <c r="D4685" s="2" t="str">
        <f>IFERROR(__xludf.DUMMYFUNCTION("IFERROR(VLOOKUP(A4685, IMPORTRANGE(""https://docs.google.com/spreadsheets/d/1-3Vjw2Cyy-mry5gbC8ypIR3YVGFfEpyFESummAta6sg/edit"", ""Sheet1!B:D""), 2, FALSE), ""Not Found"")"),"min")</f>
        <v>min</v>
      </c>
      <c r="E4685" s="2" t="str">
        <f>IFERROR(__xludf.DUMMYFUNCTION("IFERROR(VLOOKUP(A4685, IMPORTRANGE(""https://docs.google.com/spreadsheets/d/1-3Vjw2Cyy-mry5gbC8ypIR3YVGFfEpyFESummAta6sg/edit"", ""Sheet1!B:D""), 3, FALSE), ""Not Found"")"),"m i n ")</f>
        <v>m i n </v>
      </c>
    </row>
    <row r="4686">
      <c r="A4686" s="1" t="s">
        <v>4687</v>
      </c>
      <c r="B4686" s="1" t="s">
        <v>5</v>
      </c>
      <c r="C4686" s="2">
        <f>IFERROR(__xludf.DUMMYFUNCTION("IFERROR(VLOOKUP(A4686, IMPORTRANGE(""https://docs.google.com/spreadsheets/d/1AVX9GT0dgogEBStecCXMMQ29tWz3gBrtNB8yIromXbY/edit?gid=741673867"", ""out1g!A:B""), 2, FALSE), 0)"),57.0)</f>
        <v>57</v>
      </c>
      <c r="D4686" s="2" t="str">
        <f>IFERROR(__xludf.DUMMYFUNCTION("IFERROR(VLOOKUP(A4686, IMPORTRANGE(""https://docs.google.com/spreadsheets/d/1-3Vjw2Cyy-mry5gbC8ypIR3YVGFfEpyFESummAta6sg/edit"", ""Sheet1!B:D""), 2, FALSE), ""Not Found"")"),"mɛriz")</f>
        <v>mɛriz</v>
      </c>
      <c r="E4686" s="2" t="str">
        <f>IFERROR(__xludf.DUMMYFUNCTION("IFERROR(VLOOKUP(A4686, IMPORTRANGE(""https://docs.google.com/spreadsheets/d/1-3Vjw2Cyy-mry5gbC8ypIR3YVGFfEpyFESummAta6sg/edit"", ""Sheet1!B:D""), 3, FALSE), ""Not Found"")"),"m ɛ r i z ")</f>
        <v>m ɛ r i z </v>
      </c>
    </row>
    <row r="4687">
      <c r="A4687" s="1" t="s">
        <v>4688</v>
      </c>
      <c r="B4687" s="1" t="s">
        <v>5</v>
      </c>
      <c r="C4687" s="2">
        <f>IFERROR(__xludf.DUMMYFUNCTION("IFERROR(VLOOKUP(A4687, IMPORTRANGE(""https://docs.google.com/spreadsheets/d/1AVX9GT0dgogEBStecCXMMQ29tWz3gBrtNB8yIromXbY/edit?gid=741673867"", ""out1g!A:B""), 2, FALSE), 0)"),94.0)</f>
        <v>94</v>
      </c>
      <c r="D4687" s="2" t="str">
        <f>IFERROR(__xludf.DUMMYFUNCTION("IFERROR(VLOOKUP(A4687, IMPORTRANGE(""https://docs.google.com/spreadsheets/d/1-3Vjw2Cyy-mry5gbC8ypIR3YVGFfEpyFESummAta6sg/edit"", ""Sheet1!B:D""), 2, FALSE), ""Not Found"")"),"ben")</f>
        <v>ben</v>
      </c>
      <c r="E4687" s="2" t="str">
        <f>IFERROR(__xludf.DUMMYFUNCTION("IFERROR(VLOOKUP(A4687, IMPORTRANGE(""https://docs.google.com/spreadsheets/d/1-3Vjw2Cyy-mry5gbC8ypIR3YVGFfEpyFESummAta6sg/edit"", ""Sheet1!B:D""), 3, FALSE), ""Not Found"")"),"b e n ")</f>
        <v>b e n </v>
      </c>
    </row>
    <row r="4688">
      <c r="A4688" s="1" t="s">
        <v>4689</v>
      </c>
      <c r="B4688" s="1" t="s">
        <v>5</v>
      </c>
      <c r="C4688" s="2">
        <f>IFERROR(__xludf.DUMMYFUNCTION("IFERROR(VLOOKUP(A4688, IMPORTRANGE(""https://docs.google.com/spreadsheets/d/1AVX9GT0dgogEBStecCXMMQ29tWz3gBrtNB8yIromXbY/edit?gid=741673867"", ""out1g!A:B""), 2, FALSE), 0)"),81.0)</f>
        <v>81</v>
      </c>
      <c r="D4688" s="2" t="str">
        <f>IFERROR(__xludf.DUMMYFUNCTION("IFERROR(VLOOKUP(A4688, IMPORTRANGE(""https://docs.google.com/spreadsheets/d/1-3Vjw2Cyy-mry5gbC8ypIR3YVGFfEpyFESummAta6sg/edit"", ""Sheet1!B:D""), 2, FALSE), ""Not Found"")"),"kupt")</f>
        <v>kupt</v>
      </c>
      <c r="E4688" s="2" t="str">
        <f>IFERROR(__xludf.DUMMYFUNCTION("IFERROR(VLOOKUP(A4688, IMPORTRANGE(""https://docs.google.com/spreadsheets/d/1-3Vjw2Cyy-mry5gbC8ypIR3YVGFfEpyFESummAta6sg/edit"", ""Sheet1!B:D""), 3, FALSE), ""Not Found"")"),"k u p t ")</f>
        <v>k u p t </v>
      </c>
    </row>
    <row r="4689">
      <c r="A4689" s="1" t="s">
        <v>4690</v>
      </c>
      <c r="B4689" s="1" t="s">
        <v>5</v>
      </c>
      <c r="C4689" s="2">
        <f>IFERROR(__xludf.DUMMYFUNCTION("IFERROR(VLOOKUP(A4689, IMPORTRANGE(""https://docs.google.com/spreadsheets/d/1AVX9GT0dgogEBStecCXMMQ29tWz3gBrtNB8yIromXbY/edit?gid=741673867"", ""out1g!A:B""), 2, FALSE), 0)"),78.0)</f>
        <v>78</v>
      </c>
      <c r="D4689" s="2" t="str">
        <f>IFERROR(__xludf.DUMMYFUNCTION("IFERROR(VLOOKUP(A4689, IMPORTRANGE(""https://docs.google.com/spreadsheets/d/1-3Vjw2Cyy-mry5gbC8ypIR3YVGFfEpyFESummAta6sg/edit"", ""Sheet1!B:D""), 2, FALSE), ""Not Found"")"),"hənz")</f>
        <v>hənz</v>
      </c>
      <c r="E4689" s="2" t="str">
        <f>IFERROR(__xludf.DUMMYFUNCTION("IFERROR(VLOOKUP(A4689, IMPORTRANGE(""https://docs.google.com/spreadsheets/d/1-3Vjw2Cyy-mry5gbC8ypIR3YVGFfEpyFESummAta6sg/edit"", ""Sheet1!B:D""), 3, FALSE), ""Not Found"")"),"h ə n z ")</f>
        <v>h ə n z </v>
      </c>
    </row>
    <row r="4690">
      <c r="A4690" s="1" t="s">
        <v>4691</v>
      </c>
      <c r="B4690" s="1" t="s">
        <v>5</v>
      </c>
      <c r="C4690" s="2">
        <f>IFERROR(__xludf.DUMMYFUNCTION("IFERROR(VLOOKUP(A4690, IMPORTRANGE(""https://docs.google.com/spreadsheets/d/1AVX9GT0dgogEBStecCXMMQ29tWz3gBrtNB8yIromXbY/edit?gid=741673867"", ""out1g!A:B""), 2, FALSE), 0)"),130.0)</f>
        <v>130</v>
      </c>
      <c r="D4690" s="2" t="str">
        <f>IFERROR(__xludf.DUMMYFUNCTION("IFERROR(VLOOKUP(A4690, IMPORTRANGE(""https://docs.google.com/spreadsheets/d/1-3Vjw2Cyy-mry5gbC8ypIR3YVGFfEpyFESummAta6sg/edit"", ""Sheet1!B:D""), 2, FALSE), ""Not Found"")"),"tæps")</f>
        <v>tæps</v>
      </c>
      <c r="E4690" s="2" t="str">
        <f>IFERROR(__xludf.DUMMYFUNCTION("IFERROR(VLOOKUP(A4690, IMPORTRANGE(""https://docs.google.com/spreadsheets/d/1-3Vjw2Cyy-mry5gbC8ypIR3YVGFfEpyFESummAta6sg/edit"", ""Sheet1!B:D""), 3, FALSE), ""Not Found"")"),"t æ p s ")</f>
        <v>t æ p s </v>
      </c>
    </row>
    <row r="4691">
      <c r="A4691" s="1" t="s">
        <v>4692</v>
      </c>
      <c r="B4691" s="1" t="s">
        <v>5</v>
      </c>
      <c r="C4691" s="2">
        <f>IFERROR(__xludf.DUMMYFUNCTION("IFERROR(VLOOKUP(A4691, IMPORTRANGE(""https://docs.google.com/spreadsheets/d/1AVX9GT0dgogEBStecCXMMQ29tWz3gBrtNB8yIromXbY/edit?gid=741673867"", ""out1g!A:B""), 2, FALSE), 0)"),83.0)</f>
        <v>83</v>
      </c>
      <c r="D4691" s="2" t="str">
        <f>IFERROR(__xludf.DUMMYFUNCTION("IFERROR(VLOOKUP(A4691, IMPORTRANGE(""https://docs.google.com/spreadsheets/d/1-3Vjw2Cyy-mry5gbC8ypIR3YVGFfEpyFESummAta6sg/edit"", ""Sheet1!B:D""), 2, FALSE), ""Not Found"")"),"hɪm")</f>
        <v>hɪm</v>
      </c>
      <c r="E4691" s="2" t="str">
        <f>IFERROR(__xludf.DUMMYFUNCTION("IFERROR(VLOOKUP(A4691, IMPORTRANGE(""https://docs.google.com/spreadsheets/d/1-3Vjw2Cyy-mry5gbC8ypIR3YVGFfEpyFESummAta6sg/edit"", ""Sheet1!B:D""), 3, FALSE), ""Not Found"")"),"h ɪ m ")</f>
        <v>h ɪ m </v>
      </c>
    </row>
    <row r="4692">
      <c r="A4692" s="1" t="s">
        <v>4693</v>
      </c>
      <c r="B4692" s="1" t="s">
        <v>5</v>
      </c>
      <c r="C4692" s="2">
        <f>IFERROR(__xludf.DUMMYFUNCTION("IFERROR(VLOOKUP(A4692, IMPORTRANGE(""https://docs.google.com/spreadsheets/d/1AVX9GT0dgogEBStecCXMMQ29tWz3gBrtNB8yIromXbY/edit?gid=741673867"", ""out1g!A:B""), 2, FALSE), 0)"),383.0)</f>
        <v>383</v>
      </c>
      <c r="D4692" s="2" t="str">
        <f>IFERROR(__xludf.DUMMYFUNCTION("IFERROR(VLOOKUP(A4692, IMPORTRANGE(""https://docs.google.com/spreadsheets/d/1-3Vjw2Cyy-mry5gbC8ypIR3YVGFfEpyFESummAta6sg/edit"", ""Sheet1!B:D""), 2, FALSE), ""Not Found"")"),"hənʧ")</f>
        <v>hənʧ</v>
      </c>
      <c r="E4692" s="2" t="str">
        <f>IFERROR(__xludf.DUMMYFUNCTION("IFERROR(VLOOKUP(A4692, IMPORTRANGE(""https://docs.google.com/spreadsheets/d/1-3Vjw2Cyy-mry5gbC8ypIR3YVGFfEpyFESummAta6sg/edit"", ""Sheet1!B:D""), 3, FALSE), ""Not Found"")"),"h ə n ʧ ")</f>
        <v>h ə n ʧ </v>
      </c>
    </row>
    <row r="4693">
      <c r="A4693" s="1" t="s">
        <v>4694</v>
      </c>
      <c r="B4693" s="1" t="s">
        <v>5</v>
      </c>
      <c r="C4693" s="2">
        <f>IFERROR(__xludf.DUMMYFUNCTION("IFERROR(VLOOKUP(A4693, IMPORTRANGE(""https://docs.google.com/spreadsheets/d/1AVX9GT0dgogEBStecCXMMQ29tWz3gBrtNB8yIromXbY/edit?gid=741673867"", ""out1g!A:B""), 2, FALSE), 0)"),83.0)</f>
        <v>83</v>
      </c>
      <c r="D4693" s="2" t="str">
        <f>IFERROR(__xludf.DUMMYFUNCTION("IFERROR(VLOOKUP(A4693, IMPORTRANGE(""https://docs.google.com/spreadsheets/d/1-3Vjw2Cyy-mry5gbC8ypIR3YVGFfEpyFESummAta6sg/edit"", ""Sheet1!B:D""), 2, FALSE), ""Not Found"")"),"hɪnts")</f>
        <v>hɪnts</v>
      </c>
      <c r="E4693" s="2" t="str">
        <f>IFERROR(__xludf.DUMMYFUNCTION("IFERROR(VLOOKUP(A4693, IMPORTRANGE(""https://docs.google.com/spreadsheets/d/1-3Vjw2Cyy-mry5gbC8ypIR3YVGFfEpyFESummAta6sg/edit"", ""Sheet1!B:D""), 3, FALSE), ""Not Found"")"),"h ɪ n t s ")</f>
        <v>h ɪ n t s </v>
      </c>
    </row>
    <row r="4694">
      <c r="A4694" s="1" t="s">
        <v>4695</v>
      </c>
      <c r="B4694" s="1" t="s">
        <v>5</v>
      </c>
      <c r="C4694" s="2">
        <f>IFERROR(__xludf.DUMMYFUNCTION("IFERROR(VLOOKUP(A4694, IMPORTRANGE(""https://docs.google.com/spreadsheets/d/1AVX9GT0dgogEBStecCXMMQ29tWz3gBrtNB8yIromXbY/edit?gid=741673867"", ""out1g!A:B""), 2, FALSE), 0)"),63.0)</f>
        <v>63</v>
      </c>
      <c r="D4694" s="2" t="str">
        <f>IFERROR(__xludf.DUMMYFUNCTION("IFERROR(VLOOKUP(A4694, IMPORTRANGE(""https://docs.google.com/spreadsheets/d/1-3Vjw2Cyy-mry5gbC8ypIR3YVGFfEpyFESummAta6sg/edit"", ""Sheet1!B:D""), 2, FALSE), ""Not Found"")"),"lioʊn")</f>
        <v>lioʊn</v>
      </c>
      <c r="E4694" s="2" t="str">
        <f>IFERROR(__xludf.DUMMYFUNCTION("IFERROR(VLOOKUP(A4694, IMPORTRANGE(""https://docs.google.com/spreadsheets/d/1-3Vjw2Cyy-mry5gbC8ypIR3YVGFfEpyFESummAta6sg/edit"", ""Sheet1!B:D""), 3, FALSE), ""Not Found"")"),"l i o ʊ n ")</f>
        <v>l i o ʊ n </v>
      </c>
    </row>
    <row r="4695">
      <c r="A4695" s="1" t="s">
        <v>4696</v>
      </c>
      <c r="B4695" s="1" t="s">
        <v>5</v>
      </c>
      <c r="C4695" s="2">
        <f>IFERROR(__xludf.DUMMYFUNCTION("IFERROR(VLOOKUP(A4695, IMPORTRANGE(""https://docs.google.com/spreadsheets/d/1AVX9GT0dgogEBStecCXMMQ29tWz3gBrtNB8yIromXbY/edit?gid=741673867"", ""out1g!A:B""), 2, FALSE), 0)"),171.0)</f>
        <v>171</v>
      </c>
      <c r="D4695" s="2" t="str">
        <f>IFERROR(__xludf.DUMMYFUNCTION("IFERROR(VLOOKUP(A4695, IMPORTRANGE(""https://docs.google.com/spreadsheets/d/1-3Vjw2Cyy-mry5gbC8ypIR3YVGFfEpyFESummAta6sg/edit"", ""Sheet1!B:D""), 2, FALSE), ""Not Found"")"),"krəmi")</f>
        <v>krəmi</v>
      </c>
      <c r="E4695" s="2" t="str">
        <f>IFERROR(__xludf.DUMMYFUNCTION("IFERROR(VLOOKUP(A4695, IMPORTRANGE(""https://docs.google.com/spreadsheets/d/1-3Vjw2Cyy-mry5gbC8ypIR3YVGFfEpyFESummAta6sg/edit"", ""Sheet1!B:D""), 3, FALSE), ""Not Found"")"),"k r ə m i ")</f>
        <v>k r ə m i </v>
      </c>
    </row>
    <row r="4696">
      <c r="A4696" s="1" t="s">
        <v>4697</v>
      </c>
      <c r="B4696" s="1" t="s">
        <v>5</v>
      </c>
      <c r="C4696" s="2">
        <f>IFERROR(__xludf.DUMMYFUNCTION("IFERROR(VLOOKUP(A4696, IMPORTRANGE(""https://docs.google.com/spreadsheets/d/1AVX9GT0dgogEBStecCXMMQ29tWz3gBrtNB8yIromXbY/edit?gid=741673867"", ""out1g!A:B""), 2, FALSE), 0)"),1754.0)</f>
        <v>1754</v>
      </c>
      <c r="D4696" s="2" t="str">
        <f>IFERROR(__xludf.DUMMYFUNCTION("IFERROR(VLOOKUP(A4696, IMPORTRANGE(""https://docs.google.com/spreadsheets/d/1-3Vjw2Cyy-mry5gbC8ypIR3YVGFfEpyFESummAta6sg/edit"", ""Sheet1!B:D""), 2, FALSE), ""Not Found"")"),"pruf")</f>
        <v>pruf</v>
      </c>
      <c r="E4696" s="2" t="str">
        <f>IFERROR(__xludf.DUMMYFUNCTION("IFERROR(VLOOKUP(A4696, IMPORTRANGE(""https://docs.google.com/spreadsheets/d/1-3Vjw2Cyy-mry5gbC8ypIR3YVGFfEpyFESummAta6sg/edit"", ""Sheet1!B:D""), 3, FALSE), ""Not Found"")"),"p r u f ")</f>
        <v>p r u f </v>
      </c>
    </row>
    <row r="4697">
      <c r="A4697" s="1" t="s">
        <v>4698</v>
      </c>
      <c r="B4697" s="1" t="s">
        <v>5</v>
      </c>
      <c r="C4697" s="2">
        <f>IFERROR(__xludf.DUMMYFUNCTION("IFERROR(VLOOKUP(A4697, IMPORTRANGE(""https://docs.google.com/spreadsheets/d/1AVX9GT0dgogEBStecCXMMQ29tWz3gBrtNB8yIromXbY/edit?gid=741673867"", ""out1g!A:B""), 2, FALSE), 0)"),80.0)</f>
        <v>80</v>
      </c>
      <c r="D4697" s="2" t="str">
        <f>IFERROR(__xludf.DUMMYFUNCTION("IFERROR(VLOOKUP(A4697, IMPORTRANGE(""https://docs.google.com/spreadsheets/d/1-3Vjw2Cyy-mry5gbC8ypIR3YVGFfEpyFESummAta6sg/edit"", ""Sheet1!B:D""), 2, FALSE), ""Not Found"")"),"mekərz")</f>
        <v>mekərz</v>
      </c>
      <c r="E4697" s="2" t="str">
        <f>IFERROR(__xludf.DUMMYFUNCTION("IFERROR(VLOOKUP(A4697, IMPORTRANGE(""https://docs.google.com/spreadsheets/d/1-3Vjw2Cyy-mry5gbC8ypIR3YVGFfEpyFESummAta6sg/edit"", ""Sheet1!B:D""), 3, FALSE), ""Not Found"")"),"m e k ə r z ")</f>
        <v>m e k ə r z </v>
      </c>
    </row>
    <row r="4698">
      <c r="A4698" s="1" t="s">
        <v>4699</v>
      </c>
      <c r="B4698" s="1" t="s">
        <v>5</v>
      </c>
      <c r="C4698" s="2">
        <f>IFERROR(__xludf.DUMMYFUNCTION("IFERROR(VLOOKUP(A4698, IMPORTRANGE(""https://docs.google.com/spreadsheets/d/1AVX9GT0dgogEBStecCXMMQ29tWz3gBrtNB8yIromXbY/edit?gid=741673867"", ""out1g!A:B""), 2, FALSE), 0)"),301.0)</f>
        <v>301</v>
      </c>
      <c r="D4698" s="2" t="str">
        <f>IFERROR(__xludf.DUMMYFUNCTION("IFERROR(VLOOKUP(A4698, IMPORTRANGE(""https://docs.google.com/spreadsheets/d/1-3Vjw2Cyy-mry5gbC8ypIR3YVGFfEpyFESummAta6sg/edit"", ""Sheet1!B:D""), 2, FALSE), ""Not Found"")"),"fed")</f>
        <v>fed</v>
      </c>
      <c r="E4698" s="2" t="str">
        <f>IFERROR(__xludf.DUMMYFUNCTION("IFERROR(VLOOKUP(A4698, IMPORTRANGE(""https://docs.google.com/spreadsheets/d/1-3Vjw2Cyy-mry5gbC8ypIR3YVGFfEpyFESummAta6sg/edit"", ""Sheet1!B:D""), 3, FALSE), ""Not Found"")"),"f e d ")</f>
        <v>f e d </v>
      </c>
    </row>
    <row r="4699">
      <c r="A4699" s="1" t="s">
        <v>4700</v>
      </c>
      <c r="B4699" s="1" t="s">
        <v>5</v>
      </c>
      <c r="C4699" s="2">
        <f>IFERROR(__xludf.DUMMYFUNCTION("IFERROR(VLOOKUP(A4699, IMPORTRANGE(""https://docs.google.com/spreadsheets/d/1AVX9GT0dgogEBStecCXMMQ29tWz3gBrtNB8yIromXbY/edit?gid=741673867"", ""out1g!A:B""), 2, FALSE), 0)"),557.0)</f>
        <v>557</v>
      </c>
      <c r="D4699" s="2" t="str">
        <f>IFERROR(__xludf.DUMMYFUNCTION("IFERROR(VLOOKUP(A4699, IMPORTRANGE(""https://docs.google.com/spreadsheets/d/1-3Vjw2Cyy-mry5gbC8ypIR3YVGFfEpyFESummAta6sg/edit"", ""Sheet1!B:D""), 2, FALSE), ""Not Found"")"),"hɛr")</f>
        <v>hɛr</v>
      </c>
      <c r="E4699" s="2" t="str">
        <f>IFERROR(__xludf.DUMMYFUNCTION("IFERROR(VLOOKUP(A4699, IMPORTRANGE(""https://docs.google.com/spreadsheets/d/1-3Vjw2Cyy-mry5gbC8ypIR3YVGFfEpyFESummAta6sg/edit"", ""Sheet1!B:D""), 3, FALSE), ""Not Found"")"),"h ɛ r ")</f>
        <v>h ɛ r </v>
      </c>
    </row>
    <row r="4700">
      <c r="A4700" s="1" t="s">
        <v>4701</v>
      </c>
      <c r="B4700" s="1" t="s">
        <v>5</v>
      </c>
      <c r="C4700" s="2">
        <f>IFERROR(__xludf.DUMMYFUNCTION("IFERROR(VLOOKUP(A4700, IMPORTRANGE(""https://docs.google.com/spreadsheets/d/1AVX9GT0dgogEBStecCXMMQ29tWz3gBrtNB8yIromXbY/edit?gid=741673867"", ""out1g!A:B""), 2, FALSE), 0)"),57.0)</f>
        <v>57</v>
      </c>
      <c r="D4700" s="2" t="str">
        <f>IFERROR(__xludf.DUMMYFUNCTION("IFERROR(VLOOKUP(A4700, IMPORTRANGE(""https://docs.google.com/spreadsheets/d/1-3Vjw2Cyy-mry5gbC8ypIR3YVGFfEpyFESummAta6sg/edit"", ""Sheet1!B:D""), 2, FALSE), ""Not Found"")"),"buθs")</f>
        <v>buθs</v>
      </c>
      <c r="E4700" s="2" t="str">
        <f>IFERROR(__xludf.DUMMYFUNCTION("IFERROR(VLOOKUP(A4700, IMPORTRANGE(""https://docs.google.com/spreadsheets/d/1-3Vjw2Cyy-mry5gbC8ypIR3YVGFfEpyFESummAta6sg/edit"", ""Sheet1!B:D""), 3, FALSE), ""Not Found"")"),"b u θ s ")</f>
        <v>b u θ s </v>
      </c>
    </row>
    <row r="4701">
      <c r="A4701" s="1" t="s">
        <v>4702</v>
      </c>
      <c r="B4701" s="1" t="s">
        <v>5</v>
      </c>
      <c r="C4701" s="2">
        <f>IFERROR(__xludf.DUMMYFUNCTION("IFERROR(VLOOKUP(A4701, IMPORTRANGE(""https://docs.google.com/spreadsheets/d/1AVX9GT0dgogEBStecCXMMQ29tWz3gBrtNB8yIromXbY/edit?gid=741673867"", ""out1g!A:B""), 2, FALSE), 0)"),56068.0)</f>
        <v>56068</v>
      </c>
      <c r="D4701" s="2" t="str">
        <f>IFERROR(__xludf.DUMMYFUNCTION("IFERROR(VLOOKUP(A4701, IMPORTRANGE(""https://docs.google.com/spreadsheets/d/1-3Vjw2Cyy-mry5gbC8ypIR3YVGFfEpyFESummAta6sg/edit"", ""Sheet1!B:D""), 2, FALSE), ""Not Found"")"),"ɛni")</f>
        <v>ɛni</v>
      </c>
      <c r="E4701" s="2" t="str">
        <f>IFERROR(__xludf.DUMMYFUNCTION("IFERROR(VLOOKUP(A4701, IMPORTRANGE(""https://docs.google.com/spreadsheets/d/1-3Vjw2Cyy-mry5gbC8ypIR3YVGFfEpyFESummAta6sg/edit"", ""Sheet1!B:D""), 3, FALSE), ""Not Found"")"),"ɛ n i ")</f>
        <v>ɛ n i </v>
      </c>
    </row>
    <row r="4702">
      <c r="A4702" s="1" t="s">
        <v>4703</v>
      </c>
      <c r="B4702" s="1" t="s">
        <v>5</v>
      </c>
      <c r="C4702" s="2">
        <f>IFERROR(__xludf.DUMMYFUNCTION("IFERROR(VLOOKUP(A4702, IMPORTRANGE(""https://docs.google.com/spreadsheets/d/1AVX9GT0dgogEBStecCXMMQ29tWz3gBrtNB8yIromXbY/edit?gid=741673867"", ""out1g!A:B""), 2, FALSE), 0)"),323.0)</f>
        <v>323</v>
      </c>
      <c r="D4702" s="2" t="str">
        <f>IFERROR(__xludf.DUMMYFUNCTION("IFERROR(VLOOKUP(A4702, IMPORTRANGE(""https://docs.google.com/spreadsheets/d/1-3Vjw2Cyy-mry5gbC8ypIR3YVGFfEpyFESummAta6sg/edit"", ""Sheet1!B:D""), 2, FALSE), ""Not Found"")"),"bek")</f>
        <v>bek</v>
      </c>
      <c r="E4702" s="2" t="str">
        <f>IFERROR(__xludf.DUMMYFUNCTION("IFERROR(VLOOKUP(A4702, IMPORTRANGE(""https://docs.google.com/spreadsheets/d/1-3Vjw2Cyy-mry5gbC8ypIR3YVGFfEpyFESummAta6sg/edit"", ""Sheet1!B:D""), 3, FALSE), ""Not Found"")"),"b e k ")</f>
        <v>b e k </v>
      </c>
    </row>
    <row r="4703">
      <c r="A4703" s="1" t="s">
        <v>4704</v>
      </c>
      <c r="B4703" s="1" t="s">
        <v>5</v>
      </c>
      <c r="C4703" s="2">
        <f>IFERROR(__xludf.DUMMYFUNCTION("IFERROR(VLOOKUP(A4703, IMPORTRANGE(""https://docs.google.com/spreadsheets/d/1AVX9GT0dgogEBStecCXMMQ29tWz3gBrtNB8yIromXbY/edit?gid=741673867"", ""out1g!A:B""), 2, FALSE), 0)"),1149.0)</f>
        <v>1149</v>
      </c>
      <c r="D4703" s="2" t="str">
        <f>IFERROR(__xludf.DUMMYFUNCTION("IFERROR(VLOOKUP(A4703, IMPORTRANGE(""https://docs.google.com/spreadsheets/d/1-3Vjw2Cyy-mry5gbC8ypIR3YVGFfEpyFESummAta6sg/edit"", ""Sheet1!B:D""), 2, FALSE), ""Not Found"")"),"pɑt")</f>
        <v>pɑt</v>
      </c>
      <c r="E4703" s="2" t="str">
        <f>IFERROR(__xludf.DUMMYFUNCTION("IFERROR(VLOOKUP(A4703, IMPORTRANGE(""https://docs.google.com/spreadsheets/d/1-3Vjw2Cyy-mry5gbC8ypIR3YVGFfEpyFESummAta6sg/edit"", ""Sheet1!B:D""), 3, FALSE), ""Not Found"")"),"p ɑ t ")</f>
        <v>p ɑ t </v>
      </c>
    </row>
    <row r="4704">
      <c r="A4704" s="1" t="s">
        <v>4705</v>
      </c>
      <c r="B4704" s="1" t="s">
        <v>5</v>
      </c>
      <c r="C4704" s="2">
        <f>IFERROR(__xludf.DUMMYFUNCTION("IFERROR(VLOOKUP(A4704, IMPORTRANGE(""https://docs.google.com/spreadsheets/d/1AVX9GT0dgogEBStecCXMMQ29tWz3gBrtNB8yIromXbY/edit?gid=741673867"", ""out1g!A:B""), 2, FALSE), 0)"),160.0)</f>
        <v>160</v>
      </c>
      <c r="D4704" s="2" t="str">
        <f>IFERROR(__xludf.DUMMYFUNCTION("IFERROR(VLOOKUP(A4704, IMPORTRANGE(""https://docs.google.com/spreadsheets/d/1-3Vjw2Cyy-mry5gbC8ypIR3YVGFfEpyFESummAta6sg/edit"", ""Sheet1!B:D""), 2, FALSE), ""Not Found"")"),"pɪts")</f>
        <v>pɪts</v>
      </c>
      <c r="E4704" s="2" t="str">
        <f>IFERROR(__xludf.DUMMYFUNCTION("IFERROR(VLOOKUP(A4704, IMPORTRANGE(""https://docs.google.com/spreadsheets/d/1-3Vjw2Cyy-mry5gbC8ypIR3YVGFfEpyFESummAta6sg/edit"", ""Sheet1!B:D""), 3, FALSE), ""Not Found"")"),"p ɪ t s ")</f>
        <v>p ɪ t s </v>
      </c>
    </row>
    <row r="4705">
      <c r="A4705" s="1" t="s">
        <v>4706</v>
      </c>
      <c r="B4705" s="1" t="s">
        <v>5</v>
      </c>
      <c r="C4705" s="2">
        <f>IFERROR(__xludf.DUMMYFUNCTION("IFERROR(VLOOKUP(A4705, IMPORTRANGE(""https://docs.google.com/spreadsheets/d/1AVX9GT0dgogEBStecCXMMQ29tWz3gBrtNB8yIromXbY/edit?gid=741673867"", ""out1g!A:B""), 2, FALSE), 0)"),557.0)</f>
        <v>557</v>
      </c>
      <c r="D4705" s="2" t="str">
        <f>IFERROR(__xludf.DUMMYFUNCTION("IFERROR(VLOOKUP(A4705, IMPORTRANGE(""https://docs.google.com/spreadsheets/d/1-3Vjw2Cyy-mry5gbC8ypIR3YVGFfEpyFESummAta6sg/edit"", ""Sheet1!B:D""), 2, FALSE), ""Not Found"")"),"lem")</f>
        <v>lem</v>
      </c>
      <c r="E4705" s="2" t="str">
        <f>IFERROR(__xludf.DUMMYFUNCTION("IFERROR(VLOOKUP(A4705, IMPORTRANGE(""https://docs.google.com/spreadsheets/d/1-3Vjw2Cyy-mry5gbC8ypIR3YVGFfEpyFESummAta6sg/edit"", ""Sheet1!B:D""), 3, FALSE), ""Not Found"")"),"l e m ")</f>
        <v>l e m </v>
      </c>
    </row>
    <row r="4706">
      <c r="A4706" s="1" t="s">
        <v>4707</v>
      </c>
      <c r="B4706" s="1" t="s">
        <v>5</v>
      </c>
      <c r="C4706" s="2">
        <f>IFERROR(__xludf.DUMMYFUNCTION("IFERROR(VLOOKUP(A4706, IMPORTRANGE(""https://docs.google.com/spreadsheets/d/1AVX9GT0dgogEBStecCXMMQ29tWz3gBrtNB8yIromXbY/edit?gid=741673867"", ""out1g!A:B""), 2, FALSE), 0)"),209.0)</f>
        <v>209</v>
      </c>
      <c r="D4706" s="2" t="str">
        <f>IFERROR(__xludf.DUMMYFUNCTION("IFERROR(VLOOKUP(A4706, IMPORTRANGE(""https://docs.google.com/spreadsheets/d/1-3Vjw2Cyy-mry5gbC8ypIR3YVGFfEpyFESummAta6sg/edit"", ""Sheet1!B:D""), 2, FALSE), ""Not Found"")"),"dɪksi")</f>
        <v>dɪksi</v>
      </c>
      <c r="E4706" s="2" t="str">
        <f>IFERROR(__xludf.DUMMYFUNCTION("IFERROR(VLOOKUP(A4706, IMPORTRANGE(""https://docs.google.com/spreadsheets/d/1-3Vjw2Cyy-mry5gbC8ypIR3YVGFfEpyFESummAta6sg/edit"", ""Sheet1!B:D""), 3, FALSE), ""Not Found"")"),"d ɪ k s i ")</f>
        <v>d ɪ k s i </v>
      </c>
    </row>
    <row r="4707">
      <c r="A4707" s="1" t="s">
        <v>4708</v>
      </c>
      <c r="B4707" s="1" t="s">
        <v>5</v>
      </c>
      <c r="C4707" s="2">
        <f>IFERROR(__xludf.DUMMYFUNCTION("IFERROR(VLOOKUP(A4707, IMPORTRANGE(""https://docs.google.com/spreadsheets/d/1AVX9GT0dgogEBStecCXMMQ29tWz3gBrtNB8yIromXbY/edit?gid=741673867"", ""out1g!A:B""), 2, FALSE), 0)"),1393.0)</f>
        <v>1393</v>
      </c>
      <c r="D4707" s="2" t="str">
        <f>IFERROR(__xludf.DUMMYFUNCTION("IFERROR(VLOOKUP(A4707, IMPORTRANGE(""https://docs.google.com/spreadsheets/d/1-3Vjw2Cyy-mry5gbC8ypIR3YVGFfEpyFESummAta6sg/edit"", ""Sheet1!B:D""), 2, FALSE), ""Not Found"")"),"fækts")</f>
        <v>fækts</v>
      </c>
      <c r="E4707" s="2" t="str">
        <f>IFERROR(__xludf.DUMMYFUNCTION("IFERROR(VLOOKUP(A4707, IMPORTRANGE(""https://docs.google.com/spreadsheets/d/1-3Vjw2Cyy-mry5gbC8ypIR3YVGFfEpyFESummAta6sg/edit"", ""Sheet1!B:D""), 3, FALSE), ""Not Found"")"),"f æ k t s ")</f>
        <v>f æ k t s </v>
      </c>
    </row>
    <row r="4708">
      <c r="A4708" s="1" t="s">
        <v>4709</v>
      </c>
      <c r="B4708" s="1" t="s">
        <v>5</v>
      </c>
      <c r="C4708" s="2">
        <f>IFERROR(__xludf.DUMMYFUNCTION("IFERROR(VLOOKUP(A4708, IMPORTRANGE(""https://docs.google.com/spreadsheets/d/1AVX9GT0dgogEBStecCXMMQ29tWz3gBrtNB8yIromXbY/edit?gid=741673867"", ""out1g!A:B""), 2, FALSE), 0)"),16.0)</f>
        <v>16</v>
      </c>
      <c r="D4708" s="2" t="str">
        <f>IFERROR(__xludf.DUMMYFUNCTION("IFERROR(VLOOKUP(A4708, IMPORTRANGE(""https://docs.google.com/spreadsheets/d/1-3Vjw2Cyy-mry5gbC8ypIR3YVGFfEpyFESummAta6sg/edit"", ""Sheet1!B:D""), 2, FALSE), ""Not Found"")"),"θrɔŋ")</f>
        <v>θrɔŋ</v>
      </c>
      <c r="E4708" s="2" t="str">
        <f>IFERROR(__xludf.DUMMYFUNCTION("IFERROR(VLOOKUP(A4708, IMPORTRANGE(""https://docs.google.com/spreadsheets/d/1-3Vjw2Cyy-mry5gbC8ypIR3YVGFfEpyFESummAta6sg/edit"", ""Sheet1!B:D""), 3, FALSE), ""Not Found"")"),"θ r ɔ ŋ ")</f>
        <v>θ r ɔ ŋ </v>
      </c>
    </row>
    <row r="4709">
      <c r="A4709" s="1" t="s">
        <v>4710</v>
      </c>
      <c r="B4709" s="1" t="s">
        <v>5</v>
      </c>
      <c r="C4709" s="2">
        <f>IFERROR(__xludf.DUMMYFUNCTION("IFERROR(VLOOKUP(A4709, IMPORTRANGE(""https://docs.google.com/spreadsheets/d/1AVX9GT0dgogEBStecCXMMQ29tWz3gBrtNB8yIromXbY/edit?gid=741673867"", ""out1g!A:B""), 2, FALSE), 0)"),39491.0)</f>
        <v>39491</v>
      </c>
      <c r="D4709" s="2" t="str">
        <f>IFERROR(__xludf.DUMMYFUNCTION("IFERROR(VLOOKUP(A4709, IMPORTRANGE(""https://docs.google.com/spreadsheets/d/1-3Vjw2Cyy-mry5gbC8ypIR3YVGFfEpyFESummAta6sg/edit"", ""Sheet1!B:D""), 2, FALSE), ""Not Found"")"),"hoʊm")</f>
        <v>hoʊm</v>
      </c>
      <c r="E4709" s="2" t="str">
        <f>IFERROR(__xludf.DUMMYFUNCTION("IFERROR(VLOOKUP(A4709, IMPORTRANGE(""https://docs.google.com/spreadsheets/d/1-3Vjw2Cyy-mry5gbC8ypIR3YVGFfEpyFESummAta6sg/edit"", ""Sheet1!B:D""), 3, FALSE), ""Not Found"")"),"h o ʊ m ")</f>
        <v>h o ʊ m </v>
      </c>
    </row>
    <row r="4710">
      <c r="A4710" s="1" t="s">
        <v>4711</v>
      </c>
      <c r="B4710" s="1" t="s">
        <v>5</v>
      </c>
      <c r="C4710" s="2">
        <f>IFERROR(__xludf.DUMMYFUNCTION("IFERROR(VLOOKUP(A4710, IMPORTRANGE(""https://docs.google.com/spreadsheets/d/1AVX9GT0dgogEBStecCXMMQ29tWz3gBrtNB8yIromXbY/edit?gid=741673867"", ""out1g!A:B""), 2, FALSE), 0)"),193.0)</f>
        <v>193</v>
      </c>
      <c r="D4710" s="2" t="str">
        <f>IFERROR(__xludf.DUMMYFUNCTION("IFERROR(VLOOKUP(A4710, IMPORTRANGE(""https://docs.google.com/spreadsheets/d/1-3Vjw2Cyy-mry5gbC8ypIR3YVGFfEpyFESummAta6sg/edit"", ""Sheet1!B:D""), 2, FALSE), ""Not Found"")"),"kæm")</f>
        <v>kæm</v>
      </c>
      <c r="E4710" s="2" t="str">
        <f>IFERROR(__xludf.DUMMYFUNCTION("IFERROR(VLOOKUP(A4710, IMPORTRANGE(""https://docs.google.com/spreadsheets/d/1-3Vjw2Cyy-mry5gbC8ypIR3YVGFfEpyFESummAta6sg/edit"", ""Sheet1!B:D""), 3, FALSE), ""Not Found"")"),"k æ m ")</f>
        <v>k æ m </v>
      </c>
    </row>
    <row r="4711">
      <c r="A4711" s="1" t="s">
        <v>4712</v>
      </c>
      <c r="B4711" s="1" t="s">
        <v>5</v>
      </c>
      <c r="C4711" s="2">
        <f>IFERROR(__xludf.DUMMYFUNCTION("IFERROR(VLOOKUP(A4711, IMPORTRANGE(""https://docs.google.com/spreadsheets/d/1AVX9GT0dgogEBStecCXMMQ29tWz3gBrtNB8yIromXbY/edit?gid=741673867"", ""out1g!A:B""), 2, FALSE), 0)"),2399.0)</f>
        <v>2399</v>
      </c>
      <c r="D4711" s="2" t="str">
        <f>IFERROR(__xludf.DUMMYFUNCTION("IFERROR(VLOOKUP(A4711, IMPORTRANGE(""https://docs.google.com/spreadsheets/d/1-3Vjw2Cyy-mry5gbC8ypIR3YVGFfEpyFESummAta6sg/edit"", ""Sheet1!B:D""), 2, FALSE), ""Not Found"")"),"pləs")</f>
        <v>pləs</v>
      </c>
      <c r="E4711" s="2" t="str">
        <f>IFERROR(__xludf.DUMMYFUNCTION("IFERROR(VLOOKUP(A4711, IMPORTRANGE(""https://docs.google.com/spreadsheets/d/1-3Vjw2Cyy-mry5gbC8ypIR3YVGFfEpyFESummAta6sg/edit"", ""Sheet1!B:D""), 3, FALSE), ""Not Found"")"),"p l ə s ")</f>
        <v>p l ə s </v>
      </c>
    </row>
    <row r="4712">
      <c r="A4712" s="1" t="s">
        <v>4713</v>
      </c>
      <c r="B4712" s="1" t="s">
        <v>5</v>
      </c>
      <c r="C4712" s="2">
        <f>IFERROR(__xludf.DUMMYFUNCTION("IFERROR(VLOOKUP(A4712, IMPORTRANGE(""https://docs.google.com/spreadsheets/d/1AVX9GT0dgogEBStecCXMMQ29tWz3gBrtNB8yIromXbY/edit?gid=741673867"", ""out1g!A:B""), 2, FALSE), 0)"),331.0)</f>
        <v>331</v>
      </c>
      <c r="D4712" s="2" t="str">
        <f>IFERROR(__xludf.DUMMYFUNCTION("IFERROR(VLOOKUP(A4712, IMPORTRANGE(""https://docs.google.com/spreadsheets/d/1-3Vjw2Cyy-mry5gbC8ypIR3YVGFfEpyFESummAta6sg/edit"", ""Sheet1!B:D""), 2, FALSE), ""Not Found"")"),"stuərt")</f>
        <v>stuərt</v>
      </c>
      <c r="E4712" s="2" t="str">
        <f>IFERROR(__xludf.DUMMYFUNCTION("IFERROR(VLOOKUP(A4712, IMPORTRANGE(""https://docs.google.com/spreadsheets/d/1-3Vjw2Cyy-mry5gbC8ypIR3YVGFfEpyFESummAta6sg/edit"", ""Sheet1!B:D""), 3, FALSE), ""Not Found"")"),"s t u ə r t ")</f>
        <v>s t u ə r t </v>
      </c>
    </row>
    <row r="4713">
      <c r="A4713" s="1" t="s">
        <v>4714</v>
      </c>
      <c r="B4713" s="1" t="s">
        <v>5</v>
      </c>
      <c r="C4713" s="2">
        <f>IFERROR(__xludf.DUMMYFUNCTION("IFERROR(VLOOKUP(A4713, IMPORTRANGE(""https://docs.google.com/spreadsheets/d/1AVX9GT0dgogEBStecCXMMQ29tWz3gBrtNB8yIromXbY/edit?gid=741673867"", ""out1g!A:B""), 2, FALSE), 0)"),26.0)</f>
        <v>26</v>
      </c>
      <c r="D4713" s="2" t="str">
        <f>IFERROR(__xludf.DUMMYFUNCTION("IFERROR(VLOOKUP(A4713, IMPORTRANGE(""https://docs.google.com/spreadsheets/d/1-3Vjw2Cyy-mry5gbC8ypIR3YVGFfEpyFESummAta6sg/edit"", ""Sheet1!B:D""), 2, FALSE), ""Not Found"")"),"kunz")</f>
        <v>kunz</v>
      </c>
      <c r="E4713" s="2" t="str">
        <f>IFERROR(__xludf.DUMMYFUNCTION("IFERROR(VLOOKUP(A4713, IMPORTRANGE(""https://docs.google.com/spreadsheets/d/1-3Vjw2Cyy-mry5gbC8ypIR3YVGFfEpyFESummAta6sg/edit"", ""Sheet1!B:D""), 3, FALSE), ""Not Found"")"),"k u n z ")</f>
        <v>k u n z </v>
      </c>
    </row>
    <row r="4714">
      <c r="A4714" s="1" t="s">
        <v>4715</v>
      </c>
      <c r="B4714" s="1" t="s">
        <v>5</v>
      </c>
      <c r="C4714" s="2">
        <f>IFERROR(__xludf.DUMMYFUNCTION("IFERROR(VLOOKUP(A4714, IMPORTRANGE(""https://docs.google.com/spreadsheets/d/1AVX9GT0dgogEBStecCXMMQ29tWz3gBrtNB8yIromXbY/edit?gid=741673867"", ""out1g!A:B""), 2, FALSE), 0)"),5071.0)</f>
        <v>5071</v>
      </c>
      <c r="D4714" s="2" t="str">
        <f>IFERROR(__xludf.DUMMYFUNCTION("IFERROR(VLOOKUP(A4714, IMPORTRANGE(""https://docs.google.com/spreadsheets/d/1-3Vjw2Cyy-mry5gbC8ypIR3YVGFfEpyFESummAta6sg/edit"", ""Sheet1!B:D""), 2, FALSE), ""Not Found"")"),"dud")</f>
        <v>dud</v>
      </c>
      <c r="E4714" s="2" t="str">
        <f>IFERROR(__xludf.DUMMYFUNCTION("IFERROR(VLOOKUP(A4714, IMPORTRANGE(""https://docs.google.com/spreadsheets/d/1-3Vjw2Cyy-mry5gbC8ypIR3YVGFfEpyFESummAta6sg/edit"", ""Sheet1!B:D""), 3, FALSE), ""Not Found"")"),"d u d ")</f>
        <v>d u d </v>
      </c>
    </row>
    <row r="4715">
      <c r="A4715" s="1" t="s">
        <v>4716</v>
      </c>
      <c r="B4715" s="1" t="s">
        <v>5</v>
      </c>
      <c r="C4715" s="2">
        <f>IFERROR(__xludf.DUMMYFUNCTION("IFERROR(VLOOKUP(A4715, IMPORTRANGE(""https://docs.google.com/spreadsheets/d/1AVX9GT0dgogEBStecCXMMQ29tWz3gBrtNB8yIromXbY/edit?gid=741673867"", ""out1g!A:B""), 2, FALSE), 0)"),137.0)</f>
        <v>137</v>
      </c>
      <c r="D4715" s="2" t="str">
        <f>IFERROR(__xludf.DUMMYFUNCTION("IFERROR(VLOOKUP(A4715, IMPORTRANGE(""https://docs.google.com/spreadsheets/d/1-3Vjw2Cyy-mry5gbC8ypIR3YVGFfEpyFESummAta6sg/edit"", ""Sheet1!B:D""), 2, FALSE), ""Not Found"")"),"bimz")</f>
        <v>bimz</v>
      </c>
      <c r="E4715" s="2" t="str">
        <f>IFERROR(__xludf.DUMMYFUNCTION("IFERROR(VLOOKUP(A4715, IMPORTRANGE(""https://docs.google.com/spreadsheets/d/1-3Vjw2Cyy-mry5gbC8ypIR3YVGFfEpyFESummAta6sg/edit"", ""Sheet1!B:D""), 3, FALSE), ""Not Found"")"),"b i m z ")</f>
        <v>b i m z </v>
      </c>
    </row>
    <row r="4716">
      <c r="A4716" s="1" t="s">
        <v>4717</v>
      </c>
      <c r="B4716" s="1" t="s">
        <v>5</v>
      </c>
      <c r="C4716" s="2">
        <f>IFERROR(__xludf.DUMMYFUNCTION("IFERROR(VLOOKUP(A4716, IMPORTRANGE(""https://docs.google.com/spreadsheets/d/1AVX9GT0dgogEBStecCXMMQ29tWz3gBrtNB8yIromXbY/edit?gid=741673867"", ""out1g!A:B""), 2, FALSE), 0)"),106.0)</f>
        <v>106</v>
      </c>
      <c r="D4716" s="2" t="str">
        <f>IFERROR(__xludf.DUMMYFUNCTION("IFERROR(VLOOKUP(A4716, IMPORTRANGE(""https://docs.google.com/spreadsheets/d/1-3Vjw2Cyy-mry5gbC8ypIR3YVGFfEpyFESummAta6sg/edit"", ""Sheet1!B:D""), 2, FALSE), ""Not Found"")"),"rɛkɪʤ")</f>
        <v>rɛkɪʤ</v>
      </c>
      <c r="E4716" s="2" t="str">
        <f>IFERROR(__xludf.DUMMYFUNCTION("IFERROR(VLOOKUP(A4716, IMPORTRANGE(""https://docs.google.com/spreadsheets/d/1-3Vjw2Cyy-mry5gbC8ypIR3YVGFfEpyFESummAta6sg/edit"", ""Sheet1!B:D""), 3, FALSE), ""Not Found"")"),"r ɛ k ɪ ʤ ")</f>
        <v>r ɛ k ɪ ʤ </v>
      </c>
    </row>
    <row r="4717">
      <c r="A4717" s="1" t="s">
        <v>4718</v>
      </c>
      <c r="B4717" s="1" t="s">
        <v>5</v>
      </c>
      <c r="C4717" s="2">
        <f>IFERROR(__xludf.DUMMYFUNCTION("IFERROR(VLOOKUP(A4717, IMPORTRANGE(""https://docs.google.com/spreadsheets/d/1AVX9GT0dgogEBStecCXMMQ29tWz3gBrtNB8yIromXbY/edit?gid=741673867"", ""out1g!A:B""), 2, FALSE), 0)"),111.0)</f>
        <v>111</v>
      </c>
      <c r="D4717" s="2" t="str">
        <f>IFERROR(__xludf.DUMMYFUNCTION("IFERROR(VLOOKUP(A4717, IMPORTRANGE(""https://docs.google.com/spreadsheets/d/1-3Vjw2Cyy-mry5gbC8ypIR3YVGFfEpyFESummAta6sg/edit"", ""Sheet1!B:D""), 2, FALSE), ""Not Found"")"),"snɑb")</f>
        <v>snɑb</v>
      </c>
      <c r="E4717" s="2" t="str">
        <f>IFERROR(__xludf.DUMMYFUNCTION("IFERROR(VLOOKUP(A4717, IMPORTRANGE(""https://docs.google.com/spreadsheets/d/1-3Vjw2Cyy-mry5gbC8ypIR3YVGFfEpyFESummAta6sg/edit"", ""Sheet1!B:D""), 3, FALSE), ""Not Found"")"),"s n ɑ b ")</f>
        <v>s n ɑ b </v>
      </c>
    </row>
    <row r="4718">
      <c r="A4718" s="1" t="s">
        <v>4719</v>
      </c>
      <c r="B4718" s="1" t="s">
        <v>5</v>
      </c>
      <c r="C4718" s="2">
        <f>IFERROR(__xludf.DUMMYFUNCTION("IFERROR(VLOOKUP(A4718, IMPORTRANGE(""https://docs.google.com/spreadsheets/d/1AVX9GT0dgogEBStecCXMMQ29tWz3gBrtNB8yIromXbY/edit?gid=741673867"", ""out1g!A:B""), 2, FALSE), 0)"),228.0)</f>
        <v>228</v>
      </c>
      <c r="D4718" s="2" t="str">
        <f>IFERROR(__xludf.DUMMYFUNCTION("IFERROR(VLOOKUP(A4718, IMPORTRANGE(""https://docs.google.com/spreadsheets/d/1-3Vjw2Cyy-mry5gbC8ypIR3YVGFfEpyFESummAta6sg/edit"", ""Sheet1!B:D""), 2, FALSE), ""Not Found"")"),"loʊf")</f>
        <v>loʊf</v>
      </c>
      <c r="E4718" s="2" t="str">
        <f>IFERROR(__xludf.DUMMYFUNCTION("IFERROR(VLOOKUP(A4718, IMPORTRANGE(""https://docs.google.com/spreadsheets/d/1-3Vjw2Cyy-mry5gbC8ypIR3YVGFfEpyFESummAta6sg/edit"", ""Sheet1!B:D""), 3, FALSE), ""Not Found"")"),"l o ʊ f ")</f>
        <v>l o ʊ f </v>
      </c>
    </row>
    <row r="4719">
      <c r="A4719" s="1" t="s">
        <v>4720</v>
      </c>
      <c r="B4719" s="1" t="s">
        <v>5</v>
      </c>
      <c r="C4719" s="2">
        <f>IFERROR(__xludf.DUMMYFUNCTION("IFERROR(VLOOKUP(A4719, IMPORTRANGE(""https://docs.google.com/spreadsheets/d/1AVX9GT0dgogEBStecCXMMQ29tWz3gBrtNB8yIromXbY/edit?gid=741673867"", ""out1g!A:B""), 2, FALSE), 0)"),185.0)</f>
        <v>185</v>
      </c>
      <c r="D4719" s="2" t="str">
        <f>IFERROR(__xludf.DUMMYFUNCTION("IFERROR(VLOOKUP(A4719, IMPORTRANGE(""https://docs.google.com/spreadsheets/d/1-3Vjw2Cyy-mry5gbC8ypIR3YVGFfEpyFESummAta6sg/edit"", ""Sheet1!B:D""), 2, FALSE), ""Not Found"")"),"dɔri")</f>
        <v>dɔri</v>
      </c>
      <c r="E4719" s="2" t="str">
        <f>IFERROR(__xludf.DUMMYFUNCTION("IFERROR(VLOOKUP(A4719, IMPORTRANGE(""https://docs.google.com/spreadsheets/d/1-3Vjw2Cyy-mry5gbC8ypIR3YVGFfEpyFESummAta6sg/edit"", ""Sheet1!B:D""), 3, FALSE), ""Not Found"")"),"d ɔ r i ")</f>
        <v>d ɔ r i </v>
      </c>
    </row>
    <row r="4720">
      <c r="A4720" s="1" t="s">
        <v>4721</v>
      </c>
      <c r="B4720" s="1" t="s">
        <v>5</v>
      </c>
      <c r="C4720" s="2">
        <f>IFERROR(__xludf.DUMMYFUNCTION("IFERROR(VLOOKUP(A4720, IMPORTRANGE(""https://docs.google.com/spreadsheets/d/1AVX9GT0dgogEBStecCXMMQ29tWz3gBrtNB8yIromXbY/edit?gid=741673867"", ""out1g!A:B""), 2, FALSE), 0)"),74.0)</f>
        <v>74</v>
      </c>
      <c r="D4720" s="2" t="str">
        <f>IFERROR(__xludf.DUMMYFUNCTION("IFERROR(VLOOKUP(A4720, IMPORTRANGE(""https://docs.google.com/spreadsheets/d/1-3Vjw2Cyy-mry5gbC8ypIR3YVGFfEpyFESummAta6sg/edit"", ""Sheet1!B:D""), 2, FALSE), ""Not Found"")"),"lɑkərz")</f>
        <v>lɑkərz</v>
      </c>
      <c r="E4720" s="2" t="str">
        <f>IFERROR(__xludf.DUMMYFUNCTION("IFERROR(VLOOKUP(A4720, IMPORTRANGE(""https://docs.google.com/spreadsheets/d/1-3Vjw2Cyy-mry5gbC8ypIR3YVGFfEpyFESummAta6sg/edit"", ""Sheet1!B:D""), 3, FALSE), ""Not Found"")"),"l ɑ k ə r z ")</f>
        <v>l ɑ k ə r z </v>
      </c>
    </row>
    <row r="4721">
      <c r="A4721" s="1" t="s">
        <v>4722</v>
      </c>
      <c r="B4721" s="1" t="s">
        <v>5</v>
      </c>
      <c r="C4721" s="2">
        <f>IFERROR(__xludf.DUMMYFUNCTION("IFERROR(VLOOKUP(A4721, IMPORTRANGE(""https://docs.google.com/spreadsheets/d/1AVX9GT0dgogEBStecCXMMQ29tWz3gBrtNB8yIromXbY/edit?gid=741673867"", ""out1g!A:B""), 2, FALSE), 0)"),1360.0)</f>
        <v>1360</v>
      </c>
      <c r="D4721" s="2" t="str">
        <f>IFERROR(__xludf.DUMMYFUNCTION("IFERROR(VLOOKUP(A4721, IMPORTRANGE(""https://docs.google.com/spreadsheets/d/1-3Vjw2Cyy-mry5gbC8ypIR3YVGFfEpyFESummAta6sg/edit"", ""Sheet1!B:D""), 2, FALSE), ""Not Found"")"),"paɪlət")</f>
        <v>paɪlət</v>
      </c>
      <c r="E4721" s="2" t="str">
        <f>IFERROR(__xludf.DUMMYFUNCTION("IFERROR(VLOOKUP(A4721, IMPORTRANGE(""https://docs.google.com/spreadsheets/d/1-3Vjw2Cyy-mry5gbC8ypIR3YVGFfEpyFESummAta6sg/edit"", ""Sheet1!B:D""), 3, FALSE), ""Not Found"")"),"p a ɪ l ə t ")</f>
        <v>p a ɪ l ə t </v>
      </c>
    </row>
    <row r="4722">
      <c r="A4722" s="1" t="s">
        <v>4723</v>
      </c>
      <c r="B4722" s="1" t="s">
        <v>5</v>
      </c>
      <c r="C4722" s="2">
        <f>IFERROR(__xludf.DUMMYFUNCTION("IFERROR(VLOOKUP(A4722, IMPORTRANGE(""https://docs.google.com/spreadsheets/d/1AVX9GT0dgogEBStecCXMMQ29tWz3gBrtNB8yIromXbY/edit?gid=741673867"", ""out1g!A:B""), 2, FALSE), 0)"),101804.0)</f>
        <v>101804</v>
      </c>
      <c r="D4722" s="2" t="str">
        <f>IFERROR(__xludf.DUMMYFUNCTION("IFERROR(VLOOKUP(A4722, IMPORTRANGE(""https://docs.google.com/spreadsheets/d/1-3Vjw2Cyy-mry5gbC8ypIR3YVGFfEpyFESummAta6sg/edit"", ""Sheet1!B:D""), 2, FALSE), ""Not Found"")"),"gɑnə")</f>
        <v>gɑnə</v>
      </c>
      <c r="E4722" s="2" t="str">
        <f>IFERROR(__xludf.DUMMYFUNCTION("IFERROR(VLOOKUP(A4722, IMPORTRANGE(""https://docs.google.com/spreadsheets/d/1-3Vjw2Cyy-mry5gbC8ypIR3YVGFfEpyFESummAta6sg/edit"", ""Sheet1!B:D""), 3, FALSE), ""Not Found"")"),"g ɑ n ə ")</f>
        <v>g ɑ n ə </v>
      </c>
    </row>
    <row r="4723">
      <c r="A4723" s="1" t="s">
        <v>4724</v>
      </c>
      <c r="B4723" s="1" t="s">
        <v>5</v>
      </c>
      <c r="C4723" s="2">
        <f>IFERROR(__xludf.DUMMYFUNCTION("IFERROR(VLOOKUP(A4723, IMPORTRANGE(""https://docs.google.com/spreadsheets/d/1AVX9GT0dgogEBStecCXMMQ29tWz3gBrtNB8yIromXbY/edit?gid=741673867"", ""out1g!A:B""), 2, FALSE), 0)"),60.0)</f>
        <v>60</v>
      </c>
      <c r="D4723" s="2" t="str">
        <f>IFERROR(__xludf.DUMMYFUNCTION("IFERROR(VLOOKUP(A4723, IMPORTRANGE(""https://docs.google.com/spreadsheets/d/1-3Vjw2Cyy-mry5gbC8ypIR3YVGFfEpyFESummAta6sg/edit"", ""Sheet1!B:D""), 2, FALSE), ""Not Found"")"),"bui")</f>
        <v>bui</v>
      </c>
      <c r="E4723" s="2" t="str">
        <f>IFERROR(__xludf.DUMMYFUNCTION("IFERROR(VLOOKUP(A4723, IMPORTRANGE(""https://docs.google.com/spreadsheets/d/1-3Vjw2Cyy-mry5gbC8ypIR3YVGFfEpyFESummAta6sg/edit"", ""Sheet1!B:D""), 3, FALSE), ""Not Found"")"),"b u i ")</f>
        <v>b u i </v>
      </c>
    </row>
    <row r="4724">
      <c r="A4724" s="1" t="s">
        <v>4725</v>
      </c>
      <c r="B4724" s="1" t="s">
        <v>5</v>
      </c>
      <c r="C4724" s="2">
        <f>IFERROR(__xludf.DUMMYFUNCTION("IFERROR(VLOOKUP(A4724, IMPORTRANGE(""https://docs.google.com/spreadsheets/d/1AVX9GT0dgogEBStecCXMMQ29tWz3gBrtNB8yIromXbY/edit?gid=741673867"", ""out1g!A:B""), 2, FALSE), 0)"),221.0)</f>
        <v>221</v>
      </c>
      <c r="D4724" s="2" t="str">
        <f>IFERROR(__xludf.DUMMYFUNCTION("IFERROR(VLOOKUP(A4724, IMPORTRANGE(""https://docs.google.com/spreadsheets/d/1-3Vjw2Cyy-mry5gbC8ypIR3YVGFfEpyFESummAta6sg/edit"", ""Sheet1!B:D""), 2, FALSE), ""Not Found"")"),"trɪpt")</f>
        <v>trɪpt</v>
      </c>
      <c r="E4724" s="2" t="str">
        <f>IFERROR(__xludf.DUMMYFUNCTION("IFERROR(VLOOKUP(A4724, IMPORTRANGE(""https://docs.google.com/spreadsheets/d/1-3Vjw2Cyy-mry5gbC8ypIR3YVGFfEpyFESummAta6sg/edit"", ""Sheet1!B:D""), 3, FALSE), ""Not Found"")"),"t r ɪ p t ")</f>
        <v>t r ɪ p t </v>
      </c>
    </row>
    <row r="4725">
      <c r="A4725" s="1" t="s">
        <v>4726</v>
      </c>
      <c r="B4725" s="1" t="s">
        <v>5</v>
      </c>
      <c r="C4725" s="2">
        <f>IFERROR(__xludf.DUMMYFUNCTION("IFERROR(VLOOKUP(A4725, IMPORTRANGE(""https://docs.google.com/spreadsheets/d/1AVX9GT0dgogEBStecCXMMQ29tWz3gBrtNB8yIromXbY/edit?gid=741673867"", ""out1g!A:B""), 2, FALSE), 0)"),89.0)</f>
        <v>89</v>
      </c>
      <c r="D4725" s="2" t="str">
        <f>IFERROR(__xludf.DUMMYFUNCTION("IFERROR(VLOOKUP(A4725, IMPORTRANGE(""https://docs.google.com/spreadsheets/d/1-3Vjw2Cyy-mry5gbC8ypIR3YVGFfEpyFESummAta6sg/edit"", ""Sheet1!B:D""), 2, FALSE), ""Not Found"")"),"voʊl")</f>
        <v>voʊl</v>
      </c>
      <c r="E4725" s="2" t="str">
        <f>IFERROR(__xludf.DUMMYFUNCTION("IFERROR(VLOOKUP(A4725, IMPORTRANGE(""https://docs.google.com/spreadsheets/d/1-3Vjw2Cyy-mry5gbC8ypIR3YVGFfEpyFESummAta6sg/edit"", ""Sheet1!B:D""), 3, FALSE), ""Not Found"")"),"v o ʊ l ")</f>
        <v>v o ʊ l </v>
      </c>
    </row>
    <row r="4726">
      <c r="A4726" s="1" t="s">
        <v>4727</v>
      </c>
      <c r="B4726" s="1" t="s">
        <v>5</v>
      </c>
      <c r="C4726" s="2">
        <f>IFERROR(__xludf.DUMMYFUNCTION("IFERROR(VLOOKUP(A4726, IMPORTRANGE(""https://docs.google.com/spreadsheets/d/1AVX9GT0dgogEBStecCXMMQ29tWz3gBrtNB8yIromXbY/edit?gid=741673867"", ""out1g!A:B""), 2, FALSE), 0)"),204.0)</f>
        <v>204</v>
      </c>
      <c r="D4726" s="2" t="str">
        <f>IFERROR(__xludf.DUMMYFUNCTION("IFERROR(VLOOKUP(A4726, IMPORTRANGE(""https://docs.google.com/spreadsheets/d/1-3Vjw2Cyy-mry5gbC8ypIR3YVGFfEpyFESummAta6sg/edit"", ""Sheet1!B:D""), 2, FALSE), ""Not Found"")"),"rif")</f>
        <v>rif</v>
      </c>
      <c r="E4726" s="2" t="str">
        <f>IFERROR(__xludf.DUMMYFUNCTION("IFERROR(VLOOKUP(A4726, IMPORTRANGE(""https://docs.google.com/spreadsheets/d/1-3Vjw2Cyy-mry5gbC8ypIR3YVGFfEpyFESummAta6sg/edit"", ""Sheet1!B:D""), 3, FALSE), ""Not Found"")"),"r i f ")</f>
        <v>r i f </v>
      </c>
    </row>
    <row r="4727">
      <c r="A4727" s="1" t="s">
        <v>4728</v>
      </c>
      <c r="B4727" s="1" t="s">
        <v>5</v>
      </c>
      <c r="C4727" s="2">
        <f>IFERROR(__xludf.DUMMYFUNCTION("IFERROR(VLOOKUP(A4727, IMPORTRANGE(""https://docs.google.com/spreadsheets/d/1AVX9GT0dgogEBStecCXMMQ29tWz3gBrtNB8yIromXbY/edit?gid=741673867"", ""out1g!A:B""), 2, FALSE), 0)"),178.0)</f>
        <v>178</v>
      </c>
      <c r="D4727" s="2" t="str">
        <f>IFERROR(__xludf.DUMMYFUNCTION("IFERROR(VLOOKUP(A4727, IMPORTRANGE(""https://docs.google.com/spreadsheets/d/1-3Vjw2Cyy-mry5gbC8ypIR3YVGFfEpyFESummAta6sg/edit"", ""Sheet1!B:D""), 2, FALSE), ""Not Found"")"),"wez")</f>
        <v>wez</v>
      </c>
      <c r="E4727" s="2" t="str">
        <f>IFERROR(__xludf.DUMMYFUNCTION("IFERROR(VLOOKUP(A4727, IMPORTRANGE(""https://docs.google.com/spreadsheets/d/1-3Vjw2Cyy-mry5gbC8ypIR3YVGFfEpyFESummAta6sg/edit"", ""Sheet1!B:D""), 3, FALSE), ""Not Found"")"),"w e z ")</f>
        <v>w e z </v>
      </c>
    </row>
    <row r="4728">
      <c r="A4728" s="1" t="s">
        <v>4729</v>
      </c>
      <c r="B4728" s="1" t="s">
        <v>5</v>
      </c>
      <c r="C4728" s="2">
        <f>IFERROR(__xludf.DUMMYFUNCTION("IFERROR(VLOOKUP(A4728, IMPORTRANGE(""https://docs.google.com/spreadsheets/d/1AVX9GT0dgogEBStecCXMMQ29tWz3gBrtNB8yIromXbY/edit?gid=741673867"", ""out1g!A:B""), 2, FALSE), 0)"),56.0)</f>
        <v>56</v>
      </c>
      <c r="D4728" s="2" t="str">
        <f>IFERROR(__xludf.DUMMYFUNCTION("IFERROR(VLOOKUP(A4728, IMPORTRANGE(""https://docs.google.com/spreadsheets/d/1-3Vjw2Cyy-mry5gbC8ypIR3YVGFfEpyFESummAta6sg/edit"", ""Sheet1!B:D""), 2, FALSE), ""Not Found"")"),"stɑmpɪŋ")</f>
        <v>stɑmpɪŋ</v>
      </c>
      <c r="E4728" s="2" t="str">
        <f>IFERROR(__xludf.DUMMYFUNCTION("IFERROR(VLOOKUP(A4728, IMPORTRANGE(""https://docs.google.com/spreadsheets/d/1-3Vjw2Cyy-mry5gbC8ypIR3YVGFfEpyFESummAta6sg/edit"", ""Sheet1!B:D""), 3, FALSE), ""Not Found"")"),"s t ɑ m p ɪ ŋ ")</f>
        <v>s t ɑ m p ɪ ŋ </v>
      </c>
    </row>
    <row r="4729">
      <c r="A4729" s="1" t="s">
        <v>4730</v>
      </c>
      <c r="B4729" s="1" t="s">
        <v>5</v>
      </c>
      <c r="C4729" s="2">
        <f>IFERROR(__xludf.DUMMYFUNCTION("IFERROR(VLOOKUP(A4729, IMPORTRANGE(""https://docs.google.com/spreadsheets/d/1AVX9GT0dgogEBStecCXMMQ29tWz3gBrtNB8yIromXbY/edit?gid=741673867"", ""out1g!A:B""), 2, FALSE), 0)"),3232.0)</f>
        <v>3232</v>
      </c>
      <c r="D4729" s="2" t="str">
        <f>IFERROR(__xludf.DUMMYFUNCTION("IFERROR(VLOOKUP(A4729, IMPORTRANGE(""https://docs.google.com/spreadsheets/d/1-3Vjw2Cyy-mry5gbC8ypIR3YVGFfEpyFESummAta6sg/edit"", ""Sheet1!B:D""), 2, FALSE), ""Not Found"")"),"sæd")</f>
        <v>sæd</v>
      </c>
      <c r="E4729" s="2" t="str">
        <f>IFERROR(__xludf.DUMMYFUNCTION("IFERROR(VLOOKUP(A4729, IMPORTRANGE(""https://docs.google.com/spreadsheets/d/1-3Vjw2Cyy-mry5gbC8ypIR3YVGFfEpyFESummAta6sg/edit"", ""Sheet1!B:D""), 3, FALSE), ""Not Found"")"),"s æ d ")</f>
        <v>s æ d </v>
      </c>
    </row>
    <row r="4730">
      <c r="A4730" s="1" t="s">
        <v>4731</v>
      </c>
      <c r="B4730" s="1" t="s">
        <v>5</v>
      </c>
      <c r="C4730" s="2">
        <f>IFERROR(__xludf.DUMMYFUNCTION("IFERROR(VLOOKUP(A4730, IMPORTRANGE(""https://docs.google.com/spreadsheets/d/1AVX9GT0dgogEBStecCXMMQ29tWz3gBrtNB8yIromXbY/edit?gid=741673867"", ""out1g!A:B""), 2, FALSE), 0)"),155.0)</f>
        <v>155</v>
      </c>
      <c r="D4730" s="2" t="str">
        <f>IFERROR(__xludf.DUMMYFUNCTION("IFERROR(VLOOKUP(A4730, IMPORTRANGE(""https://docs.google.com/spreadsheets/d/1-3Vjw2Cyy-mry5gbC8ypIR3YVGFfEpyFESummAta6sg/edit"", ""Sheet1!B:D""), 2, FALSE), ""Not Found"")"),"drimər")</f>
        <v>drimər</v>
      </c>
      <c r="E4730" s="2" t="str">
        <f>IFERROR(__xludf.DUMMYFUNCTION("IFERROR(VLOOKUP(A4730, IMPORTRANGE(""https://docs.google.com/spreadsheets/d/1-3Vjw2Cyy-mry5gbC8ypIR3YVGFfEpyFESummAta6sg/edit"", ""Sheet1!B:D""), 3, FALSE), ""Not Found"")"),"d r i m ə r ")</f>
        <v>d r i m ə r </v>
      </c>
    </row>
    <row r="4731">
      <c r="A4731" s="1" t="s">
        <v>4732</v>
      </c>
      <c r="B4731" s="1" t="s">
        <v>5</v>
      </c>
      <c r="C4731" s="2">
        <f>IFERROR(__xludf.DUMMYFUNCTION("IFERROR(VLOOKUP(A4731, IMPORTRANGE(""https://docs.google.com/spreadsheets/d/1AVX9GT0dgogEBStecCXMMQ29tWz3gBrtNB8yIromXbY/edit?gid=741673867"", ""out1g!A:B""), 2, FALSE), 0)"),82.0)</f>
        <v>82</v>
      </c>
      <c r="D4731" s="2" t="str">
        <f>IFERROR(__xludf.DUMMYFUNCTION("IFERROR(VLOOKUP(A4731, IMPORTRANGE(""https://docs.google.com/spreadsheets/d/1-3Vjw2Cyy-mry5gbC8ypIR3YVGFfEpyFESummAta6sg/edit"", ""Sheet1!B:D""), 2, FALSE), ""Not Found"")"),"fərmz")</f>
        <v>fərmz</v>
      </c>
      <c r="E4731" s="2" t="str">
        <f>IFERROR(__xludf.DUMMYFUNCTION("IFERROR(VLOOKUP(A4731, IMPORTRANGE(""https://docs.google.com/spreadsheets/d/1-3Vjw2Cyy-mry5gbC8ypIR3YVGFfEpyFESummAta6sg/edit"", ""Sheet1!B:D""), 3, FALSE), ""Not Found"")"),"f ə r m z ")</f>
        <v>f ə r m z </v>
      </c>
    </row>
    <row r="4732">
      <c r="A4732" s="1" t="s">
        <v>4733</v>
      </c>
      <c r="B4732" s="1" t="s">
        <v>5</v>
      </c>
      <c r="C4732" s="2">
        <f>IFERROR(__xludf.DUMMYFUNCTION("IFERROR(VLOOKUP(A4732, IMPORTRANGE(""https://docs.google.com/spreadsheets/d/1AVX9GT0dgogEBStecCXMMQ29tWz3gBrtNB8yIromXbY/edit?gid=741673867"", ""out1g!A:B""), 2, FALSE), 0)"),93.0)</f>
        <v>93</v>
      </c>
      <c r="D4732" s="2" t="str">
        <f>IFERROR(__xludf.DUMMYFUNCTION("IFERROR(VLOOKUP(A4732, IMPORTRANGE(""https://docs.google.com/spreadsheets/d/1-3Vjw2Cyy-mry5gbC8ypIR3YVGFfEpyFESummAta6sg/edit"", ""Sheet1!B:D""), 2, FALSE), ""Not Found"")"),"bərnər")</f>
        <v>bərnər</v>
      </c>
      <c r="E4732" s="2" t="str">
        <f>IFERROR(__xludf.DUMMYFUNCTION("IFERROR(VLOOKUP(A4732, IMPORTRANGE(""https://docs.google.com/spreadsheets/d/1-3Vjw2Cyy-mry5gbC8ypIR3YVGFfEpyFESummAta6sg/edit"", ""Sheet1!B:D""), 3, FALSE), ""Not Found"")"),"b ə r n ə r ")</f>
        <v>b ə r n ə r </v>
      </c>
    </row>
    <row r="4733">
      <c r="A4733" s="1" t="s">
        <v>4734</v>
      </c>
      <c r="B4733" s="1" t="s">
        <v>5</v>
      </c>
      <c r="C4733" s="2">
        <f>IFERROR(__xludf.DUMMYFUNCTION("IFERROR(VLOOKUP(A4733, IMPORTRANGE(""https://docs.google.com/spreadsheets/d/1AVX9GT0dgogEBStecCXMMQ29tWz3gBrtNB8yIromXbY/edit?gid=741673867"", ""out1g!A:B""), 2, FALSE), 0)"),54.0)</f>
        <v>54</v>
      </c>
      <c r="D4733" s="2" t="str">
        <f>IFERROR(__xludf.DUMMYFUNCTION("IFERROR(VLOOKUP(A4733, IMPORTRANGE(""https://docs.google.com/spreadsheets/d/1-3Vjw2Cyy-mry5gbC8ypIR3YVGFfEpyFESummAta6sg/edit"", ""Sheet1!B:D""), 2, FALSE), ""Not Found"")"),"tɑt")</f>
        <v>tɑt</v>
      </c>
      <c r="E4733" s="2" t="str">
        <f>IFERROR(__xludf.DUMMYFUNCTION("IFERROR(VLOOKUP(A4733, IMPORTRANGE(""https://docs.google.com/spreadsheets/d/1-3Vjw2Cyy-mry5gbC8ypIR3YVGFfEpyFESummAta6sg/edit"", ""Sheet1!B:D""), 3, FALSE), ""Not Found"")"),"t ɑ t ")</f>
        <v>t ɑ t </v>
      </c>
    </row>
    <row r="4734">
      <c r="A4734" s="1" t="s">
        <v>4735</v>
      </c>
      <c r="B4734" s="1" t="s">
        <v>5</v>
      </c>
      <c r="C4734" s="2">
        <f>IFERROR(__xludf.DUMMYFUNCTION("IFERROR(VLOOKUP(A4734, IMPORTRANGE(""https://docs.google.com/spreadsheets/d/1AVX9GT0dgogEBStecCXMMQ29tWz3gBrtNB8yIromXbY/edit?gid=741673867"", ""out1g!A:B""), 2, FALSE), 0)"),157.0)</f>
        <v>157</v>
      </c>
      <c r="D4734" s="2" t="str">
        <f>IFERROR(__xludf.DUMMYFUNCTION("IFERROR(VLOOKUP(A4734, IMPORTRANGE(""https://docs.google.com/spreadsheets/d/1-3Vjw2Cyy-mry5gbC8ypIR3YVGFfEpyFESummAta6sg/edit"", ""Sheet1!B:D""), 2, FALSE), ""Not Found"")"),"təŋz")</f>
        <v>təŋz</v>
      </c>
      <c r="E4734" s="2" t="str">
        <f>IFERROR(__xludf.DUMMYFUNCTION("IFERROR(VLOOKUP(A4734, IMPORTRANGE(""https://docs.google.com/spreadsheets/d/1-3Vjw2Cyy-mry5gbC8ypIR3YVGFfEpyFESummAta6sg/edit"", ""Sheet1!B:D""), 3, FALSE), ""Not Found"")"),"t ə ŋ z ")</f>
        <v>t ə ŋ z </v>
      </c>
    </row>
    <row r="4735">
      <c r="A4735" s="1" t="s">
        <v>4736</v>
      </c>
      <c r="B4735" s="1" t="s">
        <v>5</v>
      </c>
      <c r="C4735" s="2">
        <f>IFERROR(__xludf.DUMMYFUNCTION("IFERROR(VLOOKUP(A4735, IMPORTRANGE(""https://docs.google.com/spreadsheets/d/1AVX9GT0dgogEBStecCXMMQ29tWz3gBrtNB8yIromXbY/edit?gid=741673867"", ""out1g!A:B""), 2, FALSE), 0)"),1501908.0)</f>
        <v>1501908</v>
      </c>
      <c r="D4735" s="2" t="str">
        <f>IFERROR(__xludf.DUMMYFUNCTION("IFERROR(VLOOKUP(A4735, IMPORTRANGE(""https://docs.google.com/spreadsheets/d/1-3Vjw2Cyy-mry5gbC8ypIR3YVGFfEpyFESummAta6sg/edit"", ""Sheet1!B:D""), 2, FALSE), ""Not Found"")"),"ðə")</f>
        <v>ðə</v>
      </c>
      <c r="E4735" s="2" t="str">
        <f>IFERROR(__xludf.DUMMYFUNCTION("IFERROR(VLOOKUP(A4735, IMPORTRANGE(""https://docs.google.com/spreadsheets/d/1-3Vjw2Cyy-mry5gbC8ypIR3YVGFfEpyFESummAta6sg/edit"", ""Sheet1!B:D""), 3, FALSE), ""Not Found"")"),"ð ə ")</f>
        <v>ð ə </v>
      </c>
    </row>
    <row r="4736">
      <c r="A4736" s="1" t="s">
        <v>4737</v>
      </c>
      <c r="B4736" s="1" t="s">
        <v>5</v>
      </c>
      <c r="C4736" s="2">
        <f>IFERROR(__xludf.DUMMYFUNCTION("IFERROR(VLOOKUP(A4736, IMPORTRANGE(""https://docs.google.com/spreadsheets/d/1AVX9GT0dgogEBStecCXMMQ29tWz3gBrtNB8yIromXbY/edit?gid=741673867"", ""out1g!A:B""), 2, FALSE), 0)"),1091.0)</f>
        <v>1091</v>
      </c>
      <c r="D4736" s="2" t="str">
        <f>IFERROR(__xludf.DUMMYFUNCTION("IFERROR(VLOOKUP(A4736, IMPORTRANGE(""https://docs.google.com/spreadsheets/d/1-3Vjw2Cyy-mry5gbC8ypIR3YVGFfEpyFESummAta6sg/edit"", ""Sheet1!B:D""), 2, FALSE), ""Not Found"")"),"dɪnaɪ")</f>
        <v>dɪnaɪ</v>
      </c>
      <c r="E4736" s="2" t="str">
        <f>IFERROR(__xludf.DUMMYFUNCTION("IFERROR(VLOOKUP(A4736, IMPORTRANGE(""https://docs.google.com/spreadsheets/d/1-3Vjw2Cyy-mry5gbC8ypIR3YVGFfEpyFESummAta6sg/edit"", ""Sheet1!B:D""), 3, FALSE), ""Not Found"")"),"d ɪ n a ɪ ")</f>
        <v>d ɪ n a ɪ </v>
      </c>
    </row>
    <row r="4737">
      <c r="A4737" s="1" t="s">
        <v>4738</v>
      </c>
      <c r="B4737" s="1" t="s">
        <v>5</v>
      </c>
      <c r="C4737" s="2">
        <f>IFERROR(__xludf.DUMMYFUNCTION("IFERROR(VLOOKUP(A4737, IMPORTRANGE(""https://docs.google.com/spreadsheets/d/1AVX9GT0dgogEBStecCXMMQ29tWz3gBrtNB8yIromXbY/edit?gid=741673867"", ""out1g!A:B""), 2, FALSE), 0)"),497.0)</f>
        <v>497</v>
      </c>
      <c r="D4737" s="2" t="str">
        <f>IFERROR(__xludf.DUMMYFUNCTION("IFERROR(VLOOKUP(A4737, IMPORTRANGE(""https://docs.google.com/spreadsheets/d/1-3Vjw2Cyy-mry5gbC8ypIR3YVGFfEpyFESummAta6sg/edit"", ""Sheet1!B:D""), 2, FALSE), ""Not Found"")"),"sild")</f>
        <v>sild</v>
      </c>
      <c r="E4737" s="2" t="str">
        <f>IFERROR(__xludf.DUMMYFUNCTION("IFERROR(VLOOKUP(A4737, IMPORTRANGE(""https://docs.google.com/spreadsheets/d/1-3Vjw2Cyy-mry5gbC8ypIR3YVGFfEpyFESummAta6sg/edit"", ""Sheet1!B:D""), 3, FALSE), ""Not Found"")"),"s i l d ")</f>
        <v>s i l d </v>
      </c>
    </row>
    <row r="4738">
      <c r="A4738" s="1" t="s">
        <v>4739</v>
      </c>
      <c r="B4738" s="1" t="s">
        <v>5</v>
      </c>
      <c r="C4738" s="2">
        <f>IFERROR(__xludf.DUMMYFUNCTION("IFERROR(VLOOKUP(A4738, IMPORTRANGE(""https://docs.google.com/spreadsheets/d/1AVX9GT0dgogEBStecCXMMQ29tWz3gBrtNB8yIromXbY/edit?gid=741673867"", ""out1g!A:B""), 2, FALSE), 0)"),13455.0)</f>
        <v>13455</v>
      </c>
      <c r="D4738" s="2" t="str">
        <f>IFERROR(__xludf.DUMMYFUNCTION("IFERROR(VLOOKUP(A4738, IMPORTRANGE(""https://docs.google.com/spreadsheets/d/1-3Vjw2Cyy-mry5gbC8ypIR3YVGFfEpyFESummAta6sg/edit"", ""Sheet1!B:D""), 2, FALSE), ""Not Found"")"),"ʃət")</f>
        <v>ʃət</v>
      </c>
      <c r="E4738" s="2" t="str">
        <f>IFERROR(__xludf.DUMMYFUNCTION("IFERROR(VLOOKUP(A4738, IMPORTRANGE(""https://docs.google.com/spreadsheets/d/1-3Vjw2Cyy-mry5gbC8ypIR3YVGFfEpyFESummAta6sg/edit"", ""Sheet1!B:D""), 3, FALSE), ""Not Found"")"),"ʃ ə t ")</f>
        <v>ʃ ə t </v>
      </c>
    </row>
    <row r="4739">
      <c r="A4739" s="1" t="s">
        <v>4740</v>
      </c>
      <c r="B4739" s="1" t="s">
        <v>5</v>
      </c>
      <c r="C4739" s="2">
        <f>IFERROR(__xludf.DUMMYFUNCTION("IFERROR(VLOOKUP(A4739, IMPORTRANGE(""https://docs.google.com/spreadsheets/d/1AVX9GT0dgogEBStecCXMMQ29tWz3gBrtNB8yIromXbY/edit?gid=741673867"", ""out1g!A:B""), 2, FALSE), 0)"),76.0)</f>
        <v>76</v>
      </c>
      <c r="D4739" s="2" t="str">
        <f>IFERROR(__xludf.DUMMYFUNCTION("IFERROR(VLOOKUP(A4739, IMPORTRANGE(""https://docs.google.com/spreadsheets/d/1-3Vjw2Cyy-mry5gbC8ypIR3YVGFfEpyFESummAta6sg/edit"", ""Sheet1!B:D""), 2, FALSE), ""Not Found"")"),"væt")</f>
        <v>væt</v>
      </c>
      <c r="E4739" s="2" t="str">
        <f>IFERROR(__xludf.DUMMYFUNCTION("IFERROR(VLOOKUP(A4739, IMPORTRANGE(""https://docs.google.com/spreadsheets/d/1-3Vjw2Cyy-mry5gbC8ypIR3YVGFfEpyFESummAta6sg/edit"", ""Sheet1!B:D""), 3, FALSE), ""Not Found"")"),"v æ t ")</f>
        <v>v æ t </v>
      </c>
    </row>
    <row r="4740">
      <c r="A4740" s="1" t="s">
        <v>4741</v>
      </c>
      <c r="B4740" s="1" t="s">
        <v>5</v>
      </c>
      <c r="C4740" s="2">
        <f>IFERROR(__xludf.DUMMYFUNCTION("IFERROR(VLOOKUP(A4740, IMPORTRANGE(""https://docs.google.com/spreadsheets/d/1AVX9GT0dgogEBStecCXMMQ29tWz3gBrtNB8yIromXbY/edit?gid=741673867"", ""out1g!A:B""), 2, FALSE), 0)"),216452.0)</f>
        <v>216452</v>
      </c>
      <c r="D4740" s="2" t="str">
        <f>IFERROR(__xludf.DUMMYFUNCTION("IFERROR(VLOOKUP(A4740, IMPORTRANGE(""https://docs.google.com/spreadsheets/d/1-3Vjw2Cyy-mry5gbC8ypIR3YVGFfEpyFESummAta6sg/edit"", ""Sheet1!B:D""), 2, FALSE), ""Not Found"")"),"soʊ")</f>
        <v>soʊ</v>
      </c>
      <c r="E4740" s="2" t="str">
        <f>IFERROR(__xludf.DUMMYFUNCTION("IFERROR(VLOOKUP(A4740, IMPORTRANGE(""https://docs.google.com/spreadsheets/d/1-3Vjw2Cyy-mry5gbC8ypIR3YVGFfEpyFESummAta6sg/edit"", ""Sheet1!B:D""), 3, FALSE), ""Not Found"")"),"s o ʊ ")</f>
        <v>s o ʊ </v>
      </c>
    </row>
    <row r="4741">
      <c r="A4741" s="1" t="s">
        <v>4742</v>
      </c>
      <c r="B4741" s="1" t="s">
        <v>5</v>
      </c>
      <c r="C4741" s="2">
        <f>IFERROR(__xludf.DUMMYFUNCTION("IFERROR(VLOOKUP(A4741, IMPORTRANGE(""https://docs.google.com/spreadsheets/d/1AVX9GT0dgogEBStecCXMMQ29tWz3gBrtNB8yIromXbY/edit?gid=741673867"", ""out1g!A:B""), 2, FALSE), 0)"),308.0)</f>
        <v>308</v>
      </c>
      <c r="D4741" s="2" t="str">
        <f>IFERROR(__xludf.DUMMYFUNCTION("IFERROR(VLOOKUP(A4741, IMPORTRANGE(""https://docs.google.com/spreadsheets/d/1-3Vjw2Cyy-mry5gbC8ypIR3YVGFfEpyFESummAta6sg/edit"", ""Sheet1!B:D""), 2, FALSE), ""Not Found"")"),"dæʃ")</f>
        <v>dæʃ</v>
      </c>
      <c r="E4741" s="2" t="str">
        <f>IFERROR(__xludf.DUMMYFUNCTION("IFERROR(VLOOKUP(A4741, IMPORTRANGE(""https://docs.google.com/spreadsheets/d/1-3Vjw2Cyy-mry5gbC8ypIR3YVGFfEpyFESummAta6sg/edit"", ""Sheet1!B:D""), 3, FALSE), ""Not Found"")"),"d æ ʃ ")</f>
        <v>d æ ʃ </v>
      </c>
    </row>
    <row r="4742">
      <c r="A4742" s="1" t="s">
        <v>4743</v>
      </c>
      <c r="B4742" s="1" t="s">
        <v>5</v>
      </c>
      <c r="C4742" s="2">
        <f>IFERROR(__xludf.DUMMYFUNCTION("IFERROR(VLOOKUP(A4742, IMPORTRANGE(""https://docs.google.com/spreadsheets/d/1AVX9GT0dgogEBStecCXMMQ29tWz3gBrtNB8yIromXbY/edit?gid=741673867"", ""out1g!A:B""), 2, FALSE), 0)"),59559.0)</f>
        <v>59559</v>
      </c>
      <c r="D4742" s="2" t="str">
        <f>IFERROR(__xludf.DUMMYFUNCTION("IFERROR(VLOOKUP(A4742, IMPORTRANGE(""https://docs.google.com/spreadsheets/d/1-3Vjw2Cyy-mry5gbC8ypIR3YVGFfEpyFESummAta6sg/edit"", ""Sheet1!B:D""), 2, FALSE), ""Not Found"")"),"gɪv")</f>
        <v>gɪv</v>
      </c>
      <c r="E4742" s="2" t="str">
        <f>IFERROR(__xludf.DUMMYFUNCTION("IFERROR(VLOOKUP(A4742, IMPORTRANGE(""https://docs.google.com/spreadsheets/d/1-3Vjw2Cyy-mry5gbC8ypIR3YVGFfEpyFESummAta6sg/edit"", ""Sheet1!B:D""), 3, FALSE), ""Not Found"")"),"g ɪ v ")</f>
        <v>g ɪ v </v>
      </c>
    </row>
    <row r="4743">
      <c r="A4743" s="1" t="s">
        <v>4744</v>
      </c>
      <c r="B4743" s="1" t="s">
        <v>5</v>
      </c>
      <c r="C4743" s="2">
        <f>IFERROR(__xludf.DUMMYFUNCTION("IFERROR(VLOOKUP(A4743, IMPORTRANGE(""https://docs.google.com/spreadsheets/d/1AVX9GT0dgogEBStecCXMMQ29tWz3gBrtNB8yIromXbY/edit?gid=741673867"", ""out1g!A:B""), 2, FALSE), 0)"),64.0)</f>
        <v>64</v>
      </c>
      <c r="D4743" s="2" t="str">
        <f>IFERROR(__xludf.DUMMYFUNCTION("IFERROR(VLOOKUP(A4743, IMPORTRANGE(""https://docs.google.com/spreadsheets/d/1-3Vjw2Cyy-mry5gbC8ypIR3YVGFfEpyFESummAta6sg/edit"", ""Sheet1!B:D""), 2, FALSE), ""Not Found"")"),"stoʊ")</f>
        <v>stoʊ</v>
      </c>
      <c r="E4743" s="2" t="str">
        <f>IFERROR(__xludf.DUMMYFUNCTION("IFERROR(VLOOKUP(A4743, IMPORTRANGE(""https://docs.google.com/spreadsheets/d/1-3Vjw2Cyy-mry5gbC8ypIR3YVGFfEpyFESummAta6sg/edit"", ""Sheet1!B:D""), 3, FALSE), ""Not Found"")"),"s t o ʊ ")</f>
        <v>s t o ʊ </v>
      </c>
    </row>
    <row r="4744">
      <c r="A4744" s="1" t="s">
        <v>4745</v>
      </c>
      <c r="B4744" s="1" t="s">
        <v>5</v>
      </c>
      <c r="C4744" s="2">
        <f>IFERROR(__xludf.DUMMYFUNCTION("IFERROR(VLOOKUP(A4744, IMPORTRANGE(""https://docs.google.com/spreadsheets/d/1AVX9GT0dgogEBStecCXMMQ29tWz3gBrtNB8yIromXbY/edit?gid=741673867"", ""out1g!A:B""), 2, FALSE), 0)"),29.0)</f>
        <v>29</v>
      </c>
      <c r="D4744" s="2" t="str">
        <f>IFERROR(__xludf.DUMMYFUNCTION("IFERROR(VLOOKUP(A4744, IMPORTRANGE(""https://docs.google.com/spreadsheets/d/1-3Vjw2Cyy-mry5gbC8ypIR3YVGFfEpyFESummAta6sg/edit"", ""Sheet1!B:D""), 2, FALSE), ""Not Found"")"),"wɑŋk")</f>
        <v>wɑŋk</v>
      </c>
      <c r="E4744" s="2" t="str">
        <f>IFERROR(__xludf.DUMMYFUNCTION("IFERROR(VLOOKUP(A4744, IMPORTRANGE(""https://docs.google.com/spreadsheets/d/1-3Vjw2Cyy-mry5gbC8ypIR3YVGFfEpyFESummAta6sg/edit"", ""Sheet1!B:D""), 3, FALSE), ""Not Found"")"),"w ɑ ŋ k ")</f>
        <v>w ɑ ŋ k </v>
      </c>
    </row>
    <row r="4745">
      <c r="A4745" s="1" t="s">
        <v>4746</v>
      </c>
      <c r="B4745" s="1" t="s">
        <v>5</v>
      </c>
      <c r="C4745" s="2">
        <f>IFERROR(__xludf.DUMMYFUNCTION("IFERROR(VLOOKUP(A4745, IMPORTRANGE(""https://docs.google.com/spreadsheets/d/1AVX9GT0dgogEBStecCXMMQ29tWz3gBrtNB8yIromXbY/edit?gid=741673867"", ""out1g!A:B""), 2, FALSE), 0)"),84.0)</f>
        <v>84</v>
      </c>
      <c r="D4745" s="2" t="str">
        <f>IFERROR(__xludf.DUMMYFUNCTION("IFERROR(VLOOKUP(A4745, IMPORTRANGE(""https://docs.google.com/spreadsheets/d/1-3Vjw2Cyy-mry5gbC8ypIR3YVGFfEpyFESummAta6sg/edit"", ""Sheet1!B:D""), 2, FALSE), ""Not Found"")"),"raɪtli")</f>
        <v>raɪtli</v>
      </c>
      <c r="E4745" s="2" t="str">
        <f>IFERROR(__xludf.DUMMYFUNCTION("IFERROR(VLOOKUP(A4745, IMPORTRANGE(""https://docs.google.com/spreadsheets/d/1-3Vjw2Cyy-mry5gbC8ypIR3YVGFfEpyFESummAta6sg/edit"", ""Sheet1!B:D""), 3, FALSE), ""Not Found"")"),"r a ɪ t l i ")</f>
        <v>r a ɪ t l i </v>
      </c>
    </row>
    <row r="4746">
      <c r="A4746" s="1" t="s">
        <v>4747</v>
      </c>
      <c r="B4746" s="1" t="s">
        <v>5</v>
      </c>
      <c r="C4746" s="2">
        <f>IFERROR(__xludf.DUMMYFUNCTION("IFERROR(VLOOKUP(A4746, IMPORTRANGE(""https://docs.google.com/spreadsheets/d/1AVX9GT0dgogEBStecCXMMQ29tWz3gBrtNB8yIromXbY/edit?gid=741673867"", ""out1g!A:B""), 2, FALSE), 0)"),294.0)</f>
        <v>294</v>
      </c>
      <c r="D4746" s="2" t="str">
        <f>IFERROR(__xludf.DUMMYFUNCTION("IFERROR(VLOOKUP(A4746, IMPORTRANGE(""https://docs.google.com/spreadsheets/d/1-3Vjw2Cyy-mry5gbC8ypIR3YVGFfEpyFESummAta6sg/edit"", ""Sheet1!B:D""), 2, FALSE), ""Not Found"")"),"tæb")</f>
        <v>tæb</v>
      </c>
      <c r="E4746" s="2" t="str">
        <f>IFERROR(__xludf.DUMMYFUNCTION("IFERROR(VLOOKUP(A4746, IMPORTRANGE(""https://docs.google.com/spreadsheets/d/1-3Vjw2Cyy-mry5gbC8ypIR3YVGFfEpyFESummAta6sg/edit"", ""Sheet1!B:D""), 3, FALSE), ""Not Found"")"),"t æ b ")</f>
        <v>t æ b </v>
      </c>
    </row>
    <row r="4747">
      <c r="A4747" s="1" t="s">
        <v>4748</v>
      </c>
      <c r="B4747" s="1" t="s">
        <v>5</v>
      </c>
      <c r="C4747" s="2">
        <f>IFERROR(__xludf.DUMMYFUNCTION("IFERROR(VLOOKUP(A4747, IMPORTRANGE(""https://docs.google.com/spreadsheets/d/1AVX9GT0dgogEBStecCXMMQ29tWz3gBrtNB8yIromXbY/edit?gid=741673867"", ""out1g!A:B""), 2, FALSE), 0)"),25.0)</f>
        <v>25</v>
      </c>
      <c r="D4747" s="2" t="str">
        <f>IFERROR(__xludf.DUMMYFUNCTION("IFERROR(VLOOKUP(A4747, IMPORTRANGE(""https://docs.google.com/spreadsheets/d/1-3Vjw2Cyy-mry5gbC8ypIR3YVGFfEpyFESummAta6sg/edit"", ""Sheet1!B:D""), 2, FALSE), ""Not Found"")"),"swupt")</f>
        <v>swupt</v>
      </c>
      <c r="E4747" s="2" t="str">
        <f>IFERROR(__xludf.DUMMYFUNCTION("IFERROR(VLOOKUP(A4747, IMPORTRANGE(""https://docs.google.com/spreadsheets/d/1-3Vjw2Cyy-mry5gbC8ypIR3YVGFfEpyFESummAta6sg/edit"", ""Sheet1!B:D""), 3, FALSE), ""Not Found"")"),"s w u p t ")</f>
        <v>s w u p t </v>
      </c>
    </row>
    <row r="4748">
      <c r="A4748" s="1" t="s">
        <v>4749</v>
      </c>
      <c r="B4748" s="1" t="s">
        <v>5</v>
      </c>
      <c r="C4748" s="2">
        <f>IFERROR(__xludf.DUMMYFUNCTION("IFERROR(VLOOKUP(A4748, IMPORTRANGE(""https://docs.google.com/spreadsheets/d/1AVX9GT0dgogEBStecCXMMQ29tWz3gBrtNB8yIromXbY/edit?gid=741673867"", ""out1g!A:B""), 2, FALSE), 0)"),1196.0)</f>
        <v>1196</v>
      </c>
      <c r="D4748" s="2" t="str">
        <f>IFERROR(__xludf.DUMMYFUNCTION("IFERROR(VLOOKUP(A4748, IMPORTRANGE(""https://docs.google.com/spreadsheets/d/1-3Vjw2Cyy-mry5gbC8ypIR3YVGFfEpyFESummAta6sg/edit"", ""Sheet1!B:D""), 2, FALSE), ""Not Found"")"),"stɛrɪŋ")</f>
        <v>stɛrɪŋ</v>
      </c>
      <c r="E4748" s="2" t="str">
        <f>IFERROR(__xludf.DUMMYFUNCTION("IFERROR(VLOOKUP(A4748, IMPORTRANGE(""https://docs.google.com/spreadsheets/d/1-3Vjw2Cyy-mry5gbC8ypIR3YVGFfEpyFESummAta6sg/edit"", ""Sheet1!B:D""), 3, FALSE), ""Not Found"")"),"s t ɛ r ɪ ŋ ")</f>
        <v>s t ɛ r ɪ ŋ </v>
      </c>
    </row>
    <row r="4749">
      <c r="A4749" s="1" t="s">
        <v>4750</v>
      </c>
      <c r="B4749" s="1" t="s">
        <v>5</v>
      </c>
      <c r="C4749" s="2">
        <f>IFERROR(__xludf.DUMMYFUNCTION("IFERROR(VLOOKUP(A4749, IMPORTRANGE(""https://docs.google.com/spreadsheets/d/1AVX9GT0dgogEBStecCXMMQ29tWz3gBrtNB8yIromXbY/edit?gid=741673867"", ""out1g!A:B""), 2, FALSE), 0)"),358.0)</f>
        <v>358</v>
      </c>
      <c r="D4749" s="2" t="str">
        <f>IFERROR(__xludf.DUMMYFUNCTION("IFERROR(VLOOKUP(A4749, IMPORTRANGE(""https://docs.google.com/spreadsheets/d/1-3Vjw2Cyy-mry5gbC8ypIR3YVGFfEpyFESummAta6sg/edit"", ""Sheet1!B:D""), 2, FALSE), ""Not Found"")"),"smæʃt")</f>
        <v>smæʃt</v>
      </c>
      <c r="E4749" s="2" t="str">
        <f>IFERROR(__xludf.DUMMYFUNCTION("IFERROR(VLOOKUP(A4749, IMPORTRANGE(""https://docs.google.com/spreadsheets/d/1-3Vjw2Cyy-mry5gbC8ypIR3YVGFfEpyFESummAta6sg/edit"", ""Sheet1!B:D""), 3, FALSE), ""Not Found"")"),"s m æ ʃ t ")</f>
        <v>s m æ ʃ t </v>
      </c>
    </row>
    <row r="4750">
      <c r="A4750" s="1" t="s">
        <v>4751</v>
      </c>
      <c r="B4750" s="1" t="s">
        <v>5</v>
      </c>
      <c r="C4750" s="2">
        <f>IFERROR(__xludf.DUMMYFUNCTION("IFERROR(VLOOKUP(A4750, IMPORTRANGE(""https://docs.google.com/spreadsheets/d/1AVX9GT0dgogEBStecCXMMQ29tWz3gBrtNB8yIromXbY/edit?gid=741673867"", ""out1g!A:B""), 2, FALSE), 0)"),81.0)</f>
        <v>81</v>
      </c>
      <c r="D4750" s="2" t="str">
        <f>IFERROR(__xludf.DUMMYFUNCTION("IFERROR(VLOOKUP(A4750, IMPORTRANGE(""https://docs.google.com/spreadsheets/d/1-3Vjw2Cyy-mry5gbC8ypIR3YVGFfEpyFESummAta6sg/edit"", ""Sheet1!B:D""), 2, FALSE), ""Not Found"")"),"grɪts")</f>
        <v>grɪts</v>
      </c>
      <c r="E4750" s="2" t="str">
        <f>IFERROR(__xludf.DUMMYFUNCTION("IFERROR(VLOOKUP(A4750, IMPORTRANGE(""https://docs.google.com/spreadsheets/d/1-3Vjw2Cyy-mry5gbC8ypIR3YVGFfEpyFESummAta6sg/edit"", ""Sheet1!B:D""), 3, FALSE), ""Not Found"")"),"g r ɪ t s ")</f>
        <v>g r ɪ t s </v>
      </c>
    </row>
    <row r="4751">
      <c r="A4751" s="1" t="s">
        <v>4752</v>
      </c>
      <c r="B4751" s="1" t="s">
        <v>5</v>
      </c>
      <c r="C4751" s="2">
        <f>IFERROR(__xludf.DUMMYFUNCTION("IFERROR(VLOOKUP(A4751, IMPORTRANGE(""https://docs.google.com/spreadsheets/d/1AVX9GT0dgogEBStecCXMMQ29tWz3gBrtNB8yIromXbY/edit?gid=741673867"", ""out1g!A:B""), 2, FALSE), 0)"),1399.0)</f>
        <v>1399</v>
      </c>
      <c r="D4751" s="2" t="str">
        <f>IFERROR(__xludf.DUMMYFUNCTION("IFERROR(VLOOKUP(A4751, IMPORTRANGE(""https://docs.google.com/spreadsheets/d/1-3Vjw2Cyy-mry5gbC8ypIR3YVGFfEpyFESummAta6sg/edit"", ""Sheet1!B:D""), 2, FALSE), ""Not Found"")"),"raɪz")</f>
        <v>raɪz</v>
      </c>
      <c r="E4751" s="2" t="str">
        <f>IFERROR(__xludf.DUMMYFUNCTION("IFERROR(VLOOKUP(A4751, IMPORTRANGE(""https://docs.google.com/spreadsheets/d/1-3Vjw2Cyy-mry5gbC8ypIR3YVGFfEpyFESummAta6sg/edit"", ""Sheet1!B:D""), 3, FALSE), ""Not Found"")"),"r a ɪ z ")</f>
        <v>r a ɪ z </v>
      </c>
    </row>
    <row r="4752">
      <c r="A4752" s="1" t="s">
        <v>4753</v>
      </c>
      <c r="B4752" s="1" t="s">
        <v>5</v>
      </c>
      <c r="C4752" s="2">
        <f>IFERROR(__xludf.DUMMYFUNCTION("IFERROR(VLOOKUP(A4752, IMPORTRANGE(""https://docs.google.com/spreadsheets/d/1AVX9GT0dgogEBStecCXMMQ29tWz3gBrtNB8yIromXbY/edit?gid=741673867"", ""out1g!A:B""), 2, FALSE), 0)"),537.0)</f>
        <v>537</v>
      </c>
      <c r="D4752" s="2" t="str">
        <f>IFERROR(__xludf.DUMMYFUNCTION("IFERROR(VLOOKUP(A4752, IMPORTRANGE(""https://docs.google.com/spreadsheets/d/1-3Vjw2Cyy-mry5gbC8ypIR3YVGFfEpyFESummAta6sg/edit"", ""Sheet1!B:D""), 2, FALSE), ""Not Found"")"),"goʊt")</f>
        <v>goʊt</v>
      </c>
      <c r="E4752" s="2" t="str">
        <f>IFERROR(__xludf.DUMMYFUNCTION("IFERROR(VLOOKUP(A4752, IMPORTRANGE(""https://docs.google.com/spreadsheets/d/1-3Vjw2Cyy-mry5gbC8ypIR3YVGFfEpyFESummAta6sg/edit"", ""Sheet1!B:D""), 3, FALSE), ""Not Found"")"),"g o ʊ t ")</f>
        <v>g o ʊ t </v>
      </c>
    </row>
    <row r="4753">
      <c r="A4753" s="1" t="s">
        <v>4754</v>
      </c>
      <c r="B4753" s="1" t="s">
        <v>5</v>
      </c>
      <c r="C4753" s="2">
        <f>IFERROR(__xludf.DUMMYFUNCTION("IFERROR(VLOOKUP(A4753, IMPORTRANGE(""https://docs.google.com/spreadsheets/d/1AVX9GT0dgogEBStecCXMMQ29tWz3gBrtNB8yIromXbY/edit?gid=741673867"", ""out1g!A:B""), 2, FALSE), 0)"),1621.0)</f>
        <v>1621</v>
      </c>
      <c r="D4753" s="2" t="str">
        <f>IFERROR(__xludf.DUMMYFUNCTION("IFERROR(VLOOKUP(A4753, IMPORTRANGE(""https://docs.google.com/spreadsheets/d/1-3Vjw2Cyy-mry5gbC8ypIR3YVGFfEpyFESummAta6sg/edit"", ""Sheet1!B:D""), 2, FALSE), ""Not Found"")"),"hɑrm")</f>
        <v>hɑrm</v>
      </c>
      <c r="E4753" s="2" t="str">
        <f>IFERROR(__xludf.DUMMYFUNCTION("IFERROR(VLOOKUP(A4753, IMPORTRANGE(""https://docs.google.com/spreadsheets/d/1-3Vjw2Cyy-mry5gbC8ypIR3YVGFfEpyFESummAta6sg/edit"", ""Sheet1!B:D""), 3, FALSE), ""Not Found"")"),"h ɑ r m ")</f>
        <v>h ɑ r m </v>
      </c>
    </row>
    <row r="4754">
      <c r="A4754" s="1" t="s">
        <v>4755</v>
      </c>
      <c r="B4754" s="1" t="s">
        <v>5</v>
      </c>
      <c r="C4754" s="2">
        <f>IFERROR(__xludf.DUMMYFUNCTION("IFERROR(VLOOKUP(A4754, IMPORTRANGE(""https://docs.google.com/spreadsheets/d/1AVX9GT0dgogEBStecCXMMQ29tWz3gBrtNB8yIromXbY/edit?gid=741673867"", ""out1g!A:B""), 2, FALSE), 0)"),49.0)</f>
        <v>49</v>
      </c>
      <c r="D4754" s="2" t="str">
        <f>IFERROR(__xludf.DUMMYFUNCTION("IFERROR(VLOOKUP(A4754, IMPORTRANGE(""https://docs.google.com/spreadsheets/d/1-3Vjw2Cyy-mry5gbC8ypIR3YVGFfEpyFESummAta6sg/edit"", ""Sheet1!B:D""), 2, FALSE), ""Not Found"")"),"spɛktər")</f>
        <v>spɛktər</v>
      </c>
      <c r="E4754" s="2" t="str">
        <f>IFERROR(__xludf.DUMMYFUNCTION("IFERROR(VLOOKUP(A4754, IMPORTRANGE(""https://docs.google.com/spreadsheets/d/1-3Vjw2Cyy-mry5gbC8ypIR3YVGFfEpyFESummAta6sg/edit"", ""Sheet1!B:D""), 3, FALSE), ""Not Found"")"),"s p ɛ k t ə r ")</f>
        <v>s p ɛ k t ə r </v>
      </c>
    </row>
    <row r="4755">
      <c r="A4755" s="1" t="s">
        <v>4756</v>
      </c>
      <c r="B4755" s="1" t="s">
        <v>5</v>
      </c>
      <c r="C4755" s="2">
        <f>IFERROR(__xludf.DUMMYFUNCTION("IFERROR(VLOOKUP(A4755, IMPORTRANGE(""https://docs.google.com/spreadsheets/d/1AVX9GT0dgogEBStecCXMMQ29tWz3gBrtNB8yIromXbY/edit?gid=741673867"", ""out1g!A:B""), 2, FALSE), 0)"),291780.0)</f>
        <v>291780</v>
      </c>
      <c r="D4755" s="2" t="str">
        <f>IFERROR(__xludf.DUMMYFUNCTION("IFERROR(VLOOKUP(A4755, IMPORTRANGE(""https://docs.google.com/spreadsheets/d/1-3Vjw2Cyy-mry5gbC8ypIR3YVGFfEpyFESummAta6sg/edit"", ""Sheet1!B:D""), 2, FALSE), ""Not Found"")"),"noʊ")</f>
        <v>noʊ</v>
      </c>
      <c r="E4755" s="2" t="str">
        <f>IFERROR(__xludf.DUMMYFUNCTION("IFERROR(VLOOKUP(A4755, IMPORTRANGE(""https://docs.google.com/spreadsheets/d/1-3Vjw2Cyy-mry5gbC8ypIR3YVGFfEpyFESummAta6sg/edit"", ""Sheet1!B:D""), 3, FALSE), ""Not Found"")"),"n o ʊ ")</f>
        <v>n o ʊ </v>
      </c>
    </row>
    <row r="4756">
      <c r="A4756" s="1" t="s">
        <v>4757</v>
      </c>
      <c r="B4756" s="1" t="s">
        <v>5</v>
      </c>
      <c r="C4756" s="2">
        <f>IFERROR(__xludf.DUMMYFUNCTION("IFERROR(VLOOKUP(A4756, IMPORTRANGE(""https://docs.google.com/spreadsheets/d/1AVX9GT0dgogEBStecCXMMQ29tWz3gBrtNB8yIromXbY/edit?gid=741673867"", ""out1g!A:B""), 2, FALSE), 0)"),252.0)</f>
        <v>252</v>
      </c>
      <c r="D4756" s="2" t="str">
        <f>IFERROR(__xludf.DUMMYFUNCTION("IFERROR(VLOOKUP(A4756, IMPORTRANGE(""https://docs.google.com/spreadsheets/d/1-3Vjw2Cyy-mry5gbC8ypIR3YVGFfEpyFESummAta6sg/edit"", ""Sheet1!B:D""), 2, FALSE), ""Not Found"")"),"ʃeks")</f>
        <v>ʃeks</v>
      </c>
      <c r="E4756" s="2" t="str">
        <f>IFERROR(__xludf.DUMMYFUNCTION("IFERROR(VLOOKUP(A4756, IMPORTRANGE(""https://docs.google.com/spreadsheets/d/1-3Vjw2Cyy-mry5gbC8ypIR3YVGFfEpyFESummAta6sg/edit"", ""Sheet1!B:D""), 3, FALSE), ""Not Found"")"),"ʃ e k s ")</f>
        <v>ʃ e k s </v>
      </c>
    </row>
    <row r="4757">
      <c r="A4757" s="1" t="s">
        <v>4758</v>
      </c>
      <c r="B4757" s="1" t="s">
        <v>5</v>
      </c>
      <c r="C4757" s="2">
        <f>IFERROR(__xludf.DUMMYFUNCTION("IFERROR(VLOOKUP(A4757, IMPORTRANGE(""https://docs.google.com/spreadsheets/d/1AVX9GT0dgogEBStecCXMMQ29tWz3gBrtNB8yIromXbY/edit?gid=741673867"", ""out1g!A:B""), 2, FALSE), 0)"),1285.0)</f>
        <v>1285</v>
      </c>
      <c r="D4757" s="2" t="str">
        <f>IFERROR(__xludf.DUMMYFUNCTION("IFERROR(VLOOKUP(A4757, IMPORTRANGE(""https://docs.google.com/spreadsheets/d/1-3Vjw2Cyy-mry5gbC8ypIR3YVGFfEpyFESummAta6sg/edit"", ""Sheet1!B:D""), 2, FALSE), ""Not Found"")"),"sup")</f>
        <v>sup</v>
      </c>
      <c r="E4757" s="2" t="str">
        <f>IFERROR(__xludf.DUMMYFUNCTION("IFERROR(VLOOKUP(A4757, IMPORTRANGE(""https://docs.google.com/spreadsheets/d/1-3Vjw2Cyy-mry5gbC8ypIR3YVGFfEpyFESummAta6sg/edit"", ""Sheet1!B:D""), 3, FALSE), ""Not Found"")"),"s u p ")</f>
        <v>s u p </v>
      </c>
    </row>
    <row r="4758">
      <c r="A4758" s="1" t="s">
        <v>4759</v>
      </c>
      <c r="B4758" s="1" t="s">
        <v>5</v>
      </c>
      <c r="C4758" s="2">
        <f>IFERROR(__xludf.DUMMYFUNCTION("IFERROR(VLOOKUP(A4758, IMPORTRANGE(""https://docs.google.com/spreadsheets/d/1AVX9GT0dgogEBStecCXMMQ29tWz3gBrtNB8yIromXbY/edit?gid=741673867"", ""out1g!A:B""), 2, FALSE), 0)"),226.0)</f>
        <v>226</v>
      </c>
      <c r="D4758" s="2" t="str">
        <f>IFERROR(__xludf.DUMMYFUNCTION("IFERROR(VLOOKUP(A4758, IMPORTRANGE(""https://docs.google.com/spreadsheets/d/1-3Vjw2Cyy-mry5gbC8ypIR3YVGFfEpyFESummAta6sg/edit"", ""Sheet1!B:D""), 2, FALSE), ""Not Found"")"),"vaɪl")</f>
        <v>vaɪl</v>
      </c>
      <c r="E4758" s="2" t="str">
        <f>IFERROR(__xludf.DUMMYFUNCTION("IFERROR(VLOOKUP(A4758, IMPORTRANGE(""https://docs.google.com/spreadsheets/d/1-3Vjw2Cyy-mry5gbC8ypIR3YVGFfEpyFESummAta6sg/edit"", ""Sheet1!B:D""), 3, FALSE), ""Not Found"")"),"v a ɪ l ")</f>
        <v>v a ɪ l </v>
      </c>
    </row>
    <row r="4759">
      <c r="A4759" s="1" t="s">
        <v>4760</v>
      </c>
      <c r="B4759" s="1" t="s">
        <v>5</v>
      </c>
      <c r="C4759" s="2">
        <f>IFERROR(__xludf.DUMMYFUNCTION("IFERROR(VLOOKUP(A4759, IMPORTRANGE(""https://docs.google.com/spreadsheets/d/1AVX9GT0dgogEBStecCXMMQ29tWz3gBrtNB8yIromXbY/edit?gid=741673867"", ""out1g!A:B""), 2, FALSE), 0)"),60.0)</f>
        <v>60</v>
      </c>
      <c r="D4759" s="2" t="str">
        <f>IFERROR(__xludf.DUMMYFUNCTION("IFERROR(VLOOKUP(A4759, IMPORTRANGE(""https://docs.google.com/spreadsheets/d/1-3Vjw2Cyy-mry5gbC8ypIR3YVGFfEpyFESummAta6sg/edit"", ""Sheet1!B:D""), 2, FALSE), ""Not Found"")"),"taɪrɪŋ")</f>
        <v>taɪrɪŋ</v>
      </c>
      <c r="E4759" s="2" t="str">
        <f>IFERROR(__xludf.DUMMYFUNCTION("IFERROR(VLOOKUP(A4759, IMPORTRANGE(""https://docs.google.com/spreadsheets/d/1-3Vjw2Cyy-mry5gbC8ypIR3YVGFfEpyFESummAta6sg/edit"", ""Sheet1!B:D""), 3, FALSE), ""Not Found"")"),"t a ɪ r ɪ ŋ ")</f>
        <v>t a ɪ r ɪ ŋ </v>
      </c>
    </row>
    <row r="4760">
      <c r="A4760" s="1" t="s">
        <v>4761</v>
      </c>
      <c r="B4760" s="1" t="s">
        <v>5</v>
      </c>
      <c r="C4760" s="2">
        <f>IFERROR(__xludf.DUMMYFUNCTION("IFERROR(VLOOKUP(A4760, IMPORTRANGE(""https://docs.google.com/spreadsheets/d/1AVX9GT0dgogEBStecCXMMQ29tWz3gBrtNB8yIromXbY/edit?gid=741673867"", ""out1g!A:B""), 2, FALSE), 0)"),7528.0)</f>
        <v>7528</v>
      </c>
      <c r="D4760" s="2" t="str">
        <f>IFERROR(__xludf.DUMMYFUNCTION("IFERROR(VLOOKUP(A4760, IMPORTRANGE(""https://docs.google.com/spreadsheets/d/1-3Vjw2Cyy-mry5gbC8ypIR3YVGFfEpyFESummAta6sg/edit"", ""Sheet1!B:D""), 2, FALSE), ""Not Found"")"),"tim")</f>
        <v>tim</v>
      </c>
      <c r="E4760" s="2" t="str">
        <f>IFERROR(__xludf.DUMMYFUNCTION("IFERROR(VLOOKUP(A4760, IMPORTRANGE(""https://docs.google.com/spreadsheets/d/1-3Vjw2Cyy-mry5gbC8ypIR3YVGFfEpyFESummAta6sg/edit"", ""Sheet1!B:D""), 3, FALSE), ""Not Found"")"),"t i m ")</f>
        <v>t i m </v>
      </c>
    </row>
    <row r="4761">
      <c r="A4761" s="1" t="s">
        <v>4762</v>
      </c>
      <c r="B4761" s="1" t="s">
        <v>5</v>
      </c>
      <c r="C4761" s="2">
        <f>IFERROR(__xludf.DUMMYFUNCTION("IFERROR(VLOOKUP(A4761, IMPORTRANGE(""https://docs.google.com/spreadsheets/d/1AVX9GT0dgogEBStecCXMMQ29tWz3gBrtNB8yIromXbY/edit?gid=741673867"", ""out1g!A:B""), 2, FALSE), 0)"),1226.0)</f>
        <v>1226</v>
      </c>
      <c r="D4761" s="2" t="str">
        <f>IFERROR(__xludf.DUMMYFUNCTION("IFERROR(VLOOKUP(A4761, IMPORTRANGE(""https://docs.google.com/spreadsheets/d/1-3Vjw2Cyy-mry5gbC8ypIR3YVGFfEpyFESummAta6sg/edit"", ""Sheet1!B:D""), 2, FALSE), ""Not Found"")"),"ɑd")</f>
        <v>ɑd</v>
      </c>
      <c r="E4761" s="2" t="str">
        <f>IFERROR(__xludf.DUMMYFUNCTION("IFERROR(VLOOKUP(A4761, IMPORTRANGE(""https://docs.google.com/spreadsheets/d/1-3Vjw2Cyy-mry5gbC8ypIR3YVGFfEpyFESummAta6sg/edit"", ""Sheet1!B:D""), 3, FALSE), ""Not Found"")"),"ɑ d ")</f>
        <v>ɑ d </v>
      </c>
    </row>
    <row r="4762">
      <c r="A4762" s="1" t="s">
        <v>4763</v>
      </c>
      <c r="B4762" s="1" t="s">
        <v>5</v>
      </c>
      <c r="C4762" s="2">
        <f>IFERROR(__xludf.DUMMYFUNCTION("IFERROR(VLOOKUP(A4762, IMPORTRANGE(""https://docs.google.com/spreadsheets/d/1AVX9GT0dgogEBStecCXMMQ29tWz3gBrtNB8yIromXbY/edit?gid=741673867"", ""out1g!A:B""), 2, FALSE), 0)"),245.0)</f>
        <v>245</v>
      </c>
      <c r="D4762" s="2" t="str">
        <f>IFERROR(__xludf.DUMMYFUNCTION("IFERROR(VLOOKUP(A4762, IMPORTRANGE(""https://docs.google.com/spreadsheets/d/1-3Vjw2Cyy-mry5gbC8ypIR3YVGFfEpyFESummAta6sg/edit"", ""Sheet1!B:D""), 2, FALSE), ""Not Found"")"),"dɪgər")</f>
        <v>dɪgər</v>
      </c>
      <c r="E4762" s="2" t="str">
        <f>IFERROR(__xludf.DUMMYFUNCTION("IFERROR(VLOOKUP(A4762, IMPORTRANGE(""https://docs.google.com/spreadsheets/d/1-3Vjw2Cyy-mry5gbC8ypIR3YVGFfEpyFESummAta6sg/edit"", ""Sheet1!B:D""), 3, FALSE), ""Not Found"")"),"d ɪ g ə r ")</f>
        <v>d ɪ g ə r </v>
      </c>
    </row>
    <row r="4763">
      <c r="A4763" s="1" t="s">
        <v>4764</v>
      </c>
      <c r="B4763" s="1" t="s">
        <v>5</v>
      </c>
      <c r="C4763" s="2">
        <f>IFERROR(__xludf.DUMMYFUNCTION("IFERROR(VLOOKUP(A4763, IMPORTRANGE(""https://docs.google.com/spreadsheets/d/1AVX9GT0dgogEBStecCXMMQ29tWz3gBrtNB8yIromXbY/edit?gid=741673867"", ""out1g!A:B""), 2, FALSE), 0)"),298.0)</f>
        <v>298</v>
      </c>
      <c r="D4763" s="2" t="str">
        <f>IFERROR(__xludf.DUMMYFUNCTION("IFERROR(VLOOKUP(A4763, IMPORTRANGE(""https://docs.google.com/spreadsheets/d/1-3Vjw2Cyy-mry5gbC8ypIR3YVGFfEpyFESummAta6sg/edit"", ""Sheet1!B:D""), 2, FALSE), ""Not Found"")"),"poʊk")</f>
        <v>poʊk</v>
      </c>
      <c r="E4763" s="2" t="str">
        <f>IFERROR(__xludf.DUMMYFUNCTION("IFERROR(VLOOKUP(A4763, IMPORTRANGE(""https://docs.google.com/spreadsheets/d/1-3Vjw2Cyy-mry5gbC8ypIR3YVGFfEpyFESummAta6sg/edit"", ""Sheet1!B:D""), 3, FALSE), ""Not Found"")"),"p o ʊ k ")</f>
        <v>p o ʊ k </v>
      </c>
    </row>
    <row r="4764">
      <c r="A4764" s="1" t="s">
        <v>4765</v>
      </c>
      <c r="B4764" s="1" t="s">
        <v>5</v>
      </c>
      <c r="C4764" s="2">
        <f>IFERROR(__xludf.DUMMYFUNCTION("IFERROR(VLOOKUP(A4764, IMPORTRANGE(""https://docs.google.com/spreadsheets/d/1AVX9GT0dgogEBStecCXMMQ29tWz3gBrtNB8yIromXbY/edit?gid=741673867"", ""out1g!A:B""), 2, FALSE), 0)"),28596.0)</f>
        <v>28596</v>
      </c>
      <c r="D4764" s="2" t="str">
        <f>IFERROR(__xludf.DUMMYFUNCTION("IFERROR(VLOOKUP(A4764, IMPORTRANGE(""https://docs.google.com/spreadsheets/d/1-3Vjw2Cyy-mry5gbC8ypIR3YVGFfEpyFESummAta6sg/edit"", ""Sheet1!B:D""), 2, FALSE), ""Not Found"")"),"liv")</f>
        <v>liv</v>
      </c>
      <c r="E4764" s="2" t="str">
        <f>IFERROR(__xludf.DUMMYFUNCTION("IFERROR(VLOOKUP(A4764, IMPORTRANGE(""https://docs.google.com/spreadsheets/d/1-3Vjw2Cyy-mry5gbC8ypIR3YVGFfEpyFESummAta6sg/edit"", ""Sheet1!B:D""), 3, FALSE), ""Not Found"")"),"l i v ")</f>
        <v>l i v </v>
      </c>
    </row>
    <row r="4765">
      <c r="A4765" s="1" t="s">
        <v>4766</v>
      </c>
      <c r="B4765" s="1" t="s">
        <v>5</v>
      </c>
      <c r="C4765" s="2">
        <f>IFERROR(__xludf.DUMMYFUNCTION("IFERROR(VLOOKUP(A4765, IMPORTRANGE(""https://docs.google.com/spreadsheets/d/1AVX9GT0dgogEBStecCXMMQ29tWz3gBrtNB8yIromXbY/edit?gid=741673867"", ""out1g!A:B""), 2, FALSE), 0)"),341.0)</f>
        <v>341</v>
      </c>
      <c r="D4765" s="2" t="str">
        <f>IFERROR(__xludf.DUMMYFUNCTION("IFERROR(VLOOKUP(A4765, IMPORTRANGE(""https://docs.google.com/spreadsheets/d/1-3Vjw2Cyy-mry5gbC8ypIR3YVGFfEpyFESummAta6sg/edit"", ""Sheet1!B:D""), 2, FALSE), ""Not Found"")"),"lɑʤ")</f>
        <v>lɑʤ</v>
      </c>
      <c r="E4765" s="2" t="str">
        <f>IFERROR(__xludf.DUMMYFUNCTION("IFERROR(VLOOKUP(A4765, IMPORTRANGE(""https://docs.google.com/spreadsheets/d/1-3Vjw2Cyy-mry5gbC8ypIR3YVGFfEpyFESummAta6sg/edit"", ""Sheet1!B:D""), 3, FALSE), ""Not Found"")"),"l ɑ ʤ ")</f>
        <v>l ɑ ʤ </v>
      </c>
    </row>
    <row r="4766">
      <c r="A4766" s="1" t="s">
        <v>4767</v>
      </c>
      <c r="B4766" s="1" t="s">
        <v>5</v>
      </c>
      <c r="C4766" s="2">
        <f>IFERROR(__xludf.DUMMYFUNCTION("IFERROR(VLOOKUP(A4766, IMPORTRANGE(""https://docs.google.com/spreadsheets/d/1AVX9GT0dgogEBStecCXMMQ29tWz3gBrtNB8yIromXbY/edit?gid=741673867"", ""out1g!A:B""), 2, FALSE), 0)"),3457.0)</f>
        <v>3457</v>
      </c>
      <c r="D4766" s="2" t="str">
        <f>IFERROR(__xludf.DUMMYFUNCTION("IFERROR(VLOOKUP(A4766, IMPORTRANGE(""https://docs.google.com/spreadsheets/d/1-3Vjw2Cyy-mry5gbC8ypIR3YVGFfEpyFESummAta6sg/edit"", ""Sheet1!B:D""), 2, FALSE), ""Not Found"")"),"gæs")</f>
        <v>gæs</v>
      </c>
      <c r="E4766" s="2" t="str">
        <f>IFERROR(__xludf.DUMMYFUNCTION("IFERROR(VLOOKUP(A4766, IMPORTRANGE(""https://docs.google.com/spreadsheets/d/1-3Vjw2Cyy-mry5gbC8ypIR3YVGFfEpyFESummAta6sg/edit"", ""Sheet1!B:D""), 3, FALSE), ""Not Found"")"),"g æ s ")</f>
        <v>g æ s </v>
      </c>
    </row>
    <row r="4767">
      <c r="A4767" s="1" t="s">
        <v>4768</v>
      </c>
      <c r="B4767" s="1" t="s">
        <v>5</v>
      </c>
      <c r="C4767" s="2">
        <f>IFERROR(__xludf.DUMMYFUNCTION("IFERROR(VLOOKUP(A4767, IMPORTRANGE(""https://docs.google.com/spreadsheets/d/1AVX9GT0dgogEBStecCXMMQ29tWz3gBrtNB8yIromXbY/edit?gid=741673867"", ""out1g!A:B""), 2, FALSE), 0)"),717.0)</f>
        <v>717</v>
      </c>
      <c r="D4767" s="2" t="str">
        <f>IFERROR(__xludf.DUMMYFUNCTION("IFERROR(VLOOKUP(A4767, IMPORTRANGE(""https://docs.google.com/spreadsheets/d/1-3Vjw2Cyy-mry5gbC8ypIR3YVGFfEpyFESummAta6sg/edit"", ""Sheet1!B:D""), 2, FALSE), ""Not Found"")"),"luiz")</f>
        <v>luiz</v>
      </c>
      <c r="E4767" s="2" t="str">
        <f>IFERROR(__xludf.DUMMYFUNCTION("IFERROR(VLOOKUP(A4767, IMPORTRANGE(""https://docs.google.com/spreadsheets/d/1-3Vjw2Cyy-mry5gbC8ypIR3YVGFfEpyFESummAta6sg/edit"", ""Sheet1!B:D""), 3, FALSE), ""Not Found"")"),"l u i z ")</f>
        <v>l u i z </v>
      </c>
    </row>
    <row r="4768">
      <c r="A4768" s="1" t="s">
        <v>4769</v>
      </c>
      <c r="B4768" s="1" t="s">
        <v>5</v>
      </c>
      <c r="C4768" s="2">
        <f>IFERROR(__xludf.DUMMYFUNCTION("IFERROR(VLOOKUP(A4768, IMPORTRANGE(""https://docs.google.com/spreadsheets/d/1AVX9GT0dgogEBStecCXMMQ29tWz3gBrtNB8yIromXbY/edit?gid=741673867"", ""out1g!A:B""), 2, FALSE), 0)"),272.0)</f>
        <v>272</v>
      </c>
      <c r="D4768" s="2" t="str">
        <f>IFERROR(__xludf.DUMMYFUNCTION("IFERROR(VLOOKUP(A4768, IMPORTRANGE(""https://docs.google.com/spreadsheets/d/1-3Vjw2Cyy-mry5gbC8ypIR3YVGFfEpyFESummAta6sg/edit"", ""Sheet1!B:D""), 2, FALSE), ""Not Found"")"),"biz")</f>
        <v>biz</v>
      </c>
      <c r="E4768" s="2" t="str">
        <f>IFERROR(__xludf.DUMMYFUNCTION("IFERROR(VLOOKUP(A4768, IMPORTRANGE(""https://docs.google.com/spreadsheets/d/1-3Vjw2Cyy-mry5gbC8ypIR3YVGFfEpyFESummAta6sg/edit"", ""Sheet1!B:D""), 3, FALSE), ""Not Found"")"),"b i z ")</f>
        <v>b i z </v>
      </c>
    </row>
    <row r="4769">
      <c r="A4769" s="1" t="s">
        <v>4770</v>
      </c>
      <c r="B4769" s="1" t="s">
        <v>5</v>
      </c>
      <c r="C4769" s="2">
        <f>IFERROR(__xludf.DUMMYFUNCTION("IFERROR(VLOOKUP(A4769, IMPORTRANGE(""https://docs.google.com/spreadsheets/d/1AVX9GT0dgogEBStecCXMMQ29tWz3gBrtNB8yIromXbY/edit?gid=741673867"", ""out1g!A:B""), 2, FALSE), 0)"),488.0)</f>
        <v>488</v>
      </c>
      <c r="D4769" s="2" t="str">
        <f>IFERROR(__xludf.DUMMYFUNCTION("IFERROR(VLOOKUP(A4769, IMPORTRANGE(""https://docs.google.com/spreadsheets/d/1-3Vjw2Cyy-mry5gbC8ypIR3YVGFfEpyFESummAta6sg/edit"", ""Sheet1!B:D""), 2, FALSE), ""Not Found"")"),"pes")</f>
        <v>pes</v>
      </c>
      <c r="E4769" s="2" t="str">
        <f>IFERROR(__xludf.DUMMYFUNCTION("IFERROR(VLOOKUP(A4769, IMPORTRANGE(""https://docs.google.com/spreadsheets/d/1-3Vjw2Cyy-mry5gbC8ypIR3YVGFfEpyFESummAta6sg/edit"", ""Sheet1!B:D""), 3, FALSE), ""Not Found"")"),"p e s ")</f>
        <v>p e s </v>
      </c>
    </row>
    <row r="4770">
      <c r="A4770" s="1" t="s">
        <v>4771</v>
      </c>
      <c r="B4770" s="1" t="s">
        <v>5</v>
      </c>
      <c r="C4770" s="2">
        <f>IFERROR(__xludf.DUMMYFUNCTION("IFERROR(VLOOKUP(A4770, IMPORTRANGE(""https://docs.google.com/spreadsheets/d/1AVX9GT0dgogEBStecCXMMQ29tWz3gBrtNB8yIromXbY/edit?gid=741673867"", ""out1g!A:B""), 2, FALSE), 0)"),328.0)</f>
        <v>328</v>
      </c>
      <c r="D4770" s="2" t="str">
        <f>IFERROR(__xludf.DUMMYFUNCTION("IFERROR(VLOOKUP(A4770, IMPORTRANGE(""https://docs.google.com/spreadsheets/d/1-3Vjw2Cyy-mry5gbC8ypIR3YVGFfEpyFESummAta6sg/edit"", ""Sheet1!B:D""), 2, FALSE), ""Not Found"")"),"bʊʧ")</f>
        <v>bʊʧ</v>
      </c>
      <c r="E4770" s="2" t="str">
        <f>IFERROR(__xludf.DUMMYFUNCTION("IFERROR(VLOOKUP(A4770, IMPORTRANGE(""https://docs.google.com/spreadsheets/d/1-3Vjw2Cyy-mry5gbC8ypIR3YVGFfEpyFESummAta6sg/edit"", ""Sheet1!B:D""), 3, FALSE), ""Not Found"")"),"b ʊ ʧ ")</f>
        <v>b ʊ ʧ </v>
      </c>
    </row>
    <row r="4771">
      <c r="A4771" s="1" t="s">
        <v>4772</v>
      </c>
      <c r="B4771" s="1" t="s">
        <v>5</v>
      </c>
      <c r="C4771" s="2">
        <f>IFERROR(__xludf.DUMMYFUNCTION("IFERROR(VLOOKUP(A4771, IMPORTRANGE(""https://docs.google.com/spreadsheets/d/1AVX9GT0dgogEBStecCXMMQ29tWz3gBrtNB8yIromXbY/edit?gid=741673867"", ""out1g!A:B""), 2, FALSE), 0)"),11275.0)</f>
        <v>11275</v>
      </c>
      <c r="D4771" s="2" t="str">
        <f>IFERROR(__xludf.DUMMYFUNCTION("IFERROR(VLOOKUP(A4771, IMPORTRANGE(""https://docs.google.com/spreadsheets/d/1-3Vjw2Cyy-mry5gbC8ypIR3YVGFfEpyFESummAta6sg/edit"", ""Sheet1!B:D""), 2, FALSE), ""Not Found"")"),"brek")</f>
        <v>brek</v>
      </c>
      <c r="E4771" s="2" t="str">
        <f>IFERROR(__xludf.DUMMYFUNCTION("IFERROR(VLOOKUP(A4771, IMPORTRANGE(""https://docs.google.com/spreadsheets/d/1-3Vjw2Cyy-mry5gbC8ypIR3YVGFfEpyFESummAta6sg/edit"", ""Sheet1!B:D""), 3, FALSE), ""Not Found"")"),"b r e k ")</f>
        <v>b r e k </v>
      </c>
    </row>
    <row r="4772">
      <c r="A4772" s="1" t="s">
        <v>4773</v>
      </c>
      <c r="B4772" s="1" t="s">
        <v>5</v>
      </c>
      <c r="C4772" s="2">
        <f>IFERROR(__xludf.DUMMYFUNCTION("IFERROR(VLOOKUP(A4772, IMPORTRANGE(""https://docs.google.com/spreadsheets/d/1AVX9GT0dgogEBStecCXMMQ29tWz3gBrtNB8yIromXbY/edit?gid=741673867"", ""out1g!A:B""), 2, FALSE), 0)"),60.0)</f>
        <v>60</v>
      </c>
      <c r="D4772" s="2" t="str">
        <f>IFERROR(__xludf.DUMMYFUNCTION("IFERROR(VLOOKUP(A4772, IMPORTRANGE(""https://docs.google.com/spreadsheets/d/1-3Vjw2Cyy-mry5gbC8ypIR3YVGFfEpyFESummAta6sg/edit"", ""Sheet1!B:D""), 2, FALSE), ""Not Found"")"),"mut")</f>
        <v>mut</v>
      </c>
      <c r="E4772" s="2" t="str">
        <f>IFERROR(__xludf.DUMMYFUNCTION("IFERROR(VLOOKUP(A4772, IMPORTRANGE(""https://docs.google.com/spreadsheets/d/1-3Vjw2Cyy-mry5gbC8ypIR3YVGFfEpyFESummAta6sg/edit"", ""Sheet1!B:D""), 3, FALSE), ""Not Found"")"),"m u t ")</f>
        <v>m u t </v>
      </c>
    </row>
    <row r="4773">
      <c r="A4773" s="1" t="s">
        <v>4774</v>
      </c>
      <c r="B4773" s="1" t="s">
        <v>5</v>
      </c>
      <c r="C4773" s="2">
        <f>IFERROR(__xludf.DUMMYFUNCTION("IFERROR(VLOOKUP(A4773, IMPORTRANGE(""https://docs.google.com/spreadsheets/d/1AVX9GT0dgogEBStecCXMMQ29tWz3gBrtNB8yIromXbY/edit?gid=741673867"", ""out1g!A:B""), 2, FALSE), 0)"),87.0)</f>
        <v>87</v>
      </c>
      <c r="D4773" s="2" t="str">
        <f>IFERROR(__xludf.DUMMYFUNCTION("IFERROR(VLOOKUP(A4773, IMPORTRANGE(""https://docs.google.com/spreadsheets/d/1-3Vjw2Cyy-mry5gbC8ypIR3YVGFfEpyFESummAta6sg/edit"", ""Sheet1!B:D""), 2, FALSE), ""Not Found"")"),"oʊmən")</f>
        <v>oʊmən</v>
      </c>
      <c r="E4773" s="2" t="str">
        <f>IFERROR(__xludf.DUMMYFUNCTION("IFERROR(VLOOKUP(A4773, IMPORTRANGE(""https://docs.google.com/spreadsheets/d/1-3Vjw2Cyy-mry5gbC8ypIR3YVGFfEpyFESummAta6sg/edit"", ""Sheet1!B:D""), 3, FALSE), ""Not Found"")"),"o ʊ m ə n ")</f>
        <v>o ʊ m ə n </v>
      </c>
    </row>
    <row r="4774">
      <c r="A4774" s="1" t="s">
        <v>4775</v>
      </c>
      <c r="B4774" s="1" t="s">
        <v>5</v>
      </c>
      <c r="C4774" s="2">
        <f>IFERROR(__xludf.DUMMYFUNCTION("IFERROR(VLOOKUP(A4774, IMPORTRANGE(""https://docs.google.com/spreadsheets/d/1AVX9GT0dgogEBStecCXMMQ29tWz3gBrtNB8yIromXbY/edit?gid=741673867"", ""out1g!A:B""), 2, FALSE), 0)"),508.0)</f>
        <v>508</v>
      </c>
      <c r="D4774" s="2" t="str">
        <f>IFERROR(__xludf.DUMMYFUNCTION("IFERROR(VLOOKUP(A4774, IMPORTRANGE(""https://docs.google.com/spreadsheets/d/1-3Vjw2Cyy-mry5gbC8ypIR3YVGFfEpyFESummAta6sg/edit"", ""Sheet1!B:D""), 2, FALSE), ""Not Found"")"),"bətlər")</f>
        <v>bətlər</v>
      </c>
      <c r="E4774" s="2" t="str">
        <f>IFERROR(__xludf.DUMMYFUNCTION("IFERROR(VLOOKUP(A4774, IMPORTRANGE(""https://docs.google.com/spreadsheets/d/1-3Vjw2Cyy-mry5gbC8ypIR3YVGFfEpyFESummAta6sg/edit"", ""Sheet1!B:D""), 3, FALSE), ""Not Found"")"),"b ə t l ə r ")</f>
        <v>b ə t l ə r </v>
      </c>
    </row>
    <row r="4775">
      <c r="A4775" s="1" t="s">
        <v>4776</v>
      </c>
      <c r="B4775" s="1" t="s">
        <v>5</v>
      </c>
      <c r="C4775" s="2">
        <f>IFERROR(__xludf.DUMMYFUNCTION("IFERROR(VLOOKUP(A4775, IMPORTRANGE(""https://docs.google.com/spreadsheets/d/1AVX9GT0dgogEBStecCXMMQ29tWz3gBrtNB8yIromXbY/edit?gid=741673867"", ""out1g!A:B""), 2, FALSE), 0)"),55.0)</f>
        <v>55</v>
      </c>
      <c r="D4775" s="2" t="str">
        <f>IFERROR(__xludf.DUMMYFUNCTION("IFERROR(VLOOKUP(A4775, IMPORTRANGE(""https://docs.google.com/spreadsheets/d/1-3Vjw2Cyy-mry5gbC8ypIR3YVGFfEpyFESummAta6sg/edit"", ""Sheet1!B:D""), 2, FALSE), ""Not Found"")"),"vaɪbz")</f>
        <v>vaɪbz</v>
      </c>
      <c r="E4775" s="2" t="str">
        <f>IFERROR(__xludf.DUMMYFUNCTION("IFERROR(VLOOKUP(A4775, IMPORTRANGE(""https://docs.google.com/spreadsheets/d/1-3Vjw2Cyy-mry5gbC8ypIR3YVGFfEpyFESummAta6sg/edit"", ""Sheet1!B:D""), 3, FALSE), ""Not Found"")"),"v a ɪ b z ")</f>
        <v>v a ɪ b z </v>
      </c>
    </row>
    <row r="4776">
      <c r="A4776" s="1" t="s">
        <v>4777</v>
      </c>
      <c r="B4776" s="1" t="s">
        <v>5</v>
      </c>
      <c r="C4776" s="2">
        <f>IFERROR(__xludf.DUMMYFUNCTION("IFERROR(VLOOKUP(A4776, IMPORTRANGE(""https://docs.google.com/spreadsheets/d/1AVX9GT0dgogEBStecCXMMQ29tWz3gBrtNB8yIromXbY/edit?gid=741673867"", ""out1g!A:B""), 2, FALSE), 0)"),3070.0)</f>
        <v>3070</v>
      </c>
      <c r="D4776" s="2" t="str">
        <f>IFERROR(__xludf.DUMMYFUNCTION("IFERROR(VLOOKUP(A4776, IMPORTRANGE(""https://docs.google.com/spreadsheets/d/1-3Vjw2Cyy-mry5gbC8ypIR3YVGFfEpyFESummAta6sg/edit"", ""Sheet1!B:D""), 2, FALSE), ""Not Found"")"),"prɛs")</f>
        <v>prɛs</v>
      </c>
      <c r="E4776" s="2" t="str">
        <f>IFERROR(__xludf.DUMMYFUNCTION("IFERROR(VLOOKUP(A4776, IMPORTRANGE(""https://docs.google.com/spreadsheets/d/1-3Vjw2Cyy-mry5gbC8ypIR3YVGFfEpyFESummAta6sg/edit"", ""Sheet1!B:D""), 3, FALSE), ""Not Found"")"),"p r ɛ s ")</f>
        <v>p r ɛ s </v>
      </c>
    </row>
    <row r="4777">
      <c r="A4777" s="1" t="s">
        <v>4778</v>
      </c>
      <c r="B4777" s="1" t="s">
        <v>5</v>
      </c>
      <c r="C4777" s="2">
        <f>IFERROR(__xludf.DUMMYFUNCTION("IFERROR(VLOOKUP(A4777, IMPORTRANGE(""https://docs.google.com/spreadsheets/d/1AVX9GT0dgogEBStecCXMMQ29tWz3gBrtNB8yIromXbY/edit?gid=741673867"", ""out1g!A:B""), 2, FALSE), 0)"),286.0)</f>
        <v>286</v>
      </c>
      <c r="D4777" s="2" t="str">
        <f>IFERROR(__xludf.DUMMYFUNCTION("IFERROR(VLOOKUP(A4777, IMPORTRANGE(""https://docs.google.com/spreadsheets/d/1-3Vjw2Cyy-mry5gbC8ypIR3YVGFfEpyFESummAta6sg/edit"", ""Sheet1!B:D""), 2, FALSE), ""Not Found"")"),"oʊk")</f>
        <v>oʊk</v>
      </c>
      <c r="E4777" s="2" t="str">
        <f>IFERROR(__xludf.DUMMYFUNCTION("IFERROR(VLOOKUP(A4777, IMPORTRANGE(""https://docs.google.com/spreadsheets/d/1-3Vjw2Cyy-mry5gbC8ypIR3YVGFfEpyFESummAta6sg/edit"", ""Sheet1!B:D""), 3, FALSE), ""Not Found"")"),"o ʊ k ")</f>
        <v>o ʊ k </v>
      </c>
    </row>
    <row r="4778">
      <c r="A4778" s="1" t="s">
        <v>4779</v>
      </c>
      <c r="B4778" s="1" t="s">
        <v>5</v>
      </c>
      <c r="C4778" s="2">
        <f>IFERROR(__xludf.DUMMYFUNCTION("IFERROR(VLOOKUP(A4778, IMPORTRANGE(""https://docs.google.com/spreadsheets/d/1AVX9GT0dgogEBStecCXMMQ29tWz3gBrtNB8yIromXbY/edit?gid=741673867"", ""out1g!A:B""), 2, FALSE), 0)"),148.0)</f>
        <v>148</v>
      </c>
      <c r="D4778" s="2" t="str">
        <f>IFERROR(__xludf.DUMMYFUNCTION("IFERROR(VLOOKUP(A4778, IMPORTRANGE(""https://docs.google.com/spreadsheets/d/1-3Vjw2Cyy-mry5gbC8ypIR3YVGFfEpyFESummAta6sg/edit"", ""Sheet1!B:D""), 2, FALSE), ""Not Found"")"),"græd")</f>
        <v>græd</v>
      </c>
      <c r="E4778" s="2" t="str">
        <f>IFERROR(__xludf.DUMMYFUNCTION("IFERROR(VLOOKUP(A4778, IMPORTRANGE(""https://docs.google.com/spreadsheets/d/1-3Vjw2Cyy-mry5gbC8ypIR3YVGFfEpyFESummAta6sg/edit"", ""Sheet1!B:D""), 3, FALSE), ""Not Found"")"),"g r æ d ")</f>
        <v>g r æ d </v>
      </c>
    </row>
    <row r="4779">
      <c r="A4779" s="1" t="s">
        <v>4780</v>
      </c>
      <c r="B4779" s="1" t="s">
        <v>5</v>
      </c>
      <c r="C4779" s="2">
        <f>IFERROR(__xludf.DUMMYFUNCTION("IFERROR(VLOOKUP(A4779, IMPORTRANGE(""https://docs.google.com/spreadsheets/d/1AVX9GT0dgogEBStecCXMMQ29tWz3gBrtNB8yIromXbY/edit?gid=741673867"", ""out1g!A:B""), 2, FALSE), 0)"),73.0)</f>
        <v>73</v>
      </c>
      <c r="D4779" s="2" t="str">
        <f>IFERROR(__xludf.DUMMYFUNCTION("IFERROR(VLOOKUP(A4779, IMPORTRANGE(""https://docs.google.com/spreadsheets/d/1-3Vjw2Cyy-mry5gbC8ypIR3YVGFfEpyFESummAta6sg/edit"", ""Sheet1!B:D""), 2, FALSE), ""Not Found"")"),"lɛm")</f>
        <v>lɛm</v>
      </c>
      <c r="E4779" s="2" t="str">
        <f>IFERROR(__xludf.DUMMYFUNCTION("IFERROR(VLOOKUP(A4779, IMPORTRANGE(""https://docs.google.com/spreadsheets/d/1-3Vjw2Cyy-mry5gbC8ypIR3YVGFfEpyFESummAta6sg/edit"", ""Sheet1!B:D""), 3, FALSE), ""Not Found"")"),"l ɛ m ")</f>
        <v>l ɛ m </v>
      </c>
    </row>
    <row r="4780">
      <c r="A4780" s="1" t="s">
        <v>4781</v>
      </c>
      <c r="B4780" s="1" t="s">
        <v>5</v>
      </c>
      <c r="C4780" s="2">
        <f>IFERROR(__xludf.DUMMYFUNCTION("IFERROR(VLOOKUP(A4780, IMPORTRANGE(""https://docs.google.com/spreadsheets/d/1AVX9GT0dgogEBStecCXMMQ29tWz3gBrtNB8yIromXbY/edit?gid=741673867"", ""out1g!A:B""), 2, FALSE), 0)"),12644.0)</f>
        <v>12644</v>
      </c>
      <c r="D4780" s="2" t="str">
        <f>IFERROR(__xludf.DUMMYFUNCTION("IFERROR(VLOOKUP(A4780, IMPORTRANGE(""https://docs.google.com/spreadsheets/d/1-3Vjw2Cyy-mry5gbC8ypIR3YVGFfEpyFESummAta6sg/edit"", ""Sheet1!B:D""), 2, FALSE), ""Not Found"")"),"taʊn")</f>
        <v>taʊn</v>
      </c>
      <c r="E4780" s="2" t="str">
        <f>IFERROR(__xludf.DUMMYFUNCTION("IFERROR(VLOOKUP(A4780, IMPORTRANGE(""https://docs.google.com/spreadsheets/d/1-3Vjw2Cyy-mry5gbC8ypIR3YVGFfEpyFESummAta6sg/edit"", ""Sheet1!B:D""), 3, FALSE), ""Not Found"")"),"t a ʊ n ")</f>
        <v>t a ʊ n </v>
      </c>
    </row>
    <row r="4781">
      <c r="A4781" s="1" t="s">
        <v>4782</v>
      </c>
      <c r="B4781" s="1" t="s">
        <v>5</v>
      </c>
      <c r="C4781" s="2">
        <f>IFERROR(__xludf.DUMMYFUNCTION("IFERROR(VLOOKUP(A4781, IMPORTRANGE(""https://docs.google.com/spreadsheets/d/1AVX9GT0dgogEBStecCXMMQ29tWz3gBrtNB8yIromXbY/edit?gid=741673867"", ""out1g!A:B""), 2, FALSE), 0)"),788.0)</f>
        <v>788</v>
      </c>
      <c r="D4781" s="2" t="str">
        <f>IFERROR(__xludf.DUMMYFUNCTION("IFERROR(VLOOKUP(A4781, IMPORTRANGE(""https://docs.google.com/spreadsheets/d/1-3Vjw2Cyy-mry5gbC8ypIR3YVGFfEpyFESummAta6sg/edit"", ""Sheet1!B:D""), 2, FALSE), ""Not Found"")"),"rəb")</f>
        <v>rəb</v>
      </c>
      <c r="E4781" s="2" t="str">
        <f>IFERROR(__xludf.DUMMYFUNCTION("IFERROR(VLOOKUP(A4781, IMPORTRANGE(""https://docs.google.com/spreadsheets/d/1-3Vjw2Cyy-mry5gbC8ypIR3YVGFfEpyFESummAta6sg/edit"", ""Sheet1!B:D""), 3, FALSE), ""Not Found"")"),"r ə b ")</f>
        <v>r ə b </v>
      </c>
    </row>
    <row r="4782">
      <c r="A4782" s="1" t="s">
        <v>4783</v>
      </c>
      <c r="B4782" s="1" t="s">
        <v>5</v>
      </c>
      <c r="C4782" s="2">
        <f>IFERROR(__xludf.DUMMYFUNCTION("IFERROR(VLOOKUP(A4782, IMPORTRANGE(""https://docs.google.com/spreadsheets/d/1AVX9GT0dgogEBStecCXMMQ29tWz3gBrtNB8yIromXbY/edit?gid=741673867"", ""out1g!A:B""), 2, FALSE), 0)"),55522.0)</f>
        <v>55522</v>
      </c>
      <c r="D4782" s="2" t="str">
        <f>IFERROR(__xludf.DUMMYFUNCTION("IFERROR(VLOOKUP(A4782, IMPORTRANGE(""https://docs.google.com/spreadsheets/d/1-3Vjw2Cyy-mry5gbC8ypIR3YVGFfEpyFESummAta6sg/edit"", ""Sheet1!B:D""), 2, FALSE), ""Not Found"")"),"θɪŋ")</f>
        <v>θɪŋ</v>
      </c>
      <c r="E4782" s="2" t="str">
        <f>IFERROR(__xludf.DUMMYFUNCTION("IFERROR(VLOOKUP(A4782, IMPORTRANGE(""https://docs.google.com/spreadsheets/d/1-3Vjw2Cyy-mry5gbC8ypIR3YVGFfEpyFESummAta6sg/edit"", ""Sheet1!B:D""), 3, FALSE), ""Not Found"")"),"θ ɪ ŋ ")</f>
        <v>θ ɪ ŋ </v>
      </c>
    </row>
    <row r="4783">
      <c r="A4783" s="1" t="s">
        <v>4784</v>
      </c>
      <c r="B4783" s="1" t="s">
        <v>5</v>
      </c>
      <c r="C4783" s="2">
        <f>IFERROR(__xludf.DUMMYFUNCTION("IFERROR(VLOOKUP(A4783, IMPORTRANGE(""https://docs.google.com/spreadsheets/d/1AVX9GT0dgogEBStecCXMMQ29tWz3gBrtNB8yIromXbY/edit?gid=741673867"", ""out1g!A:B""), 2, FALSE), 0)"),140.0)</f>
        <v>140</v>
      </c>
      <c r="D4783" s="2" t="str">
        <f>IFERROR(__xludf.DUMMYFUNCTION("IFERROR(VLOOKUP(A4783, IMPORTRANGE(""https://docs.google.com/spreadsheets/d/1-3Vjw2Cyy-mry5gbC8ypIR3YVGFfEpyFESummAta6sg/edit"", ""Sheet1!B:D""), 2, FALSE), ""Not Found"")"),"skwərt")</f>
        <v>skwərt</v>
      </c>
      <c r="E4783" s="2" t="str">
        <f>IFERROR(__xludf.DUMMYFUNCTION("IFERROR(VLOOKUP(A4783, IMPORTRANGE(""https://docs.google.com/spreadsheets/d/1-3Vjw2Cyy-mry5gbC8ypIR3YVGFfEpyFESummAta6sg/edit"", ""Sheet1!B:D""), 3, FALSE), ""Not Found"")"),"s k w ə r t ")</f>
        <v>s k w ə r t </v>
      </c>
    </row>
    <row r="4784">
      <c r="A4784" s="1" t="s">
        <v>4785</v>
      </c>
      <c r="B4784" s="1" t="s">
        <v>5</v>
      </c>
      <c r="C4784" s="2">
        <f>IFERROR(__xludf.DUMMYFUNCTION("IFERROR(VLOOKUP(A4784, IMPORTRANGE(""https://docs.google.com/spreadsheets/d/1AVX9GT0dgogEBStecCXMMQ29tWz3gBrtNB8yIromXbY/edit?gid=741673867"", ""out1g!A:B""), 2, FALSE), 0)"),947.0)</f>
        <v>947</v>
      </c>
      <c r="D4784" s="2" t="str">
        <f>IFERROR(__xludf.DUMMYFUNCTION("IFERROR(VLOOKUP(A4784, IMPORTRANGE(""https://docs.google.com/spreadsheets/d/1-3Vjw2Cyy-mry5gbC8ypIR3YVGFfEpyFESummAta6sg/edit"", ""Sheet1!B:D""), 2, FALSE), ""Not Found"")"),"taɪtəl")</f>
        <v>taɪtəl</v>
      </c>
      <c r="E4784" s="2" t="str">
        <f>IFERROR(__xludf.DUMMYFUNCTION("IFERROR(VLOOKUP(A4784, IMPORTRANGE(""https://docs.google.com/spreadsheets/d/1-3Vjw2Cyy-mry5gbC8ypIR3YVGFfEpyFESummAta6sg/edit"", ""Sheet1!B:D""), 3, FALSE), ""Not Found"")"),"t a ɪ t ə l ")</f>
        <v>t a ɪ t ə l </v>
      </c>
    </row>
    <row r="4785">
      <c r="A4785" s="1" t="s">
        <v>4786</v>
      </c>
      <c r="B4785" s="1" t="s">
        <v>5</v>
      </c>
      <c r="C4785" s="2">
        <f>IFERROR(__xludf.DUMMYFUNCTION("IFERROR(VLOOKUP(A4785, IMPORTRANGE(""https://docs.google.com/spreadsheets/d/1AVX9GT0dgogEBStecCXMMQ29tWz3gBrtNB8yIromXbY/edit?gid=741673867"", ""out1g!A:B""), 2, FALSE), 0)"),482.0)</f>
        <v>482</v>
      </c>
      <c r="D4785" s="2" t="str">
        <f>IFERROR(__xludf.DUMMYFUNCTION("IFERROR(VLOOKUP(A4785, IMPORTRANGE(""https://docs.google.com/spreadsheets/d/1-3Vjw2Cyy-mry5gbC8ypIR3YVGFfEpyFESummAta6sg/edit"", ""Sheet1!B:D""), 2, FALSE), ""Not Found"")"),"fɔg")</f>
        <v>fɔg</v>
      </c>
      <c r="E4785" s="2" t="str">
        <f>IFERROR(__xludf.DUMMYFUNCTION("IFERROR(VLOOKUP(A4785, IMPORTRANGE(""https://docs.google.com/spreadsheets/d/1-3Vjw2Cyy-mry5gbC8ypIR3YVGFfEpyFESummAta6sg/edit"", ""Sheet1!B:D""), 3, FALSE), ""Not Found"")"),"f ɔ g ")</f>
        <v>f ɔ g </v>
      </c>
    </row>
    <row r="4786">
      <c r="A4786" s="1" t="s">
        <v>4787</v>
      </c>
      <c r="B4786" s="1" t="s">
        <v>5</v>
      </c>
      <c r="C4786" s="2">
        <f>IFERROR(__xludf.DUMMYFUNCTION("IFERROR(VLOOKUP(A4786, IMPORTRANGE(""https://docs.google.com/spreadsheets/d/1AVX9GT0dgogEBStecCXMMQ29tWz3gBrtNB8yIromXbY/edit?gid=741673867"", ""out1g!A:B""), 2, FALSE), 0)"),2440.0)</f>
        <v>2440</v>
      </c>
      <c r="D4786" s="2" t="str">
        <f>IFERROR(__xludf.DUMMYFUNCTION("IFERROR(VLOOKUP(A4786, IMPORTRANGE(""https://docs.google.com/spreadsheets/d/1-3Vjw2Cyy-mry5gbC8ypIR3YVGFfEpyFESummAta6sg/edit"", ""Sheet1!B:D""), 2, FALSE), ""Not Found"")"),"tiθ")</f>
        <v>tiθ</v>
      </c>
      <c r="E4786" s="2" t="str">
        <f>IFERROR(__xludf.DUMMYFUNCTION("IFERROR(VLOOKUP(A4786, IMPORTRANGE(""https://docs.google.com/spreadsheets/d/1-3Vjw2Cyy-mry5gbC8ypIR3YVGFfEpyFESummAta6sg/edit"", ""Sheet1!B:D""), 3, FALSE), ""Not Found"")"),"t i θ ")</f>
        <v>t i θ </v>
      </c>
    </row>
    <row r="4787">
      <c r="A4787" s="1" t="s">
        <v>4788</v>
      </c>
      <c r="B4787" s="1" t="s">
        <v>5</v>
      </c>
      <c r="C4787" s="2">
        <f>IFERROR(__xludf.DUMMYFUNCTION("IFERROR(VLOOKUP(A4787, IMPORTRANGE(""https://docs.google.com/spreadsheets/d/1AVX9GT0dgogEBStecCXMMQ29tWz3gBrtNB8yIromXbY/edit?gid=741673867"", ""out1g!A:B""), 2, FALSE), 0)"),974.0)</f>
        <v>974</v>
      </c>
      <c r="D4787" s="2" t="str">
        <f>IFERROR(__xludf.DUMMYFUNCTION("IFERROR(VLOOKUP(A4787, IMPORTRANGE(""https://docs.google.com/spreadsheets/d/1-3Vjw2Cyy-mry5gbC8ypIR3YVGFfEpyFESummAta6sg/edit"", ""Sheet1!B:D""), 2, FALSE), ""Not Found"")"),"hərtɪŋ")</f>
        <v>hərtɪŋ</v>
      </c>
      <c r="E4787" s="2" t="str">
        <f>IFERROR(__xludf.DUMMYFUNCTION("IFERROR(VLOOKUP(A4787, IMPORTRANGE(""https://docs.google.com/spreadsheets/d/1-3Vjw2Cyy-mry5gbC8ypIR3YVGFfEpyFESummAta6sg/edit"", ""Sheet1!B:D""), 3, FALSE), ""Not Found"")"),"h ə r t ɪ ŋ ")</f>
        <v>h ə r t ɪ ŋ </v>
      </c>
    </row>
    <row r="4788">
      <c r="A4788" s="1" t="s">
        <v>4789</v>
      </c>
      <c r="B4788" s="1" t="s">
        <v>5</v>
      </c>
      <c r="C4788" s="2">
        <f>IFERROR(__xludf.DUMMYFUNCTION("IFERROR(VLOOKUP(A4788, IMPORTRANGE(""https://docs.google.com/spreadsheets/d/1AVX9GT0dgogEBStecCXMMQ29tWz3gBrtNB8yIromXbY/edit?gid=741673867"", ""out1g!A:B""), 2, FALSE), 0)"),84.0)</f>
        <v>84</v>
      </c>
      <c r="D4788" s="2" t="str">
        <f>IFERROR(__xludf.DUMMYFUNCTION("IFERROR(VLOOKUP(A4788, IMPORTRANGE(""https://docs.google.com/spreadsheets/d/1-3Vjw2Cyy-mry5gbC8ypIR3YVGFfEpyFESummAta6sg/edit"", ""Sheet1!B:D""), 2, FALSE), ""Not Found"")"),"swaɪpt")</f>
        <v>swaɪpt</v>
      </c>
      <c r="E4788" s="2" t="str">
        <f>IFERROR(__xludf.DUMMYFUNCTION("IFERROR(VLOOKUP(A4788, IMPORTRANGE(""https://docs.google.com/spreadsheets/d/1-3Vjw2Cyy-mry5gbC8ypIR3YVGFfEpyFESummAta6sg/edit"", ""Sheet1!B:D""), 3, FALSE), ""Not Found"")"),"s w a ɪ p t ")</f>
        <v>s w a ɪ p t </v>
      </c>
    </row>
    <row r="4789">
      <c r="A4789" s="1" t="s">
        <v>4790</v>
      </c>
      <c r="B4789" s="1" t="s">
        <v>5</v>
      </c>
      <c r="C4789" s="2">
        <f>IFERROR(__xludf.DUMMYFUNCTION("IFERROR(VLOOKUP(A4789, IMPORTRANGE(""https://docs.google.com/spreadsheets/d/1AVX9GT0dgogEBStecCXMMQ29tWz3gBrtNB8yIromXbY/edit?gid=741673867"", ""out1g!A:B""), 2, FALSE), 0)"),143.0)</f>
        <v>143</v>
      </c>
      <c r="D4789" s="2" t="str">
        <f>IFERROR(__xludf.DUMMYFUNCTION("IFERROR(VLOOKUP(A4789, IMPORTRANGE(""https://docs.google.com/spreadsheets/d/1-3Vjw2Cyy-mry5gbC8ypIR3YVGFfEpyFESummAta6sg/edit"", ""Sheet1!B:D""), 2, FALSE), ""Not Found"")"),"prɛri")</f>
        <v>prɛri</v>
      </c>
      <c r="E4789" s="2" t="str">
        <f>IFERROR(__xludf.DUMMYFUNCTION("IFERROR(VLOOKUP(A4789, IMPORTRANGE(""https://docs.google.com/spreadsheets/d/1-3Vjw2Cyy-mry5gbC8ypIR3YVGFfEpyFESummAta6sg/edit"", ""Sheet1!B:D""), 3, FALSE), ""Not Found"")"),"p r ɛ r i ")</f>
        <v>p r ɛ r i </v>
      </c>
    </row>
    <row r="4790">
      <c r="A4790" s="1" t="s">
        <v>4791</v>
      </c>
      <c r="B4790" s="1" t="s">
        <v>5</v>
      </c>
      <c r="C4790" s="2">
        <f>IFERROR(__xludf.DUMMYFUNCTION("IFERROR(VLOOKUP(A4790, IMPORTRANGE(""https://docs.google.com/spreadsheets/d/1AVX9GT0dgogEBStecCXMMQ29tWz3gBrtNB8yIromXbY/edit?gid=741673867"", ""out1g!A:B""), 2, FALSE), 0)"),49.0)</f>
        <v>49</v>
      </c>
      <c r="D4790" s="2" t="str">
        <f>IFERROR(__xludf.DUMMYFUNCTION("IFERROR(VLOOKUP(A4790, IMPORTRANGE(""https://docs.google.com/spreadsheets/d/1-3Vjw2Cyy-mry5gbC8ypIR3YVGFfEpyFESummAta6sg/edit"", ""Sheet1!B:D""), 2, FALSE), ""Not Found"")"),"tɛriər")</f>
        <v>tɛriər</v>
      </c>
      <c r="E4790" s="2" t="str">
        <f>IFERROR(__xludf.DUMMYFUNCTION("IFERROR(VLOOKUP(A4790, IMPORTRANGE(""https://docs.google.com/spreadsheets/d/1-3Vjw2Cyy-mry5gbC8ypIR3YVGFfEpyFESummAta6sg/edit"", ""Sheet1!B:D""), 3, FALSE), ""Not Found"")"),"t ɛ r i ə r ")</f>
        <v>t ɛ r i ə r </v>
      </c>
    </row>
    <row r="4791">
      <c r="A4791" s="1" t="s">
        <v>4792</v>
      </c>
      <c r="B4791" s="1" t="s">
        <v>5</v>
      </c>
      <c r="C4791" s="2">
        <f>IFERROR(__xludf.DUMMYFUNCTION("IFERROR(VLOOKUP(A4791, IMPORTRANGE(""https://docs.google.com/spreadsheets/d/1AVX9GT0dgogEBStecCXMMQ29tWz3gBrtNB8yIromXbY/edit?gid=741673867"", ""out1g!A:B""), 2, FALSE), 0)"),88.0)</f>
        <v>88</v>
      </c>
      <c r="D4791" s="2" t="str">
        <f>IFERROR(__xludf.DUMMYFUNCTION("IFERROR(VLOOKUP(A4791, IMPORTRANGE(""https://docs.google.com/spreadsheets/d/1-3Vjw2Cyy-mry5gbC8ypIR3YVGFfEpyFESummAta6sg/edit"", ""Sheet1!B:D""), 2, FALSE), ""Not Found"")"),"wɛnʧ")</f>
        <v>wɛnʧ</v>
      </c>
      <c r="E4791" s="2" t="str">
        <f>IFERROR(__xludf.DUMMYFUNCTION("IFERROR(VLOOKUP(A4791, IMPORTRANGE(""https://docs.google.com/spreadsheets/d/1-3Vjw2Cyy-mry5gbC8ypIR3YVGFfEpyFESummAta6sg/edit"", ""Sheet1!B:D""), 3, FALSE), ""Not Found"")"),"w ɛ n ʧ ")</f>
        <v>w ɛ n ʧ </v>
      </c>
    </row>
    <row r="4792">
      <c r="A4792" s="1" t="s">
        <v>4793</v>
      </c>
      <c r="B4792" s="1" t="s">
        <v>5</v>
      </c>
      <c r="C4792" s="2">
        <f>IFERROR(__xludf.DUMMYFUNCTION("IFERROR(VLOOKUP(A4792, IMPORTRANGE(""https://docs.google.com/spreadsheets/d/1AVX9GT0dgogEBStecCXMMQ29tWz3gBrtNB8yIromXbY/edit?gid=741673867"", ""out1g!A:B""), 2, FALSE), 0)"),54.0)</f>
        <v>54</v>
      </c>
      <c r="D4792" s="2" t="str">
        <f>IFERROR(__xludf.DUMMYFUNCTION("IFERROR(VLOOKUP(A4792, IMPORTRANGE(""https://docs.google.com/spreadsheets/d/1-3Vjw2Cyy-mry5gbC8ypIR3YVGFfEpyFESummAta6sg/edit"", ""Sheet1!B:D""), 2, FALSE), ""Not Found"")"),"ploʊ")</f>
        <v>ploʊ</v>
      </c>
      <c r="E4792" s="2" t="str">
        <f>IFERROR(__xludf.DUMMYFUNCTION("IFERROR(VLOOKUP(A4792, IMPORTRANGE(""https://docs.google.com/spreadsheets/d/1-3Vjw2Cyy-mry5gbC8ypIR3YVGFfEpyFESummAta6sg/edit"", ""Sheet1!B:D""), 3, FALSE), ""Not Found"")"),"p l o ʊ ")</f>
        <v>p l o ʊ </v>
      </c>
    </row>
    <row r="4793">
      <c r="A4793" s="1" t="s">
        <v>4794</v>
      </c>
      <c r="B4793" s="1" t="s">
        <v>5</v>
      </c>
      <c r="C4793" s="2">
        <f>IFERROR(__xludf.DUMMYFUNCTION("IFERROR(VLOOKUP(A4793, IMPORTRANGE(""https://docs.google.com/spreadsheets/d/1AVX9GT0dgogEBStecCXMMQ29tWz3gBrtNB8yIromXbY/edit?gid=741673867"", ""out1g!A:B""), 2, FALSE), 0)"),354.0)</f>
        <v>354</v>
      </c>
      <c r="D4793" s="2" t="str">
        <f>IFERROR(__xludf.DUMMYFUNCTION("IFERROR(VLOOKUP(A4793, IMPORTRANGE(""https://docs.google.com/spreadsheets/d/1-3Vjw2Cyy-mry5gbC8ypIR3YVGFfEpyFESummAta6sg/edit"", ""Sheet1!B:D""), 2, FALSE), ""Not Found"")"),"stəd")</f>
        <v>stəd</v>
      </c>
      <c r="E4793" s="2" t="str">
        <f>IFERROR(__xludf.DUMMYFUNCTION("IFERROR(VLOOKUP(A4793, IMPORTRANGE(""https://docs.google.com/spreadsheets/d/1-3Vjw2Cyy-mry5gbC8ypIR3YVGFfEpyFESummAta6sg/edit"", ""Sheet1!B:D""), 3, FALSE), ""Not Found"")"),"s t ə d ")</f>
        <v>s t ə d </v>
      </c>
    </row>
    <row r="4794">
      <c r="A4794" s="1" t="s">
        <v>4795</v>
      </c>
      <c r="B4794" s="1" t="s">
        <v>5</v>
      </c>
      <c r="C4794" s="2">
        <f>IFERROR(__xludf.DUMMYFUNCTION("IFERROR(VLOOKUP(A4794, IMPORTRANGE(""https://docs.google.com/spreadsheets/d/1AVX9GT0dgogEBStecCXMMQ29tWz3gBrtNB8yIromXbY/edit?gid=741673867"", ""out1g!A:B""), 2, FALSE), 0)"),180.0)</f>
        <v>180</v>
      </c>
      <c r="D4794" s="2" t="str">
        <f>IFERROR(__xludf.DUMMYFUNCTION("IFERROR(VLOOKUP(A4794, IMPORTRANGE(""https://docs.google.com/spreadsheets/d/1-3Vjw2Cyy-mry5gbC8ypIR3YVGFfEpyFESummAta6sg/edit"", ""Sheet1!B:D""), 2, FALSE), ""Not Found"")"),"swɪŋz")</f>
        <v>swɪŋz</v>
      </c>
      <c r="E4794" s="2" t="str">
        <f>IFERROR(__xludf.DUMMYFUNCTION("IFERROR(VLOOKUP(A4794, IMPORTRANGE(""https://docs.google.com/spreadsheets/d/1-3Vjw2Cyy-mry5gbC8ypIR3YVGFfEpyFESummAta6sg/edit"", ""Sheet1!B:D""), 3, FALSE), ""Not Found"")"),"s w ɪ ŋ z ")</f>
        <v>s w ɪ ŋ z </v>
      </c>
    </row>
    <row r="4795">
      <c r="A4795" s="1" t="s">
        <v>4796</v>
      </c>
      <c r="B4795" s="1" t="s">
        <v>5</v>
      </c>
      <c r="C4795" s="2">
        <f>IFERROR(__xludf.DUMMYFUNCTION("IFERROR(VLOOKUP(A4795, IMPORTRANGE(""https://docs.google.com/spreadsheets/d/1AVX9GT0dgogEBStecCXMMQ29tWz3gBrtNB8yIromXbY/edit?gid=741673867"", ""out1g!A:B""), 2, FALSE), 0)"),31.0)</f>
        <v>31</v>
      </c>
      <c r="D4795" s="2" t="str">
        <f>IFERROR(__xludf.DUMMYFUNCTION("IFERROR(VLOOKUP(A4795, IMPORTRANGE(""https://docs.google.com/spreadsheets/d/1-3Vjw2Cyy-mry5gbC8ypIR3YVGFfEpyFESummAta6sg/edit"", ""Sheet1!B:D""), 2, FALSE), ""Not Found"")"),"kets")</f>
        <v>kets</v>
      </c>
      <c r="E4795" s="2" t="str">
        <f>IFERROR(__xludf.DUMMYFUNCTION("IFERROR(VLOOKUP(A4795, IMPORTRANGE(""https://docs.google.com/spreadsheets/d/1-3Vjw2Cyy-mry5gbC8ypIR3YVGFfEpyFESummAta6sg/edit"", ""Sheet1!B:D""), 3, FALSE), ""Not Found"")"),"k e t s ")</f>
        <v>k e t s </v>
      </c>
    </row>
    <row r="4796">
      <c r="A4796" s="1" t="s">
        <v>4797</v>
      </c>
      <c r="B4796" s="1" t="s">
        <v>5</v>
      </c>
      <c r="C4796" s="2">
        <f>IFERROR(__xludf.DUMMYFUNCTION("IFERROR(VLOOKUP(A4796, IMPORTRANGE(""https://docs.google.com/spreadsheets/d/1AVX9GT0dgogEBStecCXMMQ29tWz3gBrtNB8yIromXbY/edit?gid=741673867"", ""out1g!A:B""), 2, FALSE), 0)"),142.0)</f>
        <v>142</v>
      </c>
      <c r="D4796" s="2" t="str">
        <f>IFERROR(__xludf.DUMMYFUNCTION("IFERROR(VLOOKUP(A4796, IMPORTRANGE(""https://docs.google.com/spreadsheets/d/1-3Vjw2Cyy-mry5gbC8ypIR3YVGFfEpyFESummAta6sg/edit"", ""Sheet1!B:D""), 2, FALSE), ""Not Found"")"),"bɑŋ")</f>
        <v>bɑŋ</v>
      </c>
      <c r="E4796" s="2" t="str">
        <f>IFERROR(__xludf.DUMMYFUNCTION("IFERROR(VLOOKUP(A4796, IMPORTRANGE(""https://docs.google.com/spreadsheets/d/1-3Vjw2Cyy-mry5gbC8ypIR3YVGFfEpyFESummAta6sg/edit"", ""Sheet1!B:D""), 3, FALSE), ""Not Found"")"),"b ɑ ŋ ")</f>
        <v>b ɑ ŋ </v>
      </c>
    </row>
    <row r="4797">
      <c r="A4797" s="1" t="s">
        <v>4798</v>
      </c>
      <c r="B4797" s="1" t="s">
        <v>5</v>
      </c>
      <c r="C4797" s="2">
        <f>IFERROR(__xludf.DUMMYFUNCTION("IFERROR(VLOOKUP(A4797, IMPORTRANGE(""https://docs.google.com/spreadsheets/d/1AVX9GT0dgogEBStecCXMMQ29tWz3gBrtNB8yIromXbY/edit?gid=741673867"", ""out1g!A:B""), 2, FALSE), 0)"),54.0)</f>
        <v>54</v>
      </c>
      <c r="D4797" s="2" t="str">
        <f>IFERROR(__xludf.DUMMYFUNCTION("IFERROR(VLOOKUP(A4797, IMPORTRANGE(""https://docs.google.com/spreadsheets/d/1-3Vjw2Cyy-mry5gbC8ypIR3YVGFfEpyFESummAta6sg/edit"", ""Sheet1!B:D""), 2, FALSE), ""Not Found"")"),"flæk")</f>
        <v>flæk</v>
      </c>
      <c r="E4797" s="2" t="str">
        <f>IFERROR(__xludf.DUMMYFUNCTION("IFERROR(VLOOKUP(A4797, IMPORTRANGE(""https://docs.google.com/spreadsheets/d/1-3Vjw2Cyy-mry5gbC8ypIR3YVGFfEpyFESummAta6sg/edit"", ""Sheet1!B:D""), 3, FALSE), ""Not Found"")"),"f l æ k ")</f>
        <v>f l æ k </v>
      </c>
    </row>
    <row r="4798">
      <c r="A4798" s="1" t="s">
        <v>4799</v>
      </c>
      <c r="B4798" s="1" t="s">
        <v>5</v>
      </c>
      <c r="C4798" s="2">
        <f>IFERROR(__xludf.DUMMYFUNCTION("IFERROR(VLOOKUP(A4798, IMPORTRANGE(""https://docs.google.com/spreadsheets/d/1AVX9GT0dgogEBStecCXMMQ29tWz3gBrtNB8yIromXbY/edit?gid=741673867"", ""out1g!A:B""), 2, FALSE), 0)"),14792.0)</f>
        <v>14792</v>
      </c>
      <c r="D4798" s="2" t="str">
        <f>IFERROR(__xludf.DUMMYFUNCTION("IFERROR(VLOOKUP(A4798, IMPORTRANGE(""https://docs.google.com/spreadsheets/d/1-3Vjw2Cyy-mry5gbC8ypIR3YVGFfEpyFESummAta6sg/edit"", ""Sheet1!B:D""), 2, FALSE), ""Not Found"")"),"kɪld")</f>
        <v>kɪld</v>
      </c>
      <c r="E4798" s="2" t="str">
        <f>IFERROR(__xludf.DUMMYFUNCTION("IFERROR(VLOOKUP(A4798, IMPORTRANGE(""https://docs.google.com/spreadsheets/d/1-3Vjw2Cyy-mry5gbC8ypIR3YVGFfEpyFESummAta6sg/edit"", ""Sheet1!B:D""), 3, FALSE), ""Not Found"")"),"k ɪ l d ")</f>
        <v>k ɪ l d </v>
      </c>
    </row>
    <row r="4799">
      <c r="A4799" s="1" t="s">
        <v>4800</v>
      </c>
      <c r="B4799" s="1" t="s">
        <v>5</v>
      </c>
      <c r="C4799" s="2">
        <f>IFERROR(__xludf.DUMMYFUNCTION("IFERROR(VLOOKUP(A4799, IMPORTRANGE(""https://docs.google.com/spreadsheets/d/1AVX9GT0dgogEBStecCXMMQ29tWz3gBrtNB8yIromXbY/edit?gid=741673867"", ""out1g!A:B""), 2, FALSE), 0)"),109.0)</f>
        <v>109</v>
      </c>
      <c r="D4799" s="2" t="str">
        <f>IFERROR(__xludf.DUMMYFUNCTION("IFERROR(VLOOKUP(A4799, IMPORTRANGE(""https://docs.google.com/spreadsheets/d/1-3Vjw2Cyy-mry5gbC8ypIR3YVGFfEpyFESummAta6sg/edit"", ""Sheet1!B:D""), 2, FALSE), ""Not Found"")"),"oʊzoʊn")</f>
        <v>oʊzoʊn</v>
      </c>
      <c r="E4799" s="2" t="str">
        <f>IFERROR(__xludf.DUMMYFUNCTION("IFERROR(VLOOKUP(A4799, IMPORTRANGE(""https://docs.google.com/spreadsheets/d/1-3Vjw2Cyy-mry5gbC8ypIR3YVGFfEpyFESummAta6sg/edit"", ""Sheet1!B:D""), 3, FALSE), ""Not Found"")"),"o ʊ z o ʊ n ")</f>
        <v>o ʊ z o ʊ n </v>
      </c>
    </row>
    <row r="4800">
      <c r="A4800" s="1" t="s">
        <v>4801</v>
      </c>
      <c r="B4800" s="1" t="s">
        <v>5</v>
      </c>
      <c r="C4800" s="2">
        <f>IFERROR(__xludf.DUMMYFUNCTION("IFERROR(VLOOKUP(A4800, IMPORTRANGE(""https://docs.google.com/spreadsheets/d/1AVX9GT0dgogEBStecCXMMQ29tWz3gBrtNB8yIromXbY/edit?gid=741673867"", ""out1g!A:B""), 2, FALSE), 0)"),100.0)</f>
        <v>100</v>
      </c>
      <c r="D4800" s="2" t="str">
        <f>IFERROR(__xludf.DUMMYFUNCTION("IFERROR(VLOOKUP(A4800, IMPORTRANGE(""https://docs.google.com/spreadsheets/d/1-3Vjw2Cyy-mry5gbC8ypIR3YVGFfEpyFESummAta6sg/edit"", ""Sheet1!B:D""), 2, FALSE), ""Not Found"")"),"spidi")</f>
        <v>spidi</v>
      </c>
      <c r="E4800" s="2" t="str">
        <f>IFERROR(__xludf.DUMMYFUNCTION("IFERROR(VLOOKUP(A4800, IMPORTRANGE(""https://docs.google.com/spreadsheets/d/1-3Vjw2Cyy-mry5gbC8ypIR3YVGFfEpyFESummAta6sg/edit"", ""Sheet1!B:D""), 3, FALSE), ""Not Found"")"),"s p i d i ")</f>
        <v>s p i d i </v>
      </c>
    </row>
    <row r="4801">
      <c r="A4801" s="1" t="s">
        <v>4802</v>
      </c>
      <c r="B4801" s="1" t="s">
        <v>5</v>
      </c>
      <c r="C4801" s="2">
        <f>IFERROR(__xludf.DUMMYFUNCTION("IFERROR(VLOOKUP(A4801, IMPORTRANGE(""https://docs.google.com/spreadsheets/d/1AVX9GT0dgogEBStecCXMMQ29tWz3gBrtNB8yIromXbY/edit?gid=741673867"", ""out1g!A:B""), 2, FALSE), 0)"),245.0)</f>
        <v>245</v>
      </c>
      <c r="D4801" s="2" t="str">
        <f>IFERROR(__xludf.DUMMYFUNCTION("IFERROR(VLOOKUP(A4801, IMPORTRANGE(""https://docs.google.com/spreadsheets/d/1-3Vjw2Cyy-mry5gbC8ypIR3YVGFfEpyFESummAta6sg/edit"", ""Sheet1!B:D""), 2, FALSE), ""Not Found"")"),"noʊtɪd")</f>
        <v>noʊtɪd</v>
      </c>
      <c r="E4801" s="2" t="str">
        <f>IFERROR(__xludf.DUMMYFUNCTION("IFERROR(VLOOKUP(A4801, IMPORTRANGE(""https://docs.google.com/spreadsheets/d/1-3Vjw2Cyy-mry5gbC8ypIR3YVGFfEpyFESummAta6sg/edit"", ""Sheet1!B:D""), 3, FALSE), ""Not Found"")"),"n o ʊ t ɪ d ")</f>
        <v>n o ʊ t ɪ d </v>
      </c>
    </row>
    <row r="4802">
      <c r="A4802" s="1" t="s">
        <v>4803</v>
      </c>
      <c r="B4802" s="1" t="s">
        <v>5</v>
      </c>
      <c r="C4802" s="2">
        <f>IFERROR(__xludf.DUMMYFUNCTION("IFERROR(VLOOKUP(A4802, IMPORTRANGE(""https://docs.google.com/spreadsheets/d/1AVX9GT0dgogEBStecCXMMQ29tWz3gBrtNB8yIromXbY/edit?gid=741673867"", ""out1g!A:B""), 2, FALSE), 0)"),683.0)</f>
        <v>683</v>
      </c>
      <c r="D4802" s="2" t="str">
        <f>IFERROR(__xludf.DUMMYFUNCTION("IFERROR(VLOOKUP(A4802, IMPORTRANGE(""https://docs.google.com/spreadsheets/d/1-3Vjw2Cyy-mry5gbC8ypIR3YVGFfEpyFESummAta6sg/edit"", ""Sheet1!B:D""), 2, FALSE), ""Not Found"")"),"gəm")</f>
        <v>gəm</v>
      </c>
      <c r="E4802" s="2" t="str">
        <f>IFERROR(__xludf.DUMMYFUNCTION("IFERROR(VLOOKUP(A4802, IMPORTRANGE(""https://docs.google.com/spreadsheets/d/1-3Vjw2Cyy-mry5gbC8ypIR3YVGFfEpyFESummAta6sg/edit"", ""Sheet1!B:D""), 3, FALSE), ""Not Found"")"),"g ə m ")</f>
        <v>g ə m </v>
      </c>
    </row>
    <row r="4803">
      <c r="A4803" s="1" t="s">
        <v>4804</v>
      </c>
      <c r="B4803" s="1" t="s">
        <v>5</v>
      </c>
      <c r="C4803" s="2">
        <f>IFERROR(__xludf.DUMMYFUNCTION("IFERROR(VLOOKUP(A4803, IMPORTRANGE(""https://docs.google.com/spreadsheets/d/1AVX9GT0dgogEBStecCXMMQ29tWz3gBrtNB8yIromXbY/edit?gid=741673867"", ""out1g!A:B""), 2, FALSE), 0)"),106.0)</f>
        <v>106</v>
      </c>
      <c r="D4803" s="1" t="s">
        <v>4805</v>
      </c>
      <c r="E4803" s="1" t="s">
        <v>4806</v>
      </c>
    </row>
    <row r="4804">
      <c r="A4804" s="1" t="s">
        <v>4807</v>
      </c>
      <c r="B4804" s="1" t="s">
        <v>5</v>
      </c>
      <c r="C4804" s="2">
        <f>IFERROR(__xludf.DUMMYFUNCTION("IFERROR(VLOOKUP(A4804, IMPORTRANGE(""https://docs.google.com/spreadsheets/d/1AVX9GT0dgogEBStecCXMMQ29tWz3gBrtNB8yIromXbY/edit?gid=741673867"", ""out1g!A:B""), 2, FALSE), 0)"),59.0)</f>
        <v>59</v>
      </c>
      <c r="D4804" s="2" t="str">
        <f>IFERROR(__xludf.DUMMYFUNCTION("IFERROR(VLOOKUP(A4804, IMPORTRANGE(""https://docs.google.com/spreadsheets/d/1-3Vjw2Cyy-mry5gbC8ypIR3YVGFfEpyFESummAta6sg/edit"", ""Sheet1!B:D""), 2, FALSE), ""Not Found"")"),"kroʊk")</f>
        <v>kroʊk</v>
      </c>
      <c r="E4804" s="2" t="str">
        <f>IFERROR(__xludf.DUMMYFUNCTION("IFERROR(VLOOKUP(A4804, IMPORTRANGE(""https://docs.google.com/spreadsheets/d/1-3Vjw2Cyy-mry5gbC8ypIR3YVGFfEpyFESummAta6sg/edit"", ""Sheet1!B:D""), 3, FALSE), ""Not Found"")"),"k r o ʊ k ")</f>
        <v>k r o ʊ k </v>
      </c>
    </row>
    <row r="4805">
      <c r="A4805" s="1" t="s">
        <v>4808</v>
      </c>
      <c r="B4805" s="1" t="s">
        <v>5</v>
      </c>
      <c r="C4805" s="2">
        <f>IFERROR(__xludf.DUMMYFUNCTION("IFERROR(VLOOKUP(A4805, IMPORTRANGE(""https://docs.google.com/spreadsheets/d/1AVX9GT0dgogEBStecCXMMQ29tWz3gBrtNB8yIromXbY/edit?gid=741673867"", ""out1g!A:B""), 2, FALSE), 0)"),86.0)</f>
        <v>86</v>
      </c>
      <c r="D4805" s="2" t="str">
        <f>IFERROR(__xludf.DUMMYFUNCTION("IFERROR(VLOOKUP(A4805, IMPORTRANGE(""https://docs.google.com/spreadsheets/d/1-3Vjw2Cyy-mry5gbC8ypIR3YVGFfEpyFESummAta6sg/edit"", ""Sheet1!B:D""), 2, FALSE), ""Not Found"")"),"roʊən")</f>
        <v>roʊən</v>
      </c>
      <c r="E4805" s="2" t="str">
        <f>IFERROR(__xludf.DUMMYFUNCTION("IFERROR(VLOOKUP(A4805, IMPORTRANGE(""https://docs.google.com/spreadsheets/d/1-3Vjw2Cyy-mry5gbC8ypIR3YVGFfEpyFESummAta6sg/edit"", ""Sheet1!B:D""), 3, FALSE), ""Not Found"")"),"r o ʊ ə n ")</f>
        <v>r o ʊ ə n </v>
      </c>
    </row>
    <row r="4806">
      <c r="A4806" s="1" t="s">
        <v>4809</v>
      </c>
      <c r="B4806" s="1" t="s">
        <v>5</v>
      </c>
      <c r="C4806" s="2">
        <f>IFERROR(__xludf.DUMMYFUNCTION("IFERROR(VLOOKUP(A4806, IMPORTRANGE(""https://docs.google.com/spreadsheets/d/1AVX9GT0dgogEBStecCXMMQ29tWz3gBrtNB8yIromXbY/edit?gid=741673867"", ""out1g!A:B""), 2, FALSE), 0)"),728.0)</f>
        <v>728</v>
      </c>
      <c r="D4806" s="2" t="str">
        <f>IFERROR(__xludf.DUMMYFUNCTION("IFERROR(VLOOKUP(A4806, IMPORTRANGE(""https://docs.google.com/spreadsheets/d/1-3Vjw2Cyy-mry5gbC8ypIR3YVGFfEpyFESummAta6sg/edit"", ""Sheet1!B:D""), 2, FALSE), ""Not Found"")"),"draɪvz")</f>
        <v>draɪvz</v>
      </c>
      <c r="E4806" s="2" t="str">
        <f>IFERROR(__xludf.DUMMYFUNCTION("IFERROR(VLOOKUP(A4806, IMPORTRANGE(""https://docs.google.com/spreadsheets/d/1-3Vjw2Cyy-mry5gbC8ypIR3YVGFfEpyFESummAta6sg/edit"", ""Sheet1!B:D""), 3, FALSE), ""Not Found"")"),"d r a ɪ v z ")</f>
        <v>d r a ɪ v z </v>
      </c>
    </row>
    <row r="4807">
      <c r="A4807" s="1" t="s">
        <v>4810</v>
      </c>
      <c r="B4807" s="1" t="s">
        <v>5</v>
      </c>
      <c r="C4807" s="2">
        <f>IFERROR(__xludf.DUMMYFUNCTION("IFERROR(VLOOKUP(A4807, IMPORTRANGE(""https://docs.google.com/spreadsheets/d/1AVX9GT0dgogEBStecCXMMQ29tWz3gBrtNB8yIromXbY/edit?gid=741673867"", ""out1g!A:B""), 2, FALSE), 0)"),134.0)</f>
        <v>134</v>
      </c>
      <c r="D4807" s="2" t="str">
        <f>IFERROR(__xludf.DUMMYFUNCTION("IFERROR(VLOOKUP(A4807, IMPORTRANGE(""https://docs.google.com/spreadsheets/d/1-3Vjw2Cyy-mry5gbC8ypIR3YVGFfEpyFESummAta6sg/edit"", ""Sheet1!B:D""), 2, FALSE), ""Not Found"")"),"pid")</f>
        <v>pid</v>
      </c>
      <c r="E4807" s="2" t="str">
        <f>IFERROR(__xludf.DUMMYFUNCTION("IFERROR(VLOOKUP(A4807, IMPORTRANGE(""https://docs.google.com/spreadsheets/d/1-3Vjw2Cyy-mry5gbC8ypIR3YVGFfEpyFESummAta6sg/edit"", ""Sheet1!B:D""), 3, FALSE), ""Not Found"")"),"p i d ")</f>
        <v>p i d </v>
      </c>
    </row>
    <row r="4808">
      <c r="A4808" s="1" t="s">
        <v>4811</v>
      </c>
      <c r="B4808" s="1" t="s">
        <v>5</v>
      </c>
      <c r="C4808" s="2">
        <f>IFERROR(__xludf.DUMMYFUNCTION("IFERROR(VLOOKUP(A4808, IMPORTRANGE(""https://docs.google.com/spreadsheets/d/1AVX9GT0dgogEBStecCXMMQ29tWz3gBrtNB8yIromXbY/edit?gid=741673867"", ""out1g!A:B""), 2, FALSE), 0)"),104.0)</f>
        <v>104</v>
      </c>
      <c r="D4808" s="2" t="str">
        <f>IFERROR(__xludf.DUMMYFUNCTION("IFERROR(VLOOKUP(A4808, IMPORTRANGE(""https://docs.google.com/spreadsheets/d/1-3Vjw2Cyy-mry5gbC8ypIR3YVGFfEpyFESummAta6sg/edit"", ""Sheet1!B:D""), 2, FALSE), ""Not Found"")"),"spukt")</f>
        <v>spukt</v>
      </c>
      <c r="E4808" s="2" t="str">
        <f>IFERROR(__xludf.DUMMYFUNCTION("IFERROR(VLOOKUP(A4808, IMPORTRANGE(""https://docs.google.com/spreadsheets/d/1-3Vjw2Cyy-mry5gbC8ypIR3YVGFfEpyFESummAta6sg/edit"", ""Sheet1!B:D""), 3, FALSE), ""Not Found"")"),"s p u k t ")</f>
        <v>s p u k t </v>
      </c>
    </row>
    <row r="4809">
      <c r="A4809" s="1" t="s">
        <v>4812</v>
      </c>
      <c r="B4809" s="1" t="s">
        <v>5</v>
      </c>
      <c r="C4809" s="2">
        <f>IFERROR(__xludf.DUMMYFUNCTION("IFERROR(VLOOKUP(A4809, IMPORTRANGE(""https://docs.google.com/spreadsheets/d/1AVX9GT0dgogEBStecCXMMQ29tWz3gBrtNB8yIromXbY/edit?gid=741673867"", ""out1g!A:B""), 2, FALSE), 0)"),66.0)</f>
        <v>66</v>
      </c>
      <c r="D4809" s="2" t="str">
        <f>IFERROR(__xludf.DUMMYFUNCTION("IFERROR(VLOOKUP(A4809, IMPORTRANGE(""https://docs.google.com/spreadsheets/d/1-3Vjw2Cyy-mry5gbC8ypIR3YVGFfEpyFESummAta6sg/edit"", ""Sheet1!B:D""), 2, FALSE), ""Not Found"")"),"suð")</f>
        <v>suð</v>
      </c>
      <c r="E4809" s="2" t="str">
        <f>IFERROR(__xludf.DUMMYFUNCTION("IFERROR(VLOOKUP(A4809, IMPORTRANGE(""https://docs.google.com/spreadsheets/d/1-3Vjw2Cyy-mry5gbC8ypIR3YVGFfEpyFESummAta6sg/edit"", ""Sheet1!B:D""), 3, FALSE), ""Not Found"")"),"s u ð ")</f>
        <v>s u ð </v>
      </c>
    </row>
    <row r="4810">
      <c r="A4810" s="1" t="s">
        <v>4813</v>
      </c>
      <c r="B4810" s="1" t="s">
        <v>5</v>
      </c>
      <c r="C4810" s="2">
        <f>IFERROR(__xludf.DUMMYFUNCTION("IFERROR(VLOOKUP(A4810, IMPORTRANGE(""https://docs.google.com/spreadsheets/d/1AVX9GT0dgogEBStecCXMMQ29tWz3gBrtNB8yIromXbY/edit?gid=741673867"", ""out1g!A:B""), 2, FALSE), 0)"),164.0)</f>
        <v>164</v>
      </c>
      <c r="D4810" s="2" t="str">
        <f>IFERROR(__xludf.DUMMYFUNCTION("IFERROR(VLOOKUP(A4810, IMPORTRANGE(""https://docs.google.com/spreadsheets/d/1-3Vjw2Cyy-mry5gbC8ypIR3YVGFfEpyFESummAta6sg/edit"", ""Sheet1!B:D""), 2, FALSE), ""Not Found"")"),"sæsi")</f>
        <v>sæsi</v>
      </c>
      <c r="E4810" s="2" t="str">
        <f>IFERROR(__xludf.DUMMYFUNCTION("IFERROR(VLOOKUP(A4810, IMPORTRANGE(""https://docs.google.com/spreadsheets/d/1-3Vjw2Cyy-mry5gbC8ypIR3YVGFfEpyFESummAta6sg/edit"", ""Sheet1!B:D""), 3, FALSE), ""Not Found"")"),"s æ s i ")</f>
        <v>s æ s i </v>
      </c>
    </row>
    <row r="4811">
      <c r="A4811" s="1" t="s">
        <v>4814</v>
      </c>
      <c r="B4811" s="1" t="s">
        <v>5</v>
      </c>
      <c r="C4811" s="2">
        <f>IFERROR(__xludf.DUMMYFUNCTION("IFERROR(VLOOKUP(A4811, IMPORTRANGE(""https://docs.google.com/spreadsheets/d/1AVX9GT0dgogEBStecCXMMQ29tWz3gBrtNB8yIromXbY/edit?gid=741673867"", ""out1g!A:B""), 2, FALSE), 0)"),54.0)</f>
        <v>54</v>
      </c>
      <c r="D4811" s="2" t="str">
        <f>IFERROR(__xludf.DUMMYFUNCTION("IFERROR(VLOOKUP(A4811, IMPORTRANGE(""https://docs.google.com/spreadsheets/d/1-3Vjw2Cyy-mry5gbC8ypIR3YVGFfEpyFESummAta6sg/edit"", ""Sheet1!B:D""), 2, FALSE), ""Not Found"")"),"vərb")</f>
        <v>vərb</v>
      </c>
      <c r="E4811" s="2" t="str">
        <f>IFERROR(__xludf.DUMMYFUNCTION("IFERROR(VLOOKUP(A4811, IMPORTRANGE(""https://docs.google.com/spreadsheets/d/1-3Vjw2Cyy-mry5gbC8ypIR3YVGFfEpyFESummAta6sg/edit"", ""Sheet1!B:D""), 3, FALSE), ""Not Found"")"),"v ə r b ")</f>
        <v>v ə r b </v>
      </c>
    </row>
    <row r="4812">
      <c r="A4812" s="1" t="s">
        <v>4815</v>
      </c>
      <c r="B4812" s="1" t="s">
        <v>5</v>
      </c>
      <c r="C4812" s="2">
        <f>IFERROR(__xludf.DUMMYFUNCTION("IFERROR(VLOOKUP(A4812, IMPORTRANGE(""https://docs.google.com/spreadsheets/d/1AVX9GT0dgogEBStecCXMMQ29tWz3gBrtNB8yIromXbY/edit?gid=741673867"", ""out1g!A:B""), 2, FALSE), 0)"),71.0)</f>
        <v>71</v>
      </c>
      <c r="D4812" s="2" t="str">
        <f>IFERROR(__xludf.DUMMYFUNCTION("IFERROR(VLOOKUP(A4812, IMPORTRANGE(""https://docs.google.com/spreadsheets/d/1-3Vjw2Cyy-mry5gbC8ypIR3YVGFfEpyFESummAta6sg/edit"", ""Sheet1!B:D""), 2, FALSE), ""Not Found"")"),"briðd")</f>
        <v>briðd</v>
      </c>
      <c r="E4812" s="2" t="str">
        <f>IFERROR(__xludf.DUMMYFUNCTION("IFERROR(VLOOKUP(A4812, IMPORTRANGE(""https://docs.google.com/spreadsheets/d/1-3Vjw2Cyy-mry5gbC8ypIR3YVGFfEpyFESummAta6sg/edit"", ""Sheet1!B:D""), 3, FALSE), ""Not Found"")"),"b r i ð d ")</f>
        <v>b r i ð d </v>
      </c>
    </row>
    <row r="4813">
      <c r="A4813" s="1" t="s">
        <v>4816</v>
      </c>
      <c r="B4813" s="1" t="s">
        <v>5</v>
      </c>
      <c r="C4813" s="2">
        <f>IFERROR(__xludf.DUMMYFUNCTION("IFERROR(VLOOKUP(A4813, IMPORTRANGE(""https://docs.google.com/spreadsheets/d/1AVX9GT0dgogEBStecCXMMQ29tWz3gBrtNB8yIromXbY/edit?gid=741673867"", ""out1g!A:B""), 2, FALSE), 0)"),435.0)</f>
        <v>435</v>
      </c>
      <c r="D4813" s="2" t="str">
        <f>IFERROR(__xludf.DUMMYFUNCTION("IFERROR(VLOOKUP(A4813, IMPORTRANGE(""https://docs.google.com/spreadsheets/d/1-3Vjw2Cyy-mry5gbC8ypIR3YVGFfEpyFESummAta6sg/edit"", ""Sheet1!B:D""), 2, FALSE), ""Not Found"")"),"bərst")</f>
        <v>bərst</v>
      </c>
      <c r="E4813" s="2" t="str">
        <f>IFERROR(__xludf.DUMMYFUNCTION("IFERROR(VLOOKUP(A4813, IMPORTRANGE(""https://docs.google.com/spreadsheets/d/1-3Vjw2Cyy-mry5gbC8ypIR3YVGFfEpyFESummAta6sg/edit"", ""Sheet1!B:D""), 3, FALSE), ""Not Found"")"),"b ə r s t ")</f>
        <v>b ə r s t </v>
      </c>
    </row>
    <row r="4814">
      <c r="A4814" s="1" t="s">
        <v>4817</v>
      </c>
      <c r="B4814" s="1" t="s">
        <v>5</v>
      </c>
      <c r="C4814" s="2">
        <f>IFERROR(__xludf.DUMMYFUNCTION("IFERROR(VLOOKUP(A4814, IMPORTRANGE(""https://docs.google.com/spreadsheets/d/1AVX9GT0dgogEBStecCXMMQ29tWz3gBrtNB8yIromXbY/edit?gid=741673867"", ""out1g!A:B""), 2, FALSE), 0)"),1229.0)</f>
        <v>1229</v>
      </c>
      <c r="D4814" s="2" t="str">
        <f>IFERROR(__xludf.DUMMYFUNCTION("IFERROR(VLOOKUP(A4814, IMPORTRANGE(""https://docs.google.com/spreadsheets/d/1-3Vjw2Cyy-mry5gbC8ypIR3YVGFfEpyFESummAta6sg/edit"", ""Sheet1!B:D""), 2, FALSE), ""Not Found"")"),"kaɪl")</f>
        <v>kaɪl</v>
      </c>
      <c r="E4814" s="2" t="str">
        <f>IFERROR(__xludf.DUMMYFUNCTION("IFERROR(VLOOKUP(A4814, IMPORTRANGE(""https://docs.google.com/spreadsheets/d/1-3Vjw2Cyy-mry5gbC8ypIR3YVGFfEpyFESummAta6sg/edit"", ""Sheet1!B:D""), 3, FALSE), ""Not Found"")"),"k a ɪ l ")</f>
        <v>k a ɪ l </v>
      </c>
    </row>
    <row r="4815">
      <c r="A4815" s="1" t="s">
        <v>4818</v>
      </c>
      <c r="B4815" s="1" t="s">
        <v>5</v>
      </c>
      <c r="C4815" s="2">
        <f>IFERROR(__xludf.DUMMYFUNCTION("IFERROR(VLOOKUP(A4815, IMPORTRANGE(""https://docs.google.com/spreadsheets/d/1AVX9GT0dgogEBStecCXMMQ29tWz3gBrtNB8yIromXbY/edit?gid=741673867"", ""out1g!A:B""), 2, FALSE), 0)"),158.0)</f>
        <v>158</v>
      </c>
      <c r="D4815" s="2" t="str">
        <f>IFERROR(__xludf.DUMMYFUNCTION("IFERROR(VLOOKUP(A4815, IMPORTRANGE(""https://docs.google.com/spreadsheets/d/1-3Vjw2Cyy-mry5gbC8ypIR3YVGFfEpyFESummAta6sg/edit"", ""Sheet1!B:D""), 2, FALSE), ""Not Found"")"),"kɑrv")</f>
        <v>kɑrv</v>
      </c>
      <c r="E4815" s="2" t="str">
        <f>IFERROR(__xludf.DUMMYFUNCTION("IFERROR(VLOOKUP(A4815, IMPORTRANGE(""https://docs.google.com/spreadsheets/d/1-3Vjw2Cyy-mry5gbC8ypIR3YVGFfEpyFESummAta6sg/edit"", ""Sheet1!B:D""), 3, FALSE), ""Not Found"")"),"k ɑ r v ")</f>
        <v>k ɑ r v </v>
      </c>
    </row>
    <row r="4816">
      <c r="A4816" s="1" t="s">
        <v>4819</v>
      </c>
      <c r="B4816" s="1" t="s">
        <v>5</v>
      </c>
      <c r="C4816" s="2">
        <f>IFERROR(__xludf.DUMMYFUNCTION("IFERROR(VLOOKUP(A4816, IMPORTRANGE(""https://docs.google.com/spreadsheets/d/1AVX9GT0dgogEBStecCXMMQ29tWz3gBrtNB8yIromXbY/edit?gid=741673867"", ""out1g!A:B""), 2, FALSE), 0)"),413.0)</f>
        <v>413</v>
      </c>
      <c r="D4816" s="2" t="str">
        <f>IFERROR(__xludf.DUMMYFUNCTION("IFERROR(VLOOKUP(A4816, IMPORTRANGE(""https://docs.google.com/spreadsheets/d/1-3Vjw2Cyy-mry5gbC8ypIR3YVGFfEpyFESummAta6sg/edit"", ""Sheet1!B:D""), 2, FALSE), ""Not Found"")"),"poʊni")</f>
        <v>poʊni</v>
      </c>
      <c r="E4816" s="2" t="str">
        <f>IFERROR(__xludf.DUMMYFUNCTION("IFERROR(VLOOKUP(A4816, IMPORTRANGE(""https://docs.google.com/spreadsheets/d/1-3Vjw2Cyy-mry5gbC8ypIR3YVGFfEpyFESummAta6sg/edit"", ""Sheet1!B:D""), 3, FALSE), ""Not Found"")"),"p o ʊ n i ")</f>
        <v>p o ʊ n i </v>
      </c>
    </row>
    <row r="4817">
      <c r="A4817" s="1" t="s">
        <v>4820</v>
      </c>
      <c r="B4817" s="1" t="s">
        <v>5</v>
      </c>
      <c r="C4817" s="2">
        <f>IFERROR(__xludf.DUMMYFUNCTION("IFERROR(VLOOKUP(A4817, IMPORTRANGE(""https://docs.google.com/spreadsheets/d/1AVX9GT0dgogEBStecCXMMQ29tWz3gBrtNB8yIromXbY/edit?gid=741673867"", ""out1g!A:B""), 2, FALSE), 0)"),367.0)</f>
        <v>367</v>
      </c>
      <c r="D4817" s="2" t="str">
        <f>IFERROR(__xludf.DUMMYFUNCTION("IFERROR(VLOOKUP(A4817, IMPORTRANGE(""https://docs.google.com/spreadsheets/d/1-3Vjw2Cyy-mry5gbC8ypIR3YVGFfEpyFESummAta6sg/edit"", ""Sheet1!B:D""), 2, FALSE), ""Not Found"")"),"trɪps")</f>
        <v>trɪps</v>
      </c>
      <c r="E4817" s="2" t="str">
        <f>IFERROR(__xludf.DUMMYFUNCTION("IFERROR(VLOOKUP(A4817, IMPORTRANGE(""https://docs.google.com/spreadsheets/d/1-3Vjw2Cyy-mry5gbC8ypIR3YVGFfEpyFESummAta6sg/edit"", ""Sheet1!B:D""), 3, FALSE), ""Not Found"")"),"t r ɪ p s ")</f>
        <v>t r ɪ p s </v>
      </c>
    </row>
    <row r="4818">
      <c r="A4818" s="1" t="s">
        <v>4821</v>
      </c>
      <c r="B4818" s="1" t="s">
        <v>5</v>
      </c>
      <c r="C4818" s="2">
        <f>IFERROR(__xludf.DUMMYFUNCTION("IFERROR(VLOOKUP(A4818, IMPORTRANGE(""https://docs.google.com/spreadsheets/d/1AVX9GT0dgogEBStecCXMMQ29tWz3gBrtNB8yIromXbY/edit?gid=741673867"", ""out1g!A:B""), 2, FALSE), 0)"),80.0)</f>
        <v>80</v>
      </c>
      <c r="D4818" s="2" t="str">
        <f>IFERROR(__xludf.DUMMYFUNCTION("IFERROR(VLOOKUP(A4818, IMPORTRANGE(""https://docs.google.com/spreadsheets/d/1-3Vjw2Cyy-mry5gbC8ypIR3YVGFfEpyFESummAta6sg/edit"", ""Sheet1!B:D""), 2, FALSE), ""Not Found"")"),"itər")</f>
        <v>itər</v>
      </c>
      <c r="E4818" s="2" t="str">
        <f>IFERROR(__xludf.DUMMYFUNCTION("IFERROR(VLOOKUP(A4818, IMPORTRANGE(""https://docs.google.com/spreadsheets/d/1-3Vjw2Cyy-mry5gbC8ypIR3YVGFfEpyFESummAta6sg/edit"", ""Sheet1!B:D""), 3, FALSE), ""Not Found"")"),"i t ə r ")</f>
        <v>i t ə r </v>
      </c>
    </row>
    <row r="4819">
      <c r="A4819" s="1" t="s">
        <v>4822</v>
      </c>
      <c r="B4819" s="1" t="s">
        <v>5</v>
      </c>
      <c r="C4819" s="2">
        <f>IFERROR(__xludf.DUMMYFUNCTION("IFERROR(VLOOKUP(A4819, IMPORTRANGE(""https://docs.google.com/spreadsheets/d/1AVX9GT0dgogEBStecCXMMQ29tWz3gBrtNB8yIromXbY/edit?gid=741673867"", ""out1g!A:B""), 2, FALSE), 0)"),21384.0)</f>
        <v>21384</v>
      </c>
      <c r="D4819" s="2" t="str">
        <f>IFERROR(__xludf.DUMMYFUNCTION("IFERROR(VLOOKUP(A4819, IMPORTRANGE(""https://docs.google.com/spreadsheets/d/1-3Vjw2Cyy-mry5gbC8ypIR3YVGFfEpyFESummAta6sg/edit"", ""Sheet1!B:D""), 2, FALSE), ""Not Found"")"),"frɛnd")</f>
        <v>frɛnd</v>
      </c>
      <c r="E4819" s="2" t="str">
        <f>IFERROR(__xludf.DUMMYFUNCTION("IFERROR(VLOOKUP(A4819, IMPORTRANGE(""https://docs.google.com/spreadsheets/d/1-3Vjw2Cyy-mry5gbC8ypIR3YVGFfEpyFESummAta6sg/edit"", ""Sheet1!B:D""), 3, FALSE), ""Not Found"")"),"f r ɛ n d ")</f>
        <v>f r ɛ n d </v>
      </c>
    </row>
    <row r="4820">
      <c r="A4820" s="1" t="s">
        <v>4823</v>
      </c>
      <c r="B4820" s="1" t="s">
        <v>5</v>
      </c>
      <c r="C4820" s="2">
        <f>IFERROR(__xludf.DUMMYFUNCTION("IFERROR(VLOOKUP(A4820, IMPORTRANGE(""https://docs.google.com/spreadsheets/d/1AVX9GT0dgogEBStecCXMMQ29tWz3gBrtNB8yIromXbY/edit?gid=741673867"", ""out1g!A:B""), 2, FALSE), 0)"),35661.0)</f>
        <v>35661</v>
      </c>
      <c r="D4820" s="2" t="str">
        <f>IFERROR(__xludf.DUMMYFUNCTION("IFERROR(VLOOKUP(A4820, IMPORTRANGE(""https://docs.google.com/spreadsheets/d/1-3Vjw2Cyy-mry5gbC8ypIR3YVGFfEpyFESummAta6sg/edit"", ""Sheet1!B:D""), 2, FALSE), ""Not Found"")"),"məst")</f>
        <v>məst</v>
      </c>
      <c r="E4820" s="2" t="str">
        <f>IFERROR(__xludf.DUMMYFUNCTION("IFERROR(VLOOKUP(A4820, IMPORTRANGE(""https://docs.google.com/spreadsheets/d/1-3Vjw2Cyy-mry5gbC8ypIR3YVGFfEpyFESummAta6sg/edit"", ""Sheet1!B:D""), 3, FALSE), ""Not Found"")"),"m ə s t ")</f>
        <v>m ə s t </v>
      </c>
    </row>
    <row r="4821">
      <c r="A4821" s="1" t="s">
        <v>4824</v>
      </c>
      <c r="B4821" s="1" t="s">
        <v>5</v>
      </c>
      <c r="C4821" s="2">
        <f>IFERROR(__xludf.DUMMYFUNCTION("IFERROR(VLOOKUP(A4821, IMPORTRANGE(""https://docs.google.com/spreadsheets/d/1AVX9GT0dgogEBStecCXMMQ29tWz3gBrtNB8yIromXbY/edit?gid=741673867"", ""out1g!A:B""), 2, FALSE), 0)"),53.0)</f>
        <v>53</v>
      </c>
      <c r="D4821" s="2" t="str">
        <f>IFERROR(__xludf.DUMMYFUNCTION("IFERROR(VLOOKUP(A4821, IMPORTRANGE(""https://docs.google.com/spreadsheets/d/1-3Vjw2Cyy-mry5gbC8ypIR3YVGFfEpyFESummAta6sg/edit"", ""Sheet1!B:D""), 2, FALSE), ""Not Found"")"),"bumɪŋ")</f>
        <v>bumɪŋ</v>
      </c>
      <c r="E4821" s="2" t="str">
        <f>IFERROR(__xludf.DUMMYFUNCTION("IFERROR(VLOOKUP(A4821, IMPORTRANGE(""https://docs.google.com/spreadsheets/d/1-3Vjw2Cyy-mry5gbC8ypIR3YVGFfEpyFESummAta6sg/edit"", ""Sheet1!B:D""), 3, FALSE), ""Not Found"")"),"b u m ɪ ŋ ")</f>
        <v>b u m ɪ ŋ </v>
      </c>
    </row>
    <row r="4822">
      <c r="A4822" s="1" t="s">
        <v>4825</v>
      </c>
      <c r="B4822" s="1" t="s">
        <v>5</v>
      </c>
      <c r="C4822" s="2">
        <f>IFERROR(__xludf.DUMMYFUNCTION("IFERROR(VLOOKUP(A4822, IMPORTRANGE(""https://docs.google.com/spreadsheets/d/1AVX9GT0dgogEBStecCXMMQ29tWz3gBrtNB8yIromXbY/edit?gid=741673867"", ""out1g!A:B""), 2, FALSE), 0)"),151.0)</f>
        <v>151</v>
      </c>
      <c r="D4822" s="2" t="str">
        <f>IFERROR(__xludf.DUMMYFUNCTION("IFERROR(VLOOKUP(A4822, IMPORTRANGE(""https://docs.google.com/spreadsheets/d/1-3Vjw2Cyy-mry5gbC8ypIR3YVGFfEpyFESummAta6sg/edit"", ""Sheet1!B:D""), 2, FALSE), ""Not Found"")"),"kæf")</f>
        <v>kæf</v>
      </c>
      <c r="E4822" s="2" t="str">
        <f>IFERROR(__xludf.DUMMYFUNCTION("IFERROR(VLOOKUP(A4822, IMPORTRANGE(""https://docs.google.com/spreadsheets/d/1-3Vjw2Cyy-mry5gbC8ypIR3YVGFfEpyFESummAta6sg/edit"", ""Sheet1!B:D""), 3, FALSE), ""Not Found"")"),"k æ f ")</f>
        <v>k æ f </v>
      </c>
    </row>
    <row r="4823">
      <c r="A4823" s="1" t="s">
        <v>4826</v>
      </c>
      <c r="B4823" s="1" t="s">
        <v>5</v>
      </c>
      <c r="C4823" s="2">
        <f>IFERROR(__xludf.DUMMYFUNCTION("IFERROR(VLOOKUP(A4823, IMPORTRANGE(""https://docs.google.com/spreadsheets/d/1AVX9GT0dgogEBStecCXMMQ29tWz3gBrtNB8yIromXbY/edit?gid=741673867"", ""out1g!A:B""), 2, FALSE), 0)"),444.0)</f>
        <v>444</v>
      </c>
      <c r="D4823" s="2" t="str">
        <f>IFERROR(__xludf.DUMMYFUNCTION("IFERROR(VLOOKUP(A4823, IMPORTRANGE(""https://docs.google.com/spreadsheets/d/1-3Vjw2Cyy-mry5gbC8ypIR3YVGFfEpyFESummAta6sg/edit"", ""Sheet1!B:D""), 2, FALSE), ""Not Found"")"),"krɔsɪŋ")</f>
        <v>krɔsɪŋ</v>
      </c>
      <c r="E4823" s="2" t="str">
        <f>IFERROR(__xludf.DUMMYFUNCTION("IFERROR(VLOOKUP(A4823, IMPORTRANGE(""https://docs.google.com/spreadsheets/d/1-3Vjw2Cyy-mry5gbC8ypIR3YVGFfEpyFESummAta6sg/edit"", ""Sheet1!B:D""), 3, FALSE), ""Not Found"")"),"k r ɔ s ɪ ŋ ")</f>
        <v>k r ɔ s ɪ ŋ </v>
      </c>
    </row>
    <row r="4824">
      <c r="A4824" s="1" t="s">
        <v>4827</v>
      </c>
      <c r="B4824" s="1" t="s">
        <v>5</v>
      </c>
      <c r="C4824" s="2">
        <f>IFERROR(__xludf.DUMMYFUNCTION("IFERROR(VLOOKUP(A4824, IMPORTRANGE(""https://docs.google.com/spreadsheets/d/1AVX9GT0dgogEBStecCXMMQ29tWz3gBrtNB8yIromXbY/edit?gid=741673867"", ""out1g!A:B""), 2, FALSE), 0)"),64.0)</f>
        <v>64</v>
      </c>
      <c r="D4824" s="2" t="str">
        <f>IFERROR(__xludf.DUMMYFUNCTION("IFERROR(VLOOKUP(A4824, IMPORTRANGE(""https://docs.google.com/spreadsheets/d/1-3Vjw2Cyy-mry5gbC8ypIR3YVGFfEpyFESummAta6sg/edit"", ""Sheet1!B:D""), 2, FALSE), ""Not Found"")"),"lɪr")</f>
        <v>lɪr</v>
      </c>
      <c r="E4824" s="2" t="str">
        <f>IFERROR(__xludf.DUMMYFUNCTION("IFERROR(VLOOKUP(A4824, IMPORTRANGE(""https://docs.google.com/spreadsheets/d/1-3Vjw2Cyy-mry5gbC8ypIR3YVGFfEpyFESummAta6sg/edit"", ""Sheet1!B:D""), 3, FALSE), ""Not Found"")"),"l ɪ r ")</f>
        <v>l ɪ r </v>
      </c>
    </row>
    <row r="4825">
      <c r="A4825" s="1" t="s">
        <v>4828</v>
      </c>
      <c r="B4825" s="1" t="s">
        <v>5</v>
      </c>
      <c r="C4825" s="2">
        <f>IFERROR(__xludf.DUMMYFUNCTION("IFERROR(VLOOKUP(A4825, IMPORTRANGE(""https://docs.google.com/spreadsheets/d/1AVX9GT0dgogEBStecCXMMQ29tWz3gBrtNB8yIromXbY/edit?gid=741673867"", ""out1g!A:B""), 2, FALSE), 0)"),5666.0)</f>
        <v>5666</v>
      </c>
      <c r="D4825" s="2" t="str">
        <f>IFERROR(__xludf.DUMMYFUNCTION("IFERROR(VLOOKUP(A4825, IMPORTRANGE(""https://docs.google.com/spreadsheets/d/1-3Vjw2Cyy-mry5gbC8ypIR3YVGFfEpyFESummAta6sg/edit"", ""Sheet1!B:D""), 2, FALSE), ""Not Found"")"),"lɛs")</f>
        <v>lɛs</v>
      </c>
      <c r="E4825" s="2" t="str">
        <f>IFERROR(__xludf.DUMMYFUNCTION("IFERROR(VLOOKUP(A4825, IMPORTRANGE(""https://docs.google.com/spreadsheets/d/1-3Vjw2Cyy-mry5gbC8ypIR3YVGFfEpyFESummAta6sg/edit"", ""Sheet1!B:D""), 3, FALSE), ""Not Found"")"),"l ɛ s ")</f>
        <v>l ɛ s </v>
      </c>
    </row>
    <row r="4826">
      <c r="A4826" s="1" t="s">
        <v>4829</v>
      </c>
      <c r="B4826" s="1" t="s">
        <v>5</v>
      </c>
      <c r="C4826" s="2">
        <f>IFERROR(__xludf.DUMMYFUNCTION("IFERROR(VLOOKUP(A4826, IMPORTRANGE(""https://docs.google.com/spreadsheets/d/1AVX9GT0dgogEBStecCXMMQ29tWz3gBrtNB8yIromXbY/edit?gid=741673867"", ""out1g!A:B""), 2, FALSE), 0)"),135.0)</f>
        <v>135</v>
      </c>
      <c r="D4826" s="2" t="str">
        <f>IFERROR(__xludf.DUMMYFUNCTION("IFERROR(VLOOKUP(A4826, IMPORTRANGE(""https://docs.google.com/spreadsheets/d/1-3Vjw2Cyy-mry5gbC8ypIR3YVGFfEpyFESummAta6sg/edit"", ""Sheet1!B:D""), 2, FALSE), ""Not Found"")"),"taɪts")</f>
        <v>taɪts</v>
      </c>
      <c r="E4826" s="2" t="str">
        <f>IFERROR(__xludf.DUMMYFUNCTION("IFERROR(VLOOKUP(A4826, IMPORTRANGE(""https://docs.google.com/spreadsheets/d/1-3Vjw2Cyy-mry5gbC8ypIR3YVGFfEpyFESummAta6sg/edit"", ""Sheet1!B:D""), 3, FALSE), ""Not Found"")"),"t a ɪ t s ")</f>
        <v>t a ɪ t s </v>
      </c>
    </row>
    <row r="4827">
      <c r="A4827" s="1" t="s">
        <v>4830</v>
      </c>
      <c r="B4827" s="1" t="s">
        <v>5</v>
      </c>
      <c r="C4827" s="2">
        <f>IFERROR(__xludf.DUMMYFUNCTION("IFERROR(VLOOKUP(A4827, IMPORTRANGE(""https://docs.google.com/spreadsheets/d/1AVX9GT0dgogEBStecCXMMQ29tWz3gBrtNB8yIromXbY/edit?gid=741673867"", ""out1g!A:B""), 2, FALSE), 0)"),71.0)</f>
        <v>71</v>
      </c>
      <c r="D4827" s="2" t="str">
        <f>IFERROR(__xludf.DUMMYFUNCTION("IFERROR(VLOOKUP(A4827, IMPORTRANGE(""https://docs.google.com/spreadsheets/d/1-3Vjw2Cyy-mry5gbC8ypIR3YVGFfEpyFESummAta6sg/edit"", ""Sheet1!B:D""), 2, FALSE), ""Not Found"")"),"hæʧt")</f>
        <v>hæʧt</v>
      </c>
      <c r="E4827" s="2" t="str">
        <f>IFERROR(__xludf.DUMMYFUNCTION("IFERROR(VLOOKUP(A4827, IMPORTRANGE(""https://docs.google.com/spreadsheets/d/1-3Vjw2Cyy-mry5gbC8ypIR3YVGFfEpyFESummAta6sg/edit"", ""Sheet1!B:D""), 3, FALSE), ""Not Found"")"),"h æ ʧ t ")</f>
        <v>h æ ʧ t </v>
      </c>
    </row>
    <row r="4828">
      <c r="A4828" s="1" t="s">
        <v>4831</v>
      </c>
      <c r="B4828" s="1" t="s">
        <v>5</v>
      </c>
      <c r="C4828" s="2">
        <f>IFERROR(__xludf.DUMMYFUNCTION("IFERROR(VLOOKUP(A4828, IMPORTRANGE(""https://docs.google.com/spreadsheets/d/1AVX9GT0dgogEBStecCXMMQ29tWz3gBrtNB8yIromXbY/edit?gid=741673867"", ""out1g!A:B""), 2, FALSE), 0)"),494.0)</f>
        <v>494</v>
      </c>
      <c r="D4828" s="2" t="str">
        <f>IFERROR(__xludf.DUMMYFUNCTION("IFERROR(VLOOKUP(A4828, IMPORTRANGE(""https://docs.google.com/spreadsheets/d/1-3Vjw2Cyy-mry5gbC8ypIR3YVGFfEpyFESummAta6sg/edit"", ""Sheet1!B:D""), 2, FALSE), ""Not Found"")"),"fɪlɪŋ")</f>
        <v>fɪlɪŋ</v>
      </c>
      <c r="E4828" s="2" t="str">
        <f>IFERROR(__xludf.DUMMYFUNCTION("IFERROR(VLOOKUP(A4828, IMPORTRANGE(""https://docs.google.com/spreadsheets/d/1-3Vjw2Cyy-mry5gbC8ypIR3YVGFfEpyFESummAta6sg/edit"", ""Sheet1!B:D""), 3, FALSE), ""Not Found"")"),"f ɪ l ɪ ŋ ")</f>
        <v>f ɪ l ɪ ŋ </v>
      </c>
    </row>
    <row r="4829">
      <c r="A4829" s="1" t="s">
        <v>4832</v>
      </c>
      <c r="B4829" s="1" t="s">
        <v>5</v>
      </c>
      <c r="C4829" s="2">
        <f>IFERROR(__xludf.DUMMYFUNCTION("IFERROR(VLOOKUP(A4829, IMPORTRANGE(""https://docs.google.com/spreadsheets/d/1AVX9GT0dgogEBStecCXMMQ29tWz3gBrtNB8yIromXbY/edit?gid=741673867"", ""out1g!A:B""), 2, FALSE), 0)"),52.0)</f>
        <v>52</v>
      </c>
      <c r="D4829" s="2" t="str">
        <f>IFERROR(__xludf.DUMMYFUNCTION("IFERROR(VLOOKUP(A4829, IMPORTRANGE(""https://docs.google.com/spreadsheets/d/1-3Vjw2Cyy-mry5gbC8ypIR3YVGFfEpyFESummAta6sg/edit"", ""Sheet1!B:D""), 2, FALSE), ""Not Found"")"),"biee")</f>
        <v>biee</v>
      </c>
      <c r="E4829" s="2" t="str">
        <f>IFERROR(__xludf.DUMMYFUNCTION("IFERROR(VLOOKUP(A4829, IMPORTRANGE(""https://docs.google.com/spreadsheets/d/1-3Vjw2Cyy-mry5gbC8ypIR3YVGFfEpyFESummAta6sg/edit"", ""Sheet1!B:D""), 3, FALSE), ""Not Found"")"),"b i e e ")</f>
        <v>b i e e </v>
      </c>
    </row>
    <row r="4830">
      <c r="A4830" s="1" t="s">
        <v>4833</v>
      </c>
      <c r="B4830" s="1" t="s">
        <v>5</v>
      </c>
      <c r="C4830" s="2">
        <f>IFERROR(__xludf.DUMMYFUNCTION("IFERROR(VLOOKUP(A4830, IMPORTRANGE(""https://docs.google.com/spreadsheets/d/1AVX9GT0dgogEBStecCXMMQ29tWz3gBrtNB8yIromXbY/edit?gid=741673867"", ""out1g!A:B""), 2, FALSE), 0)"),47.0)</f>
        <v>47</v>
      </c>
      <c r="D4830" s="2" t="str">
        <f>IFERROR(__xludf.DUMMYFUNCTION("IFERROR(VLOOKUP(A4830, IMPORTRANGE(""https://docs.google.com/spreadsheets/d/1-3Vjw2Cyy-mry5gbC8ypIR3YVGFfEpyFESummAta6sg/edit"", ""Sheet1!B:D""), 2, FALSE), ""Not Found"")"),"wir")</f>
        <v>wir</v>
      </c>
      <c r="E4830" s="2" t="str">
        <f>IFERROR(__xludf.DUMMYFUNCTION("IFERROR(VLOOKUP(A4830, IMPORTRANGE(""https://docs.google.com/spreadsheets/d/1-3Vjw2Cyy-mry5gbC8ypIR3YVGFfEpyFESummAta6sg/edit"", ""Sheet1!B:D""), 3, FALSE), ""Not Found"")"),"w i r ")</f>
        <v>w i r </v>
      </c>
    </row>
    <row r="4831">
      <c r="A4831" s="1" t="s">
        <v>4834</v>
      </c>
      <c r="B4831" s="1" t="s">
        <v>5</v>
      </c>
      <c r="C4831" s="2">
        <f>IFERROR(__xludf.DUMMYFUNCTION("IFERROR(VLOOKUP(A4831, IMPORTRANGE(""https://docs.google.com/spreadsheets/d/1AVX9GT0dgogEBStecCXMMQ29tWz3gBrtNB8yIromXbY/edit?gid=741673867"", ""out1g!A:B""), 2, FALSE), 0)"),1295.0)</f>
        <v>1295</v>
      </c>
      <c r="D4831" s="2" t="str">
        <f>IFERROR(__xludf.DUMMYFUNCTION("IFERROR(VLOOKUP(A4831, IMPORTRANGE(""https://docs.google.com/spreadsheets/d/1-3Vjw2Cyy-mry5gbC8ypIR3YVGFfEpyFESummAta6sg/edit"", ""Sheet1!B:D""), 2, FALSE), ""Not Found"")"),"hoʊmz")</f>
        <v>hoʊmz</v>
      </c>
      <c r="E4831" s="2" t="str">
        <f>IFERROR(__xludf.DUMMYFUNCTION("IFERROR(VLOOKUP(A4831, IMPORTRANGE(""https://docs.google.com/spreadsheets/d/1-3Vjw2Cyy-mry5gbC8ypIR3YVGFfEpyFESummAta6sg/edit"", ""Sheet1!B:D""), 3, FALSE), ""Not Found"")"),"h o ʊ m z ")</f>
        <v>h o ʊ m z </v>
      </c>
    </row>
    <row r="4832">
      <c r="A4832" s="1" t="s">
        <v>4835</v>
      </c>
      <c r="B4832" s="1" t="s">
        <v>5</v>
      </c>
      <c r="C4832" s="2">
        <f>IFERROR(__xludf.DUMMYFUNCTION("IFERROR(VLOOKUP(A4832, IMPORTRANGE(""https://docs.google.com/spreadsheets/d/1AVX9GT0dgogEBStecCXMMQ29tWz3gBrtNB8yIromXbY/edit?gid=741673867"", ""out1g!A:B""), 2, FALSE), 0)"),55.0)</f>
        <v>55</v>
      </c>
      <c r="D4832" s="2" t="str">
        <f>IFERROR(__xludf.DUMMYFUNCTION("IFERROR(VLOOKUP(A4832, IMPORTRANGE(""https://docs.google.com/spreadsheets/d/1-3Vjw2Cyy-mry5gbC8ypIR3YVGFfEpyFESummAta6sg/edit"", ""Sheet1!B:D""), 2, FALSE), ""Not Found"")"),"ɔrz")</f>
        <v>ɔrz</v>
      </c>
      <c r="E4832" s="2" t="str">
        <f>IFERROR(__xludf.DUMMYFUNCTION("IFERROR(VLOOKUP(A4832, IMPORTRANGE(""https://docs.google.com/spreadsheets/d/1-3Vjw2Cyy-mry5gbC8ypIR3YVGFfEpyFESummAta6sg/edit"", ""Sheet1!B:D""), 3, FALSE), ""Not Found"")"),"ɔ r z ")</f>
        <v>ɔ r z </v>
      </c>
    </row>
    <row r="4833">
      <c r="A4833" s="1" t="s">
        <v>4836</v>
      </c>
      <c r="B4833" s="1" t="s">
        <v>5</v>
      </c>
      <c r="C4833" s="2">
        <f>IFERROR(__xludf.DUMMYFUNCTION("IFERROR(VLOOKUP(A4833, IMPORTRANGE(""https://docs.google.com/spreadsheets/d/1AVX9GT0dgogEBStecCXMMQ29tWz3gBrtNB8yIromXbY/edit?gid=741673867"", ""out1g!A:B""), 2, FALSE), 0)"),126.0)</f>
        <v>126</v>
      </c>
      <c r="D4833" s="2" t="str">
        <f>IFERROR(__xludf.DUMMYFUNCTION("IFERROR(VLOOKUP(A4833, IMPORTRANGE(""https://docs.google.com/spreadsheets/d/1-3Vjw2Cyy-mry5gbC8ypIR3YVGFfEpyFESummAta6sg/edit"", ""Sheet1!B:D""), 2, FALSE), ""Not Found"")"),"ətæʧ")</f>
        <v>ətæʧ</v>
      </c>
      <c r="E4833" s="2" t="str">
        <f>IFERROR(__xludf.DUMMYFUNCTION("IFERROR(VLOOKUP(A4833, IMPORTRANGE(""https://docs.google.com/spreadsheets/d/1-3Vjw2Cyy-mry5gbC8ypIR3YVGFfEpyFESummAta6sg/edit"", ""Sheet1!B:D""), 3, FALSE), ""Not Found"")"),"ə t æ ʧ ")</f>
        <v>ə t æ ʧ </v>
      </c>
    </row>
    <row r="4834">
      <c r="A4834" s="1" t="s">
        <v>4837</v>
      </c>
      <c r="B4834" s="1" t="s">
        <v>5</v>
      </c>
      <c r="C4834" s="2">
        <f>IFERROR(__xludf.DUMMYFUNCTION("IFERROR(VLOOKUP(A4834, IMPORTRANGE(""https://docs.google.com/spreadsheets/d/1AVX9GT0dgogEBStecCXMMQ29tWz3gBrtNB8yIromXbY/edit?gid=741673867"", ""out1g!A:B""), 2, FALSE), 0)"),377.0)</f>
        <v>377</v>
      </c>
      <c r="D4834" s="2" t="str">
        <f>IFERROR(__xludf.DUMMYFUNCTION("IFERROR(VLOOKUP(A4834, IMPORTRANGE(""https://docs.google.com/spreadsheets/d/1-3Vjw2Cyy-mry5gbC8ypIR3YVGFfEpyFESummAta6sg/edit"", ""Sheet1!B:D""), 2, FALSE), ""Not Found"")"),"hil")</f>
        <v>hil</v>
      </c>
      <c r="E4834" s="2" t="str">
        <f>IFERROR(__xludf.DUMMYFUNCTION("IFERROR(VLOOKUP(A4834, IMPORTRANGE(""https://docs.google.com/spreadsheets/d/1-3Vjw2Cyy-mry5gbC8ypIR3YVGFfEpyFESummAta6sg/edit"", ""Sheet1!B:D""), 3, FALSE), ""Not Found"")"),"h i l ")</f>
        <v>h i l </v>
      </c>
    </row>
    <row r="4835">
      <c r="A4835" s="1" t="s">
        <v>4838</v>
      </c>
      <c r="B4835" s="1" t="s">
        <v>5</v>
      </c>
      <c r="C4835" s="2">
        <f>IFERROR(__xludf.DUMMYFUNCTION("IFERROR(VLOOKUP(A4835, IMPORTRANGE(""https://docs.google.com/spreadsheets/d/1AVX9GT0dgogEBStecCXMMQ29tWz3gBrtNB8yIromXbY/edit?gid=741673867"", ""out1g!A:B""), 2, FALSE), 0)"),525.0)</f>
        <v>525</v>
      </c>
      <c r="D4835" s="2" t="str">
        <f>IFERROR(__xludf.DUMMYFUNCTION("IFERROR(VLOOKUP(A4835, IMPORTRANGE(""https://docs.google.com/spreadsheets/d/1-3Vjw2Cyy-mry5gbC8ypIR3YVGFfEpyFESummAta6sg/edit"", ""Sheet1!B:D""), 2, FALSE), ""Not Found"")"),"nɪki")</f>
        <v>nɪki</v>
      </c>
      <c r="E4835" s="2" t="str">
        <f>IFERROR(__xludf.DUMMYFUNCTION("IFERROR(VLOOKUP(A4835, IMPORTRANGE(""https://docs.google.com/spreadsheets/d/1-3Vjw2Cyy-mry5gbC8ypIR3YVGFfEpyFESummAta6sg/edit"", ""Sheet1!B:D""), 3, FALSE), ""Not Found"")"),"n ɪ k i ")</f>
        <v>n ɪ k i </v>
      </c>
    </row>
    <row r="4836">
      <c r="A4836" s="1" t="s">
        <v>4839</v>
      </c>
      <c r="B4836" s="1" t="s">
        <v>5</v>
      </c>
      <c r="C4836" s="2">
        <f>IFERROR(__xludf.DUMMYFUNCTION("IFERROR(VLOOKUP(A4836, IMPORTRANGE(""https://docs.google.com/spreadsheets/d/1AVX9GT0dgogEBStecCXMMQ29tWz3gBrtNB8yIromXbY/edit?gid=741673867"", ""out1g!A:B""), 2, FALSE), 0)"),488.0)</f>
        <v>488</v>
      </c>
      <c r="D4836" s="2" t="str">
        <f>IFERROR(__xludf.DUMMYFUNCTION("IFERROR(VLOOKUP(A4836, IMPORTRANGE(""https://docs.google.com/spreadsheets/d/1-3Vjw2Cyy-mry5gbC8ypIR3YVGFfEpyFESummAta6sg/edit"", ""Sheet1!B:D""), 2, FALSE), ""Not Found"")"),"lɪn")</f>
        <v>lɪn</v>
      </c>
      <c r="E4836" s="2" t="str">
        <f>IFERROR(__xludf.DUMMYFUNCTION("IFERROR(VLOOKUP(A4836, IMPORTRANGE(""https://docs.google.com/spreadsheets/d/1-3Vjw2Cyy-mry5gbC8ypIR3YVGFfEpyFESummAta6sg/edit"", ""Sheet1!B:D""), 3, FALSE), ""Not Found"")"),"l ɪ n ")</f>
        <v>l ɪ n </v>
      </c>
    </row>
    <row r="4837">
      <c r="A4837" s="1" t="s">
        <v>4840</v>
      </c>
      <c r="B4837" s="1" t="s">
        <v>5</v>
      </c>
      <c r="C4837" s="2">
        <f>IFERROR(__xludf.DUMMYFUNCTION("IFERROR(VLOOKUP(A4837, IMPORTRANGE(""https://docs.google.com/spreadsheets/d/1AVX9GT0dgogEBStecCXMMQ29tWz3gBrtNB8yIromXbY/edit?gid=741673867"", ""out1g!A:B""), 2, FALSE), 0)"),836.0)</f>
        <v>836</v>
      </c>
      <c r="D4837" s="2" t="str">
        <f>IFERROR(__xludf.DUMMYFUNCTION("IFERROR(VLOOKUP(A4837, IMPORTRANGE(""https://docs.google.com/spreadsheets/d/1-3Vjw2Cyy-mry5gbC8ypIR3YVGFfEpyFESummAta6sg/edit"", ""Sheet1!B:D""), 2, FALSE), ""Not Found"")"),"mæθ")</f>
        <v>mæθ</v>
      </c>
      <c r="E4837" s="2" t="str">
        <f>IFERROR(__xludf.DUMMYFUNCTION("IFERROR(VLOOKUP(A4837, IMPORTRANGE(""https://docs.google.com/spreadsheets/d/1-3Vjw2Cyy-mry5gbC8ypIR3YVGFfEpyFESummAta6sg/edit"", ""Sheet1!B:D""), 3, FALSE), ""Not Found"")"),"m æ θ ")</f>
        <v>m æ θ </v>
      </c>
    </row>
    <row r="4838">
      <c r="A4838" s="1" t="s">
        <v>4841</v>
      </c>
      <c r="B4838" s="1" t="s">
        <v>5</v>
      </c>
      <c r="C4838" s="2">
        <f>IFERROR(__xludf.DUMMYFUNCTION("IFERROR(VLOOKUP(A4838, IMPORTRANGE(""https://docs.google.com/spreadsheets/d/1AVX9GT0dgogEBStecCXMMQ29tWz3gBrtNB8yIromXbY/edit?gid=741673867"", ""out1g!A:B""), 2, FALSE), 0)"),62.0)</f>
        <v>62</v>
      </c>
      <c r="D4838" s="2" t="str">
        <f>IFERROR(__xludf.DUMMYFUNCTION("IFERROR(VLOOKUP(A4838, IMPORTRANGE(""https://docs.google.com/spreadsheets/d/1-3Vjw2Cyy-mry5gbC8ypIR3YVGFfEpyFESummAta6sg/edit"", ""Sheet1!B:D""), 2, FALSE), ""Not Found"")"),"fɪg")</f>
        <v>fɪg</v>
      </c>
      <c r="E4838" s="2" t="str">
        <f>IFERROR(__xludf.DUMMYFUNCTION("IFERROR(VLOOKUP(A4838, IMPORTRANGE(""https://docs.google.com/spreadsheets/d/1-3Vjw2Cyy-mry5gbC8ypIR3YVGFfEpyFESummAta6sg/edit"", ""Sheet1!B:D""), 3, FALSE), ""Not Found"")"),"f ɪ g ")</f>
        <v>f ɪ g </v>
      </c>
    </row>
    <row r="4839">
      <c r="A4839" s="1" t="s">
        <v>4842</v>
      </c>
      <c r="B4839" s="1" t="s">
        <v>5</v>
      </c>
      <c r="C4839" s="2">
        <f>IFERROR(__xludf.DUMMYFUNCTION("IFERROR(VLOOKUP(A4839, IMPORTRANGE(""https://docs.google.com/spreadsheets/d/1AVX9GT0dgogEBStecCXMMQ29tWz3gBrtNB8yIromXbY/edit?gid=741673867"", ""out1g!A:B""), 2, FALSE), 0)"),51.0)</f>
        <v>51</v>
      </c>
      <c r="D4839" s="2" t="str">
        <f>IFERROR(__xludf.DUMMYFUNCTION("IFERROR(VLOOKUP(A4839, IMPORTRANGE(""https://docs.google.com/spreadsheets/d/1-3Vjw2Cyy-mry5gbC8ypIR3YVGFfEpyFESummAta6sg/edit"", ""Sheet1!B:D""), 2, FALSE), ""Not Found"")"),"dəvz")</f>
        <v>dəvz</v>
      </c>
      <c r="E4839" s="2" t="str">
        <f>IFERROR(__xludf.DUMMYFUNCTION("IFERROR(VLOOKUP(A4839, IMPORTRANGE(""https://docs.google.com/spreadsheets/d/1-3Vjw2Cyy-mry5gbC8ypIR3YVGFfEpyFESummAta6sg/edit"", ""Sheet1!B:D""), 3, FALSE), ""Not Found"")"),"d ə v z ")</f>
        <v>d ə v z </v>
      </c>
    </row>
    <row r="4840">
      <c r="A4840" s="1" t="s">
        <v>4843</v>
      </c>
      <c r="B4840" s="1" t="s">
        <v>5</v>
      </c>
      <c r="C4840" s="2">
        <f>IFERROR(__xludf.DUMMYFUNCTION("IFERROR(VLOOKUP(A4840, IMPORTRANGE(""https://docs.google.com/spreadsheets/d/1AVX9GT0dgogEBStecCXMMQ29tWz3gBrtNB8yIromXbY/edit?gid=741673867"", ""out1g!A:B""), 2, FALSE), 0)"),48.0)</f>
        <v>48</v>
      </c>
      <c r="D4840" s="2" t="str">
        <f>IFERROR(__xludf.DUMMYFUNCTION("IFERROR(VLOOKUP(A4840, IMPORTRANGE(""https://docs.google.com/spreadsheets/d/1-3Vjw2Cyy-mry5gbC8ypIR3YVGFfEpyFESummAta6sg/edit"", ""Sheet1!B:D""), 2, FALSE), ""Not Found"")"),"grɪt")</f>
        <v>grɪt</v>
      </c>
      <c r="E4840" s="2" t="str">
        <f>IFERROR(__xludf.DUMMYFUNCTION("IFERROR(VLOOKUP(A4840, IMPORTRANGE(""https://docs.google.com/spreadsheets/d/1-3Vjw2Cyy-mry5gbC8ypIR3YVGFfEpyFESummAta6sg/edit"", ""Sheet1!B:D""), 3, FALSE), ""Not Found"")"),"g r ɪ t ")</f>
        <v>g r ɪ t </v>
      </c>
    </row>
    <row r="4841">
      <c r="A4841" s="1" t="s">
        <v>4844</v>
      </c>
      <c r="B4841" s="1" t="s">
        <v>5</v>
      </c>
      <c r="C4841" s="2">
        <f>IFERROR(__xludf.DUMMYFUNCTION("IFERROR(VLOOKUP(A4841, IMPORTRANGE(""https://docs.google.com/spreadsheets/d/1AVX9GT0dgogEBStecCXMMQ29tWz3gBrtNB8yIromXbY/edit?gid=741673867"", ""out1g!A:B""), 2, FALSE), 0)"),94133.0)</f>
        <v>94133</v>
      </c>
      <c r="D4841" s="2" t="str">
        <f>IFERROR(__xludf.DUMMYFUNCTION("IFERROR(VLOOKUP(A4841, IMPORTRANGE(""https://docs.google.com/spreadsheets/d/1-3Vjw2Cyy-mry5gbC8ypIR3YVGFfEpyFESummAta6sg/edit"", ""Sheet1!B:D""), 2, FALSE), ""Not Found"")"),"mæn")</f>
        <v>mæn</v>
      </c>
      <c r="E4841" s="2" t="str">
        <f>IFERROR(__xludf.DUMMYFUNCTION("IFERROR(VLOOKUP(A4841, IMPORTRANGE(""https://docs.google.com/spreadsheets/d/1-3Vjw2Cyy-mry5gbC8ypIR3YVGFfEpyFESummAta6sg/edit"", ""Sheet1!B:D""), 3, FALSE), ""Not Found"")"),"m æ n ")</f>
        <v>m æ n </v>
      </c>
    </row>
    <row r="4842">
      <c r="A4842" s="1" t="s">
        <v>4845</v>
      </c>
      <c r="B4842" s="1" t="s">
        <v>5</v>
      </c>
      <c r="C4842" s="2">
        <f>IFERROR(__xludf.DUMMYFUNCTION("IFERROR(VLOOKUP(A4842, IMPORTRANGE(""https://docs.google.com/spreadsheets/d/1AVX9GT0dgogEBStecCXMMQ29tWz3gBrtNB8yIromXbY/edit?gid=741673867"", ""out1g!A:B""), 2, FALSE), 0)"),436.0)</f>
        <v>436</v>
      </c>
      <c r="D4842" s="2" t="str">
        <f>IFERROR(__xludf.DUMMYFUNCTION("IFERROR(VLOOKUP(A4842, IMPORTRANGE(""https://docs.google.com/spreadsheets/d/1-3Vjw2Cyy-mry5gbC8ypIR3YVGFfEpyFESummAta6sg/edit"", ""Sheet1!B:D""), 2, FALSE), ""Not Found"")"),"soʊloʊ")</f>
        <v>soʊloʊ</v>
      </c>
      <c r="E4842" s="2" t="str">
        <f>IFERROR(__xludf.DUMMYFUNCTION("IFERROR(VLOOKUP(A4842, IMPORTRANGE(""https://docs.google.com/spreadsheets/d/1-3Vjw2Cyy-mry5gbC8ypIR3YVGFfEpyFESummAta6sg/edit"", ""Sheet1!B:D""), 3, FALSE), ""Not Found"")"),"s o ʊ l o ʊ ")</f>
        <v>s o ʊ l o ʊ </v>
      </c>
    </row>
    <row r="4843">
      <c r="A4843" s="1" t="s">
        <v>4846</v>
      </c>
      <c r="B4843" s="1" t="s">
        <v>5</v>
      </c>
      <c r="C4843" s="2">
        <f>IFERROR(__xludf.DUMMYFUNCTION("IFERROR(VLOOKUP(A4843, IMPORTRANGE(""https://docs.google.com/spreadsheets/d/1AVX9GT0dgogEBStecCXMMQ29tWz3gBrtNB8yIromXbY/edit?gid=741673867"", ""out1g!A:B""), 2, FALSE), 0)"),1899.0)</f>
        <v>1899</v>
      </c>
      <c r="D4843" s="2" t="str">
        <f>IFERROR(__xludf.DUMMYFUNCTION("IFERROR(VLOOKUP(A4843, IMPORTRANGE(""https://docs.google.com/spreadsheets/d/1-3Vjw2Cyy-mry5gbC8ypIR3YVGFfEpyFESummAta6sg/edit"", ""Sheet1!B:D""), 2, FALSE), ""Not Found"")"),"siz")</f>
        <v>siz</v>
      </c>
      <c r="E4843" s="2" t="str">
        <f>IFERROR(__xludf.DUMMYFUNCTION("IFERROR(VLOOKUP(A4843, IMPORTRANGE(""https://docs.google.com/spreadsheets/d/1-3Vjw2Cyy-mry5gbC8ypIR3YVGFfEpyFESummAta6sg/edit"", ""Sheet1!B:D""), 3, FALSE), ""Not Found"")"),"s i z ")</f>
        <v>s i z </v>
      </c>
    </row>
    <row r="4844">
      <c r="A4844" s="1" t="s">
        <v>4847</v>
      </c>
      <c r="B4844" s="1" t="s">
        <v>5</v>
      </c>
      <c r="C4844" s="2">
        <f>IFERROR(__xludf.DUMMYFUNCTION("IFERROR(VLOOKUP(A4844, IMPORTRANGE(""https://docs.google.com/spreadsheets/d/1AVX9GT0dgogEBStecCXMMQ29tWz3gBrtNB8yIromXbY/edit?gid=741673867"", ""out1g!A:B""), 2, FALSE), 0)"),101.0)</f>
        <v>101</v>
      </c>
      <c r="D4844" s="2" t="str">
        <f>IFERROR(__xludf.DUMMYFUNCTION("IFERROR(VLOOKUP(A4844, IMPORTRANGE(""https://docs.google.com/spreadsheets/d/1-3Vjw2Cyy-mry5gbC8ypIR3YVGFfEpyFESummAta6sg/edit"", ""Sheet1!B:D""), 2, FALSE), ""Not Found"")"),"tɪʃuz")</f>
        <v>tɪʃuz</v>
      </c>
      <c r="E4844" s="2" t="str">
        <f>IFERROR(__xludf.DUMMYFUNCTION("IFERROR(VLOOKUP(A4844, IMPORTRANGE(""https://docs.google.com/spreadsheets/d/1-3Vjw2Cyy-mry5gbC8ypIR3YVGFfEpyFESummAta6sg/edit"", ""Sheet1!B:D""), 3, FALSE), ""Not Found"")"),"t ɪ ʃ u z ")</f>
        <v>t ɪ ʃ u z </v>
      </c>
    </row>
    <row r="4845">
      <c r="A4845" s="1" t="s">
        <v>4848</v>
      </c>
      <c r="B4845" s="1" t="s">
        <v>5</v>
      </c>
      <c r="C4845" s="2">
        <f>IFERROR(__xludf.DUMMYFUNCTION("IFERROR(VLOOKUP(A4845, IMPORTRANGE(""https://docs.google.com/spreadsheets/d/1AVX9GT0dgogEBStecCXMMQ29tWz3gBrtNB8yIromXbY/edit?gid=741673867"", ""out1g!A:B""), 2, FALSE), 0)"),79.0)</f>
        <v>79</v>
      </c>
      <c r="D4845" s="2" t="str">
        <f>IFERROR(__xludf.DUMMYFUNCTION("IFERROR(VLOOKUP(A4845, IMPORTRANGE(""https://docs.google.com/spreadsheets/d/1-3Vjw2Cyy-mry5gbC8ypIR3YVGFfEpyFESummAta6sg/edit"", ""Sheet1!B:D""), 2, FALSE), ""Not Found"")"),"tərks")</f>
        <v>tərks</v>
      </c>
      <c r="E4845" s="2" t="str">
        <f>IFERROR(__xludf.DUMMYFUNCTION("IFERROR(VLOOKUP(A4845, IMPORTRANGE(""https://docs.google.com/spreadsheets/d/1-3Vjw2Cyy-mry5gbC8ypIR3YVGFfEpyFESummAta6sg/edit"", ""Sheet1!B:D""), 3, FALSE), ""Not Found"")"),"t ə r k s ")</f>
        <v>t ə r k s </v>
      </c>
    </row>
    <row r="4846">
      <c r="A4846" s="1" t="s">
        <v>4849</v>
      </c>
      <c r="B4846" s="1" t="s">
        <v>5</v>
      </c>
      <c r="C4846" s="2">
        <f>IFERROR(__xludf.DUMMYFUNCTION("IFERROR(VLOOKUP(A4846, IMPORTRANGE(""https://docs.google.com/spreadsheets/d/1AVX9GT0dgogEBStecCXMMQ29tWz3gBrtNB8yIromXbY/edit?gid=741673867"", ""out1g!A:B""), 2, FALSE), 0)"),61.0)</f>
        <v>61</v>
      </c>
      <c r="D4846" s="2" t="str">
        <f>IFERROR(__xludf.DUMMYFUNCTION("IFERROR(VLOOKUP(A4846, IMPORTRANGE(""https://docs.google.com/spreadsheets/d/1-3Vjw2Cyy-mry5gbC8ypIR3YVGFfEpyFESummAta6sg/edit"", ""Sheet1!B:D""), 2, FALSE), ""Not Found"")"),"bɪlboʊ")</f>
        <v>bɪlboʊ</v>
      </c>
      <c r="E4846" s="2" t="str">
        <f>IFERROR(__xludf.DUMMYFUNCTION("IFERROR(VLOOKUP(A4846, IMPORTRANGE(""https://docs.google.com/spreadsheets/d/1-3Vjw2Cyy-mry5gbC8ypIR3YVGFfEpyFESummAta6sg/edit"", ""Sheet1!B:D""), 3, FALSE), ""Not Found"")"),"b ɪ l b o ʊ ")</f>
        <v>b ɪ l b o ʊ </v>
      </c>
    </row>
    <row r="4847">
      <c r="A4847" s="1" t="s">
        <v>4850</v>
      </c>
      <c r="B4847" s="1" t="s">
        <v>5</v>
      </c>
      <c r="C4847" s="2">
        <f>IFERROR(__xludf.DUMMYFUNCTION("IFERROR(VLOOKUP(A4847, IMPORTRANGE(""https://docs.google.com/spreadsheets/d/1AVX9GT0dgogEBStecCXMMQ29tWz3gBrtNB8yIromXbY/edit?gid=741673867"", ""out1g!A:B""), 2, FALSE), 0)"),109.0)</f>
        <v>109</v>
      </c>
      <c r="D4847" s="2" t="str">
        <f>IFERROR(__xludf.DUMMYFUNCTION("IFERROR(VLOOKUP(A4847, IMPORTRANGE(""https://docs.google.com/spreadsheets/d/1-3Vjw2Cyy-mry5gbC8ypIR3YVGFfEpyFESummAta6sg/edit"", ""Sheet1!B:D""), 2, FALSE), ""Not Found"")"),"sle")</f>
        <v>sle</v>
      </c>
      <c r="E4847" s="2" t="str">
        <f>IFERROR(__xludf.DUMMYFUNCTION("IFERROR(VLOOKUP(A4847, IMPORTRANGE(""https://docs.google.com/spreadsheets/d/1-3Vjw2Cyy-mry5gbC8ypIR3YVGFfEpyFESummAta6sg/edit"", ""Sheet1!B:D""), 3, FALSE), ""Not Found"")"),"s l e ")</f>
        <v>s l e </v>
      </c>
    </row>
    <row r="4848">
      <c r="A4848" s="1" t="s">
        <v>4851</v>
      </c>
      <c r="B4848" s="1" t="s">
        <v>5</v>
      </c>
      <c r="C4848" s="2">
        <f>IFERROR(__xludf.DUMMYFUNCTION("IFERROR(VLOOKUP(A4848, IMPORTRANGE(""https://docs.google.com/spreadsheets/d/1AVX9GT0dgogEBStecCXMMQ29tWz3gBrtNB8yIromXbY/edit?gid=741673867"", ""out1g!A:B""), 2, FALSE), 0)"),290.0)</f>
        <v>290</v>
      </c>
      <c r="D4848" s="2" t="str">
        <f>IFERROR(__xludf.DUMMYFUNCTION("IFERROR(VLOOKUP(A4848, IMPORTRANGE(""https://docs.google.com/spreadsheets/d/1-3Vjw2Cyy-mry5gbC8ypIR3YVGFfEpyFESummAta6sg/edit"", ""Sheet1!B:D""), 2, FALSE), ""Not Found"")"),"klɪp")</f>
        <v>klɪp</v>
      </c>
      <c r="E4848" s="2" t="str">
        <f>IFERROR(__xludf.DUMMYFUNCTION("IFERROR(VLOOKUP(A4848, IMPORTRANGE(""https://docs.google.com/spreadsheets/d/1-3Vjw2Cyy-mry5gbC8ypIR3YVGFfEpyFESummAta6sg/edit"", ""Sheet1!B:D""), 3, FALSE), ""Not Found"")"),"k l ɪ p ")</f>
        <v>k l ɪ p </v>
      </c>
    </row>
    <row r="4849">
      <c r="A4849" s="1" t="s">
        <v>4852</v>
      </c>
      <c r="B4849" s="1" t="s">
        <v>5</v>
      </c>
      <c r="C4849" s="2">
        <f>IFERROR(__xludf.DUMMYFUNCTION("IFERROR(VLOOKUP(A4849, IMPORTRANGE(""https://docs.google.com/spreadsheets/d/1AVX9GT0dgogEBStecCXMMQ29tWz3gBrtNB8yIromXbY/edit?gid=741673867"", ""out1g!A:B""), 2, FALSE), 0)"),4288.0)</f>
        <v>4288</v>
      </c>
      <c r="D4849" s="2" t="str">
        <f>IFERROR(__xludf.DUMMYFUNCTION("IFERROR(VLOOKUP(A4849, IMPORTRANGE(""https://docs.google.com/spreadsheets/d/1-3Vjw2Cyy-mry5gbC8ypIR3YVGFfEpyFESummAta6sg/edit"", ""Sheet1!B:D""), 2, FALSE), ""Not Found"")"),"tɛst")</f>
        <v>tɛst</v>
      </c>
      <c r="E4849" s="2" t="str">
        <f>IFERROR(__xludf.DUMMYFUNCTION("IFERROR(VLOOKUP(A4849, IMPORTRANGE(""https://docs.google.com/spreadsheets/d/1-3Vjw2Cyy-mry5gbC8ypIR3YVGFfEpyFESummAta6sg/edit"", ""Sheet1!B:D""), 3, FALSE), ""Not Found"")"),"t ɛ s t ")</f>
        <v>t ɛ s t </v>
      </c>
    </row>
    <row r="4850">
      <c r="A4850" s="1" t="s">
        <v>4853</v>
      </c>
      <c r="B4850" s="1" t="s">
        <v>5</v>
      </c>
      <c r="C4850" s="2">
        <f>IFERROR(__xludf.DUMMYFUNCTION("IFERROR(VLOOKUP(A4850, IMPORTRANGE(""https://docs.google.com/spreadsheets/d/1AVX9GT0dgogEBStecCXMMQ29tWz3gBrtNB8yIromXbY/edit?gid=741673867"", ""out1g!A:B""), 2, FALSE), 0)"),83.0)</f>
        <v>83</v>
      </c>
      <c r="D4850" s="2" t="str">
        <f>IFERROR(__xludf.DUMMYFUNCTION("IFERROR(VLOOKUP(A4850, IMPORTRANGE(""https://docs.google.com/spreadsheets/d/1-3Vjw2Cyy-mry5gbC8ypIR3YVGFfEpyFESummAta6sg/edit"", ""Sheet1!B:D""), 2, FALSE), ""Not Found"")"),"ɪŋ")</f>
        <v>ɪŋ</v>
      </c>
      <c r="E4850" s="2" t="str">
        <f>IFERROR(__xludf.DUMMYFUNCTION("IFERROR(VLOOKUP(A4850, IMPORTRANGE(""https://docs.google.com/spreadsheets/d/1-3Vjw2Cyy-mry5gbC8ypIR3YVGFfEpyFESummAta6sg/edit"", ""Sheet1!B:D""), 3, FALSE), ""Not Found"")"),"ɪ ŋ ")</f>
        <v>ɪ ŋ </v>
      </c>
    </row>
    <row r="4851">
      <c r="A4851" s="1" t="s">
        <v>4854</v>
      </c>
      <c r="B4851" s="1" t="s">
        <v>5</v>
      </c>
      <c r="C4851" s="2">
        <f>IFERROR(__xludf.DUMMYFUNCTION("IFERROR(VLOOKUP(A4851, IMPORTRANGE(""https://docs.google.com/spreadsheets/d/1AVX9GT0dgogEBStecCXMMQ29tWz3gBrtNB8yIromXbY/edit?gid=741673867"", ""out1g!A:B""), 2, FALSE), 0)"),46.0)</f>
        <v>46</v>
      </c>
      <c r="D4851" s="2" t="str">
        <f>IFERROR(__xludf.DUMMYFUNCTION("IFERROR(VLOOKUP(A4851, IMPORTRANGE(""https://docs.google.com/spreadsheets/d/1-3Vjw2Cyy-mry5gbC8ypIR3YVGFfEpyFESummAta6sg/edit"", ""Sheet1!B:D""), 2, FALSE), ""Not Found"")"),"tɛrɑ")</f>
        <v>tɛrɑ</v>
      </c>
      <c r="E4851" s="2" t="str">
        <f>IFERROR(__xludf.DUMMYFUNCTION("IFERROR(VLOOKUP(A4851, IMPORTRANGE(""https://docs.google.com/spreadsheets/d/1-3Vjw2Cyy-mry5gbC8ypIR3YVGFfEpyFESummAta6sg/edit"", ""Sheet1!B:D""), 3, FALSE), ""Not Found"")"),"t ɛ r ɑ ")</f>
        <v>t ɛ r ɑ </v>
      </c>
    </row>
    <row r="4852">
      <c r="A4852" s="1" t="s">
        <v>4855</v>
      </c>
      <c r="B4852" s="1" t="s">
        <v>5</v>
      </c>
      <c r="C4852" s="2">
        <f>IFERROR(__xludf.DUMMYFUNCTION("IFERROR(VLOOKUP(A4852, IMPORTRANGE(""https://docs.google.com/spreadsheets/d/1AVX9GT0dgogEBStecCXMMQ29tWz3gBrtNB8yIromXbY/edit?gid=741673867"", ""out1g!A:B""), 2, FALSE), 0)"),741.0)</f>
        <v>741</v>
      </c>
      <c r="D4852" s="2" t="str">
        <f>IFERROR(__xludf.DUMMYFUNCTION("IFERROR(VLOOKUP(A4852, IMPORTRANGE(""https://docs.google.com/spreadsheets/d/1-3Vjw2Cyy-mry5gbC8ypIR3YVGFfEpyFESummAta6sg/edit"", ""Sheet1!B:D""), 2, FALSE), ""Not Found"")"),"dɛf")</f>
        <v>dɛf</v>
      </c>
      <c r="E4852" s="2" t="str">
        <f>IFERROR(__xludf.DUMMYFUNCTION("IFERROR(VLOOKUP(A4852, IMPORTRANGE(""https://docs.google.com/spreadsheets/d/1-3Vjw2Cyy-mry5gbC8ypIR3YVGFfEpyFESummAta6sg/edit"", ""Sheet1!B:D""), 3, FALSE), ""Not Found"")"),"d ɛ f ")</f>
        <v>d ɛ f </v>
      </c>
    </row>
    <row r="4853">
      <c r="A4853" s="1" t="s">
        <v>4856</v>
      </c>
      <c r="B4853" s="1" t="s">
        <v>5</v>
      </c>
      <c r="C4853" s="2">
        <f>IFERROR(__xludf.DUMMYFUNCTION("IFERROR(VLOOKUP(A4853, IMPORTRANGE(""https://docs.google.com/spreadsheets/d/1AVX9GT0dgogEBStecCXMMQ29tWz3gBrtNB8yIromXbY/edit?gid=741673867"", ""out1g!A:B""), 2, FALSE), 0)"),107.0)</f>
        <v>107</v>
      </c>
      <c r="D4853" s="2" t="str">
        <f>IFERROR(__xludf.DUMMYFUNCTION("IFERROR(VLOOKUP(A4853, IMPORTRANGE(""https://docs.google.com/spreadsheets/d/1-3Vjw2Cyy-mry5gbC8ypIR3YVGFfEpyFESummAta6sg/edit"", ""Sheet1!B:D""), 2, FALSE), ""Not Found"")"),"hoʊstɪŋ")</f>
        <v>hoʊstɪŋ</v>
      </c>
      <c r="E4853" s="2" t="str">
        <f>IFERROR(__xludf.DUMMYFUNCTION("IFERROR(VLOOKUP(A4853, IMPORTRANGE(""https://docs.google.com/spreadsheets/d/1-3Vjw2Cyy-mry5gbC8ypIR3YVGFfEpyFESummAta6sg/edit"", ""Sheet1!B:D""), 3, FALSE), ""Not Found"")"),"h o ʊ s t ɪ ŋ ")</f>
        <v>h o ʊ s t ɪ ŋ </v>
      </c>
    </row>
    <row r="4854">
      <c r="A4854" s="1" t="s">
        <v>4857</v>
      </c>
      <c r="B4854" s="1" t="s">
        <v>5</v>
      </c>
      <c r="C4854" s="2">
        <f>IFERROR(__xludf.DUMMYFUNCTION("IFERROR(VLOOKUP(A4854, IMPORTRANGE(""https://docs.google.com/spreadsheets/d/1AVX9GT0dgogEBStecCXMMQ29tWz3gBrtNB8yIromXbY/edit?gid=741673867"", ""out1g!A:B""), 2, FALSE), 0)"),91.0)</f>
        <v>91</v>
      </c>
      <c r="D4854" s="2" t="str">
        <f>IFERROR(__xludf.DUMMYFUNCTION("IFERROR(VLOOKUP(A4854, IMPORTRANGE(""https://docs.google.com/spreadsheets/d/1-3Vjw2Cyy-mry5gbC8ypIR3YVGFfEpyFESummAta6sg/edit"", ""Sheet1!B:D""), 2, FALSE), ""Not Found"")"),"wɪpər")</f>
        <v>wɪpər</v>
      </c>
      <c r="E4854" s="2" t="str">
        <f>IFERROR(__xludf.DUMMYFUNCTION("IFERROR(VLOOKUP(A4854, IMPORTRANGE(""https://docs.google.com/spreadsheets/d/1-3Vjw2Cyy-mry5gbC8ypIR3YVGFfEpyFESummAta6sg/edit"", ""Sheet1!B:D""), 3, FALSE), ""Not Found"")"),"w ɪ p ə r ")</f>
        <v>w ɪ p ə r </v>
      </c>
    </row>
    <row r="4855">
      <c r="A4855" s="1" t="s">
        <v>4858</v>
      </c>
      <c r="B4855" s="1" t="s">
        <v>5</v>
      </c>
      <c r="C4855" s="2">
        <f>IFERROR(__xludf.DUMMYFUNCTION("IFERROR(VLOOKUP(A4855, IMPORTRANGE(""https://docs.google.com/spreadsheets/d/1AVX9GT0dgogEBStecCXMMQ29tWz3gBrtNB8yIromXbY/edit?gid=741673867"", ""out1g!A:B""), 2, FALSE), 0)"),665.0)</f>
        <v>665</v>
      </c>
      <c r="D4855" s="2" t="str">
        <f>IFERROR(__xludf.DUMMYFUNCTION("IFERROR(VLOOKUP(A4855, IMPORTRANGE(""https://docs.google.com/spreadsheets/d/1-3Vjw2Cyy-mry5gbC8ypIR3YVGFfEpyFESummAta6sg/edit"", ""Sheet1!B:D""), 2, FALSE), ""Not Found"")"),"gus")</f>
        <v>gus</v>
      </c>
      <c r="E4855" s="2" t="str">
        <f>IFERROR(__xludf.DUMMYFUNCTION("IFERROR(VLOOKUP(A4855, IMPORTRANGE(""https://docs.google.com/spreadsheets/d/1-3Vjw2Cyy-mry5gbC8ypIR3YVGFfEpyFESummAta6sg/edit"", ""Sheet1!B:D""), 3, FALSE), ""Not Found"")"),"g u s ")</f>
        <v>g u s </v>
      </c>
    </row>
    <row r="4856">
      <c r="A4856" s="1" t="s">
        <v>4859</v>
      </c>
      <c r="B4856" s="1" t="s">
        <v>5</v>
      </c>
      <c r="C4856" s="2">
        <f>IFERROR(__xludf.DUMMYFUNCTION("IFERROR(VLOOKUP(A4856, IMPORTRANGE(""https://docs.google.com/spreadsheets/d/1AVX9GT0dgogEBStecCXMMQ29tWz3gBrtNB8yIromXbY/edit?gid=741673867"", ""out1g!A:B""), 2, FALSE), 0)"),524.0)</f>
        <v>524</v>
      </c>
      <c r="D4856" s="2" t="str">
        <f>IFERROR(__xludf.DUMMYFUNCTION("IFERROR(VLOOKUP(A4856, IMPORTRANGE(""https://docs.google.com/spreadsheets/d/1-3Vjw2Cyy-mry5gbC8ypIR3YVGFfEpyFESummAta6sg/edit"", ""Sheet1!B:D""), 2, FALSE), ""Not Found"")"),"fuld")</f>
        <v>fuld</v>
      </c>
      <c r="E4856" s="2" t="str">
        <f>IFERROR(__xludf.DUMMYFUNCTION("IFERROR(VLOOKUP(A4856, IMPORTRANGE(""https://docs.google.com/spreadsheets/d/1-3Vjw2Cyy-mry5gbC8ypIR3YVGFfEpyFESummAta6sg/edit"", ""Sheet1!B:D""), 3, FALSE), ""Not Found"")"),"f u l d ")</f>
        <v>f u l d </v>
      </c>
    </row>
    <row r="4857">
      <c r="A4857" s="1" t="s">
        <v>4860</v>
      </c>
      <c r="B4857" s="1" t="s">
        <v>5</v>
      </c>
      <c r="C4857" s="2">
        <f>IFERROR(__xludf.DUMMYFUNCTION("IFERROR(VLOOKUP(A4857, IMPORTRANGE(""https://docs.google.com/spreadsheets/d/1AVX9GT0dgogEBStecCXMMQ29tWz3gBrtNB8yIromXbY/edit?gid=741673867"", ""out1g!A:B""), 2, FALSE), 0)"),1100.0)</f>
        <v>1100</v>
      </c>
      <c r="D4857" s="2" t="str">
        <f>IFERROR(__xludf.DUMMYFUNCTION("IFERROR(VLOOKUP(A4857, IMPORTRANGE(""https://docs.google.com/spreadsheets/d/1-3Vjw2Cyy-mry5gbC8ypIR3YVGFfEpyFESummAta6sg/edit"", ""Sheet1!B:D""), 2, FALSE), ""Not Found"")"),"klɪf")</f>
        <v>klɪf</v>
      </c>
      <c r="E4857" s="2" t="str">
        <f>IFERROR(__xludf.DUMMYFUNCTION("IFERROR(VLOOKUP(A4857, IMPORTRANGE(""https://docs.google.com/spreadsheets/d/1-3Vjw2Cyy-mry5gbC8ypIR3YVGFfEpyFESummAta6sg/edit"", ""Sheet1!B:D""), 3, FALSE), ""Not Found"")"),"k l ɪ f ")</f>
        <v>k l ɪ f </v>
      </c>
    </row>
    <row r="4858">
      <c r="A4858" s="1" t="s">
        <v>4861</v>
      </c>
      <c r="B4858" s="1" t="s">
        <v>5</v>
      </c>
      <c r="C4858" s="2">
        <f>IFERROR(__xludf.DUMMYFUNCTION("IFERROR(VLOOKUP(A4858, IMPORTRANGE(""https://docs.google.com/spreadsheets/d/1AVX9GT0dgogEBStecCXMMQ29tWz3gBrtNB8yIromXbY/edit?gid=741673867"", ""out1g!A:B""), 2, FALSE), 0)"),933.0)</f>
        <v>933</v>
      </c>
      <c r="D4858" s="2" t="str">
        <f>IFERROR(__xludf.DUMMYFUNCTION("IFERROR(VLOOKUP(A4858, IMPORTRANGE(""https://docs.google.com/spreadsheets/d/1-3Vjw2Cyy-mry5gbC8ypIR3YVGFfEpyFESummAta6sg/edit"", ""Sheet1!B:D""), 2, FALSE), ""Not Found"")"),"pæt")</f>
        <v>pæt</v>
      </c>
      <c r="E4858" s="2" t="str">
        <f>IFERROR(__xludf.DUMMYFUNCTION("IFERROR(VLOOKUP(A4858, IMPORTRANGE(""https://docs.google.com/spreadsheets/d/1-3Vjw2Cyy-mry5gbC8ypIR3YVGFfEpyFESummAta6sg/edit"", ""Sheet1!B:D""), 3, FALSE), ""Not Found"")"),"p æ t ")</f>
        <v>p æ t </v>
      </c>
    </row>
    <row r="4859">
      <c r="A4859" s="1" t="s">
        <v>4862</v>
      </c>
      <c r="B4859" s="1" t="s">
        <v>5</v>
      </c>
      <c r="C4859" s="2">
        <f>IFERROR(__xludf.DUMMYFUNCTION("IFERROR(VLOOKUP(A4859, IMPORTRANGE(""https://docs.google.com/spreadsheets/d/1AVX9GT0dgogEBStecCXMMQ29tWz3gBrtNB8yIromXbY/edit?gid=741673867"", ""out1g!A:B""), 2, FALSE), 0)"),2759.0)</f>
        <v>2759</v>
      </c>
      <c r="D4859" s="2" t="str">
        <f>IFERROR(__xludf.DUMMYFUNCTION("IFERROR(VLOOKUP(A4859, IMPORTRANGE(""https://docs.google.com/spreadsheets/d/1-3Vjw2Cyy-mry5gbC8ypIR3YVGFfEpyFESummAta6sg/edit"", ""Sheet1!B:D""), 2, FALSE), ""Not Found"")"),"stets")</f>
        <v>stets</v>
      </c>
      <c r="E4859" s="2" t="str">
        <f>IFERROR(__xludf.DUMMYFUNCTION("IFERROR(VLOOKUP(A4859, IMPORTRANGE(""https://docs.google.com/spreadsheets/d/1-3Vjw2Cyy-mry5gbC8ypIR3YVGFfEpyFESummAta6sg/edit"", ""Sheet1!B:D""), 3, FALSE), ""Not Found"")"),"s t e t s ")</f>
        <v>s t e t s </v>
      </c>
    </row>
    <row r="4860">
      <c r="A4860" s="1" t="s">
        <v>4863</v>
      </c>
      <c r="B4860" s="1" t="s">
        <v>5</v>
      </c>
      <c r="C4860" s="2">
        <f>IFERROR(__xludf.DUMMYFUNCTION("IFERROR(VLOOKUP(A4860, IMPORTRANGE(""https://docs.google.com/spreadsheets/d/1AVX9GT0dgogEBStecCXMMQ29tWz3gBrtNB8yIromXbY/edit?gid=741673867"", ""out1g!A:B""), 2, FALSE), 0)"),83.0)</f>
        <v>83</v>
      </c>
      <c r="D4860" s="2" t="str">
        <f>IFERROR(__xludf.DUMMYFUNCTION("IFERROR(VLOOKUP(A4860, IMPORTRANGE(""https://docs.google.com/spreadsheets/d/1-3Vjw2Cyy-mry5gbC8ypIR3YVGFfEpyFESummAta6sg/edit"", ""Sheet1!B:D""), 2, FALSE), ""Not Found"")"),"mæst")</f>
        <v>mæst</v>
      </c>
      <c r="E4860" s="2" t="str">
        <f>IFERROR(__xludf.DUMMYFUNCTION("IFERROR(VLOOKUP(A4860, IMPORTRANGE(""https://docs.google.com/spreadsheets/d/1-3Vjw2Cyy-mry5gbC8ypIR3YVGFfEpyFESummAta6sg/edit"", ""Sheet1!B:D""), 3, FALSE), ""Not Found"")"),"m æ s t ")</f>
        <v>m æ s t </v>
      </c>
    </row>
    <row r="4861">
      <c r="A4861" s="1" t="s">
        <v>4864</v>
      </c>
      <c r="B4861" s="1" t="s">
        <v>5</v>
      </c>
      <c r="C4861" s="2">
        <f>IFERROR(__xludf.DUMMYFUNCTION("IFERROR(VLOOKUP(A4861, IMPORTRANGE(""https://docs.google.com/spreadsheets/d/1AVX9GT0dgogEBStecCXMMQ29tWz3gBrtNB8yIromXbY/edit?gid=741673867"", ""out1g!A:B""), 2, FALSE), 0)"),45.0)</f>
        <v>45</v>
      </c>
      <c r="D4861" s="2" t="str">
        <f>IFERROR(__xludf.DUMMYFUNCTION("IFERROR(VLOOKUP(A4861, IMPORTRANGE(""https://docs.google.com/spreadsheets/d/1-3Vjw2Cyy-mry5gbC8ypIR3YVGFfEpyFESummAta6sg/edit"", ""Sheet1!B:D""), 2, FALSE), ""Not Found"")"),"əmɪd")</f>
        <v>əmɪd</v>
      </c>
      <c r="E4861" s="2" t="str">
        <f>IFERROR(__xludf.DUMMYFUNCTION("IFERROR(VLOOKUP(A4861, IMPORTRANGE(""https://docs.google.com/spreadsheets/d/1-3Vjw2Cyy-mry5gbC8ypIR3YVGFfEpyFESummAta6sg/edit"", ""Sheet1!B:D""), 3, FALSE), ""Not Found"")"),"ə m ɪ d ")</f>
        <v>ə m ɪ d </v>
      </c>
    </row>
    <row r="4862">
      <c r="A4862" s="1" t="s">
        <v>4865</v>
      </c>
      <c r="B4862" s="1" t="s">
        <v>5</v>
      </c>
      <c r="C4862" s="2">
        <f>IFERROR(__xludf.DUMMYFUNCTION("IFERROR(VLOOKUP(A4862, IMPORTRANGE(""https://docs.google.com/spreadsheets/d/1AVX9GT0dgogEBStecCXMMQ29tWz3gBrtNB8yIromXbY/edit?gid=741673867"", ""out1g!A:B""), 2, FALSE), 0)"),192.0)</f>
        <v>192</v>
      </c>
      <c r="D4862" s="2" t="str">
        <f>IFERROR(__xludf.DUMMYFUNCTION("IFERROR(VLOOKUP(A4862, IMPORTRANGE(""https://docs.google.com/spreadsheets/d/1-3Vjw2Cyy-mry5gbC8ypIR3YVGFfEpyFESummAta6sg/edit"", ""Sheet1!B:D""), 2, FALSE), ""Not Found"")"),"i")</f>
        <v>i</v>
      </c>
      <c r="E4862" s="2" t="str">
        <f>IFERROR(__xludf.DUMMYFUNCTION("IFERROR(VLOOKUP(A4862, IMPORTRANGE(""https://docs.google.com/spreadsheets/d/1-3Vjw2Cyy-mry5gbC8ypIR3YVGFfEpyFESummAta6sg/edit"", ""Sheet1!B:D""), 3, FALSE), ""Not Found"")"),"i ")</f>
        <v>i </v>
      </c>
    </row>
    <row r="4863">
      <c r="A4863" s="1" t="s">
        <v>4866</v>
      </c>
      <c r="B4863" s="1" t="s">
        <v>5</v>
      </c>
      <c r="C4863" s="2">
        <f>IFERROR(__xludf.DUMMYFUNCTION("IFERROR(VLOOKUP(A4863, IMPORTRANGE(""https://docs.google.com/spreadsheets/d/1AVX9GT0dgogEBStecCXMMQ29tWz3gBrtNB8yIromXbY/edit?gid=741673867"", ""out1g!A:B""), 2, FALSE), 0)"),94.0)</f>
        <v>94</v>
      </c>
      <c r="D4863" s="2" t="str">
        <f>IFERROR(__xludf.DUMMYFUNCTION("IFERROR(VLOOKUP(A4863, IMPORTRANGE(""https://docs.google.com/spreadsheets/d/1-3Vjw2Cyy-mry5gbC8ypIR3YVGFfEpyFESummAta6sg/edit"", ""Sheet1!B:D""), 2, FALSE), ""Not Found"")"),"strænd")</f>
        <v>strænd</v>
      </c>
      <c r="E4863" s="2" t="str">
        <f>IFERROR(__xludf.DUMMYFUNCTION("IFERROR(VLOOKUP(A4863, IMPORTRANGE(""https://docs.google.com/spreadsheets/d/1-3Vjw2Cyy-mry5gbC8ypIR3YVGFfEpyFESummAta6sg/edit"", ""Sheet1!B:D""), 3, FALSE), ""Not Found"")"),"s t r æ n d ")</f>
        <v>s t r æ n d </v>
      </c>
    </row>
    <row r="4864">
      <c r="A4864" s="1" t="s">
        <v>4867</v>
      </c>
      <c r="B4864" s="1" t="s">
        <v>5</v>
      </c>
      <c r="C4864" s="2">
        <f>IFERROR(__xludf.DUMMYFUNCTION("IFERROR(VLOOKUP(A4864, IMPORTRANGE(""https://docs.google.com/spreadsheets/d/1AVX9GT0dgogEBStecCXMMQ29tWz3gBrtNB8yIromXbY/edit?gid=741673867"", ""out1g!A:B""), 2, FALSE), 0)"),701.0)</f>
        <v>701</v>
      </c>
      <c r="D4864" s="2" t="str">
        <f>IFERROR(__xludf.DUMMYFUNCTION("IFERROR(VLOOKUP(A4864, IMPORTRANGE(""https://docs.google.com/spreadsheets/d/1-3Vjw2Cyy-mry5gbC8ypIR3YVGFfEpyFESummAta6sg/edit"", ""Sheet1!B:D""), 2, FALSE), ""Not Found"")"),"floʊ")</f>
        <v>floʊ</v>
      </c>
      <c r="E4864" s="2" t="str">
        <f>IFERROR(__xludf.DUMMYFUNCTION("IFERROR(VLOOKUP(A4864, IMPORTRANGE(""https://docs.google.com/spreadsheets/d/1-3Vjw2Cyy-mry5gbC8ypIR3YVGFfEpyFESummAta6sg/edit"", ""Sheet1!B:D""), 3, FALSE), ""Not Found"")"),"f l o ʊ ")</f>
        <v>f l o ʊ </v>
      </c>
    </row>
    <row r="4865">
      <c r="A4865" s="1" t="s">
        <v>4868</v>
      </c>
      <c r="B4865" s="1" t="s">
        <v>5</v>
      </c>
      <c r="C4865" s="2">
        <f>IFERROR(__xludf.DUMMYFUNCTION("IFERROR(VLOOKUP(A4865, IMPORTRANGE(""https://docs.google.com/spreadsheets/d/1AVX9GT0dgogEBStecCXMMQ29tWz3gBrtNB8yIromXbY/edit?gid=741673867"", ""out1g!A:B""), 2, FALSE), 0)"),316.0)</f>
        <v>316</v>
      </c>
      <c r="D4865" s="2" t="str">
        <f>IFERROR(__xludf.DUMMYFUNCTION("IFERROR(VLOOKUP(A4865, IMPORTRANGE(""https://docs.google.com/spreadsheets/d/1-3Vjw2Cyy-mry5gbC8ypIR3YVGFfEpyFESummAta6sg/edit"", ""Sheet1!B:D""), 2, FALSE), ""Not Found"")"),"paɪn")</f>
        <v>paɪn</v>
      </c>
      <c r="E4865" s="2" t="str">
        <f>IFERROR(__xludf.DUMMYFUNCTION("IFERROR(VLOOKUP(A4865, IMPORTRANGE(""https://docs.google.com/spreadsheets/d/1-3Vjw2Cyy-mry5gbC8ypIR3YVGFfEpyFESummAta6sg/edit"", ""Sheet1!B:D""), 3, FALSE), ""Not Found"")"),"p a ɪ n ")</f>
        <v>p a ɪ n </v>
      </c>
    </row>
    <row r="4866">
      <c r="A4866" s="1" t="s">
        <v>4869</v>
      </c>
      <c r="B4866" s="1" t="s">
        <v>5</v>
      </c>
      <c r="C4866" s="2">
        <f>IFERROR(__xludf.DUMMYFUNCTION("IFERROR(VLOOKUP(A4866, IMPORTRANGE(""https://docs.google.com/spreadsheets/d/1AVX9GT0dgogEBStecCXMMQ29tWz3gBrtNB8yIromXbY/edit?gid=741673867"", ""out1g!A:B""), 2, FALSE), 0)"),92.0)</f>
        <v>92</v>
      </c>
      <c r="D4866" s="2" t="str">
        <f>IFERROR(__xludf.DUMMYFUNCTION("IFERROR(VLOOKUP(A4866, IMPORTRANGE(""https://docs.google.com/spreadsheets/d/1-3Vjw2Cyy-mry5gbC8ypIR3YVGFfEpyFESummAta6sg/edit"", ""Sheet1!B:D""), 2, FALSE), ""Not Found"")"),"brutəli")</f>
        <v>brutəli</v>
      </c>
      <c r="E4866" s="2" t="str">
        <f>IFERROR(__xludf.DUMMYFUNCTION("IFERROR(VLOOKUP(A4866, IMPORTRANGE(""https://docs.google.com/spreadsheets/d/1-3Vjw2Cyy-mry5gbC8ypIR3YVGFfEpyFESummAta6sg/edit"", ""Sheet1!B:D""), 3, FALSE), ""Not Found"")"),"b r u t ə l i ")</f>
        <v>b r u t ə l i </v>
      </c>
    </row>
    <row r="4867">
      <c r="A4867" s="1" t="s">
        <v>4870</v>
      </c>
      <c r="B4867" s="1" t="s">
        <v>5</v>
      </c>
      <c r="C4867" s="2">
        <f>IFERROR(__xludf.DUMMYFUNCTION("IFERROR(VLOOKUP(A4867, IMPORTRANGE(""https://docs.google.com/spreadsheets/d/1AVX9GT0dgogEBStecCXMMQ29tWz3gBrtNB8yIromXbY/edit?gid=741673867"", ""out1g!A:B""), 2, FALSE), 0)"),404.0)</f>
        <v>404</v>
      </c>
      <c r="D4867" s="2" t="str">
        <f>IFERROR(__xludf.DUMMYFUNCTION("IFERROR(VLOOKUP(A4867, IMPORTRANGE(""https://docs.google.com/spreadsheets/d/1-3Vjw2Cyy-mry5gbC8ypIR3YVGFfEpyFESummAta6sg/edit"", ""Sheet1!B:D""), 2, FALSE), ""Not Found"")"),"skɪl")</f>
        <v>skɪl</v>
      </c>
      <c r="E4867" s="2" t="str">
        <f>IFERROR(__xludf.DUMMYFUNCTION("IFERROR(VLOOKUP(A4867, IMPORTRANGE(""https://docs.google.com/spreadsheets/d/1-3Vjw2Cyy-mry5gbC8ypIR3YVGFfEpyFESummAta6sg/edit"", ""Sheet1!B:D""), 3, FALSE), ""Not Found"")"),"s k ɪ l ")</f>
        <v>s k ɪ l </v>
      </c>
    </row>
    <row r="4868">
      <c r="A4868" s="1" t="s">
        <v>4871</v>
      </c>
      <c r="B4868" s="1" t="s">
        <v>5</v>
      </c>
      <c r="C4868" s="2">
        <f>IFERROR(__xludf.DUMMYFUNCTION("IFERROR(VLOOKUP(A4868, IMPORTRANGE(""https://docs.google.com/spreadsheets/d/1AVX9GT0dgogEBStecCXMMQ29tWz3gBrtNB8yIromXbY/edit?gid=741673867"", ""out1g!A:B""), 2, FALSE), 0)"),118.0)</f>
        <v>118</v>
      </c>
      <c r="D4868" s="2" t="str">
        <f>IFERROR(__xludf.DUMMYFUNCTION("IFERROR(VLOOKUP(A4868, IMPORTRANGE(""https://docs.google.com/spreadsheets/d/1-3Vjw2Cyy-mry5gbC8ypIR3YVGFfEpyFESummAta6sg/edit"", ""Sheet1!B:D""), 2, FALSE), ""Not Found"")"),"flɑp")</f>
        <v>flɑp</v>
      </c>
      <c r="E4868" s="2" t="str">
        <f>IFERROR(__xludf.DUMMYFUNCTION("IFERROR(VLOOKUP(A4868, IMPORTRANGE(""https://docs.google.com/spreadsheets/d/1-3Vjw2Cyy-mry5gbC8ypIR3YVGFfEpyFESummAta6sg/edit"", ""Sheet1!B:D""), 3, FALSE), ""Not Found"")"),"f l ɑ p ")</f>
        <v>f l ɑ p </v>
      </c>
    </row>
    <row r="4869">
      <c r="A4869" s="1" t="s">
        <v>4872</v>
      </c>
      <c r="B4869" s="1" t="s">
        <v>5</v>
      </c>
      <c r="C4869" s="2">
        <f>IFERROR(__xludf.DUMMYFUNCTION("IFERROR(VLOOKUP(A4869, IMPORTRANGE(""https://docs.google.com/spreadsheets/d/1AVX9GT0dgogEBStecCXMMQ29tWz3gBrtNB8yIromXbY/edit?gid=741673867"", ""out1g!A:B""), 2, FALSE), 0)"),69.0)</f>
        <v>69</v>
      </c>
      <c r="D4869" s="2" t="str">
        <f>IFERROR(__xludf.DUMMYFUNCTION("IFERROR(VLOOKUP(A4869, IMPORTRANGE(""https://docs.google.com/spreadsheets/d/1-3Vjw2Cyy-mry5gbC8ypIR3YVGFfEpyFESummAta6sg/edit"", ""Sheet1!B:D""), 2, FALSE), ""Not Found"")"),"hərl")</f>
        <v>hərl</v>
      </c>
      <c r="E4869" s="2" t="str">
        <f>IFERROR(__xludf.DUMMYFUNCTION("IFERROR(VLOOKUP(A4869, IMPORTRANGE(""https://docs.google.com/spreadsheets/d/1-3Vjw2Cyy-mry5gbC8ypIR3YVGFfEpyFESummAta6sg/edit"", ""Sheet1!B:D""), 3, FALSE), ""Not Found"")"),"h ə r l ")</f>
        <v>h ə r l </v>
      </c>
    </row>
    <row r="4870">
      <c r="A4870" s="1" t="s">
        <v>4873</v>
      </c>
      <c r="B4870" s="1" t="s">
        <v>5</v>
      </c>
      <c r="C4870" s="2">
        <f>IFERROR(__xludf.DUMMYFUNCTION("IFERROR(VLOOKUP(A4870, IMPORTRANGE(""https://docs.google.com/spreadsheets/d/1AVX9GT0dgogEBStecCXMMQ29tWz3gBrtNB8yIromXbY/edit?gid=741673867"", ""out1g!A:B""), 2, FALSE), 0)"),4148.0)</f>
        <v>4148</v>
      </c>
      <c r="D4870" s="2" t="str">
        <f>IFERROR(__xludf.DUMMYFUNCTION("IFERROR(VLOOKUP(A4870, IMPORTRANGE(""https://docs.google.com/spreadsheets/d/1-3Vjw2Cyy-mry5gbC8ypIR3YVGFfEpyFESummAta6sg/edit"", ""Sheet1!B:D""), 2, FALSE), ""Not Found"")"),"dæni")</f>
        <v>dæni</v>
      </c>
      <c r="E4870" s="2" t="str">
        <f>IFERROR(__xludf.DUMMYFUNCTION("IFERROR(VLOOKUP(A4870, IMPORTRANGE(""https://docs.google.com/spreadsheets/d/1-3Vjw2Cyy-mry5gbC8ypIR3YVGFfEpyFESummAta6sg/edit"", ""Sheet1!B:D""), 3, FALSE), ""Not Found"")"),"d æ n i ")</f>
        <v>d æ n i </v>
      </c>
    </row>
    <row r="4871">
      <c r="A4871" s="1" t="s">
        <v>4874</v>
      </c>
      <c r="B4871" s="1" t="s">
        <v>5</v>
      </c>
      <c r="C4871" s="2">
        <f>IFERROR(__xludf.DUMMYFUNCTION("IFERROR(VLOOKUP(A4871, IMPORTRANGE(""https://docs.google.com/spreadsheets/d/1AVX9GT0dgogEBStecCXMMQ29tWz3gBrtNB8yIromXbY/edit?gid=741673867"", ""out1g!A:B""), 2, FALSE), 0)"),111.0)</f>
        <v>111</v>
      </c>
      <c r="D4871" s="2" t="str">
        <f>IFERROR(__xludf.DUMMYFUNCTION("IFERROR(VLOOKUP(A4871, IMPORTRANGE(""https://docs.google.com/spreadsheets/d/1-3Vjw2Cyy-mry5gbC8ypIR3YVGFfEpyFESummAta6sg/edit"", ""Sheet1!B:D""), 2, FALSE), ""Not Found"")"),"jaɪks")</f>
        <v>jaɪks</v>
      </c>
      <c r="E4871" s="2" t="str">
        <f>IFERROR(__xludf.DUMMYFUNCTION("IFERROR(VLOOKUP(A4871, IMPORTRANGE(""https://docs.google.com/spreadsheets/d/1-3Vjw2Cyy-mry5gbC8ypIR3YVGFfEpyFESummAta6sg/edit"", ""Sheet1!B:D""), 3, FALSE), ""Not Found"")"),"j a ɪ k s ")</f>
        <v>j a ɪ k s </v>
      </c>
    </row>
    <row r="4872">
      <c r="A4872" s="1" t="s">
        <v>4875</v>
      </c>
      <c r="B4872" s="1" t="s">
        <v>5</v>
      </c>
      <c r="C4872" s="2">
        <f>IFERROR(__xludf.DUMMYFUNCTION("IFERROR(VLOOKUP(A4872, IMPORTRANGE(""https://docs.google.com/spreadsheets/d/1AVX9GT0dgogEBStecCXMMQ29tWz3gBrtNB8yIromXbY/edit?gid=741673867"", ""out1g!A:B""), 2, FALSE), 0)"),66.0)</f>
        <v>66</v>
      </c>
      <c r="D4872" s="2" t="str">
        <f>IFERROR(__xludf.DUMMYFUNCTION("IFERROR(VLOOKUP(A4872, IMPORTRANGE(""https://docs.google.com/spreadsheets/d/1-3Vjw2Cyy-mry5gbC8ypIR3YVGFfEpyFESummAta6sg/edit"", ""Sheet1!B:D""), 2, FALSE), ""Not Found"")"),"zaɪən")</f>
        <v>zaɪən</v>
      </c>
      <c r="E4872" s="2" t="str">
        <f>IFERROR(__xludf.DUMMYFUNCTION("IFERROR(VLOOKUP(A4872, IMPORTRANGE(""https://docs.google.com/spreadsheets/d/1-3Vjw2Cyy-mry5gbC8ypIR3YVGFfEpyFESummAta6sg/edit"", ""Sheet1!B:D""), 3, FALSE), ""Not Found"")"),"z a ɪ ə n ")</f>
        <v>z a ɪ ə n </v>
      </c>
    </row>
    <row r="4873">
      <c r="A4873" s="1" t="s">
        <v>4876</v>
      </c>
      <c r="B4873" s="1" t="s">
        <v>5</v>
      </c>
      <c r="C4873" s="2">
        <f>IFERROR(__xludf.DUMMYFUNCTION("IFERROR(VLOOKUP(A4873, IMPORTRANGE(""https://docs.google.com/spreadsheets/d/1AVX9GT0dgogEBStecCXMMQ29tWz3gBrtNB8yIromXbY/edit?gid=741673867"", ""out1g!A:B""), 2, FALSE), 0)"),72.0)</f>
        <v>72</v>
      </c>
      <c r="D4873" s="2" t="str">
        <f>IFERROR(__xludf.DUMMYFUNCTION("IFERROR(VLOOKUP(A4873, IMPORTRANGE(""https://docs.google.com/spreadsheets/d/1-3Vjw2Cyy-mry5gbC8ypIR3YVGFfEpyFESummAta6sg/edit"", ""Sheet1!B:D""), 2, FALSE), ""Not Found"")"),"lun")</f>
        <v>lun</v>
      </c>
      <c r="E4873" s="2" t="str">
        <f>IFERROR(__xludf.DUMMYFUNCTION("IFERROR(VLOOKUP(A4873, IMPORTRANGE(""https://docs.google.com/spreadsheets/d/1-3Vjw2Cyy-mry5gbC8ypIR3YVGFfEpyFESummAta6sg/edit"", ""Sheet1!B:D""), 3, FALSE), ""Not Found"")"),"l u n ")</f>
        <v>l u n </v>
      </c>
    </row>
    <row r="4874">
      <c r="A4874" s="1" t="s">
        <v>4877</v>
      </c>
      <c r="B4874" s="1" t="s">
        <v>5</v>
      </c>
      <c r="C4874" s="2">
        <f>IFERROR(__xludf.DUMMYFUNCTION("IFERROR(VLOOKUP(A4874, IMPORTRANGE(""https://docs.google.com/spreadsheets/d/1AVX9GT0dgogEBStecCXMMQ29tWz3gBrtNB8yIromXbY/edit?gid=741673867"", ""out1g!A:B""), 2, FALSE), 0)"),28626.0)</f>
        <v>28626</v>
      </c>
      <c r="D4874" s="2" t="str">
        <f>IFERROR(__xludf.DUMMYFUNCTION("IFERROR(VLOOKUP(A4874, IMPORTRANGE(""https://docs.google.com/spreadsheets/d/1-3Vjw2Cyy-mry5gbC8ypIR3YVGFfEpyFESummAta6sg/edit"", ""Sheet1!B:D""), 2, FALSE), ""Not Found"")"),"med")</f>
        <v>med</v>
      </c>
      <c r="E4874" s="2" t="str">
        <f>IFERROR(__xludf.DUMMYFUNCTION("IFERROR(VLOOKUP(A4874, IMPORTRANGE(""https://docs.google.com/spreadsheets/d/1-3Vjw2Cyy-mry5gbC8ypIR3YVGFfEpyFESummAta6sg/edit"", ""Sheet1!B:D""), 3, FALSE), ""Not Found"")"),"m e d ")</f>
        <v>m e d </v>
      </c>
    </row>
    <row r="4875">
      <c r="A4875" s="1" t="s">
        <v>4878</v>
      </c>
      <c r="B4875" s="1" t="s">
        <v>5</v>
      </c>
      <c r="C4875" s="2">
        <f>IFERROR(__xludf.DUMMYFUNCTION("IFERROR(VLOOKUP(A4875, IMPORTRANGE(""https://docs.google.com/spreadsheets/d/1AVX9GT0dgogEBStecCXMMQ29tWz3gBrtNB8yIromXbY/edit?gid=741673867"", ""out1g!A:B""), 2, FALSE), 0)"),4832.0)</f>
        <v>4832</v>
      </c>
      <c r="D4875" s="2" t="str">
        <f>IFERROR(__xludf.DUMMYFUNCTION("IFERROR(VLOOKUP(A4875, IMPORTRANGE(""https://docs.google.com/spreadsheets/d/1-3Vjw2Cyy-mry5gbC8ypIR3YVGFfEpyFESummAta6sg/edit"", ""Sheet1!B:D""), 2, FALSE), ""Not Found"")"),"fɛr")</f>
        <v>fɛr</v>
      </c>
      <c r="E4875" s="2" t="str">
        <f>IFERROR(__xludf.DUMMYFUNCTION("IFERROR(VLOOKUP(A4875, IMPORTRANGE(""https://docs.google.com/spreadsheets/d/1-3Vjw2Cyy-mry5gbC8ypIR3YVGFfEpyFESummAta6sg/edit"", ""Sheet1!B:D""), 3, FALSE), ""Not Found"")"),"f ɛ r ")</f>
        <v>f ɛ r </v>
      </c>
    </row>
    <row r="4876">
      <c r="A4876" s="1" t="s">
        <v>4879</v>
      </c>
      <c r="B4876" s="1" t="s">
        <v>5</v>
      </c>
      <c r="C4876" s="2">
        <f>IFERROR(__xludf.DUMMYFUNCTION("IFERROR(VLOOKUP(A4876, IMPORTRANGE(""https://docs.google.com/spreadsheets/d/1AVX9GT0dgogEBStecCXMMQ29tWz3gBrtNB8yIromXbY/edit?gid=741673867"", ""out1g!A:B""), 2, FALSE), 0)"),3299.0)</f>
        <v>3299</v>
      </c>
      <c r="D4876" s="2" t="str">
        <f>IFERROR(__xludf.DUMMYFUNCTION("IFERROR(VLOOKUP(A4876, IMPORTRANGE(""https://docs.google.com/spreadsheets/d/1-3Vjw2Cyy-mry5gbC8ypIR3YVGFfEpyFESummAta6sg/edit"", ""Sheet1!B:D""), 2, FALSE), ""Not Found"")"),"nɑk")</f>
        <v>nɑk</v>
      </c>
      <c r="E4876" s="2" t="str">
        <f>IFERROR(__xludf.DUMMYFUNCTION("IFERROR(VLOOKUP(A4876, IMPORTRANGE(""https://docs.google.com/spreadsheets/d/1-3Vjw2Cyy-mry5gbC8ypIR3YVGFfEpyFESummAta6sg/edit"", ""Sheet1!B:D""), 3, FALSE), ""Not Found"")"),"n ɑ k ")</f>
        <v>n ɑ k </v>
      </c>
    </row>
    <row r="4877">
      <c r="A4877" s="1" t="s">
        <v>4880</v>
      </c>
      <c r="B4877" s="1" t="s">
        <v>5</v>
      </c>
      <c r="C4877" s="2">
        <f>IFERROR(__xludf.DUMMYFUNCTION("IFERROR(VLOOKUP(A4877, IMPORTRANGE(""https://docs.google.com/spreadsheets/d/1AVX9GT0dgogEBStecCXMMQ29tWz3gBrtNB8yIromXbY/edit?gid=741673867"", ""out1g!A:B""), 2, FALSE), 0)"),311.0)</f>
        <v>311</v>
      </c>
      <c r="D4877" s="2" t="str">
        <f>IFERROR(__xludf.DUMMYFUNCTION("IFERROR(VLOOKUP(A4877, IMPORTRANGE(""https://docs.google.com/spreadsheets/d/1-3Vjw2Cyy-mry5gbC8ypIR3YVGFfEpyFESummAta6sg/edit"", ""Sheet1!B:D""), 2, FALSE), ""Not Found"")"),"stæk")</f>
        <v>stæk</v>
      </c>
      <c r="E4877" s="2" t="str">
        <f>IFERROR(__xludf.DUMMYFUNCTION("IFERROR(VLOOKUP(A4877, IMPORTRANGE(""https://docs.google.com/spreadsheets/d/1-3Vjw2Cyy-mry5gbC8ypIR3YVGFfEpyFESummAta6sg/edit"", ""Sheet1!B:D""), 3, FALSE), ""Not Found"")"),"s t æ k ")</f>
        <v>s t æ k </v>
      </c>
    </row>
    <row r="4878">
      <c r="A4878" s="1" t="s">
        <v>4881</v>
      </c>
      <c r="B4878" s="1" t="s">
        <v>5</v>
      </c>
      <c r="C4878" s="2">
        <f>IFERROR(__xludf.DUMMYFUNCTION("IFERROR(VLOOKUP(A4878, IMPORTRANGE(""https://docs.google.com/spreadsheets/d/1AVX9GT0dgogEBStecCXMMQ29tWz3gBrtNB8yIromXbY/edit?gid=741673867"", ""out1g!A:B""), 2, FALSE), 0)"),6911.0)</f>
        <v>6911</v>
      </c>
      <c r="D4878" s="2" t="str">
        <f>IFERROR(__xludf.DUMMYFUNCTION("IFERROR(VLOOKUP(A4878, IMPORTRANGE(""https://docs.google.com/spreadsheets/d/1-3Vjw2Cyy-mry5gbC8ypIR3YVGFfEpyFESummAta6sg/edit"", ""Sheet1!B:D""), 2, FALSE), ""Not Found"")"),"kæʧ")</f>
        <v>kæʧ</v>
      </c>
      <c r="E4878" s="2" t="str">
        <f>IFERROR(__xludf.DUMMYFUNCTION("IFERROR(VLOOKUP(A4878, IMPORTRANGE(""https://docs.google.com/spreadsheets/d/1-3Vjw2Cyy-mry5gbC8ypIR3YVGFfEpyFESummAta6sg/edit"", ""Sheet1!B:D""), 3, FALSE), ""Not Found"")"),"k æ ʧ ")</f>
        <v>k æ ʧ </v>
      </c>
    </row>
    <row r="4879">
      <c r="A4879" s="1" t="s">
        <v>4882</v>
      </c>
      <c r="B4879" s="1" t="s">
        <v>5</v>
      </c>
      <c r="C4879" s="2">
        <f>IFERROR(__xludf.DUMMYFUNCTION("IFERROR(VLOOKUP(A4879, IMPORTRANGE(""https://docs.google.com/spreadsheets/d/1AVX9GT0dgogEBStecCXMMQ29tWz3gBrtNB8yIromXbY/edit?gid=741673867"", ""out1g!A:B""), 2, FALSE), 0)"),394.0)</f>
        <v>394</v>
      </c>
      <c r="D4879" s="2" t="str">
        <f>IFERROR(__xludf.DUMMYFUNCTION("IFERROR(VLOOKUP(A4879, IMPORTRANGE(""https://docs.google.com/spreadsheets/d/1-3Vjw2Cyy-mry5gbC8ypIR3YVGFfEpyFESummAta6sg/edit"", ""Sheet1!B:D""), 2, FALSE), ""Not Found"")"),"piɛr")</f>
        <v>piɛr</v>
      </c>
      <c r="E4879" s="2" t="str">
        <f>IFERROR(__xludf.DUMMYFUNCTION("IFERROR(VLOOKUP(A4879, IMPORTRANGE(""https://docs.google.com/spreadsheets/d/1-3Vjw2Cyy-mry5gbC8ypIR3YVGFfEpyFESummAta6sg/edit"", ""Sheet1!B:D""), 3, FALSE), ""Not Found"")"),"p i ɛ r ")</f>
        <v>p i ɛ r </v>
      </c>
    </row>
    <row r="4880">
      <c r="A4880" s="1" t="s">
        <v>4883</v>
      </c>
      <c r="B4880" s="1" t="s">
        <v>5</v>
      </c>
      <c r="C4880" s="2">
        <f>IFERROR(__xludf.DUMMYFUNCTION("IFERROR(VLOOKUP(A4880, IMPORTRANGE(""https://docs.google.com/spreadsheets/d/1AVX9GT0dgogEBStecCXMMQ29tWz3gBrtNB8yIromXbY/edit?gid=741673867"", ""out1g!A:B""), 2, FALSE), 0)"),531.0)</f>
        <v>531</v>
      </c>
      <c r="D4880" s="2" t="str">
        <f>IFERROR(__xludf.DUMMYFUNCTION("IFERROR(VLOOKUP(A4880, IMPORTRANGE(""https://docs.google.com/spreadsheets/d/1-3Vjw2Cyy-mry5gbC8ypIR3YVGFfEpyFESummAta6sg/edit"", ""Sheet1!B:D""), 2, FALSE), ""Not Found"")"),"kləbz")</f>
        <v>kləbz</v>
      </c>
      <c r="E4880" s="2" t="str">
        <f>IFERROR(__xludf.DUMMYFUNCTION("IFERROR(VLOOKUP(A4880, IMPORTRANGE(""https://docs.google.com/spreadsheets/d/1-3Vjw2Cyy-mry5gbC8ypIR3YVGFfEpyFESummAta6sg/edit"", ""Sheet1!B:D""), 3, FALSE), ""Not Found"")"),"k l ə b z ")</f>
        <v>k l ə b z </v>
      </c>
    </row>
    <row r="4881">
      <c r="A4881" s="1" t="s">
        <v>4884</v>
      </c>
      <c r="B4881" s="1" t="s">
        <v>5</v>
      </c>
      <c r="C4881" s="2">
        <f>IFERROR(__xludf.DUMMYFUNCTION("IFERROR(VLOOKUP(A4881, IMPORTRANGE(""https://docs.google.com/spreadsheets/d/1AVX9GT0dgogEBStecCXMMQ29tWz3gBrtNB8yIromXbY/edit?gid=741673867"", ""out1g!A:B""), 2, FALSE), 0)"),46.0)</f>
        <v>46</v>
      </c>
      <c r="D4881" s="2" t="str">
        <f>IFERROR(__xludf.DUMMYFUNCTION("IFERROR(VLOOKUP(A4881, IMPORTRANGE(""https://docs.google.com/spreadsheets/d/1-3Vjw2Cyy-mry5gbC8ypIR3YVGFfEpyFESummAta6sg/edit"", ""Sheet1!B:D""), 2, FALSE), ""Not Found"")"),"pəps")</f>
        <v>pəps</v>
      </c>
      <c r="E4881" s="2" t="str">
        <f>IFERROR(__xludf.DUMMYFUNCTION("IFERROR(VLOOKUP(A4881, IMPORTRANGE(""https://docs.google.com/spreadsheets/d/1-3Vjw2Cyy-mry5gbC8ypIR3YVGFfEpyFESummAta6sg/edit"", ""Sheet1!B:D""), 3, FALSE), ""Not Found"")"),"p ə p s ")</f>
        <v>p ə p s </v>
      </c>
    </row>
    <row r="4882">
      <c r="A4882" s="1" t="s">
        <v>4885</v>
      </c>
      <c r="B4882" s="1" t="s">
        <v>5</v>
      </c>
      <c r="C4882" s="2">
        <f>IFERROR(__xludf.DUMMYFUNCTION("IFERROR(VLOOKUP(A4882, IMPORTRANGE(""https://docs.google.com/spreadsheets/d/1AVX9GT0dgogEBStecCXMMQ29tWz3gBrtNB8yIromXbY/edit?gid=741673867"", ""out1g!A:B""), 2, FALSE), 0)"),141.0)</f>
        <v>141</v>
      </c>
      <c r="D4882" s="2" t="str">
        <f>IFERROR(__xludf.DUMMYFUNCTION("IFERROR(VLOOKUP(A4882, IMPORTRANGE(""https://docs.google.com/spreadsheets/d/1-3Vjw2Cyy-mry5gbC8ypIR3YVGFfEpyFESummAta6sg/edit"", ""Sheet1!B:D""), 2, FALSE), ""Not Found"")"),"mɔrs")</f>
        <v>mɔrs</v>
      </c>
      <c r="E4882" s="2" t="str">
        <f>IFERROR(__xludf.DUMMYFUNCTION("IFERROR(VLOOKUP(A4882, IMPORTRANGE(""https://docs.google.com/spreadsheets/d/1-3Vjw2Cyy-mry5gbC8ypIR3YVGFfEpyFESummAta6sg/edit"", ""Sheet1!B:D""), 3, FALSE), ""Not Found"")"),"m ɔ r s ")</f>
        <v>m ɔ r s </v>
      </c>
    </row>
    <row r="4883">
      <c r="A4883" s="1" t="s">
        <v>4886</v>
      </c>
      <c r="B4883" s="1" t="s">
        <v>5</v>
      </c>
      <c r="C4883" s="2">
        <f>IFERROR(__xludf.DUMMYFUNCTION("IFERROR(VLOOKUP(A4883, IMPORTRANGE(""https://docs.google.com/spreadsheets/d/1AVX9GT0dgogEBStecCXMMQ29tWz3gBrtNB8yIromXbY/edit?gid=741673867"", ""out1g!A:B""), 2, FALSE), 0)"),614.0)</f>
        <v>614</v>
      </c>
      <c r="D4883" s="2" t="str">
        <f>IFERROR(__xludf.DUMMYFUNCTION("IFERROR(VLOOKUP(A4883, IMPORTRANGE(""https://docs.google.com/spreadsheets/d/1-3Vjw2Cyy-mry5gbC8ypIR3YVGFfEpyFESummAta6sg/edit"", ""Sheet1!B:D""), 2, FALSE), ""Not Found"")"),"vɔlt")</f>
        <v>vɔlt</v>
      </c>
      <c r="E4883" s="2" t="str">
        <f>IFERROR(__xludf.DUMMYFUNCTION("IFERROR(VLOOKUP(A4883, IMPORTRANGE(""https://docs.google.com/spreadsheets/d/1-3Vjw2Cyy-mry5gbC8ypIR3YVGFfEpyFESummAta6sg/edit"", ""Sheet1!B:D""), 3, FALSE), ""Not Found"")"),"v ɔ l t ")</f>
        <v>v ɔ l t </v>
      </c>
    </row>
    <row r="4884">
      <c r="A4884" s="1" t="s">
        <v>4887</v>
      </c>
      <c r="B4884" s="1" t="s">
        <v>5</v>
      </c>
      <c r="C4884" s="2">
        <f>IFERROR(__xludf.DUMMYFUNCTION("IFERROR(VLOOKUP(A4884, IMPORTRANGE(""https://docs.google.com/spreadsheets/d/1AVX9GT0dgogEBStecCXMMQ29tWz3gBrtNB8yIromXbY/edit?gid=741673867"", ""out1g!A:B""), 2, FALSE), 0)"),4426.0)</f>
        <v>4426</v>
      </c>
      <c r="D4884" s="2" t="str">
        <f>IFERROR(__xludf.DUMMYFUNCTION("IFERROR(VLOOKUP(A4884, IMPORTRANGE(""https://docs.google.com/spreadsheets/d/1-3Vjw2Cyy-mry5gbC8ypIR3YVGFfEpyFESummAta6sg/edit"", ""Sheet1!B:D""), 2, FALSE), ""Not Found"")"),"fɪks")</f>
        <v>fɪks</v>
      </c>
      <c r="E4884" s="2" t="str">
        <f>IFERROR(__xludf.DUMMYFUNCTION("IFERROR(VLOOKUP(A4884, IMPORTRANGE(""https://docs.google.com/spreadsheets/d/1-3Vjw2Cyy-mry5gbC8ypIR3YVGFfEpyFESummAta6sg/edit"", ""Sheet1!B:D""), 3, FALSE), ""Not Found"")"),"f ɪ k s ")</f>
        <v>f ɪ k s </v>
      </c>
    </row>
    <row r="4885">
      <c r="A4885" s="1" t="s">
        <v>4888</v>
      </c>
      <c r="B4885" s="1" t="s">
        <v>5</v>
      </c>
      <c r="C4885" s="2">
        <f>IFERROR(__xludf.DUMMYFUNCTION("IFERROR(VLOOKUP(A4885, IMPORTRANGE(""https://docs.google.com/spreadsheets/d/1AVX9GT0dgogEBStecCXMMQ29tWz3gBrtNB8yIromXbY/edit?gid=741673867"", ""out1g!A:B""), 2, FALSE), 0)"),65.0)</f>
        <v>65</v>
      </c>
      <c r="D4885" s="2" t="str">
        <f>IFERROR(__xludf.DUMMYFUNCTION("IFERROR(VLOOKUP(A4885, IMPORTRANGE(""https://docs.google.com/spreadsheets/d/1-3Vjw2Cyy-mry5gbC8ypIR3YVGFfEpyFESummAta6sg/edit"", ""Sheet1!B:D""), 2, FALSE), ""Not Found"")"),"rəni")</f>
        <v>rəni</v>
      </c>
      <c r="E4885" s="2" t="str">
        <f>IFERROR(__xludf.DUMMYFUNCTION("IFERROR(VLOOKUP(A4885, IMPORTRANGE(""https://docs.google.com/spreadsheets/d/1-3Vjw2Cyy-mry5gbC8ypIR3YVGFfEpyFESummAta6sg/edit"", ""Sheet1!B:D""), 3, FALSE), ""Not Found"")"),"r ə n i ")</f>
        <v>r ə n i </v>
      </c>
    </row>
    <row r="4886">
      <c r="A4886" s="1" t="s">
        <v>4889</v>
      </c>
      <c r="B4886" s="1" t="s">
        <v>5</v>
      </c>
      <c r="C4886" s="2">
        <f>IFERROR(__xludf.DUMMYFUNCTION("IFERROR(VLOOKUP(A4886, IMPORTRANGE(""https://docs.google.com/spreadsheets/d/1AVX9GT0dgogEBStecCXMMQ29tWz3gBrtNB8yIromXbY/edit?gid=741673867"", ""out1g!A:B""), 2, FALSE), 0)"),61.0)</f>
        <v>61</v>
      </c>
      <c r="D4886" s="2" t="str">
        <f>IFERROR(__xludf.DUMMYFUNCTION("IFERROR(VLOOKUP(A4886, IMPORTRANGE(""https://docs.google.com/spreadsheets/d/1-3Vjw2Cyy-mry5gbC8ypIR3YVGFfEpyFESummAta6sg/edit"", ""Sheet1!B:D""), 2, FALSE), ""Not Found"")"),"twid")</f>
        <v>twid</v>
      </c>
      <c r="E4886" s="2" t="str">
        <f>IFERROR(__xludf.DUMMYFUNCTION("IFERROR(VLOOKUP(A4886, IMPORTRANGE(""https://docs.google.com/spreadsheets/d/1-3Vjw2Cyy-mry5gbC8ypIR3YVGFfEpyFESummAta6sg/edit"", ""Sheet1!B:D""), 3, FALSE), ""Not Found"")"),"t w i d ")</f>
        <v>t w i d </v>
      </c>
    </row>
    <row r="4887">
      <c r="A4887" s="1" t="s">
        <v>4890</v>
      </c>
      <c r="B4887" s="1" t="s">
        <v>5</v>
      </c>
      <c r="C4887" s="2">
        <f>IFERROR(__xludf.DUMMYFUNCTION("IFERROR(VLOOKUP(A4887, IMPORTRANGE(""https://docs.google.com/spreadsheets/d/1AVX9GT0dgogEBStecCXMMQ29tWz3gBrtNB8yIromXbY/edit?gid=741673867"", ""out1g!A:B""), 2, FALSE), 0)"),595.0)</f>
        <v>595</v>
      </c>
      <c r="D4887" s="2" t="str">
        <f>IFERROR(__xludf.DUMMYFUNCTION("IFERROR(VLOOKUP(A4887, IMPORTRANGE(""https://docs.google.com/spreadsheets/d/1-3Vjw2Cyy-mry5gbC8ypIR3YVGFfEpyFESummAta6sg/edit"", ""Sheet1!B:D""), 2, FALSE), ""Not Found"")"),"dɛbi")</f>
        <v>dɛbi</v>
      </c>
      <c r="E4887" s="2" t="str">
        <f>IFERROR(__xludf.DUMMYFUNCTION("IFERROR(VLOOKUP(A4887, IMPORTRANGE(""https://docs.google.com/spreadsheets/d/1-3Vjw2Cyy-mry5gbC8ypIR3YVGFfEpyFESummAta6sg/edit"", ""Sheet1!B:D""), 3, FALSE), ""Not Found"")"),"d ɛ b i ")</f>
        <v>d ɛ b i </v>
      </c>
    </row>
    <row r="4888">
      <c r="A4888" s="1" t="s">
        <v>4891</v>
      </c>
      <c r="B4888" s="1" t="s">
        <v>5</v>
      </c>
      <c r="C4888" s="2">
        <f>IFERROR(__xludf.DUMMYFUNCTION("IFERROR(VLOOKUP(A4888, IMPORTRANGE(""https://docs.google.com/spreadsheets/d/1AVX9GT0dgogEBStecCXMMQ29tWz3gBrtNB8yIromXbY/edit?gid=741673867"", ""out1g!A:B""), 2, FALSE), 0)"),69.0)</f>
        <v>69</v>
      </c>
      <c r="D4888" s="2" t="str">
        <f>IFERROR(__xludf.DUMMYFUNCTION("IFERROR(VLOOKUP(A4888, IMPORTRANGE(""https://docs.google.com/spreadsheets/d/1-3Vjw2Cyy-mry5gbC8ypIR3YVGFfEpyFESummAta6sg/edit"", ""Sheet1!B:D""), 2, FALSE), ""Not Found"")"),"duli")</f>
        <v>duli</v>
      </c>
      <c r="E4888" s="2" t="str">
        <f>IFERROR(__xludf.DUMMYFUNCTION("IFERROR(VLOOKUP(A4888, IMPORTRANGE(""https://docs.google.com/spreadsheets/d/1-3Vjw2Cyy-mry5gbC8ypIR3YVGFfEpyFESummAta6sg/edit"", ""Sheet1!B:D""), 3, FALSE), ""Not Found"")"),"d u l i ")</f>
        <v>d u l i </v>
      </c>
    </row>
    <row r="4889">
      <c r="A4889" s="1" t="s">
        <v>4892</v>
      </c>
      <c r="B4889" s="1" t="s">
        <v>5</v>
      </c>
      <c r="C4889" s="2">
        <f>IFERROR(__xludf.DUMMYFUNCTION("IFERROR(VLOOKUP(A4889, IMPORTRANGE(""https://docs.google.com/spreadsheets/d/1AVX9GT0dgogEBStecCXMMQ29tWz3gBrtNB8yIromXbY/edit?gid=741673867"", ""out1g!A:B""), 2, FALSE), 0)"),8425.0)</f>
        <v>8425</v>
      </c>
      <c r="D4889" s="2" t="str">
        <f>IFERROR(__xludf.DUMMYFUNCTION("IFERROR(VLOOKUP(A4889, IMPORTRANGE(""https://docs.google.com/spreadsheets/d/1-3Vjw2Cyy-mry5gbC8ypIR3YVGFfEpyFESummAta6sg/edit"", ""Sheet1!B:D""), 2, FALSE), ""Not Found"")"),"laɪt")</f>
        <v>laɪt</v>
      </c>
      <c r="E4889" s="2" t="str">
        <f>IFERROR(__xludf.DUMMYFUNCTION("IFERROR(VLOOKUP(A4889, IMPORTRANGE(""https://docs.google.com/spreadsheets/d/1-3Vjw2Cyy-mry5gbC8ypIR3YVGFfEpyFESummAta6sg/edit"", ""Sheet1!B:D""), 3, FALSE), ""Not Found"")"),"l a ɪ t ")</f>
        <v>l a ɪ t </v>
      </c>
    </row>
    <row r="4890">
      <c r="A4890" s="1" t="s">
        <v>4893</v>
      </c>
      <c r="B4890" s="1" t="s">
        <v>5</v>
      </c>
      <c r="C4890" s="2">
        <f>IFERROR(__xludf.DUMMYFUNCTION("IFERROR(VLOOKUP(A4890, IMPORTRANGE(""https://docs.google.com/spreadsheets/d/1AVX9GT0dgogEBStecCXMMQ29tWz3gBrtNB8yIromXbY/edit?gid=741673867"", ""out1g!A:B""), 2, FALSE), 0)"),162.0)</f>
        <v>162</v>
      </c>
      <c r="D4890" s="2" t="str">
        <f>IFERROR(__xludf.DUMMYFUNCTION("IFERROR(VLOOKUP(A4890, IMPORTRANGE(""https://docs.google.com/spreadsheets/d/1-3Vjw2Cyy-mry5gbC8ypIR3YVGFfEpyFESummAta6sg/edit"", ""Sheet1!B:D""), 2, FALSE), ""Not Found"")"),"rulər")</f>
        <v>rulər</v>
      </c>
      <c r="E4890" s="2" t="str">
        <f>IFERROR(__xludf.DUMMYFUNCTION("IFERROR(VLOOKUP(A4890, IMPORTRANGE(""https://docs.google.com/spreadsheets/d/1-3Vjw2Cyy-mry5gbC8ypIR3YVGFfEpyFESummAta6sg/edit"", ""Sheet1!B:D""), 3, FALSE), ""Not Found"")"),"r u l ə r ")</f>
        <v>r u l ə r </v>
      </c>
    </row>
    <row r="4891">
      <c r="A4891" s="1" t="s">
        <v>4894</v>
      </c>
      <c r="B4891" s="1" t="s">
        <v>5</v>
      </c>
      <c r="C4891" s="2">
        <f>IFERROR(__xludf.DUMMYFUNCTION("IFERROR(VLOOKUP(A4891, IMPORTRANGE(""https://docs.google.com/spreadsheets/d/1AVX9GT0dgogEBStecCXMMQ29tWz3gBrtNB8yIromXbY/edit?gid=741673867"", ""out1g!A:B""), 2, FALSE), 0)"),411.0)</f>
        <v>411</v>
      </c>
      <c r="D4891" s="2" t="str">
        <f>IFERROR(__xludf.DUMMYFUNCTION("IFERROR(VLOOKUP(A4891, IMPORTRANGE(""https://docs.google.com/spreadsheets/d/1-3Vjw2Cyy-mry5gbC8ypIR3YVGFfEpyFESummAta6sg/edit"", ""Sheet1!B:D""), 2, FALSE), ""Not Found"")"),"vərsəz")</f>
        <v>vərsəz</v>
      </c>
      <c r="E4891" s="2" t="str">
        <f>IFERROR(__xludf.DUMMYFUNCTION("IFERROR(VLOOKUP(A4891, IMPORTRANGE(""https://docs.google.com/spreadsheets/d/1-3Vjw2Cyy-mry5gbC8ypIR3YVGFfEpyFESummAta6sg/edit"", ""Sheet1!B:D""), 3, FALSE), ""Not Found"")"),"v ə r s ə z ")</f>
        <v>v ə r s ə z </v>
      </c>
    </row>
    <row r="4892">
      <c r="A4892" s="1" t="s">
        <v>4895</v>
      </c>
      <c r="B4892" s="1" t="s">
        <v>5</v>
      </c>
      <c r="C4892" s="2">
        <f>IFERROR(__xludf.DUMMYFUNCTION("IFERROR(VLOOKUP(A4892, IMPORTRANGE(""https://docs.google.com/spreadsheets/d/1AVX9GT0dgogEBStecCXMMQ29tWz3gBrtNB8yIromXbY/edit?gid=741673867"", ""out1g!A:B""), 2, FALSE), 0)"),48.0)</f>
        <v>48</v>
      </c>
      <c r="D4892" s="2" t="str">
        <f>IFERROR(__xludf.DUMMYFUNCTION("IFERROR(VLOOKUP(A4892, IMPORTRANGE(""https://docs.google.com/spreadsheets/d/1-3Vjw2Cyy-mry5gbC8ypIR3YVGFfEpyFESummAta6sg/edit"", ""Sheet1!B:D""), 2, FALSE), ""Not Found"")"),"ʃənt")</f>
        <v>ʃənt</v>
      </c>
      <c r="E4892" s="2" t="str">
        <f>IFERROR(__xludf.DUMMYFUNCTION("IFERROR(VLOOKUP(A4892, IMPORTRANGE(""https://docs.google.com/spreadsheets/d/1-3Vjw2Cyy-mry5gbC8ypIR3YVGFfEpyFESummAta6sg/edit"", ""Sheet1!B:D""), 3, FALSE), ""Not Found"")"),"ʃ ə n t ")</f>
        <v>ʃ ə n t </v>
      </c>
    </row>
    <row r="4893">
      <c r="A4893" s="1" t="s">
        <v>4896</v>
      </c>
      <c r="B4893" s="1" t="s">
        <v>5</v>
      </c>
      <c r="C4893" s="2">
        <f>IFERROR(__xludf.DUMMYFUNCTION("IFERROR(VLOOKUP(A4893, IMPORTRANGE(""https://docs.google.com/spreadsheets/d/1AVX9GT0dgogEBStecCXMMQ29tWz3gBrtNB8yIromXbY/edit?gid=741673867"", ""out1g!A:B""), 2, FALSE), 0)"),125.0)</f>
        <v>125</v>
      </c>
      <c r="D4893" s="2" t="str">
        <f>IFERROR(__xludf.DUMMYFUNCTION("IFERROR(VLOOKUP(A4893, IMPORTRANGE(""https://docs.google.com/spreadsheets/d/1-3Vjw2Cyy-mry5gbC8ypIR3YVGFfEpyFESummAta6sg/edit"", ""Sheet1!B:D""), 2, FALSE), ""Not Found"")"),"daʊd")</f>
        <v>daʊd</v>
      </c>
      <c r="E4893" s="2" t="str">
        <f>IFERROR(__xludf.DUMMYFUNCTION("IFERROR(VLOOKUP(A4893, IMPORTRANGE(""https://docs.google.com/spreadsheets/d/1-3Vjw2Cyy-mry5gbC8ypIR3YVGFfEpyFESummAta6sg/edit"", ""Sheet1!B:D""), 3, FALSE), ""Not Found"")"),"d a ʊ d ")</f>
        <v>d a ʊ d </v>
      </c>
    </row>
    <row r="4894">
      <c r="A4894" s="1" t="s">
        <v>4897</v>
      </c>
      <c r="B4894" s="1" t="s">
        <v>5</v>
      </c>
      <c r="C4894" s="2">
        <f>IFERROR(__xludf.DUMMYFUNCTION("IFERROR(VLOOKUP(A4894, IMPORTRANGE(""https://docs.google.com/spreadsheets/d/1AVX9GT0dgogEBStecCXMMQ29tWz3gBrtNB8yIromXbY/edit?gid=741673867"", ""out1g!A:B""), 2, FALSE), 0)"),276.0)</f>
        <v>276</v>
      </c>
      <c r="D4894" s="2" t="str">
        <f>IFERROR(__xludf.DUMMYFUNCTION("IFERROR(VLOOKUP(A4894, IMPORTRANGE(""https://docs.google.com/spreadsheets/d/1-3Vjw2Cyy-mry5gbC8ypIR3YVGFfEpyFESummAta6sg/edit"", ""Sheet1!B:D""), 2, FALSE), ""Not Found"")"),"θɪriz")</f>
        <v>θɪriz</v>
      </c>
      <c r="E4894" s="2" t="str">
        <f>IFERROR(__xludf.DUMMYFUNCTION("IFERROR(VLOOKUP(A4894, IMPORTRANGE(""https://docs.google.com/spreadsheets/d/1-3Vjw2Cyy-mry5gbC8ypIR3YVGFfEpyFESummAta6sg/edit"", ""Sheet1!B:D""), 3, FALSE), ""Not Found"")"),"θ ɪ r i z ")</f>
        <v>θ ɪ r i z </v>
      </c>
    </row>
    <row r="4895">
      <c r="A4895" s="1" t="s">
        <v>4898</v>
      </c>
      <c r="B4895" s="1" t="s">
        <v>5</v>
      </c>
      <c r="C4895" s="2">
        <f>IFERROR(__xludf.DUMMYFUNCTION("IFERROR(VLOOKUP(A4895, IMPORTRANGE(""https://docs.google.com/spreadsheets/d/1AVX9GT0dgogEBStecCXMMQ29tWz3gBrtNB8yIromXbY/edit?gid=741673867"", ""out1g!A:B""), 2, FALSE), 0)"),785.0)</f>
        <v>785</v>
      </c>
      <c r="D4895" s="2" t="str">
        <f>IFERROR(__xludf.DUMMYFUNCTION("IFERROR(VLOOKUP(A4895, IMPORTRANGE(""https://docs.google.com/spreadsheets/d/1-3Vjw2Cyy-mry5gbC8ypIR3YVGFfEpyFESummAta6sg/edit"", ""Sheet1!B:D""), 2, FALSE), ""Not Found"")"),"lɪŋ")</f>
        <v>lɪŋ</v>
      </c>
      <c r="E4895" s="2" t="str">
        <f>IFERROR(__xludf.DUMMYFUNCTION("IFERROR(VLOOKUP(A4895, IMPORTRANGE(""https://docs.google.com/spreadsheets/d/1-3Vjw2Cyy-mry5gbC8ypIR3YVGFfEpyFESummAta6sg/edit"", ""Sheet1!B:D""), 3, FALSE), ""Not Found"")"),"l ɪ ŋ ")</f>
        <v>l ɪ ŋ </v>
      </c>
    </row>
    <row r="4896">
      <c r="A4896" s="1" t="s">
        <v>4899</v>
      </c>
      <c r="B4896" s="1" t="s">
        <v>5</v>
      </c>
      <c r="C4896" s="2">
        <f>IFERROR(__xludf.DUMMYFUNCTION("IFERROR(VLOOKUP(A4896, IMPORTRANGE(""https://docs.google.com/spreadsheets/d/1AVX9GT0dgogEBStecCXMMQ29tWz3gBrtNB8yIromXbY/edit?gid=741673867"", ""out1g!A:B""), 2, FALSE), 0)"),4039.0)</f>
        <v>4039</v>
      </c>
      <c r="D4896" s="2" t="str">
        <f>IFERROR(__xludf.DUMMYFUNCTION("IFERROR(VLOOKUP(A4896, IMPORTRANGE(""https://docs.google.com/spreadsheets/d/1-3Vjw2Cyy-mry5gbC8ypIR3YVGFfEpyFESummAta6sg/edit"", ""Sheet1!B:D""), 2, FALSE), ""Not Found"")"),"eʤ")</f>
        <v>eʤ</v>
      </c>
      <c r="E4896" s="2" t="str">
        <f>IFERROR(__xludf.DUMMYFUNCTION("IFERROR(VLOOKUP(A4896, IMPORTRANGE(""https://docs.google.com/spreadsheets/d/1-3Vjw2Cyy-mry5gbC8ypIR3YVGFfEpyFESummAta6sg/edit"", ""Sheet1!B:D""), 3, FALSE), ""Not Found"")"),"e ʤ ")</f>
        <v>e ʤ </v>
      </c>
    </row>
    <row r="4897">
      <c r="A4897" s="1" t="s">
        <v>4900</v>
      </c>
      <c r="B4897" s="1" t="s">
        <v>5</v>
      </c>
      <c r="C4897" s="2">
        <f>IFERROR(__xludf.DUMMYFUNCTION("IFERROR(VLOOKUP(A4897, IMPORTRANGE(""https://docs.google.com/spreadsheets/d/1AVX9GT0dgogEBStecCXMMQ29tWz3gBrtNB8yIromXbY/edit?gid=741673867"", ""out1g!A:B""), 2, FALSE), 0)"),353.0)</f>
        <v>353</v>
      </c>
      <c r="D4897" s="2" t="str">
        <f>IFERROR(__xludf.DUMMYFUNCTION("IFERROR(VLOOKUP(A4897, IMPORTRANGE(""https://docs.google.com/spreadsheets/d/1-3Vjw2Cyy-mry5gbC8ypIR3YVGFfEpyFESummAta6sg/edit"", ""Sheet1!B:D""), 2, FALSE), ""Not Found"")"),"gik")</f>
        <v>gik</v>
      </c>
      <c r="E4897" s="2" t="str">
        <f>IFERROR(__xludf.DUMMYFUNCTION("IFERROR(VLOOKUP(A4897, IMPORTRANGE(""https://docs.google.com/spreadsheets/d/1-3Vjw2Cyy-mry5gbC8ypIR3YVGFfEpyFESummAta6sg/edit"", ""Sheet1!B:D""), 3, FALSE), ""Not Found"")"),"g i k ")</f>
        <v>g i k </v>
      </c>
    </row>
    <row r="4898">
      <c r="A4898" s="1" t="s">
        <v>4901</v>
      </c>
      <c r="B4898" s="1" t="s">
        <v>5</v>
      </c>
      <c r="C4898" s="2">
        <f>IFERROR(__xludf.DUMMYFUNCTION("IFERROR(VLOOKUP(A4898, IMPORTRANGE(""https://docs.google.com/spreadsheets/d/1AVX9GT0dgogEBStecCXMMQ29tWz3gBrtNB8yIromXbY/edit?gid=741673867"", ""out1g!A:B""), 2, FALSE), 0)"),55.0)</f>
        <v>55</v>
      </c>
      <c r="D4898" s="2" t="str">
        <f>IFERROR(__xludf.DUMMYFUNCTION("IFERROR(VLOOKUP(A4898, IMPORTRANGE(""https://docs.google.com/spreadsheets/d/1-3Vjw2Cyy-mry5gbC8ypIR3YVGFfEpyFESummAta6sg/edit"", ""Sheet1!B:D""), 2, FALSE), ""Not Found"")"),"pædɪd")</f>
        <v>pædɪd</v>
      </c>
      <c r="E4898" s="2" t="str">
        <f>IFERROR(__xludf.DUMMYFUNCTION("IFERROR(VLOOKUP(A4898, IMPORTRANGE(""https://docs.google.com/spreadsheets/d/1-3Vjw2Cyy-mry5gbC8ypIR3YVGFfEpyFESummAta6sg/edit"", ""Sheet1!B:D""), 3, FALSE), ""Not Found"")"),"p æ d ɪ d ")</f>
        <v>p æ d ɪ d </v>
      </c>
    </row>
    <row r="4899">
      <c r="A4899" s="1" t="s">
        <v>4902</v>
      </c>
      <c r="B4899" s="1" t="s">
        <v>5</v>
      </c>
      <c r="C4899" s="2">
        <f>IFERROR(__xludf.DUMMYFUNCTION("IFERROR(VLOOKUP(A4899, IMPORTRANGE(""https://docs.google.com/spreadsheets/d/1AVX9GT0dgogEBStecCXMMQ29tWz3gBrtNB8yIromXbY/edit?gid=741673867"", ""out1g!A:B""), 2, FALSE), 0)"),85.0)</f>
        <v>85</v>
      </c>
      <c r="D4899" s="2" t="str">
        <f>IFERROR(__xludf.DUMMYFUNCTION("IFERROR(VLOOKUP(A4899, IMPORTRANGE(""https://docs.google.com/spreadsheets/d/1-3Vjw2Cyy-mry5gbC8ypIR3YVGFfEpyFESummAta6sg/edit"", ""Sheet1!B:D""), 2, FALSE), ""Not Found"")"),"sɪskoʊ")</f>
        <v>sɪskoʊ</v>
      </c>
      <c r="E4899" s="2" t="str">
        <f>IFERROR(__xludf.DUMMYFUNCTION("IFERROR(VLOOKUP(A4899, IMPORTRANGE(""https://docs.google.com/spreadsheets/d/1-3Vjw2Cyy-mry5gbC8ypIR3YVGFfEpyFESummAta6sg/edit"", ""Sheet1!B:D""), 3, FALSE), ""Not Found"")"),"s ɪ s k o ʊ ")</f>
        <v>s ɪ s k o ʊ </v>
      </c>
    </row>
    <row r="4900">
      <c r="A4900" s="1" t="s">
        <v>4903</v>
      </c>
      <c r="B4900" s="1" t="s">
        <v>5</v>
      </c>
      <c r="C4900" s="2">
        <f>IFERROR(__xludf.DUMMYFUNCTION("IFERROR(VLOOKUP(A4900, IMPORTRANGE(""https://docs.google.com/spreadsheets/d/1AVX9GT0dgogEBStecCXMMQ29tWz3gBrtNB8yIromXbY/edit?gid=741673867"", ""out1g!A:B""), 2, FALSE), 0)"),80.0)</f>
        <v>80</v>
      </c>
      <c r="D4900" s="2" t="str">
        <f>IFERROR(__xludf.DUMMYFUNCTION("IFERROR(VLOOKUP(A4900, IMPORTRANGE(""https://docs.google.com/spreadsheets/d/1-3Vjw2Cyy-mry5gbC8ypIR3YVGFfEpyFESummAta6sg/edit"", ""Sheet1!B:D""), 2, FALSE), ""Not Found"")"),"fərtəl")</f>
        <v>fərtəl</v>
      </c>
      <c r="E4900" s="2" t="str">
        <f>IFERROR(__xludf.DUMMYFUNCTION("IFERROR(VLOOKUP(A4900, IMPORTRANGE(""https://docs.google.com/spreadsheets/d/1-3Vjw2Cyy-mry5gbC8ypIR3YVGFfEpyFESummAta6sg/edit"", ""Sheet1!B:D""), 3, FALSE), ""Not Found"")"),"f ə r t ə l ")</f>
        <v>f ə r t ə l </v>
      </c>
    </row>
    <row r="4901">
      <c r="A4901" s="1" t="s">
        <v>4904</v>
      </c>
      <c r="B4901" s="1" t="s">
        <v>5</v>
      </c>
      <c r="C4901" s="2">
        <f>IFERROR(__xludf.DUMMYFUNCTION("IFERROR(VLOOKUP(A4901, IMPORTRANGE(""https://docs.google.com/spreadsheets/d/1AVX9GT0dgogEBStecCXMMQ29tWz3gBrtNB8yIromXbY/edit?gid=741673867"", ""out1g!A:B""), 2, FALSE), 0)"),102.0)</f>
        <v>102</v>
      </c>
      <c r="D4901" s="2" t="str">
        <f>IFERROR(__xludf.DUMMYFUNCTION("IFERROR(VLOOKUP(A4901, IMPORTRANGE(""https://docs.google.com/spreadsheets/d/1-3Vjw2Cyy-mry5gbC8ypIR3YVGFfEpyFESummAta6sg/edit"", ""Sheet1!B:D""), 2, FALSE), ""Not Found"")"),"bɔɪlz")</f>
        <v>bɔɪlz</v>
      </c>
      <c r="E4901" s="2" t="str">
        <f>IFERROR(__xludf.DUMMYFUNCTION("IFERROR(VLOOKUP(A4901, IMPORTRANGE(""https://docs.google.com/spreadsheets/d/1-3Vjw2Cyy-mry5gbC8ypIR3YVGFfEpyFESummAta6sg/edit"", ""Sheet1!B:D""), 3, FALSE), ""Not Found"")"),"b ɔ ɪ l z ")</f>
        <v>b ɔ ɪ l z </v>
      </c>
    </row>
    <row r="4902">
      <c r="A4902" s="1" t="s">
        <v>4905</v>
      </c>
      <c r="B4902" s="1" t="s">
        <v>5</v>
      </c>
      <c r="C4902" s="2">
        <f>IFERROR(__xludf.DUMMYFUNCTION("IFERROR(VLOOKUP(A4902, IMPORTRANGE(""https://docs.google.com/spreadsheets/d/1AVX9GT0dgogEBStecCXMMQ29tWz3gBrtNB8yIromXbY/edit?gid=741673867"", ""out1g!A:B""), 2, FALSE), 0)"),4841.0)</f>
        <v>4841</v>
      </c>
      <c r="D4902" s="2" t="str">
        <f>IFERROR(__xludf.DUMMYFUNCTION("IFERROR(VLOOKUP(A4902, IMPORTRANGE(""https://docs.google.com/spreadsheets/d/1-3Vjw2Cyy-mry5gbC8ypIR3YVGFfEpyFESummAta6sg/edit"", ""Sheet1!B:D""), 2, FALSE), ""Not Found"")"),"ɛl")</f>
        <v>ɛl</v>
      </c>
      <c r="E4902" s="2" t="str">
        <f>IFERROR(__xludf.DUMMYFUNCTION("IFERROR(VLOOKUP(A4902, IMPORTRANGE(""https://docs.google.com/spreadsheets/d/1-3Vjw2Cyy-mry5gbC8ypIR3YVGFfEpyFESummAta6sg/edit"", ""Sheet1!B:D""), 3, FALSE), ""Not Found"")"),"ɛ l ")</f>
        <v>ɛ l </v>
      </c>
    </row>
    <row r="4903">
      <c r="A4903" s="1" t="s">
        <v>4906</v>
      </c>
      <c r="B4903" s="1" t="s">
        <v>5</v>
      </c>
      <c r="C4903" s="2">
        <f>IFERROR(__xludf.DUMMYFUNCTION("IFERROR(VLOOKUP(A4903, IMPORTRANGE(""https://docs.google.com/spreadsheets/d/1AVX9GT0dgogEBStecCXMMQ29tWz3gBrtNB8yIromXbY/edit?gid=741673867"", ""out1g!A:B""), 2, FALSE), 0)"),238.0)</f>
        <v>238</v>
      </c>
      <c r="D4903" s="2" t="str">
        <f>IFERROR(__xludf.DUMMYFUNCTION("IFERROR(VLOOKUP(A4903, IMPORTRANGE(""https://docs.google.com/spreadsheets/d/1-3Vjw2Cyy-mry5gbC8ypIR3YVGFfEpyFESummAta6sg/edit"", ""Sheet1!B:D""), 2, FALSE), ""Not Found"")"),"rɛlm")</f>
        <v>rɛlm</v>
      </c>
      <c r="E4903" s="2" t="str">
        <f>IFERROR(__xludf.DUMMYFUNCTION("IFERROR(VLOOKUP(A4903, IMPORTRANGE(""https://docs.google.com/spreadsheets/d/1-3Vjw2Cyy-mry5gbC8ypIR3YVGFfEpyFESummAta6sg/edit"", ""Sheet1!B:D""), 3, FALSE), ""Not Found"")"),"r ɛ l m ")</f>
        <v>r ɛ l m </v>
      </c>
    </row>
    <row r="4904">
      <c r="A4904" s="1" t="s">
        <v>4907</v>
      </c>
      <c r="B4904" s="1" t="s">
        <v>5</v>
      </c>
      <c r="C4904" s="2">
        <f>IFERROR(__xludf.DUMMYFUNCTION("IFERROR(VLOOKUP(A4904, IMPORTRANGE(""https://docs.google.com/spreadsheets/d/1AVX9GT0dgogEBStecCXMMQ29tWz3gBrtNB8yIromXbY/edit?gid=741673867"", ""out1g!A:B""), 2, FALSE), 0)"),520.0)</f>
        <v>520</v>
      </c>
      <c r="D4904" s="2" t="str">
        <f>IFERROR(__xludf.DUMMYFUNCTION("IFERROR(VLOOKUP(A4904, IMPORTRANGE(""https://docs.google.com/spreadsheets/d/1-3Vjw2Cyy-mry5gbC8ypIR3YVGFfEpyFESummAta6sg/edit"", ""Sheet1!B:D""), 2, FALSE), ""Not Found"")"),"preɪŋ")</f>
        <v>preɪŋ</v>
      </c>
      <c r="E4904" s="2" t="str">
        <f>IFERROR(__xludf.DUMMYFUNCTION("IFERROR(VLOOKUP(A4904, IMPORTRANGE(""https://docs.google.com/spreadsheets/d/1-3Vjw2Cyy-mry5gbC8ypIR3YVGFfEpyFESummAta6sg/edit"", ""Sheet1!B:D""), 3, FALSE), ""Not Found"")"),"p r e ɪ ŋ ")</f>
        <v>p r e ɪ ŋ </v>
      </c>
    </row>
    <row r="4905">
      <c r="A4905" s="1" t="s">
        <v>4908</v>
      </c>
      <c r="B4905" s="1" t="s">
        <v>5</v>
      </c>
      <c r="C4905" s="2">
        <f>IFERROR(__xludf.DUMMYFUNCTION("IFERROR(VLOOKUP(A4905, IMPORTRANGE(""https://docs.google.com/spreadsheets/d/1AVX9GT0dgogEBStecCXMMQ29tWz3gBrtNB8yIromXbY/edit?gid=741673867"", ""out1g!A:B""), 2, FALSE), 0)"),47.0)</f>
        <v>47</v>
      </c>
      <c r="D4905" s="2" t="str">
        <f>IFERROR(__xludf.DUMMYFUNCTION("IFERROR(VLOOKUP(A4905, IMPORTRANGE(""https://docs.google.com/spreadsheets/d/1-3Vjw2Cyy-mry5gbC8ypIR3YVGFfEpyFESummAta6sg/edit"", ""Sheet1!B:D""), 2, FALSE), ""Not Found"")"),"ʤi")</f>
        <v>ʤi</v>
      </c>
      <c r="E4905" s="2" t="str">
        <f>IFERROR(__xludf.DUMMYFUNCTION("IFERROR(VLOOKUP(A4905, IMPORTRANGE(""https://docs.google.com/spreadsheets/d/1-3Vjw2Cyy-mry5gbC8ypIR3YVGFfEpyFESummAta6sg/edit"", ""Sheet1!B:D""), 3, FALSE), ""Not Found"")"),"ʤ i ")</f>
        <v>ʤ i </v>
      </c>
    </row>
    <row r="4906">
      <c r="A4906" s="1" t="s">
        <v>4909</v>
      </c>
      <c r="B4906" s="1" t="s">
        <v>5</v>
      </c>
      <c r="C4906" s="2">
        <f>IFERROR(__xludf.DUMMYFUNCTION("IFERROR(VLOOKUP(A4906, IMPORTRANGE(""https://docs.google.com/spreadsheets/d/1AVX9GT0dgogEBStecCXMMQ29tWz3gBrtNB8yIromXbY/edit?gid=741673867"", ""out1g!A:B""), 2, FALSE), 0)"),11051.0)</f>
        <v>11051</v>
      </c>
      <c r="D4906" s="2" t="str">
        <f>IFERROR(__xludf.DUMMYFUNCTION("IFERROR(VLOOKUP(A4906, IMPORTRANGE(""https://docs.google.com/spreadsheets/d/1-3Vjw2Cyy-mry5gbC8ypIR3YVGFfEpyFESummAta6sg/edit"", ""Sheet1!B:D""), 2, FALSE), ""Not Found"")"),"dɛθ")</f>
        <v>dɛθ</v>
      </c>
      <c r="E4906" s="2" t="str">
        <f>IFERROR(__xludf.DUMMYFUNCTION("IFERROR(VLOOKUP(A4906, IMPORTRANGE(""https://docs.google.com/spreadsheets/d/1-3Vjw2Cyy-mry5gbC8ypIR3YVGFfEpyFESummAta6sg/edit"", ""Sheet1!B:D""), 3, FALSE), ""Not Found"")"),"d ɛ θ ")</f>
        <v>d ɛ θ </v>
      </c>
    </row>
    <row r="4907">
      <c r="A4907" s="1" t="s">
        <v>4910</v>
      </c>
      <c r="B4907" s="1" t="s">
        <v>5</v>
      </c>
      <c r="C4907" s="2">
        <f>IFERROR(__xludf.DUMMYFUNCTION("IFERROR(VLOOKUP(A4907, IMPORTRANGE(""https://docs.google.com/spreadsheets/d/1AVX9GT0dgogEBStecCXMMQ29tWz3gBrtNB8yIromXbY/edit?gid=741673867"", ""out1g!A:B""), 2, FALSE), 0)"),528.0)</f>
        <v>528</v>
      </c>
      <c r="D4907" s="2" t="str">
        <f>IFERROR(__xludf.DUMMYFUNCTION("IFERROR(VLOOKUP(A4907, IMPORTRANGE(""https://docs.google.com/spreadsheets/d/1-3Vjw2Cyy-mry5gbC8ypIR3YVGFfEpyFESummAta6sg/edit"", ""Sheet1!B:D""), 2, FALSE), ""Not Found"")"),"kup")</f>
        <v>kup</v>
      </c>
      <c r="E4907" s="2" t="str">
        <f>IFERROR(__xludf.DUMMYFUNCTION("IFERROR(VLOOKUP(A4907, IMPORTRANGE(""https://docs.google.com/spreadsheets/d/1-3Vjw2Cyy-mry5gbC8ypIR3YVGFfEpyFESummAta6sg/edit"", ""Sheet1!B:D""), 3, FALSE), ""Not Found"")"),"k u p ")</f>
        <v>k u p </v>
      </c>
    </row>
    <row r="4908">
      <c r="A4908" s="1" t="s">
        <v>4911</v>
      </c>
      <c r="B4908" s="1" t="s">
        <v>5</v>
      </c>
      <c r="C4908" s="2">
        <f>IFERROR(__xludf.DUMMYFUNCTION("IFERROR(VLOOKUP(A4908, IMPORTRANGE(""https://docs.google.com/spreadsheets/d/1AVX9GT0dgogEBStecCXMMQ29tWz3gBrtNB8yIromXbY/edit?gid=741673867"", ""out1g!A:B""), 2, FALSE), 0)"),200.0)</f>
        <v>200</v>
      </c>
      <c r="D4908" s="2" t="str">
        <f>IFERROR(__xludf.DUMMYFUNCTION("IFERROR(VLOOKUP(A4908, IMPORTRANGE(""https://docs.google.com/spreadsheets/d/1-3Vjw2Cyy-mry5gbC8ypIR3YVGFfEpyFESummAta6sg/edit"", ""Sheet1!B:D""), 2, FALSE), ""Not Found"")"),"klæm")</f>
        <v>klæm</v>
      </c>
      <c r="E4908" s="2" t="str">
        <f>IFERROR(__xludf.DUMMYFUNCTION("IFERROR(VLOOKUP(A4908, IMPORTRANGE(""https://docs.google.com/spreadsheets/d/1-3Vjw2Cyy-mry5gbC8ypIR3YVGFfEpyFESummAta6sg/edit"", ""Sheet1!B:D""), 3, FALSE), ""Not Found"")"),"k l æ m ")</f>
        <v>k l æ m </v>
      </c>
    </row>
    <row r="4909">
      <c r="A4909" s="1" t="s">
        <v>4912</v>
      </c>
      <c r="B4909" s="1" t="s">
        <v>5</v>
      </c>
      <c r="C4909" s="2">
        <f>IFERROR(__xludf.DUMMYFUNCTION("IFERROR(VLOOKUP(A4909, IMPORTRANGE(""https://docs.google.com/spreadsheets/d/1AVX9GT0dgogEBStecCXMMQ29tWz3gBrtNB8yIromXbY/edit?gid=741673867"", ""out1g!A:B""), 2, FALSE), 0)"),541.0)</f>
        <v>541</v>
      </c>
      <c r="D4909" s="2" t="str">
        <f>IFERROR(__xludf.DUMMYFUNCTION("IFERROR(VLOOKUP(A4909, IMPORTRANGE(""https://docs.google.com/spreadsheets/d/1-3Vjw2Cyy-mry5gbC8ypIR3YVGFfEpyFESummAta6sg/edit"", ""Sheet1!B:D""), 2, FALSE), ""Not Found"")"),"wəriz")</f>
        <v>wəriz</v>
      </c>
      <c r="E4909" s="2" t="str">
        <f>IFERROR(__xludf.DUMMYFUNCTION("IFERROR(VLOOKUP(A4909, IMPORTRANGE(""https://docs.google.com/spreadsheets/d/1-3Vjw2Cyy-mry5gbC8ypIR3YVGFfEpyFESummAta6sg/edit"", ""Sheet1!B:D""), 3, FALSE), ""Not Found"")"),"w ə r i z ")</f>
        <v>w ə r i z </v>
      </c>
    </row>
    <row r="4910">
      <c r="A4910" s="1" t="s">
        <v>4913</v>
      </c>
      <c r="B4910" s="1" t="s">
        <v>5</v>
      </c>
      <c r="C4910" s="2">
        <f>IFERROR(__xludf.DUMMYFUNCTION("IFERROR(VLOOKUP(A4910, IMPORTRANGE(""https://docs.google.com/spreadsheets/d/1AVX9GT0dgogEBStecCXMMQ29tWz3gBrtNB8yIromXbY/edit?gid=741673867"", ""out1g!A:B""), 2, FALSE), 0)"),76.0)</f>
        <v>76</v>
      </c>
      <c r="D4910" s="2" t="str">
        <f>IFERROR(__xludf.DUMMYFUNCTION("IFERROR(VLOOKUP(A4910, IMPORTRANGE(""https://docs.google.com/spreadsheets/d/1-3Vjw2Cyy-mry5gbC8ypIR3YVGFfEpyFESummAta6sg/edit"", ""Sheet1!B:D""), 2, FALSE), ""Not Found"")"),"kæθ")</f>
        <v>kæθ</v>
      </c>
      <c r="E4910" s="2" t="str">
        <f>IFERROR(__xludf.DUMMYFUNCTION("IFERROR(VLOOKUP(A4910, IMPORTRANGE(""https://docs.google.com/spreadsheets/d/1-3Vjw2Cyy-mry5gbC8ypIR3YVGFfEpyFESummAta6sg/edit"", ""Sheet1!B:D""), 3, FALSE), ""Not Found"")"),"k æ θ ")</f>
        <v>k æ θ </v>
      </c>
    </row>
    <row r="4911">
      <c r="A4911" s="1" t="s">
        <v>4914</v>
      </c>
      <c r="B4911" s="1" t="s">
        <v>5</v>
      </c>
      <c r="C4911" s="2">
        <f>IFERROR(__xludf.DUMMYFUNCTION("IFERROR(VLOOKUP(A4911, IMPORTRANGE(""https://docs.google.com/spreadsheets/d/1AVX9GT0dgogEBStecCXMMQ29tWz3gBrtNB8yIromXbY/edit?gid=741673867"", ""out1g!A:B""), 2, FALSE), 0)"),52.0)</f>
        <v>52</v>
      </c>
      <c r="D4911" s="2" t="str">
        <f>IFERROR(__xludf.DUMMYFUNCTION("IFERROR(VLOOKUP(A4911, IMPORTRANGE(""https://docs.google.com/spreadsheets/d/1-3Vjw2Cyy-mry5gbC8ypIR3YVGFfEpyFESummAta6sg/edit"", ""Sheet1!B:D""), 2, FALSE), ""Not Found"")"),"switli")</f>
        <v>switli</v>
      </c>
      <c r="E4911" s="2" t="str">
        <f>IFERROR(__xludf.DUMMYFUNCTION("IFERROR(VLOOKUP(A4911, IMPORTRANGE(""https://docs.google.com/spreadsheets/d/1-3Vjw2Cyy-mry5gbC8ypIR3YVGFfEpyFESummAta6sg/edit"", ""Sheet1!B:D""), 3, FALSE), ""Not Found"")"),"s w i t l i ")</f>
        <v>s w i t l i </v>
      </c>
    </row>
    <row r="4912">
      <c r="A4912" s="1" t="s">
        <v>4915</v>
      </c>
      <c r="B4912" s="1" t="s">
        <v>5</v>
      </c>
      <c r="C4912" s="2">
        <f>IFERROR(__xludf.DUMMYFUNCTION("IFERROR(VLOOKUP(A4912, IMPORTRANGE(""https://docs.google.com/spreadsheets/d/1AVX9GT0dgogEBStecCXMMQ29tWz3gBrtNB8yIromXbY/edit?gid=741673867"", ""out1g!A:B""), 2, FALSE), 0)"),53.0)</f>
        <v>53</v>
      </c>
      <c r="D4912" s="2" t="str">
        <f>IFERROR(__xludf.DUMMYFUNCTION("IFERROR(VLOOKUP(A4912, IMPORTRANGE(""https://docs.google.com/spreadsheets/d/1-3Vjw2Cyy-mry5gbC8ypIR3YVGFfEpyFESummAta6sg/edit"", ""Sheet1!B:D""), 2, FALSE), ""Not Found"")"),"wɛns")</f>
        <v>wɛns</v>
      </c>
      <c r="E4912" s="2" t="str">
        <f>IFERROR(__xludf.DUMMYFUNCTION("IFERROR(VLOOKUP(A4912, IMPORTRANGE(""https://docs.google.com/spreadsheets/d/1-3Vjw2Cyy-mry5gbC8ypIR3YVGFfEpyFESummAta6sg/edit"", ""Sheet1!B:D""), 3, FALSE), ""Not Found"")"),"w ɛ n s ")</f>
        <v>w ɛ n s </v>
      </c>
    </row>
    <row r="4913">
      <c r="A4913" s="1" t="s">
        <v>4916</v>
      </c>
      <c r="B4913" s="1" t="s">
        <v>5</v>
      </c>
      <c r="C4913" s="2">
        <f>IFERROR(__xludf.DUMMYFUNCTION("IFERROR(VLOOKUP(A4913, IMPORTRANGE(""https://docs.google.com/spreadsheets/d/1AVX9GT0dgogEBStecCXMMQ29tWz3gBrtNB8yIromXbY/edit?gid=741673867"", ""out1g!A:B""), 2, FALSE), 0)"),4178.0)</f>
        <v>4178</v>
      </c>
      <c r="D4913" s="2" t="str">
        <f>IFERROR(__xludf.DUMMYFUNCTION("IFERROR(VLOOKUP(A4913, IMPORTRANGE(""https://docs.google.com/spreadsheets/d/1-3Vjw2Cyy-mry5gbC8ypIR3YVGFfEpyFESummAta6sg/edit"", ""Sheet1!B:D""), 2, FALSE), ""Not Found"")"),"stɔr")</f>
        <v>stɔr</v>
      </c>
      <c r="E4913" s="2" t="str">
        <f>IFERROR(__xludf.DUMMYFUNCTION("IFERROR(VLOOKUP(A4913, IMPORTRANGE(""https://docs.google.com/spreadsheets/d/1-3Vjw2Cyy-mry5gbC8ypIR3YVGFfEpyFESummAta6sg/edit"", ""Sheet1!B:D""), 3, FALSE), ""Not Found"")"),"s t ɔ r ")</f>
        <v>s t ɔ r </v>
      </c>
    </row>
    <row r="4914">
      <c r="A4914" s="1" t="s">
        <v>4917</v>
      </c>
      <c r="B4914" s="1" t="s">
        <v>5</v>
      </c>
      <c r="C4914" s="2">
        <f>IFERROR(__xludf.DUMMYFUNCTION("IFERROR(VLOOKUP(A4914, IMPORTRANGE(""https://docs.google.com/spreadsheets/d/1AVX9GT0dgogEBStecCXMMQ29tWz3gBrtNB8yIromXbY/edit?gid=741673867"", ""out1g!A:B""), 2, FALSE), 0)"),86.0)</f>
        <v>86</v>
      </c>
      <c r="D4914" s="2" t="str">
        <f>IFERROR(__xludf.DUMMYFUNCTION("IFERROR(VLOOKUP(A4914, IMPORTRANGE(""https://docs.google.com/spreadsheets/d/1-3Vjw2Cyy-mry5gbC8ypIR3YVGFfEpyFESummAta6sg/edit"", ""Sheet1!B:D""), 2, FALSE), ""Not Found"")"),"sɛlərz")</f>
        <v>sɛlərz</v>
      </c>
      <c r="E4914" s="2" t="str">
        <f>IFERROR(__xludf.DUMMYFUNCTION("IFERROR(VLOOKUP(A4914, IMPORTRANGE(""https://docs.google.com/spreadsheets/d/1-3Vjw2Cyy-mry5gbC8ypIR3YVGFfEpyFESummAta6sg/edit"", ""Sheet1!B:D""), 3, FALSE), ""Not Found"")"),"s ɛ l ə r z ")</f>
        <v>s ɛ l ə r z </v>
      </c>
    </row>
    <row r="4915">
      <c r="A4915" s="1" t="s">
        <v>4918</v>
      </c>
      <c r="B4915" s="1" t="s">
        <v>5</v>
      </c>
      <c r="C4915" s="2">
        <f>IFERROR(__xludf.DUMMYFUNCTION("IFERROR(VLOOKUP(A4915, IMPORTRANGE(""https://docs.google.com/spreadsheets/d/1AVX9GT0dgogEBStecCXMMQ29tWz3gBrtNB8yIromXbY/edit?gid=741673867"", ""out1g!A:B""), 2, FALSE), 0)"),14.0)</f>
        <v>14</v>
      </c>
      <c r="D4915" s="2" t="str">
        <f>IFERROR(__xludf.DUMMYFUNCTION("IFERROR(VLOOKUP(A4915, IMPORTRANGE(""https://docs.google.com/spreadsheets/d/1-3Vjw2Cyy-mry5gbC8ypIR3YVGFfEpyFESummAta6sg/edit"", ""Sheet1!B:D""), 2, FALSE), ""Not Found"")"),"muʧər")</f>
        <v>muʧər</v>
      </c>
      <c r="E4915" s="2" t="str">
        <f>IFERROR(__xludf.DUMMYFUNCTION("IFERROR(VLOOKUP(A4915, IMPORTRANGE(""https://docs.google.com/spreadsheets/d/1-3Vjw2Cyy-mry5gbC8ypIR3YVGFfEpyFESummAta6sg/edit"", ""Sheet1!B:D""), 3, FALSE), ""Not Found"")"),"m u ʧ ə r ")</f>
        <v>m u ʧ ə r </v>
      </c>
    </row>
    <row r="4916">
      <c r="A4916" s="1" t="s">
        <v>4919</v>
      </c>
      <c r="B4916" s="1" t="s">
        <v>5</v>
      </c>
      <c r="C4916" s="2">
        <f>IFERROR(__xludf.DUMMYFUNCTION("IFERROR(VLOOKUP(A4916, IMPORTRANGE(""https://docs.google.com/spreadsheets/d/1AVX9GT0dgogEBStecCXMMQ29tWz3gBrtNB8yIromXbY/edit?gid=741673867"", ""out1g!A:B""), 2, FALSE), 0)"),142.0)</f>
        <v>142</v>
      </c>
      <c r="D4916" s="2" t="str">
        <f>IFERROR(__xludf.DUMMYFUNCTION("IFERROR(VLOOKUP(A4916, IMPORTRANGE(""https://docs.google.com/spreadsheets/d/1-3Vjw2Cyy-mry5gbC8ypIR3YVGFfEpyFESummAta6sg/edit"", ""Sheet1!B:D""), 2, FALSE), ""Not Found"")"),"dɛri")</f>
        <v>dɛri</v>
      </c>
      <c r="E4916" s="2" t="str">
        <f>IFERROR(__xludf.DUMMYFUNCTION("IFERROR(VLOOKUP(A4916, IMPORTRANGE(""https://docs.google.com/spreadsheets/d/1-3Vjw2Cyy-mry5gbC8ypIR3YVGFfEpyFESummAta6sg/edit"", ""Sheet1!B:D""), 3, FALSE), ""Not Found"")"),"d ɛ r i ")</f>
        <v>d ɛ r i </v>
      </c>
    </row>
    <row r="4917">
      <c r="A4917" s="1" t="s">
        <v>4920</v>
      </c>
      <c r="B4917" s="1" t="s">
        <v>5</v>
      </c>
      <c r="C4917" s="2">
        <f>IFERROR(__xludf.DUMMYFUNCTION("IFERROR(VLOOKUP(A4917, IMPORTRANGE(""https://docs.google.com/spreadsheets/d/1AVX9GT0dgogEBStecCXMMQ29tWz3gBrtNB8yIromXbY/edit?gid=741673867"", ""out1g!A:B""), 2, FALSE), 0)"),144.0)</f>
        <v>144</v>
      </c>
      <c r="D4917" s="2" t="str">
        <f>IFERROR(__xludf.DUMMYFUNCTION("IFERROR(VLOOKUP(A4917, IMPORTRANGE(""https://docs.google.com/spreadsheets/d/1-3Vjw2Cyy-mry5gbC8ypIR3YVGFfEpyFESummAta6sg/edit"", ""Sheet1!B:D""), 2, FALSE), ""Not Found"")"),"droʊn")</f>
        <v>droʊn</v>
      </c>
      <c r="E4917" s="2" t="str">
        <f>IFERROR(__xludf.DUMMYFUNCTION("IFERROR(VLOOKUP(A4917, IMPORTRANGE(""https://docs.google.com/spreadsheets/d/1-3Vjw2Cyy-mry5gbC8ypIR3YVGFfEpyFESummAta6sg/edit"", ""Sheet1!B:D""), 3, FALSE), ""Not Found"")"),"d r o ʊ n ")</f>
        <v>d r o ʊ n </v>
      </c>
    </row>
    <row r="4918">
      <c r="A4918" s="1" t="s">
        <v>4921</v>
      </c>
      <c r="B4918" s="1" t="s">
        <v>5</v>
      </c>
      <c r="C4918" s="2">
        <f>IFERROR(__xludf.DUMMYFUNCTION("IFERROR(VLOOKUP(A4918, IMPORTRANGE(""https://docs.google.com/spreadsheets/d/1AVX9GT0dgogEBStecCXMMQ29tWz3gBrtNB8yIromXbY/edit?gid=741673867"", ""out1g!A:B""), 2, FALSE), 0)"),184.0)</f>
        <v>184</v>
      </c>
      <c r="D4918" s="2" t="str">
        <f>IFERROR(__xludf.DUMMYFUNCTION("IFERROR(VLOOKUP(A4918, IMPORTRANGE(""https://docs.google.com/spreadsheets/d/1-3Vjw2Cyy-mry5gbC8ypIR3YVGFfEpyFESummAta6sg/edit"", ""Sheet1!B:D""), 2, FALSE), ""Not Found"")"),"ɛdi")</f>
        <v>ɛdi</v>
      </c>
      <c r="E4918" s="2" t="str">
        <f>IFERROR(__xludf.DUMMYFUNCTION("IFERROR(VLOOKUP(A4918, IMPORTRANGE(""https://docs.google.com/spreadsheets/d/1-3Vjw2Cyy-mry5gbC8ypIR3YVGFfEpyFESummAta6sg/edit"", ""Sheet1!B:D""), 3, FALSE), ""Not Found"")"),"ɛ d i ")</f>
        <v>ɛ d i </v>
      </c>
    </row>
    <row r="4919">
      <c r="A4919" s="1" t="s">
        <v>4922</v>
      </c>
      <c r="B4919" s="1" t="s">
        <v>5</v>
      </c>
      <c r="C4919" s="2">
        <f>IFERROR(__xludf.DUMMYFUNCTION("IFERROR(VLOOKUP(A4919, IMPORTRANGE(""https://docs.google.com/spreadsheets/d/1AVX9GT0dgogEBStecCXMMQ29tWz3gBrtNB8yIromXbY/edit?gid=741673867"", ""out1g!A:B""), 2, FALSE), 0)"),148.0)</f>
        <v>148</v>
      </c>
      <c r="D4919" s="2" t="str">
        <f>IFERROR(__xludf.DUMMYFUNCTION("IFERROR(VLOOKUP(A4919, IMPORTRANGE(""https://docs.google.com/spreadsheets/d/1-3Vjw2Cyy-mry5gbC8ypIR3YVGFfEpyFESummAta6sg/edit"", ""Sheet1!B:D""), 2, FALSE), ""Not Found"")"),"doʊnəts")</f>
        <v>doʊnəts</v>
      </c>
      <c r="E4919" s="2" t="str">
        <f>IFERROR(__xludf.DUMMYFUNCTION("IFERROR(VLOOKUP(A4919, IMPORTRANGE(""https://docs.google.com/spreadsheets/d/1-3Vjw2Cyy-mry5gbC8ypIR3YVGFfEpyFESummAta6sg/edit"", ""Sheet1!B:D""), 3, FALSE), ""Not Found"")"),"d o ʊ n ə t s ")</f>
        <v>d o ʊ n ə t s </v>
      </c>
    </row>
    <row r="4920">
      <c r="A4920" s="1" t="s">
        <v>4923</v>
      </c>
      <c r="B4920" s="1" t="s">
        <v>5</v>
      </c>
      <c r="C4920" s="2">
        <f>IFERROR(__xludf.DUMMYFUNCTION("IFERROR(VLOOKUP(A4920, IMPORTRANGE(""https://docs.google.com/spreadsheets/d/1AVX9GT0dgogEBStecCXMMQ29tWz3gBrtNB8yIromXbY/edit?gid=741673867"", ""out1g!A:B""), 2, FALSE), 0)"),58.0)</f>
        <v>58</v>
      </c>
      <c r="D4920" s="2" t="str">
        <f>IFERROR(__xludf.DUMMYFUNCTION("IFERROR(VLOOKUP(A4920, IMPORTRANGE(""https://docs.google.com/spreadsheets/d/1-3Vjw2Cyy-mry5gbC8ypIR3YVGFfEpyFESummAta6sg/edit"", ""Sheet1!B:D""), 2, FALSE), ""Not Found"")"),"egi")</f>
        <v>egi</v>
      </c>
      <c r="E4920" s="2" t="str">
        <f>IFERROR(__xludf.DUMMYFUNCTION("IFERROR(VLOOKUP(A4920, IMPORTRANGE(""https://docs.google.com/spreadsheets/d/1-3Vjw2Cyy-mry5gbC8ypIR3YVGFfEpyFESummAta6sg/edit"", ""Sheet1!B:D""), 3, FALSE), ""Not Found"")"),"e g i ")</f>
        <v>e g i </v>
      </c>
    </row>
    <row r="4921">
      <c r="A4921" s="1" t="s">
        <v>4924</v>
      </c>
      <c r="B4921" s="1" t="s">
        <v>5</v>
      </c>
      <c r="C4921" s="2">
        <f>IFERROR(__xludf.DUMMYFUNCTION("IFERROR(VLOOKUP(A4921, IMPORTRANGE(""https://docs.google.com/spreadsheets/d/1AVX9GT0dgogEBStecCXMMQ29tWz3gBrtNB8yIromXbY/edit?gid=741673867"", ""out1g!A:B""), 2, FALSE), 0)"),8198.0)</f>
        <v>8198</v>
      </c>
      <c r="D4921" s="2" t="str">
        <f>IFERROR(__xludf.DUMMYFUNCTION("IFERROR(VLOOKUP(A4921, IMPORTRANGE(""https://docs.google.com/spreadsheets/d/1-3Vjw2Cyy-mry5gbC8ypIR3YVGFfEpyFESummAta6sg/edit"", ""Sheet1!B:D""), 2, FALSE), ""Not Found"")"),"nidz")</f>
        <v>nidz</v>
      </c>
      <c r="E4921" s="2" t="str">
        <f>IFERROR(__xludf.DUMMYFUNCTION("IFERROR(VLOOKUP(A4921, IMPORTRANGE(""https://docs.google.com/spreadsheets/d/1-3Vjw2Cyy-mry5gbC8ypIR3YVGFfEpyFESummAta6sg/edit"", ""Sheet1!B:D""), 3, FALSE), ""Not Found"")"),"n i d z ")</f>
        <v>n i d z </v>
      </c>
    </row>
    <row r="4922">
      <c r="A4922" s="1" t="s">
        <v>4925</v>
      </c>
      <c r="B4922" s="1" t="s">
        <v>5</v>
      </c>
      <c r="C4922" s="2">
        <f>IFERROR(__xludf.DUMMYFUNCTION("IFERROR(VLOOKUP(A4922, IMPORTRANGE(""https://docs.google.com/spreadsheets/d/1AVX9GT0dgogEBStecCXMMQ29tWz3gBrtNB8yIromXbY/edit?gid=741673867"", ""out1g!A:B""), 2, FALSE), 0)"),237.0)</f>
        <v>237</v>
      </c>
      <c r="D4922" s="2" t="str">
        <f>IFERROR(__xludf.DUMMYFUNCTION("IFERROR(VLOOKUP(A4922, IMPORTRANGE(""https://docs.google.com/spreadsheets/d/1-3Vjw2Cyy-mry5gbC8ypIR3YVGFfEpyFESummAta6sg/edit"", ""Sheet1!B:D""), 2, FALSE), ""Not Found"")"),"blæki")</f>
        <v>blæki</v>
      </c>
      <c r="E4922" s="2" t="str">
        <f>IFERROR(__xludf.DUMMYFUNCTION("IFERROR(VLOOKUP(A4922, IMPORTRANGE(""https://docs.google.com/spreadsheets/d/1-3Vjw2Cyy-mry5gbC8ypIR3YVGFfEpyFESummAta6sg/edit"", ""Sheet1!B:D""), 3, FALSE), ""Not Found"")"),"b l æ k i ")</f>
        <v>b l æ k i </v>
      </c>
    </row>
    <row r="4923">
      <c r="A4923" s="1" t="s">
        <v>4926</v>
      </c>
      <c r="B4923" s="1" t="s">
        <v>5</v>
      </c>
      <c r="C4923" s="2">
        <f>IFERROR(__xludf.DUMMYFUNCTION("IFERROR(VLOOKUP(A4923, IMPORTRANGE(""https://docs.google.com/spreadsheets/d/1AVX9GT0dgogEBStecCXMMQ29tWz3gBrtNB8yIromXbY/edit?gid=741673867"", ""out1g!A:B""), 2, FALSE), 0)"),56.0)</f>
        <v>56</v>
      </c>
      <c r="D4923" s="2" t="str">
        <f>IFERROR(__xludf.DUMMYFUNCTION("IFERROR(VLOOKUP(A4923, IMPORTRANGE(""https://docs.google.com/spreadsheets/d/1-3Vjw2Cyy-mry5gbC8ypIR3YVGFfEpyFESummAta6sg/edit"", ""Sheet1!B:D""), 2, FALSE), ""Not Found"")"),"mɪts")</f>
        <v>mɪts</v>
      </c>
      <c r="E4923" s="2" t="str">
        <f>IFERROR(__xludf.DUMMYFUNCTION("IFERROR(VLOOKUP(A4923, IMPORTRANGE(""https://docs.google.com/spreadsheets/d/1-3Vjw2Cyy-mry5gbC8ypIR3YVGFfEpyFESummAta6sg/edit"", ""Sheet1!B:D""), 3, FALSE), ""Not Found"")"),"m ɪ t s ")</f>
        <v>m ɪ t s </v>
      </c>
    </row>
    <row r="4924">
      <c r="A4924" s="1" t="s">
        <v>4927</v>
      </c>
      <c r="B4924" s="1" t="s">
        <v>5</v>
      </c>
      <c r="C4924" s="2">
        <f>IFERROR(__xludf.DUMMYFUNCTION("IFERROR(VLOOKUP(A4924, IMPORTRANGE(""https://docs.google.com/spreadsheets/d/1AVX9GT0dgogEBStecCXMMQ29tWz3gBrtNB8yIromXbY/edit?gid=741673867"", ""out1g!A:B""), 2, FALSE), 0)"),3315.0)</f>
        <v>3315</v>
      </c>
      <c r="D4924" s="2" t="str">
        <f>IFERROR(__xludf.DUMMYFUNCTION("IFERROR(VLOOKUP(A4924, IMPORTRANGE(""https://docs.google.com/spreadsheets/d/1-3Vjw2Cyy-mry5gbC8ypIR3YVGFfEpyFESummAta6sg/edit"", ""Sheet1!B:D""), 2, FALSE), ""Not Found"")"),"tri")</f>
        <v>tri</v>
      </c>
      <c r="E4924" s="2" t="str">
        <f>IFERROR(__xludf.DUMMYFUNCTION("IFERROR(VLOOKUP(A4924, IMPORTRANGE(""https://docs.google.com/spreadsheets/d/1-3Vjw2Cyy-mry5gbC8ypIR3YVGFfEpyFESummAta6sg/edit"", ""Sheet1!B:D""), 3, FALSE), ""Not Found"")"),"t r i ")</f>
        <v>t r i </v>
      </c>
    </row>
    <row r="4925">
      <c r="A4925" s="1" t="s">
        <v>4928</v>
      </c>
      <c r="B4925" s="1" t="s">
        <v>5</v>
      </c>
      <c r="C4925" s="2">
        <f>IFERROR(__xludf.DUMMYFUNCTION("IFERROR(VLOOKUP(A4925, IMPORTRANGE(""https://docs.google.com/spreadsheets/d/1AVX9GT0dgogEBStecCXMMQ29tWz3gBrtNB8yIromXbY/edit?gid=741673867"", ""out1g!A:B""), 2, FALSE), 0)"),252.0)</f>
        <v>252</v>
      </c>
      <c r="D4925" s="2" t="str">
        <f>IFERROR(__xludf.DUMMYFUNCTION("IFERROR(VLOOKUP(A4925, IMPORTRANGE(""https://docs.google.com/spreadsheets/d/1-3Vjw2Cyy-mry5gbC8ypIR3YVGFfEpyFESummAta6sg/edit"", ""Sheet1!B:D""), 2, FALSE), ""Not Found"")"),"hæθ")</f>
        <v>hæθ</v>
      </c>
      <c r="E4925" s="2" t="str">
        <f>IFERROR(__xludf.DUMMYFUNCTION("IFERROR(VLOOKUP(A4925, IMPORTRANGE(""https://docs.google.com/spreadsheets/d/1-3Vjw2Cyy-mry5gbC8ypIR3YVGFfEpyFESummAta6sg/edit"", ""Sheet1!B:D""), 3, FALSE), ""Not Found"")"),"h æ θ ")</f>
        <v>h æ θ </v>
      </c>
    </row>
    <row r="4926">
      <c r="A4926" s="1" t="s">
        <v>4929</v>
      </c>
      <c r="B4926" s="1" t="s">
        <v>5</v>
      </c>
      <c r="C4926" s="2">
        <f>IFERROR(__xludf.DUMMYFUNCTION("IFERROR(VLOOKUP(A4926, IMPORTRANGE(""https://docs.google.com/spreadsheets/d/1AVX9GT0dgogEBStecCXMMQ29tWz3gBrtNB8yIromXbY/edit?gid=741673867"", ""out1g!A:B""), 2, FALSE), 0)"),221.0)</f>
        <v>221</v>
      </c>
      <c r="D4926" s="2" t="str">
        <f>IFERROR(__xludf.DUMMYFUNCTION("IFERROR(VLOOKUP(A4926, IMPORTRANGE(""https://docs.google.com/spreadsheets/d/1-3Vjw2Cyy-mry5gbC8ypIR3YVGFfEpyFESummAta6sg/edit"", ""Sheet1!B:D""), 2, FALSE), ""Not Found"")"),"æks")</f>
        <v>æks</v>
      </c>
      <c r="E4926" s="2" t="str">
        <f>IFERROR(__xludf.DUMMYFUNCTION("IFERROR(VLOOKUP(A4926, IMPORTRANGE(""https://docs.google.com/spreadsheets/d/1-3Vjw2Cyy-mry5gbC8ypIR3YVGFfEpyFESummAta6sg/edit"", ""Sheet1!B:D""), 3, FALSE), ""Not Found"")"),"æ k s ")</f>
        <v>æ k s </v>
      </c>
    </row>
    <row r="4927">
      <c r="A4927" s="1" t="s">
        <v>4930</v>
      </c>
      <c r="B4927" s="1" t="s">
        <v>5</v>
      </c>
      <c r="C4927" s="2">
        <f>IFERROR(__xludf.DUMMYFUNCTION("IFERROR(VLOOKUP(A4927, IMPORTRANGE(""https://docs.google.com/spreadsheets/d/1AVX9GT0dgogEBStecCXMMQ29tWz3gBrtNB8yIromXbY/edit?gid=741673867"", ""out1g!A:B""), 2, FALSE), 0)"),1185.0)</f>
        <v>1185</v>
      </c>
      <c r="D4927" s="2" t="str">
        <f>IFERROR(__xludf.DUMMYFUNCTION("IFERROR(VLOOKUP(A4927, IMPORTRANGE(""https://docs.google.com/spreadsheets/d/1-3Vjw2Cyy-mry5gbC8ypIR3YVGFfEpyFESummAta6sg/edit"", ""Sheet1!B:D""), 2, FALSE), ""Not Found"")"),"oʊnər")</f>
        <v>oʊnər</v>
      </c>
      <c r="E4927" s="2" t="str">
        <f>IFERROR(__xludf.DUMMYFUNCTION("IFERROR(VLOOKUP(A4927, IMPORTRANGE(""https://docs.google.com/spreadsheets/d/1-3Vjw2Cyy-mry5gbC8ypIR3YVGFfEpyFESummAta6sg/edit"", ""Sheet1!B:D""), 3, FALSE), ""Not Found"")"),"o ʊ n ə r ")</f>
        <v>o ʊ n ə r </v>
      </c>
    </row>
    <row r="4928">
      <c r="A4928" s="1" t="s">
        <v>4931</v>
      </c>
      <c r="B4928" s="1" t="s">
        <v>5</v>
      </c>
      <c r="C4928" s="2">
        <f>IFERROR(__xludf.DUMMYFUNCTION("IFERROR(VLOOKUP(A4928, IMPORTRANGE(""https://docs.google.com/spreadsheets/d/1AVX9GT0dgogEBStecCXMMQ29tWz3gBrtNB8yIromXbY/edit?gid=741673867"", ""out1g!A:B""), 2, FALSE), 0)"),2544.0)</f>
        <v>2544</v>
      </c>
      <c r="D4928" s="2" t="str">
        <f>IFERROR(__xludf.DUMMYFUNCTION("IFERROR(VLOOKUP(A4928, IMPORTRANGE(""https://docs.google.com/spreadsheets/d/1-3Vjw2Cyy-mry5gbC8ypIR3YVGFfEpyFESummAta6sg/edit"", ""Sheet1!B:D""), 2, FALSE), ""Not Found"")"),"hoʊpɪŋ")</f>
        <v>hoʊpɪŋ</v>
      </c>
      <c r="E4928" s="2" t="str">
        <f>IFERROR(__xludf.DUMMYFUNCTION("IFERROR(VLOOKUP(A4928, IMPORTRANGE(""https://docs.google.com/spreadsheets/d/1-3Vjw2Cyy-mry5gbC8ypIR3YVGFfEpyFESummAta6sg/edit"", ""Sheet1!B:D""), 3, FALSE), ""Not Found"")"),"h o ʊ p ɪ ŋ ")</f>
        <v>h o ʊ p ɪ ŋ </v>
      </c>
    </row>
    <row r="4929">
      <c r="A4929" s="1" t="s">
        <v>4932</v>
      </c>
      <c r="B4929" s="1" t="s">
        <v>5</v>
      </c>
      <c r="C4929" s="2">
        <f>IFERROR(__xludf.DUMMYFUNCTION("IFERROR(VLOOKUP(A4929, IMPORTRANGE(""https://docs.google.com/spreadsheets/d/1AVX9GT0dgogEBStecCXMMQ29tWz3gBrtNB8yIromXbY/edit?gid=741673867"", ""out1g!A:B""), 2, FALSE), 0)"),870.0)</f>
        <v>870</v>
      </c>
      <c r="D4929" s="2" t="str">
        <f>IFERROR(__xludf.DUMMYFUNCTION("IFERROR(VLOOKUP(A4929, IMPORTRANGE(""https://docs.google.com/spreadsheets/d/1-3Vjw2Cyy-mry5gbC8ypIR3YVGFfEpyFESummAta6sg/edit"", ""Sheet1!B:D""), 2, FALSE), ""Not Found"")"),"sərkəs")</f>
        <v>sərkəs</v>
      </c>
      <c r="E4929" s="2" t="str">
        <f>IFERROR(__xludf.DUMMYFUNCTION("IFERROR(VLOOKUP(A4929, IMPORTRANGE(""https://docs.google.com/spreadsheets/d/1-3Vjw2Cyy-mry5gbC8ypIR3YVGFfEpyFESummAta6sg/edit"", ""Sheet1!B:D""), 3, FALSE), ""Not Found"")"),"s ə r k ə s ")</f>
        <v>s ə r k ə s </v>
      </c>
    </row>
    <row r="4930">
      <c r="A4930" s="1" t="s">
        <v>4933</v>
      </c>
      <c r="B4930" s="1" t="s">
        <v>5</v>
      </c>
      <c r="C4930" s="2">
        <f>IFERROR(__xludf.DUMMYFUNCTION("IFERROR(VLOOKUP(A4930, IMPORTRANGE(""https://docs.google.com/spreadsheets/d/1AVX9GT0dgogEBStecCXMMQ29tWz3gBrtNB8yIromXbY/edit?gid=741673867"", ""out1g!A:B""), 2, FALSE), 0)"),92.0)</f>
        <v>92</v>
      </c>
      <c r="D4930" s="2" t="str">
        <f>IFERROR(__xludf.DUMMYFUNCTION("IFERROR(VLOOKUP(A4930, IMPORTRANGE(""https://docs.google.com/spreadsheets/d/1-3Vjw2Cyy-mry5gbC8ypIR3YVGFfEpyFESummAta6sg/edit"", ""Sheet1!B:D""), 2, FALSE), ""Not Found"")"),"roʊz")</f>
        <v>roʊz</v>
      </c>
      <c r="E4930" s="2" t="str">
        <f>IFERROR(__xludf.DUMMYFUNCTION("IFERROR(VLOOKUP(A4930, IMPORTRANGE(""https://docs.google.com/spreadsheets/d/1-3Vjw2Cyy-mry5gbC8ypIR3YVGFfEpyFESummAta6sg/edit"", ""Sheet1!B:D""), 3, FALSE), ""Not Found"")"),"r o ʊ z ")</f>
        <v>r o ʊ z </v>
      </c>
    </row>
    <row r="4931">
      <c r="A4931" s="1" t="s">
        <v>4934</v>
      </c>
      <c r="B4931" s="1" t="s">
        <v>5</v>
      </c>
      <c r="C4931" s="2">
        <f>IFERROR(__xludf.DUMMYFUNCTION("IFERROR(VLOOKUP(A4931, IMPORTRANGE(""https://docs.google.com/spreadsheets/d/1AVX9GT0dgogEBStecCXMMQ29tWz3gBrtNB8yIromXbY/edit?gid=741673867"", ""out1g!A:B""), 2, FALSE), 0)"),64.0)</f>
        <v>64</v>
      </c>
      <c r="D4931" s="2" t="str">
        <f>IFERROR(__xludf.DUMMYFUNCTION("IFERROR(VLOOKUP(A4931, IMPORTRANGE(""https://docs.google.com/spreadsheets/d/1-3Vjw2Cyy-mry5gbC8ypIR3YVGFfEpyFESummAta6sg/edit"", ""Sheet1!B:D""), 2, FALSE), ""Not Found"")"),"ʤərm")</f>
        <v>ʤərm</v>
      </c>
      <c r="E4931" s="2" t="str">
        <f>IFERROR(__xludf.DUMMYFUNCTION("IFERROR(VLOOKUP(A4931, IMPORTRANGE(""https://docs.google.com/spreadsheets/d/1-3Vjw2Cyy-mry5gbC8ypIR3YVGFfEpyFESummAta6sg/edit"", ""Sheet1!B:D""), 3, FALSE), ""Not Found"")"),"ʤ ə r m ")</f>
        <v>ʤ ə r m </v>
      </c>
    </row>
    <row r="4932">
      <c r="A4932" s="1" t="s">
        <v>4935</v>
      </c>
      <c r="B4932" s="1" t="s">
        <v>5</v>
      </c>
      <c r="C4932" s="2">
        <f>IFERROR(__xludf.DUMMYFUNCTION("IFERROR(VLOOKUP(A4932, IMPORTRANGE(""https://docs.google.com/spreadsheets/d/1AVX9GT0dgogEBStecCXMMQ29tWz3gBrtNB8yIromXbY/edit?gid=741673867"", ""out1g!A:B""), 2, FALSE), 0)"),1883.0)</f>
        <v>1883</v>
      </c>
      <c r="D4932" s="2" t="str">
        <f>IFERROR(__xludf.DUMMYFUNCTION("IFERROR(VLOOKUP(A4932, IMPORTRANGE(""https://docs.google.com/spreadsheets/d/1-3Vjw2Cyy-mry5gbC8ypIR3YVGFfEpyFESummAta6sg/edit"", ""Sheet1!B:D""), 2, FALSE), ""Not Found"")"),"laɪz")</f>
        <v>laɪz</v>
      </c>
      <c r="E4932" s="2" t="str">
        <f>IFERROR(__xludf.DUMMYFUNCTION("IFERROR(VLOOKUP(A4932, IMPORTRANGE(""https://docs.google.com/spreadsheets/d/1-3Vjw2Cyy-mry5gbC8ypIR3YVGFfEpyFESummAta6sg/edit"", ""Sheet1!B:D""), 3, FALSE), ""Not Found"")"),"l a ɪ z ")</f>
        <v>l a ɪ z </v>
      </c>
    </row>
    <row r="4933">
      <c r="A4933" s="1" t="s">
        <v>4936</v>
      </c>
      <c r="B4933" s="1" t="s">
        <v>5</v>
      </c>
      <c r="C4933" s="2">
        <f>IFERROR(__xludf.DUMMYFUNCTION("IFERROR(VLOOKUP(A4933, IMPORTRANGE(""https://docs.google.com/spreadsheets/d/1AVX9GT0dgogEBStecCXMMQ29tWz3gBrtNB8yIromXbY/edit?gid=741673867"", ""out1g!A:B""), 2, FALSE), 0)"),47.0)</f>
        <v>47</v>
      </c>
      <c r="D4933" s="2" t="str">
        <f>IFERROR(__xludf.DUMMYFUNCTION("IFERROR(VLOOKUP(A4933, IMPORTRANGE(""https://docs.google.com/spreadsheets/d/1-3Vjw2Cyy-mry5gbC8ypIR3YVGFfEpyFESummAta6sg/edit"", ""Sheet1!B:D""), 2, FALSE), ""Not Found"")"),"tuti")</f>
        <v>tuti</v>
      </c>
      <c r="E4933" s="2" t="str">
        <f>IFERROR(__xludf.DUMMYFUNCTION("IFERROR(VLOOKUP(A4933, IMPORTRANGE(""https://docs.google.com/spreadsheets/d/1-3Vjw2Cyy-mry5gbC8ypIR3YVGFfEpyFESummAta6sg/edit"", ""Sheet1!B:D""), 3, FALSE), ""Not Found"")"),"t u t i ")</f>
        <v>t u t i </v>
      </c>
    </row>
    <row r="4934">
      <c r="A4934" s="1" t="s">
        <v>4937</v>
      </c>
      <c r="B4934" s="1" t="s">
        <v>5</v>
      </c>
      <c r="C4934" s="2">
        <f>IFERROR(__xludf.DUMMYFUNCTION("IFERROR(VLOOKUP(A4934, IMPORTRANGE(""https://docs.google.com/spreadsheets/d/1AVX9GT0dgogEBStecCXMMQ29tWz3gBrtNB8yIromXbY/edit?gid=741673867"", ""out1g!A:B""), 2, FALSE), 0)"),124.0)</f>
        <v>124</v>
      </c>
      <c r="D4934" s="2" t="str">
        <f>IFERROR(__xludf.DUMMYFUNCTION("IFERROR(VLOOKUP(A4934, IMPORTRANGE(""https://docs.google.com/spreadsheets/d/1-3Vjw2Cyy-mry5gbC8ypIR3YVGFfEpyFESummAta6sg/edit"", ""Sheet1!B:D""), 2, FALSE), ""Not Found"")"),"gɔŋ")</f>
        <v>gɔŋ</v>
      </c>
      <c r="E4934" s="2" t="str">
        <f>IFERROR(__xludf.DUMMYFUNCTION("IFERROR(VLOOKUP(A4934, IMPORTRANGE(""https://docs.google.com/spreadsheets/d/1-3Vjw2Cyy-mry5gbC8ypIR3YVGFfEpyFESummAta6sg/edit"", ""Sheet1!B:D""), 3, FALSE), ""Not Found"")"),"g ɔ ŋ ")</f>
        <v>g ɔ ŋ </v>
      </c>
    </row>
    <row r="4935">
      <c r="A4935" s="1" t="s">
        <v>4938</v>
      </c>
      <c r="B4935" s="1" t="s">
        <v>5</v>
      </c>
      <c r="C4935" s="2">
        <f>IFERROR(__xludf.DUMMYFUNCTION("IFERROR(VLOOKUP(A4935, IMPORTRANGE(""https://docs.google.com/spreadsheets/d/1AVX9GT0dgogEBStecCXMMQ29tWz3gBrtNB8yIromXbY/edit?gid=741673867"", ""out1g!A:B""), 2, FALSE), 0)"),94.0)</f>
        <v>94</v>
      </c>
      <c r="D4935" s="2" t="str">
        <f>IFERROR(__xludf.DUMMYFUNCTION("IFERROR(VLOOKUP(A4935, IMPORTRANGE(""https://docs.google.com/spreadsheets/d/1-3Vjw2Cyy-mry5gbC8ypIR3YVGFfEpyFESummAta6sg/edit"", ""Sheet1!B:D""), 2, FALSE), ""Not Found"")"),"dɪpt")</f>
        <v>dɪpt</v>
      </c>
      <c r="E4935" s="2" t="str">
        <f>IFERROR(__xludf.DUMMYFUNCTION("IFERROR(VLOOKUP(A4935, IMPORTRANGE(""https://docs.google.com/spreadsheets/d/1-3Vjw2Cyy-mry5gbC8ypIR3YVGFfEpyFESummAta6sg/edit"", ""Sheet1!B:D""), 3, FALSE), ""Not Found"")"),"d ɪ p t ")</f>
        <v>d ɪ p t </v>
      </c>
    </row>
    <row r="4936">
      <c r="A4936" s="1" t="s">
        <v>4939</v>
      </c>
      <c r="B4936" s="1" t="s">
        <v>5</v>
      </c>
      <c r="C4936" s="2">
        <f>IFERROR(__xludf.DUMMYFUNCTION("IFERROR(VLOOKUP(A4936, IMPORTRANGE(""https://docs.google.com/spreadsheets/d/1AVX9GT0dgogEBStecCXMMQ29tWz3gBrtNB8yIromXbY/edit?gid=741673867"", ""out1g!A:B""), 2, FALSE), 0)"),130.0)</f>
        <v>130</v>
      </c>
      <c r="D4936" s="2" t="str">
        <f>IFERROR(__xludf.DUMMYFUNCTION("IFERROR(VLOOKUP(A4936, IMPORTRANGE(""https://docs.google.com/spreadsheets/d/1-3Vjw2Cyy-mry5gbC8ypIR3YVGFfEpyFESummAta6sg/edit"", ""Sheet1!B:D""), 2, FALSE), ""Not Found"")"),"dɪzni")</f>
        <v>dɪzni</v>
      </c>
      <c r="E4936" s="2" t="str">
        <f>IFERROR(__xludf.DUMMYFUNCTION("IFERROR(VLOOKUP(A4936, IMPORTRANGE(""https://docs.google.com/spreadsheets/d/1-3Vjw2Cyy-mry5gbC8ypIR3YVGFfEpyFESummAta6sg/edit"", ""Sheet1!B:D""), 3, FALSE), ""Not Found"")"),"d ɪ z n i ")</f>
        <v>d ɪ z n i </v>
      </c>
    </row>
    <row r="4937">
      <c r="A4937" s="1" t="s">
        <v>4940</v>
      </c>
      <c r="B4937" s="1" t="s">
        <v>5</v>
      </c>
      <c r="C4937" s="2">
        <f>IFERROR(__xludf.DUMMYFUNCTION("IFERROR(VLOOKUP(A4937, IMPORTRANGE(""https://docs.google.com/spreadsheets/d/1AVX9GT0dgogEBStecCXMMQ29tWz3gBrtNB8yIromXbY/edit?gid=741673867"", ""out1g!A:B""), 2, FALSE), 0)"),160.0)</f>
        <v>160</v>
      </c>
      <c r="D4937" s="2" t="str">
        <f>IFERROR(__xludf.DUMMYFUNCTION("IFERROR(VLOOKUP(A4937, IMPORTRANGE(""https://docs.google.com/spreadsheets/d/1-3Vjw2Cyy-mry5gbC8ypIR3YVGFfEpyFESummAta6sg/edit"", ""Sheet1!B:D""), 2, FALSE), ""Not Found"")"),"dəkt")</f>
        <v>dəkt</v>
      </c>
      <c r="E4937" s="2" t="str">
        <f>IFERROR(__xludf.DUMMYFUNCTION("IFERROR(VLOOKUP(A4937, IMPORTRANGE(""https://docs.google.com/spreadsheets/d/1-3Vjw2Cyy-mry5gbC8ypIR3YVGFfEpyFESummAta6sg/edit"", ""Sheet1!B:D""), 3, FALSE), ""Not Found"")"),"d ə k t ")</f>
        <v>d ə k t </v>
      </c>
    </row>
    <row r="4938">
      <c r="A4938" s="1" t="s">
        <v>4941</v>
      </c>
      <c r="B4938" s="1" t="s">
        <v>5</v>
      </c>
      <c r="C4938" s="2">
        <f>IFERROR(__xludf.DUMMYFUNCTION("IFERROR(VLOOKUP(A4938, IMPORTRANGE(""https://docs.google.com/spreadsheets/d/1AVX9GT0dgogEBStecCXMMQ29tWz3gBrtNB8yIromXbY/edit?gid=741673867"", ""out1g!A:B""), 2, FALSE), 0)"),57.0)</f>
        <v>57</v>
      </c>
      <c r="D4938" s="2" t="str">
        <f>IFERROR(__xludf.DUMMYFUNCTION("IFERROR(VLOOKUP(A4938, IMPORTRANGE(""https://docs.google.com/spreadsheets/d/1-3Vjw2Cyy-mry5gbC8ypIR3YVGFfEpyFESummAta6sg/edit"", ""Sheet1!B:D""), 2, FALSE), ""Not Found"")"),"ʤaɪlz")</f>
        <v>ʤaɪlz</v>
      </c>
      <c r="E4938" s="2" t="str">
        <f>IFERROR(__xludf.DUMMYFUNCTION("IFERROR(VLOOKUP(A4938, IMPORTRANGE(""https://docs.google.com/spreadsheets/d/1-3Vjw2Cyy-mry5gbC8ypIR3YVGFfEpyFESummAta6sg/edit"", ""Sheet1!B:D""), 3, FALSE), ""Not Found"")"),"ʤ a ɪ l z ")</f>
        <v>ʤ a ɪ l z </v>
      </c>
    </row>
    <row r="4939">
      <c r="A4939" s="1" t="s">
        <v>4942</v>
      </c>
      <c r="B4939" s="1" t="s">
        <v>5</v>
      </c>
      <c r="C4939" s="2">
        <f>IFERROR(__xludf.DUMMYFUNCTION("IFERROR(VLOOKUP(A4939, IMPORTRANGE(""https://docs.google.com/spreadsheets/d/1AVX9GT0dgogEBStecCXMMQ29tWz3gBrtNB8yIromXbY/edit?gid=741673867"", ""out1g!A:B""), 2, FALSE), 0)"),1261.0)</f>
        <v>1261</v>
      </c>
      <c r="D4939" s="2" t="str">
        <f>IFERROR(__xludf.DUMMYFUNCTION("IFERROR(VLOOKUP(A4939, IMPORTRANGE(""https://docs.google.com/spreadsheets/d/1-3Vjw2Cyy-mry5gbC8ypIR3YVGFfEpyFESummAta6sg/edit"", ""Sheet1!B:D""), 2, FALSE), ""Not Found"")"),"nɑkt")</f>
        <v>nɑkt</v>
      </c>
      <c r="E4939" s="2" t="str">
        <f>IFERROR(__xludf.DUMMYFUNCTION("IFERROR(VLOOKUP(A4939, IMPORTRANGE(""https://docs.google.com/spreadsheets/d/1-3Vjw2Cyy-mry5gbC8ypIR3YVGFfEpyFESummAta6sg/edit"", ""Sheet1!B:D""), 3, FALSE), ""Not Found"")"),"n ɑ k t ")</f>
        <v>n ɑ k t </v>
      </c>
    </row>
    <row r="4940">
      <c r="A4940" s="1" t="s">
        <v>4943</v>
      </c>
      <c r="B4940" s="1" t="s">
        <v>5</v>
      </c>
      <c r="C4940" s="2">
        <f>IFERROR(__xludf.DUMMYFUNCTION("IFERROR(VLOOKUP(A4940, IMPORTRANGE(""https://docs.google.com/spreadsheets/d/1AVX9GT0dgogEBStecCXMMQ29tWz3gBrtNB8yIromXbY/edit?gid=741673867"", ""out1g!A:B""), 2, FALSE), 0)"),146.0)</f>
        <v>146</v>
      </c>
      <c r="D4940" s="2" t="str">
        <f>IFERROR(__xludf.DUMMYFUNCTION("IFERROR(VLOOKUP(A4940, IMPORTRANGE(""https://docs.google.com/spreadsheets/d/1-3Vjw2Cyy-mry5gbC8ypIR3YVGFfEpyFESummAta6sg/edit"", ""Sheet1!B:D""), 2, FALSE), ""Not Found"")"),"θɪŋi")</f>
        <v>θɪŋi</v>
      </c>
      <c r="E4940" s="2" t="str">
        <f>IFERROR(__xludf.DUMMYFUNCTION("IFERROR(VLOOKUP(A4940, IMPORTRANGE(""https://docs.google.com/spreadsheets/d/1-3Vjw2Cyy-mry5gbC8ypIR3YVGFfEpyFESummAta6sg/edit"", ""Sheet1!B:D""), 3, FALSE), ""Not Found"")"),"θ ɪ ŋ i ")</f>
        <v>θ ɪ ŋ i </v>
      </c>
    </row>
    <row r="4941">
      <c r="A4941" s="1" t="s">
        <v>4944</v>
      </c>
      <c r="B4941" s="1" t="s">
        <v>5</v>
      </c>
      <c r="C4941" s="2">
        <f>IFERROR(__xludf.DUMMYFUNCTION("IFERROR(VLOOKUP(A4941, IMPORTRANGE(""https://docs.google.com/spreadsheets/d/1AVX9GT0dgogEBStecCXMMQ29tWz3gBrtNB8yIromXbY/edit?gid=741673867"", ""out1g!A:B""), 2, FALSE), 0)"),386.0)</f>
        <v>386</v>
      </c>
      <c r="D4941" s="2" t="str">
        <f>IFERROR(__xludf.DUMMYFUNCTION("IFERROR(VLOOKUP(A4941, IMPORTRANGE(""https://docs.google.com/spreadsheets/d/1-3Vjw2Cyy-mry5gbC8ypIR3YVGFfEpyFESummAta6sg/edit"", ""Sheet1!B:D""), 2, FALSE), ""Not Found"")"),"lɪzi")</f>
        <v>lɪzi</v>
      </c>
      <c r="E4941" s="2" t="str">
        <f>IFERROR(__xludf.DUMMYFUNCTION("IFERROR(VLOOKUP(A4941, IMPORTRANGE(""https://docs.google.com/spreadsheets/d/1-3Vjw2Cyy-mry5gbC8ypIR3YVGFfEpyFESummAta6sg/edit"", ""Sheet1!B:D""), 3, FALSE), ""Not Found"")"),"l ɪ z i ")</f>
        <v>l ɪ z i </v>
      </c>
    </row>
    <row r="4942">
      <c r="A4942" s="1" t="s">
        <v>4945</v>
      </c>
      <c r="B4942" s="1" t="s">
        <v>5</v>
      </c>
      <c r="C4942" s="2">
        <f>IFERROR(__xludf.DUMMYFUNCTION("IFERROR(VLOOKUP(A4942, IMPORTRANGE(""https://docs.google.com/spreadsheets/d/1AVX9GT0dgogEBStecCXMMQ29tWz3gBrtNB8yIromXbY/edit?gid=741673867"", ""out1g!A:B""), 2, FALSE), 0)"),554.0)</f>
        <v>554</v>
      </c>
      <c r="D4942" s="2" t="str">
        <f>IFERROR(__xludf.DUMMYFUNCTION("IFERROR(VLOOKUP(A4942, IMPORTRANGE(""https://docs.google.com/spreadsheets/d/1-3Vjw2Cyy-mry5gbC8ypIR3YVGFfEpyFESummAta6sg/edit"", ""Sheet1!B:D""), 2, FALSE), ""Not Found"")"),"vɔn")</f>
        <v>vɔn</v>
      </c>
      <c r="E4942" s="2" t="str">
        <f>IFERROR(__xludf.DUMMYFUNCTION("IFERROR(VLOOKUP(A4942, IMPORTRANGE(""https://docs.google.com/spreadsheets/d/1-3Vjw2Cyy-mry5gbC8ypIR3YVGFfEpyFESummAta6sg/edit"", ""Sheet1!B:D""), 3, FALSE), ""Not Found"")"),"v ɔ n ")</f>
        <v>v ɔ n </v>
      </c>
    </row>
    <row r="4943">
      <c r="A4943" s="1" t="s">
        <v>4946</v>
      </c>
      <c r="B4943" s="1" t="s">
        <v>5</v>
      </c>
      <c r="C4943" s="2">
        <f>IFERROR(__xludf.DUMMYFUNCTION("IFERROR(VLOOKUP(A4943, IMPORTRANGE(""https://docs.google.com/spreadsheets/d/1AVX9GT0dgogEBStecCXMMQ29tWz3gBrtNB8yIromXbY/edit?gid=741673867"", ""out1g!A:B""), 2, FALSE), 0)"),1242.0)</f>
        <v>1242</v>
      </c>
      <c r="D4943" s="2" t="str">
        <f>IFERROR(__xludf.DUMMYFUNCTION("IFERROR(VLOOKUP(A4943, IMPORTRANGE(""https://docs.google.com/spreadsheets/d/1-3Vjw2Cyy-mry5gbC8ypIR3YVGFfEpyFESummAta6sg/edit"", ""Sheet1!B:D""), 2, FALSE), ""Not Found"")"),"bɛlt")</f>
        <v>bɛlt</v>
      </c>
      <c r="E4943" s="2" t="str">
        <f>IFERROR(__xludf.DUMMYFUNCTION("IFERROR(VLOOKUP(A4943, IMPORTRANGE(""https://docs.google.com/spreadsheets/d/1-3Vjw2Cyy-mry5gbC8ypIR3YVGFfEpyFESummAta6sg/edit"", ""Sheet1!B:D""), 3, FALSE), ""Not Found"")"),"b ɛ l t ")</f>
        <v>b ɛ l t </v>
      </c>
    </row>
    <row r="4944">
      <c r="A4944" s="1" t="s">
        <v>4947</v>
      </c>
      <c r="B4944" s="1" t="s">
        <v>5</v>
      </c>
      <c r="C4944" s="2">
        <f>IFERROR(__xludf.DUMMYFUNCTION("IFERROR(VLOOKUP(A4944, IMPORTRANGE(""https://docs.google.com/spreadsheets/d/1AVX9GT0dgogEBStecCXMMQ29tWz3gBrtNB8yIromXbY/edit?gid=741673867"", ""out1g!A:B""), 2, FALSE), 0)"),2842.0)</f>
        <v>2842</v>
      </c>
      <c r="D4944" s="2" t="str">
        <f>IFERROR(__xludf.DUMMYFUNCTION("IFERROR(VLOOKUP(A4944, IMPORTRANGE(""https://docs.google.com/spreadsheets/d/1-3Vjw2Cyy-mry5gbC8ypIR3YVGFfEpyFESummAta6sg/edit"", ""Sheet1!B:D""), 2, FALSE), ""Not Found"")"),"tiʧər")</f>
        <v>tiʧər</v>
      </c>
      <c r="E4944" s="2" t="str">
        <f>IFERROR(__xludf.DUMMYFUNCTION("IFERROR(VLOOKUP(A4944, IMPORTRANGE(""https://docs.google.com/spreadsheets/d/1-3Vjw2Cyy-mry5gbC8ypIR3YVGFfEpyFESummAta6sg/edit"", ""Sheet1!B:D""), 3, FALSE), ""Not Found"")"),"t i ʧ ə r ")</f>
        <v>t i ʧ ə r </v>
      </c>
    </row>
    <row r="4945">
      <c r="A4945" s="1" t="s">
        <v>4948</v>
      </c>
      <c r="B4945" s="1" t="s">
        <v>5</v>
      </c>
      <c r="C4945" s="2">
        <f>IFERROR(__xludf.DUMMYFUNCTION("IFERROR(VLOOKUP(A4945, IMPORTRANGE(""https://docs.google.com/spreadsheets/d/1AVX9GT0dgogEBStecCXMMQ29tWz3gBrtNB8yIromXbY/edit?gid=741673867"", ""out1g!A:B""), 2, FALSE), 0)"),293.0)</f>
        <v>293</v>
      </c>
      <c r="D4945" s="2" t="str">
        <f>IFERROR(__xludf.DUMMYFUNCTION("IFERROR(VLOOKUP(A4945, IMPORTRANGE(""https://docs.google.com/spreadsheets/d/1-3Vjw2Cyy-mry5gbC8ypIR3YVGFfEpyFESummAta6sg/edit"", ""Sheet1!B:D""), 2, FALSE), ""Not Found"")"),"feʃəl")</f>
        <v>feʃəl</v>
      </c>
      <c r="E4945" s="2" t="str">
        <f>IFERROR(__xludf.DUMMYFUNCTION("IFERROR(VLOOKUP(A4945, IMPORTRANGE(""https://docs.google.com/spreadsheets/d/1-3Vjw2Cyy-mry5gbC8ypIR3YVGFfEpyFESummAta6sg/edit"", ""Sheet1!B:D""), 3, FALSE), ""Not Found"")"),"f e ʃ ə l ")</f>
        <v>f e ʃ ə l </v>
      </c>
    </row>
    <row r="4946">
      <c r="A4946" s="1" t="s">
        <v>4949</v>
      </c>
      <c r="B4946" s="1" t="s">
        <v>5</v>
      </c>
      <c r="C4946" s="2">
        <f>IFERROR(__xludf.DUMMYFUNCTION("IFERROR(VLOOKUP(A4946, IMPORTRANGE(""https://docs.google.com/spreadsheets/d/1AVX9GT0dgogEBStecCXMMQ29tWz3gBrtNB8yIromXbY/edit?gid=741673867"", ""out1g!A:B""), 2, FALSE), 0)"),99.0)</f>
        <v>99</v>
      </c>
      <c r="D4946" s="2" t="str">
        <f>IFERROR(__xludf.DUMMYFUNCTION("IFERROR(VLOOKUP(A4946, IMPORTRANGE(""https://docs.google.com/spreadsheets/d/1-3Vjw2Cyy-mry5gbC8ypIR3YVGFfEpyFESummAta6sg/edit"", ""Sheet1!B:D""), 2, FALSE), ""Not Found"")"),"aʊts")</f>
        <v>aʊts</v>
      </c>
      <c r="E4946" s="2" t="str">
        <f>IFERROR(__xludf.DUMMYFUNCTION("IFERROR(VLOOKUP(A4946, IMPORTRANGE(""https://docs.google.com/spreadsheets/d/1-3Vjw2Cyy-mry5gbC8ypIR3YVGFfEpyFESummAta6sg/edit"", ""Sheet1!B:D""), 3, FALSE), ""Not Found"")"),"a ʊ t s ")</f>
        <v>a ʊ t s </v>
      </c>
    </row>
    <row r="4947">
      <c r="A4947" s="1" t="s">
        <v>4950</v>
      </c>
      <c r="B4947" s="1" t="s">
        <v>5</v>
      </c>
      <c r="C4947" s="2">
        <f>IFERROR(__xludf.DUMMYFUNCTION("IFERROR(VLOOKUP(A4947, IMPORTRANGE(""https://docs.google.com/spreadsheets/d/1AVX9GT0dgogEBStecCXMMQ29tWz3gBrtNB8yIromXbY/edit?gid=741673867"", ""out1g!A:B""), 2, FALSE), 0)"),4118.0)</f>
        <v>4118</v>
      </c>
      <c r="D4947" s="2" t="str">
        <f>IFERROR(__xludf.DUMMYFUNCTION("IFERROR(VLOOKUP(A4947, IMPORTRANGE(""https://docs.google.com/spreadsheets/d/1-3Vjw2Cyy-mry5gbC8ypIR3YVGFfEpyFESummAta6sg/edit"", ""Sheet1!B:D""), 2, FALSE), ""Not Found"")"),"plɛʒər")</f>
        <v>plɛʒər</v>
      </c>
      <c r="E4947" s="2" t="str">
        <f>IFERROR(__xludf.DUMMYFUNCTION("IFERROR(VLOOKUP(A4947, IMPORTRANGE(""https://docs.google.com/spreadsheets/d/1-3Vjw2Cyy-mry5gbC8ypIR3YVGFfEpyFESummAta6sg/edit"", ""Sheet1!B:D""), 3, FALSE), ""Not Found"")"),"p l ɛ ʒ ə r ")</f>
        <v>p l ɛ ʒ ə r </v>
      </c>
    </row>
    <row r="4948">
      <c r="A4948" s="1" t="s">
        <v>4951</v>
      </c>
      <c r="B4948" s="1" t="s">
        <v>5</v>
      </c>
      <c r="C4948" s="2">
        <f>IFERROR(__xludf.DUMMYFUNCTION("IFERROR(VLOOKUP(A4948, IMPORTRANGE(""https://docs.google.com/spreadsheets/d/1AVX9GT0dgogEBStecCXMMQ29tWz3gBrtNB8yIromXbY/edit?gid=741673867"", ""out1g!A:B""), 2, FALSE), 0)"),12846.0)</f>
        <v>12846</v>
      </c>
      <c r="D4948" s="2" t="str">
        <f>IFERROR(__xludf.DUMMYFUNCTION("IFERROR(VLOOKUP(A4948, IMPORTRANGE(""https://docs.google.com/spreadsheets/d/1-3Vjw2Cyy-mry5gbC8ypIR3YVGFfEpyFESummAta6sg/edit"", ""Sheet1!B:D""), 2, FALSE), ""Not Found"")"),"it")</f>
        <v>it</v>
      </c>
      <c r="E4948" s="2" t="str">
        <f>IFERROR(__xludf.DUMMYFUNCTION("IFERROR(VLOOKUP(A4948, IMPORTRANGE(""https://docs.google.com/spreadsheets/d/1-3Vjw2Cyy-mry5gbC8ypIR3YVGFfEpyFESummAta6sg/edit"", ""Sheet1!B:D""), 3, FALSE), ""Not Found"")"),"i t ")</f>
        <v>i t </v>
      </c>
    </row>
    <row r="4949">
      <c r="A4949" s="1" t="s">
        <v>4952</v>
      </c>
      <c r="B4949" s="1" t="s">
        <v>5</v>
      </c>
      <c r="C4949" s="2">
        <f>IFERROR(__xludf.DUMMYFUNCTION("IFERROR(VLOOKUP(A4949, IMPORTRANGE(""https://docs.google.com/spreadsheets/d/1AVX9GT0dgogEBStecCXMMQ29tWz3gBrtNB8yIromXbY/edit?gid=741673867"", ""out1g!A:B""), 2, FALSE), 0)"),59.0)</f>
        <v>59</v>
      </c>
      <c r="D4949" s="2" t="str">
        <f>IFERROR(__xludf.DUMMYFUNCTION("IFERROR(VLOOKUP(A4949, IMPORTRANGE(""https://docs.google.com/spreadsheets/d/1-3Vjw2Cyy-mry5gbC8ypIR3YVGFfEpyFESummAta6sg/edit"", ""Sheet1!B:D""), 2, FALSE), ""Not Found"")"),"dɑst")</f>
        <v>dɑst</v>
      </c>
      <c r="E4949" s="2" t="str">
        <f>IFERROR(__xludf.DUMMYFUNCTION("IFERROR(VLOOKUP(A4949, IMPORTRANGE(""https://docs.google.com/spreadsheets/d/1-3Vjw2Cyy-mry5gbC8ypIR3YVGFfEpyFESummAta6sg/edit"", ""Sheet1!B:D""), 3, FALSE), ""Not Found"")"),"d ɑ s t ")</f>
        <v>d ɑ s t </v>
      </c>
    </row>
    <row r="4950">
      <c r="A4950" s="1" t="s">
        <v>4953</v>
      </c>
      <c r="B4950" s="1" t="s">
        <v>5</v>
      </c>
      <c r="C4950" s="2">
        <f>IFERROR(__xludf.DUMMYFUNCTION("IFERROR(VLOOKUP(A4950, IMPORTRANGE(""https://docs.google.com/spreadsheets/d/1AVX9GT0dgogEBStecCXMMQ29tWz3gBrtNB8yIromXbY/edit?gid=741673867"", ""out1g!A:B""), 2, FALSE), 0)"),421.0)</f>
        <v>421</v>
      </c>
      <c r="D4950" s="2" t="str">
        <f>IFERROR(__xludf.DUMMYFUNCTION("IFERROR(VLOOKUP(A4950, IMPORTRANGE(""https://docs.google.com/spreadsheets/d/1-3Vjw2Cyy-mry5gbC8ypIR3YVGFfEpyFESummAta6sg/edit"", ""Sheet1!B:D""), 2, FALSE), ""Not Found"")"),"dɛpθ")</f>
        <v>dɛpθ</v>
      </c>
      <c r="E4950" s="2" t="str">
        <f>IFERROR(__xludf.DUMMYFUNCTION("IFERROR(VLOOKUP(A4950, IMPORTRANGE(""https://docs.google.com/spreadsheets/d/1-3Vjw2Cyy-mry5gbC8ypIR3YVGFfEpyFESummAta6sg/edit"", ""Sheet1!B:D""), 3, FALSE), ""Not Found"")"),"d ɛ p θ ")</f>
        <v>d ɛ p θ </v>
      </c>
    </row>
    <row r="4951">
      <c r="A4951" s="1" t="s">
        <v>4954</v>
      </c>
      <c r="B4951" s="1" t="s">
        <v>5</v>
      </c>
      <c r="C4951" s="2">
        <f>IFERROR(__xludf.DUMMYFUNCTION("IFERROR(VLOOKUP(A4951, IMPORTRANGE(""https://docs.google.com/spreadsheets/d/1AVX9GT0dgogEBStecCXMMQ29tWz3gBrtNB8yIromXbY/edit?gid=741673867"", ""out1g!A:B""), 2, FALSE), 0)"),64.0)</f>
        <v>64</v>
      </c>
      <c r="D4951" s="2" t="str">
        <f>IFERROR(__xludf.DUMMYFUNCTION("IFERROR(VLOOKUP(A4951, IMPORTRANGE(""https://docs.google.com/spreadsheets/d/1-3Vjw2Cyy-mry5gbC8ypIR3YVGFfEpyFESummAta6sg/edit"", ""Sheet1!B:D""), 2, FALSE), ""Not Found"")"),"haʊlz")</f>
        <v>haʊlz</v>
      </c>
      <c r="E4951" s="2" t="str">
        <f>IFERROR(__xludf.DUMMYFUNCTION("IFERROR(VLOOKUP(A4951, IMPORTRANGE(""https://docs.google.com/spreadsheets/d/1-3Vjw2Cyy-mry5gbC8ypIR3YVGFfEpyFESummAta6sg/edit"", ""Sheet1!B:D""), 3, FALSE), ""Not Found"")"),"h a ʊ l z ")</f>
        <v>h a ʊ l z </v>
      </c>
    </row>
    <row r="4952">
      <c r="A4952" s="1" t="s">
        <v>4955</v>
      </c>
      <c r="B4952" s="1" t="s">
        <v>5</v>
      </c>
      <c r="C4952" s="2">
        <f>IFERROR(__xludf.DUMMYFUNCTION("IFERROR(VLOOKUP(A4952, IMPORTRANGE(""https://docs.google.com/spreadsheets/d/1AVX9GT0dgogEBStecCXMMQ29tWz3gBrtNB8yIromXbY/edit?gid=741673867"", ""out1g!A:B""), 2, FALSE), 0)"),141.0)</f>
        <v>141</v>
      </c>
      <c r="D4952" s="2" t="str">
        <f>IFERROR(__xludf.DUMMYFUNCTION("IFERROR(VLOOKUP(A4952, IMPORTRANGE(""https://docs.google.com/spreadsheets/d/1-3Vjw2Cyy-mry5gbC8ypIR3YVGFfEpyFESummAta6sg/edit"", ""Sheet1!B:D""), 2, FALSE), ""Not Found"")"),"hups")</f>
        <v>hups</v>
      </c>
      <c r="E4952" s="2" t="str">
        <f>IFERROR(__xludf.DUMMYFUNCTION("IFERROR(VLOOKUP(A4952, IMPORTRANGE(""https://docs.google.com/spreadsheets/d/1-3Vjw2Cyy-mry5gbC8ypIR3YVGFfEpyFESummAta6sg/edit"", ""Sheet1!B:D""), 3, FALSE), ""Not Found"")"),"h u p s ")</f>
        <v>h u p s </v>
      </c>
    </row>
    <row r="4953">
      <c r="A4953" s="1" t="s">
        <v>4956</v>
      </c>
      <c r="B4953" s="1" t="s">
        <v>5</v>
      </c>
      <c r="C4953" s="2">
        <f>IFERROR(__xludf.DUMMYFUNCTION("IFERROR(VLOOKUP(A4953, IMPORTRANGE(""https://docs.google.com/spreadsheets/d/1AVX9GT0dgogEBStecCXMMQ29tWz3gBrtNB8yIromXbY/edit?gid=741673867"", ""out1g!A:B""), 2, FALSE), 0)"),83.0)</f>
        <v>83</v>
      </c>
      <c r="D4953" s="2" t="str">
        <f>IFERROR(__xludf.DUMMYFUNCTION("IFERROR(VLOOKUP(A4953, IMPORTRANGE(""https://docs.google.com/spreadsheets/d/1-3Vjw2Cyy-mry5gbC8ypIR3YVGFfEpyFESummAta6sg/edit"", ""Sheet1!B:D""), 2, FALSE), ""Not Found"")"),"denz")</f>
        <v>denz</v>
      </c>
      <c r="E4953" s="2" t="str">
        <f>IFERROR(__xludf.DUMMYFUNCTION("IFERROR(VLOOKUP(A4953, IMPORTRANGE(""https://docs.google.com/spreadsheets/d/1-3Vjw2Cyy-mry5gbC8ypIR3YVGFfEpyFESummAta6sg/edit"", ""Sheet1!B:D""), 3, FALSE), ""Not Found"")"),"d e n z ")</f>
        <v>d e n z </v>
      </c>
    </row>
    <row r="4954">
      <c r="A4954" s="1" t="s">
        <v>4957</v>
      </c>
      <c r="B4954" s="1" t="s">
        <v>5</v>
      </c>
      <c r="C4954" s="2">
        <f>IFERROR(__xludf.DUMMYFUNCTION("IFERROR(VLOOKUP(A4954, IMPORTRANGE(""https://docs.google.com/spreadsheets/d/1AVX9GT0dgogEBStecCXMMQ29tWz3gBrtNB8yIromXbY/edit?gid=741673867"", ""out1g!A:B""), 2, FALSE), 0)"),172.0)</f>
        <v>172</v>
      </c>
      <c r="D4954" s="2" t="str">
        <f>IFERROR(__xludf.DUMMYFUNCTION("IFERROR(VLOOKUP(A4954, IMPORTRANGE(""https://docs.google.com/spreadsheets/d/1-3Vjw2Cyy-mry5gbC8ypIR3YVGFfEpyFESummAta6sg/edit"", ""Sheet1!B:D""), 2, FALSE), ""Not Found"")"),"ne")</f>
        <v>ne</v>
      </c>
      <c r="E4954" s="2" t="str">
        <f>IFERROR(__xludf.DUMMYFUNCTION("IFERROR(VLOOKUP(A4954, IMPORTRANGE(""https://docs.google.com/spreadsheets/d/1-3Vjw2Cyy-mry5gbC8ypIR3YVGFfEpyFESummAta6sg/edit"", ""Sheet1!B:D""), 3, FALSE), ""Not Found"")"),"n e ")</f>
        <v>n e </v>
      </c>
    </row>
    <row r="4955">
      <c r="A4955" s="1" t="s">
        <v>4958</v>
      </c>
      <c r="B4955" s="1" t="s">
        <v>5</v>
      </c>
      <c r="C4955" s="2">
        <f>IFERROR(__xludf.DUMMYFUNCTION("IFERROR(VLOOKUP(A4955, IMPORTRANGE(""https://docs.google.com/spreadsheets/d/1AVX9GT0dgogEBStecCXMMQ29tWz3gBrtNB8yIromXbY/edit?gid=741673867"", ""out1g!A:B""), 2, FALSE), 0)"),50.0)</f>
        <v>50</v>
      </c>
      <c r="D4955" s="2" t="str">
        <f>IFERROR(__xludf.DUMMYFUNCTION("IFERROR(VLOOKUP(A4955, IMPORTRANGE(""https://docs.google.com/spreadsheets/d/1-3Vjw2Cyy-mry5gbC8ypIR3YVGFfEpyFESummAta6sg/edit"", ""Sheet1!B:D""), 2, FALSE), ""Not Found"")"),"oʊf")</f>
        <v>oʊf</v>
      </c>
      <c r="E4955" s="2" t="str">
        <f>IFERROR(__xludf.DUMMYFUNCTION("IFERROR(VLOOKUP(A4955, IMPORTRANGE(""https://docs.google.com/spreadsheets/d/1-3Vjw2Cyy-mry5gbC8ypIR3YVGFfEpyFESummAta6sg/edit"", ""Sheet1!B:D""), 3, FALSE), ""Not Found"")"),"o ʊ f ")</f>
        <v>o ʊ f </v>
      </c>
    </row>
    <row r="4956">
      <c r="A4956" s="1" t="s">
        <v>4959</v>
      </c>
      <c r="B4956" s="1" t="s">
        <v>5</v>
      </c>
      <c r="C4956" s="2">
        <f>IFERROR(__xludf.DUMMYFUNCTION("IFERROR(VLOOKUP(A4956, IMPORTRANGE(""https://docs.google.com/spreadsheets/d/1AVX9GT0dgogEBStecCXMMQ29tWz3gBrtNB8yIromXbY/edit?gid=741673867"", ""out1g!A:B""), 2, FALSE), 0)"),305.0)</f>
        <v>305</v>
      </c>
      <c r="D4956" s="2" t="str">
        <f>IFERROR(__xludf.DUMMYFUNCTION("IFERROR(VLOOKUP(A4956, IMPORTRANGE(""https://docs.google.com/spreadsheets/d/1-3Vjw2Cyy-mry5gbC8ypIR3YVGFfEpyFESummAta6sg/edit"", ""Sheet1!B:D""), 2, FALSE), ""Not Found"")"),"tredɪŋ")</f>
        <v>tredɪŋ</v>
      </c>
      <c r="E4956" s="2" t="str">
        <f>IFERROR(__xludf.DUMMYFUNCTION("IFERROR(VLOOKUP(A4956, IMPORTRANGE(""https://docs.google.com/spreadsheets/d/1-3Vjw2Cyy-mry5gbC8ypIR3YVGFfEpyFESummAta6sg/edit"", ""Sheet1!B:D""), 3, FALSE), ""Not Found"")"),"t r e d ɪ ŋ ")</f>
        <v>t r e d ɪ ŋ </v>
      </c>
    </row>
    <row r="4957">
      <c r="A4957" s="1" t="s">
        <v>4960</v>
      </c>
      <c r="B4957" s="1" t="s">
        <v>5</v>
      </c>
      <c r="C4957" s="2">
        <f>IFERROR(__xludf.DUMMYFUNCTION("IFERROR(VLOOKUP(A4957, IMPORTRANGE(""https://docs.google.com/spreadsheets/d/1AVX9GT0dgogEBStecCXMMQ29tWz3gBrtNB8yIromXbY/edit?gid=741673867"", ""out1g!A:B""), 2, FALSE), 0)"),46.0)</f>
        <v>46</v>
      </c>
      <c r="D4957" s="2" t="str">
        <f>IFERROR(__xludf.DUMMYFUNCTION("IFERROR(VLOOKUP(A4957, IMPORTRANGE(""https://docs.google.com/spreadsheets/d/1-3Vjw2Cyy-mry5gbC8ypIR3YVGFfEpyFESummAta6sg/edit"", ""Sheet1!B:D""), 2, FALSE), ""Not Found"")"),"spraʊt")</f>
        <v>spraʊt</v>
      </c>
      <c r="E4957" s="2" t="str">
        <f>IFERROR(__xludf.DUMMYFUNCTION("IFERROR(VLOOKUP(A4957, IMPORTRANGE(""https://docs.google.com/spreadsheets/d/1-3Vjw2Cyy-mry5gbC8ypIR3YVGFfEpyFESummAta6sg/edit"", ""Sheet1!B:D""), 3, FALSE), ""Not Found"")"),"s p r a ʊ t ")</f>
        <v>s p r a ʊ t </v>
      </c>
    </row>
    <row r="4958">
      <c r="A4958" s="1" t="s">
        <v>4961</v>
      </c>
      <c r="B4958" s="1" t="s">
        <v>5</v>
      </c>
      <c r="C4958" s="2">
        <f>IFERROR(__xludf.DUMMYFUNCTION("IFERROR(VLOOKUP(A4958, IMPORTRANGE(""https://docs.google.com/spreadsheets/d/1AVX9GT0dgogEBStecCXMMQ29tWz3gBrtNB8yIromXbY/edit?gid=741673867"", ""out1g!A:B""), 2, FALSE), 0)"),4354.0)</f>
        <v>4354</v>
      </c>
      <c r="D4958" s="2" t="str">
        <f>IFERROR(__xludf.DUMMYFUNCTION("IFERROR(VLOOKUP(A4958, IMPORTRANGE(""https://docs.google.com/spreadsheets/d/1-3Vjw2Cyy-mry5gbC8ypIR3YVGFfEpyFESummAta6sg/edit"", ""Sheet1!B:D""), 2, FALSE), ""Not Found"")"),"sərtən")</f>
        <v>sərtən</v>
      </c>
      <c r="E4958" s="2" t="str">
        <f>IFERROR(__xludf.DUMMYFUNCTION("IFERROR(VLOOKUP(A4958, IMPORTRANGE(""https://docs.google.com/spreadsheets/d/1-3Vjw2Cyy-mry5gbC8ypIR3YVGFfEpyFESummAta6sg/edit"", ""Sheet1!B:D""), 3, FALSE), ""Not Found"")"),"s ə r t ə n ")</f>
        <v>s ə r t ə n </v>
      </c>
    </row>
    <row r="4959">
      <c r="A4959" s="1" t="s">
        <v>4962</v>
      </c>
      <c r="B4959" s="1" t="s">
        <v>5</v>
      </c>
      <c r="C4959" s="2">
        <f>IFERROR(__xludf.DUMMYFUNCTION("IFERROR(VLOOKUP(A4959, IMPORTRANGE(""https://docs.google.com/spreadsheets/d/1AVX9GT0dgogEBStecCXMMQ29tWz3gBrtNB8yIromXbY/edit?gid=741673867"", ""out1g!A:B""), 2, FALSE), 0)"),133.0)</f>
        <v>133</v>
      </c>
      <c r="D4959" s="2" t="str">
        <f>IFERROR(__xludf.DUMMYFUNCTION("IFERROR(VLOOKUP(A4959, IMPORTRANGE(""https://docs.google.com/spreadsheets/d/1-3Vjw2Cyy-mry5gbC8ypIR3YVGFfEpyFESummAta6sg/edit"", ""Sheet1!B:D""), 2, FALSE), ""Not Found"")"),"poʊ")</f>
        <v>poʊ</v>
      </c>
      <c r="E4959" s="2" t="str">
        <f>IFERROR(__xludf.DUMMYFUNCTION("IFERROR(VLOOKUP(A4959, IMPORTRANGE(""https://docs.google.com/spreadsheets/d/1-3Vjw2Cyy-mry5gbC8ypIR3YVGFfEpyFESummAta6sg/edit"", ""Sheet1!B:D""), 3, FALSE), ""Not Found"")"),"p o ʊ ")</f>
        <v>p o ʊ </v>
      </c>
    </row>
    <row r="4960">
      <c r="A4960" s="1" t="s">
        <v>4963</v>
      </c>
      <c r="B4960" s="1" t="s">
        <v>5</v>
      </c>
      <c r="C4960" s="2">
        <f>IFERROR(__xludf.DUMMYFUNCTION("IFERROR(VLOOKUP(A4960, IMPORTRANGE(""https://docs.google.com/spreadsheets/d/1AVX9GT0dgogEBStecCXMMQ29tWz3gBrtNB8yIromXbY/edit?gid=741673867"", ""out1g!A:B""), 2, FALSE), 0)"),258.0)</f>
        <v>258</v>
      </c>
      <c r="D4960" s="2" t="str">
        <f>IFERROR(__xludf.DUMMYFUNCTION("IFERROR(VLOOKUP(A4960, IMPORTRANGE(""https://docs.google.com/spreadsheets/d/1-3Vjw2Cyy-mry5gbC8ypIR3YVGFfEpyFESummAta6sg/edit"", ""Sheet1!B:D""), 2, FALSE), ""Not Found"")"),"kəfe")</f>
        <v>kəfe</v>
      </c>
      <c r="E4960" s="2" t="str">
        <f>IFERROR(__xludf.DUMMYFUNCTION("IFERROR(VLOOKUP(A4960, IMPORTRANGE(""https://docs.google.com/spreadsheets/d/1-3Vjw2Cyy-mry5gbC8ypIR3YVGFfEpyFESummAta6sg/edit"", ""Sheet1!B:D""), 3, FALSE), ""Not Found"")"),"k ə f e ")</f>
        <v>k ə f e </v>
      </c>
    </row>
    <row r="4961">
      <c r="A4961" s="1" t="s">
        <v>4964</v>
      </c>
      <c r="B4961" s="1" t="s">
        <v>5</v>
      </c>
      <c r="C4961" s="2">
        <f>IFERROR(__xludf.DUMMYFUNCTION("IFERROR(VLOOKUP(A4961, IMPORTRANGE(""https://docs.google.com/spreadsheets/d/1AVX9GT0dgogEBStecCXMMQ29tWz3gBrtNB8yIromXbY/edit?gid=741673867"", ""out1g!A:B""), 2, FALSE), 0)"),264.0)</f>
        <v>264</v>
      </c>
      <c r="D4961" s="2" t="str">
        <f>IFERROR(__xludf.DUMMYFUNCTION("IFERROR(VLOOKUP(A4961, IMPORTRANGE(""https://docs.google.com/spreadsheets/d/1-3Vjw2Cyy-mry5gbC8ypIR3YVGFfEpyFESummAta6sg/edit"", ""Sheet1!B:D""), 2, FALSE), ""Not Found"")"),"bʊlz")</f>
        <v>bʊlz</v>
      </c>
      <c r="E4961" s="2" t="str">
        <f>IFERROR(__xludf.DUMMYFUNCTION("IFERROR(VLOOKUP(A4961, IMPORTRANGE(""https://docs.google.com/spreadsheets/d/1-3Vjw2Cyy-mry5gbC8ypIR3YVGFfEpyFESummAta6sg/edit"", ""Sheet1!B:D""), 3, FALSE), ""Not Found"")"),"b ʊ l z ")</f>
        <v>b ʊ l z </v>
      </c>
    </row>
    <row r="4962">
      <c r="A4962" s="1" t="s">
        <v>4965</v>
      </c>
      <c r="B4962" s="1" t="s">
        <v>5</v>
      </c>
      <c r="C4962" s="2">
        <f>IFERROR(__xludf.DUMMYFUNCTION("IFERROR(VLOOKUP(A4962, IMPORTRANGE(""https://docs.google.com/spreadsheets/d/1AVX9GT0dgogEBStecCXMMQ29tWz3gBrtNB8yIromXbY/edit?gid=741673867"", ""out1g!A:B""), 2, FALSE), 0)"),50.0)</f>
        <v>50</v>
      </c>
      <c r="D4962" s="2" t="str">
        <f>IFERROR(__xludf.DUMMYFUNCTION("IFERROR(VLOOKUP(A4962, IMPORTRANGE(""https://docs.google.com/spreadsheets/d/1-3Vjw2Cyy-mry5gbC8ypIR3YVGFfEpyFESummAta6sg/edit"", ""Sheet1!B:D""), 2, FALSE), ""Not Found"")"),"ʃaɪnd")</f>
        <v>ʃaɪnd</v>
      </c>
      <c r="E4962" s="2" t="str">
        <f>IFERROR(__xludf.DUMMYFUNCTION("IFERROR(VLOOKUP(A4962, IMPORTRANGE(""https://docs.google.com/spreadsheets/d/1-3Vjw2Cyy-mry5gbC8ypIR3YVGFfEpyFESummAta6sg/edit"", ""Sheet1!B:D""), 3, FALSE), ""Not Found"")"),"ʃ a ɪ n d ")</f>
        <v>ʃ a ɪ n d </v>
      </c>
    </row>
    <row r="4963">
      <c r="A4963" s="1" t="s">
        <v>4966</v>
      </c>
      <c r="B4963" s="1" t="s">
        <v>5</v>
      </c>
      <c r="C4963" s="2">
        <f>IFERROR(__xludf.DUMMYFUNCTION("IFERROR(VLOOKUP(A4963, IMPORTRANGE(""https://docs.google.com/spreadsheets/d/1AVX9GT0dgogEBStecCXMMQ29tWz3gBrtNB8yIromXbY/edit?gid=741673867"", ""out1g!A:B""), 2, FALSE), 0)"),65.0)</f>
        <v>65</v>
      </c>
      <c r="D4963" s="2" t="str">
        <f>IFERROR(__xludf.DUMMYFUNCTION("IFERROR(VLOOKUP(A4963, IMPORTRANGE(""https://docs.google.com/spreadsheets/d/1-3Vjw2Cyy-mry5gbC8ypIR3YVGFfEpyFESummAta6sg/edit"", ""Sheet1!B:D""), 2, FALSE), ""Not Found"")"),"skæt")</f>
        <v>skæt</v>
      </c>
      <c r="E4963" s="2" t="str">
        <f>IFERROR(__xludf.DUMMYFUNCTION("IFERROR(VLOOKUP(A4963, IMPORTRANGE(""https://docs.google.com/spreadsheets/d/1-3Vjw2Cyy-mry5gbC8ypIR3YVGFfEpyFESummAta6sg/edit"", ""Sheet1!B:D""), 3, FALSE), ""Not Found"")"),"s k æ t ")</f>
        <v>s k æ t </v>
      </c>
    </row>
    <row r="4964">
      <c r="A4964" s="1" t="s">
        <v>4967</v>
      </c>
      <c r="B4964" s="1" t="s">
        <v>5</v>
      </c>
      <c r="C4964" s="2">
        <f>IFERROR(__xludf.DUMMYFUNCTION("IFERROR(VLOOKUP(A4964, IMPORTRANGE(""https://docs.google.com/spreadsheets/d/1AVX9GT0dgogEBStecCXMMQ29tWz3gBrtNB8yIromXbY/edit?gid=741673867"", ""out1g!A:B""), 2, FALSE), 0)"),44.0)</f>
        <v>44</v>
      </c>
      <c r="D4964" s="2" t="str">
        <f>IFERROR(__xludf.DUMMYFUNCTION("IFERROR(VLOOKUP(A4964, IMPORTRANGE(""https://docs.google.com/spreadsheets/d/1-3Vjw2Cyy-mry5gbC8ypIR3YVGFfEpyFESummAta6sg/edit"", ""Sheet1!B:D""), 2, FALSE), ""Not Found"")"),"loʊkəst")</f>
        <v>loʊkəst</v>
      </c>
      <c r="E4964" s="2" t="str">
        <f>IFERROR(__xludf.DUMMYFUNCTION("IFERROR(VLOOKUP(A4964, IMPORTRANGE(""https://docs.google.com/spreadsheets/d/1-3Vjw2Cyy-mry5gbC8ypIR3YVGFfEpyFESummAta6sg/edit"", ""Sheet1!B:D""), 3, FALSE), ""Not Found"")"),"l o ʊ k ə s t ")</f>
        <v>l o ʊ k ə s t </v>
      </c>
    </row>
    <row r="4965">
      <c r="A4965" s="1" t="s">
        <v>4968</v>
      </c>
      <c r="B4965" s="1" t="s">
        <v>5</v>
      </c>
      <c r="C4965" s="2">
        <f>IFERROR(__xludf.DUMMYFUNCTION("IFERROR(VLOOKUP(A4965, IMPORTRANGE(""https://docs.google.com/spreadsheets/d/1AVX9GT0dgogEBStecCXMMQ29tWz3gBrtNB8yIromXbY/edit?gid=741673867"", ""out1g!A:B""), 2, FALSE), 0)"),11.0)</f>
        <v>11</v>
      </c>
      <c r="D4965" s="2" t="str">
        <f>IFERROR(__xludf.DUMMYFUNCTION("IFERROR(VLOOKUP(A4965, IMPORTRANGE(""https://docs.google.com/spreadsheets/d/1-3Vjw2Cyy-mry5gbC8ypIR3YVGFfEpyFESummAta6sg/edit"", ""Sheet1!B:D""), 2, FALSE), ""Not Found"")"),"bɪk")</f>
        <v>bɪk</v>
      </c>
      <c r="E4965" s="2" t="str">
        <f>IFERROR(__xludf.DUMMYFUNCTION("IFERROR(VLOOKUP(A4965, IMPORTRANGE(""https://docs.google.com/spreadsheets/d/1-3Vjw2Cyy-mry5gbC8ypIR3YVGFfEpyFESummAta6sg/edit"", ""Sheet1!B:D""), 3, FALSE), ""Not Found"")"),"b ɪ k ")</f>
        <v>b ɪ k </v>
      </c>
    </row>
    <row r="4966">
      <c r="A4966" s="1" t="s">
        <v>4969</v>
      </c>
      <c r="B4966" s="1" t="s">
        <v>5</v>
      </c>
      <c r="C4966" s="2">
        <f>IFERROR(__xludf.DUMMYFUNCTION("IFERROR(VLOOKUP(A4966, IMPORTRANGE(""https://docs.google.com/spreadsheets/d/1AVX9GT0dgogEBStecCXMMQ29tWz3gBrtNB8yIromXbY/edit?gid=741673867"", ""out1g!A:B""), 2, FALSE), 0)"),62.0)</f>
        <v>62</v>
      </c>
      <c r="D4966" s="2" t="str">
        <f>IFERROR(__xludf.DUMMYFUNCTION("IFERROR(VLOOKUP(A4966, IMPORTRANGE(""https://docs.google.com/spreadsheets/d/1-3Vjw2Cyy-mry5gbC8ypIR3YVGFfEpyFESummAta6sg/edit"", ""Sheet1!B:D""), 2, FALSE), ""Not Found"")"),"poʊʧt")</f>
        <v>poʊʧt</v>
      </c>
      <c r="E4966" s="2" t="str">
        <f>IFERROR(__xludf.DUMMYFUNCTION("IFERROR(VLOOKUP(A4966, IMPORTRANGE(""https://docs.google.com/spreadsheets/d/1-3Vjw2Cyy-mry5gbC8ypIR3YVGFfEpyFESummAta6sg/edit"", ""Sheet1!B:D""), 3, FALSE), ""Not Found"")"),"p o ʊ ʧ t ")</f>
        <v>p o ʊ ʧ t </v>
      </c>
    </row>
    <row r="4967">
      <c r="A4967" s="1" t="s">
        <v>4970</v>
      </c>
      <c r="B4967" s="1" t="s">
        <v>5</v>
      </c>
      <c r="C4967" s="2">
        <f>IFERROR(__xludf.DUMMYFUNCTION("IFERROR(VLOOKUP(A4967, IMPORTRANGE(""https://docs.google.com/spreadsheets/d/1AVX9GT0dgogEBStecCXMMQ29tWz3gBrtNB8yIromXbY/edit?gid=741673867"", ""out1g!A:B""), 2, FALSE), 0)"),802.0)</f>
        <v>802</v>
      </c>
      <c r="D4967" s="2" t="str">
        <f>IFERROR(__xludf.DUMMYFUNCTION("IFERROR(VLOOKUP(A4967, IMPORTRANGE(""https://docs.google.com/spreadsheets/d/1-3Vjw2Cyy-mry5gbC8ypIR3YVGFfEpyFESummAta6sg/edit"", ""Sheet1!B:D""), 2, FALSE), ""Not Found"")"),"hərz")</f>
        <v>hərz</v>
      </c>
      <c r="E4967" s="2" t="str">
        <f>IFERROR(__xludf.DUMMYFUNCTION("IFERROR(VLOOKUP(A4967, IMPORTRANGE(""https://docs.google.com/spreadsheets/d/1-3Vjw2Cyy-mry5gbC8ypIR3YVGFfEpyFESummAta6sg/edit"", ""Sheet1!B:D""), 3, FALSE), ""Not Found"")"),"h ə r z ")</f>
        <v>h ə r z </v>
      </c>
    </row>
    <row r="4968">
      <c r="A4968" s="1" t="s">
        <v>4971</v>
      </c>
      <c r="B4968" s="1" t="s">
        <v>5</v>
      </c>
      <c r="C4968" s="2">
        <f>IFERROR(__xludf.DUMMYFUNCTION("IFERROR(VLOOKUP(A4968, IMPORTRANGE(""https://docs.google.com/spreadsheets/d/1AVX9GT0dgogEBStecCXMMQ29tWz3gBrtNB8yIromXbY/edit?gid=741673867"", ""out1g!A:B""), 2, FALSE), 0)"),161.0)</f>
        <v>161</v>
      </c>
      <c r="D4968" s="2" t="str">
        <f>IFERROR(__xludf.DUMMYFUNCTION("IFERROR(VLOOKUP(A4968, IMPORTRANGE(""https://docs.google.com/spreadsheets/d/1-3Vjw2Cyy-mry5gbC8ypIR3YVGFfEpyFESummAta6sg/edit"", ""Sheet1!B:D""), 2, FALSE), ""Not Found"")"),"wʊl")</f>
        <v>wʊl</v>
      </c>
      <c r="E4968" s="2" t="str">
        <f>IFERROR(__xludf.DUMMYFUNCTION("IFERROR(VLOOKUP(A4968, IMPORTRANGE(""https://docs.google.com/spreadsheets/d/1-3Vjw2Cyy-mry5gbC8ypIR3YVGFfEpyFESummAta6sg/edit"", ""Sheet1!B:D""), 3, FALSE), ""Not Found"")"),"w ʊ l ")</f>
        <v>w ʊ l </v>
      </c>
    </row>
    <row r="4969">
      <c r="A4969" s="1" t="s">
        <v>4972</v>
      </c>
      <c r="B4969" s="1" t="s">
        <v>5</v>
      </c>
      <c r="C4969" s="2">
        <f>IFERROR(__xludf.DUMMYFUNCTION("IFERROR(VLOOKUP(A4969, IMPORTRANGE(""https://docs.google.com/spreadsheets/d/1AVX9GT0dgogEBStecCXMMQ29tWz3gBrtNB8yIromXbY/edit?gid=741673867"", ""out1g!A:B""), 2, FALSE), 0)"),576.0)</f>
        <v>576</v>
      </c>
      <c r="D4969" s="2" t="str">
        <f>IFERROR(__xludf.DUMMYFUNCTION("IFERROR(VLOOKUP(A4969, IMPORTRANGE(""https://docs.google.com/spreadsheets/d/1-3Vjw2Cyy-mry5gbC8ypIR3YVGFfEpyFESummAta6sg/edit"", ""Sheet1!B:D""), 2, FALSE), ""Not Found"")"),"slaɪtli")</f>
        <v>slaɪtli</v>
      </c>
      <c r="E4969" s="2" t="str">
        <f>IFERROR(__xludf.DUMMYFUNCTION("IFERROR(VLOOKUP(A4969, IMPORTRANGE(""https://docs.google.com/spreadsheets/d/1-3Vjw2Cyy-mry5gbC8ypIR3YVGFfEpyFESummAta6sg/edit"", ""Sheet1!B:D""), 3, FALSE), ""Not Found"")"),"s l a ɪ t l i ")</f>
        <v>s l a ɪ t l i </v>
      </c>
    </row>
    <row r="4970">
      <c r="A4970" s="1" t="s">
        <v>4973</v>
      </c>
      <c r="B4970" s="1" t="s">
        <v>5</v>
      </c>
      <c r="C4970" s="2">
        <f>IFERROR(__xludf.DUMMYFUNCTION("IFERROR(VLOOKUP(A4970, IMPORTRANGE(""https://docs.google.com/spreadsheets/d/1AVX9GT0dgogEBStecCXMMQ29tWz3gBrtNB8yIromXbY/edit?gid=741673867"", ""out1g!A:B""), 2, FALSE), 0)"),147.0)</f>
        <v>147</v>
      </c>
      <c r="D4970" s="2" t="str">
        <f>IFERROR(__xludf.DUMMYFUNCTION("IFERROR(VLOOKUP(A4970, IMPORTRANGE(""https://docs.google.com/spreadsheets/d/1-3Vjw2Cyy-mry5gbC8ypIR3YVGFfEpyFESummAta6sg/edit"", ""Sheet1!B:D""), 2, FALSE), ""Not Found"")"),"ji")</f>
        <v>ji</v>
      </c>
      <c r="E4970" s="2" t="str">
        <f>IFERROR(__xludf.DUMMYFUNCTION("IFERROR(VLOOKUP(A4970, IMPORTRANGE(""https://docs.google.com/spreadsheets/d/1-3Vjw2Cyy-mry5gbC8ypIR3YVGFfEpyFESummAta6sg/edit"", ""Sheet1!B:D""), 3, FALSE), ""Not Found"")"),"j i ")</f>
        <v>j i </v>
      </c>
    </row>
    <row r="4971">
      <c r="A4971" s="1" t="s">
        <v>4974</v>
      </c>
      <c r="B4971" s="1" t="s">
        <v>5</v>
      </c>
      <c r="C4971" s="2">
        <f>IFERROR(__xludf.DUMMYFUNCTION("IFERROR(VLOOKUP(A4971, IMPORTRANGE(""https://docs.google.com/spreadsheets/d/1AVX9GT0dgogEBStecCXMMQ29tWz3gBrtNB8yIromXbY/edit?gid=741673867"", ""out1g!A:B""), 2, FALSE), 0)"),62.0)</f>
        <v>62</v>
      </c>
      <c r="D4971" s="2" t="str">
        <f>IFERROR(__xludf.DUMMYFUNCTION("IFERROR(VLOOKUP(A4971, IMPORTRANGE(""https://docs.google.com/spreadsheets/d/1-3Vjw2Cyy-mry5gbC8ypIR3YVGFfEpyFESummAta6sg/edit"", ""Sheet1!B:D""), 2, FALSE), ""Not Found"")"),"əraʊz")</f>
        <v>əraʊz</v>
      </c>
      <c r="E4971" s="2" t="str">
        <f>IFERROR(__xludf.DUMMYFUNCTION("IFERROR(VLOOKUP(A4971, IMPORTRANGE(""https://docs.google.com/spreadsheets/d/1-3Vjw2Cyy-mry5gbC8ypIR3YVGFfEpyFESummAta6sg/edit"", ""Sheet1!B:D""), 3, FALSE), ""Not Found"")"),"ə r a ʊ z ")</f>
        <v>ə r a ʊ z </v>
      </c>
    </row>
    <row r="4972">
      <c r="A4972" s="1" t="s">
        <v>4975</v>
      </c>
      <c r="B4972" s="1" t="s">
        <v>5</v>
      </c>
      <c r="C4972" s="2">
        <f>IFERROR(__xludf.DUMMYFUNCTION("IFERROR(VLOOKUP(A4972, IMPORTRANGE(""https://docs.google.com/spreadsheets/d/1AVX9GT0dgogEBStecCXMMQ29tWz3gBrtNB8yIromXbY/edit?gid=741673867"", ""out1g!A:B""), 2, FALSE), 0)"),972.0)</f>
        <v>972</v>
      </c>
      <c r="D4972" s="2" t="str">
        <f>IFERROR(__xludf.DUMMYFUNCTION("IFERROR(VLOOKUP(A4972, IMPORTRANGE(""https://docs.google.com/spreadsheets/d/1-3Vjw2Cyy-mry5gbC8ypIR3YVGFfEpyFESummAta6sg/edit"", ""Sheet1!B:D""), 2, FALSE), ""Not Found"")"),"rɪpt")</f>
        <v>rɪpt</v>
      </c>
      <c r="E4972" s="2" t="str">
        <f>IFERROR(__xludf.DUMMYFUNCTION("IFERROR(VLOOKUP(A4972, IMPORTRANGE(""https://docs.google.com/spreadsheets/d/1-3Vjw2Cyy-mry5gbC8ypIR3YVGFfEpyFESummAta6sg/edit"", ""Sheet1!B:D""), 3, FALSE), ""Not Found"")"),"r ɪ p t ")</f>
        <v>r ɪ p t </v>
      </c>
    </row>
    <row r="4973">
      <c r="A4973" s="1" t="s">
        <v>4976</v>
      </c>
      <c r="B4973" s="1" t="s">
        <v>5</v>
      </c>
      <c r="C4973" s="2">
        <f>IFERROR(__xludf.DUMMYFUNCTION("IFERROR(VLOOKUP(A4973, IMPORTRANGE(""https://docs.google.com/spreadsheets/d/1AVX9GT0dgogEBStecCXMMQ29tWz3gBrtNB8yIromXbY/edit?gid=741673867"", ""out1g!A:B""), 2, FALSE), 0)"),839.0)</f>
        <v>839</v>
      </c>
      <c r="D4973" s="2" t="str">
        <f>IFERROR(__xludf.DUMMYFUNCTION("IFERROR(VLOOKUP(A4973, IMPORTRANGE(""https://docs.google.com/spreadsheets/d/1-3Vjw2Cyy-mry5gbC8ypIR3YVGFfEpyFESummAta6sg/edit"", ""Sheet1!B:D""), 2, FALSE), ""Not Found"")"),"ʃaʊt")</f>
        <v>ʃaʊt</v>
      </c>
      <c r="E4973" s="2" t="str">
        <f>IFERROR(__xludf.DUMMYFUNCTION("IFERROR(VLOOKUP(A4973, IMPORTRANGE(""https://docs.google.com/spreadsheets/d/1-3Vjw2Cyy-mry5gbC8ypIR3YVGFfEpyFESummAta6sg/edit"", ""Sheet1!B:D""), 3, FALSE), ""Not Found"")"),"ʃ a ʊ t ")</f>
        <v>ʃ a ʊ t </v>
      </c>
    </row>
    <row r="4974">
      <c r="A4974" s="1" t="s">
        <v>4977</v>
      </c>
      <c r="B4974" s="1" t="s">
        <v>5</v>
      </c>
      <c r="C4974" s="2">
        <f>IFERROR(__xludf.DUMMYFUNCTION("IFERROR(VLOOKUP(A4974, IMPORTRANGE(""https://docs.google.com/spreadsheets/d/1AVX9GT0dgogEBStecCXMMQ29tWz3gBrtNB8yIromXbY/edit?gid=741673867"", ""out1g!A:B""), 2, FALSE), 0)"),5002.0)</f>
        <v>5002</v>
      </c>
      <c r="D4974" s="2" t="str">
        <f>IFERROR(__xludf.DUMMYFUNCTION("IFERROR(VLOOKUP(A4974, IMPORTRANGE(""https://docs.google.com/spreadsheets/d/1-3Vjw2Cyy-mry5gbC8ypIR3YVGFfEpyFESummAta6sg/edit"", ""Sheet1!B:D""), 2, FALSE), ""Not Found"")"),"wərs")</f>
        <v>wərs</v>
      </c>
      <c r="E4974" s="2" t="str">
        <f>IFERROR(__xludf.DUMMYFUNCTION("IFERROR(VLOOKUP(A4974, IMPORTRANGE(""https://docs.google.com/spreadsheets/d/1-3Vjw2Cyy-mry5gbC8ypIR3YVGFfEpyFESummAta6sg/edit"", ""Sheet1!B:D""), 3, FALSE), ""Not Found"")"),"w ə r s ")</f>
        <v>w ə r s </v>
      </c>
    </row>
    <row r="4975">
      <c r="A4975" s="1" t="s">
        <v>4978</v>
      </c>
      <c r="B4975" s="1" t="s">
        <v>5</v>
      </c>
      <c r="C4975" s="2">
        <f>IFERROR(__xludf.DUMMYFUNCTION("IFERROR(VLOOKUP(A4975, IMPORTRANGE(""https://docs.google.com/spreadsheets/d/1AVX9GT0dgogEBStecCXMMQ29tWz3gBrtNB8yIromXbY/edit?gid=741673867"", ""out1g!A:B""), 2, FALSE), 0)"),1534.0)</f>
        <v>1534</v>
      </c>
      <c r="D4975" s="2" t="str">
        <f>IFERROR(__xludf.DUMMYFUNCTION("IFERROR(VLOOKUP(A4975, IMPORTRANGE(""https://docs.google.com/spreadsheets/d/1-3Vjw2Cyy-mry5gbC8ypIR3YVGFfEpyFESummAta6sg/edit"", ""Sheet1!B:D""), 2, FALSE), ""Not Found"")"),"staɪl")</f>
        <v>staɪl</v>
      </c>
      <c r="E4975" s="2" t="str">
        <f>IFERROR(__xludf.DUMMYFUNCTION("IFERROR(VLOOKUP(A4975, IMPORTRANGE(""https://docs.google.com/spreadsheets/d/1-3Vjw2Cyy-mry5gbC8ypIR3YVGFfEpyFESummAta6sg/edit"", ""Sheet1!B:D""), 3, FALSE), ""Not Found"")"),"s t a ɪ l ")</f>
        <v>s t a ɪ l </v>
      </c>
    </row>
    <row r="4976">
      <c r="A4976" s="1" t="s">
        <v>4979</v>
      </c>
      <c r="B4976" s="1" t="s">
        <v>5</v>
      </c>
      <c r="C4976" s="2">
        <f>IFERROR(__xludf.DUMMYFUNCTION("IFERROR(VLOOKUP(A4976, IMPORTRANGE(""https://docs.google.com/spreadsheets/d/1AVX9GT0dgogEBStecCXMMQ29tWz3gBrtNB8yIromXbY/edit?gid=741673867"", ""out1g!A:B""), 2, FALSE), 0)"),324.0)</f>
        <v>324</v>
      </c>
      <c r="D4976" s="2" t="str">
        <f>IFERROR(__xludf.DUMMYFUNCTION("IFERROR(VLOOKUP(A4976, IMPORTRANGE(""https://docs.google.com/spreadsheets/d/1-3Vjw2Cyy-mry5gbC8ypIR3YVGFfEpyFESummAta6sg/edit"", ""Sheet1!B:D""), 2, FALSE), ""Not Found"")"),"bækɪŋ")</f>
        <v>bækɪŋ</v>
      </c>
      <c r="E4976" s="2" t="str">
        <f>IFERROR(__xludf.DUMMYFUNCTION("IFERROR(VLOOKUP(A4976, IMPORTRANGE(""https://docs.google.com/spreadsheets/d/1-3Vjw2Cyy-mry5gbC8ypIR3YVGFfEpyFESummAta6sg/edit"", ""Sheet1!B:D""), 3, FALSE), ""Not Found"")"),"b æ k ɪ ŋ ")</f>
        <v>b æ k ɪ ŋ </v>
      </c>
    </row>
    <row r="4977">
      <c r="A4977" s="1" t="s">
        <v>4980</v>
      </c>
      <c r="B4977" s="1" t="s">
        <v>5</v>
      </c>
      <c r="C4977" s="2">
        <f>IFERROR(__xludf.DUMMYFUNCTION("IFERROR(VLOOKUP(A4977, IMPORTRANGE(""https://docs.google.com/spreadsheets/d/1AVX9GT0dgogEBStecCXMMQ29tWz3gBrtNB8yIromXbY/edit?gid=741673867"", ""out1g!A:B""), 2, FALSE), 0)"),50.0)</f>
        <v>50</v>
      </c>
      <c r="D4977" s="2" t="str">
        <f>IFERROR(__xludf.DUMMYFUNCTION("IFERROR(VLOOKUP(A4977, IMPORTRANGE(""https://docs.google.com/spreadsheets/d/1-3Vjw2Cyy-mry5gbC8ypIR3YVGFfEpyFESummAta6sg/edit"", ""Sheet1!B:D""), 2, FALSE), ""Not Found"")"),"bɑt")</f>
        <v>bɑt</v>
      </c>
      <c r="E4977" s="2" t="str">
        <f>IFERROR(__xludf.DUMMYFUNCTION("IFERROR(VLOOKUP(A4977, IMPORTRANGE(""https://docs.google.com/spreadsheets/d/1-3Vjw2Cyy-mry5gbC8ypIR3YVGFfEpyFESummAta6sg/edit"", ""Sheet1!B:D""), 3, FALSE), ""Not Found"")"),"b ɑ t ")</f>
        <v>b ɑ t </v>
      </c>
    </row>
    <row r="4978">
      <c r="A4978" s="1" t="s">
        <v>4981</v>
      </c>
      <c r="B4978" s="1" t="s">
        <v>5</v>
      </c>
      <c r="C4978" s="2">
        <f>IFERROR(__xludf.DUMMYFUNCTION("IFERROR(VLOOKUP(A4978, IMPORTRANGE(""https://docs.google.com/spreadsheets/d/1AVX9GT0dgogEBStecCXMMQ29tWz3gBrtNB8yIromXbY/edit?gid=741673867"", ""out1g!A:B""), 2, FALSE), 0)"),5247.0)</f>
        <v>5247</v>
      </c>
      <c r="D4978" s="2" t="str">
        <f>IFERROR(__xludf.DUMMYFUNCTION("IFERROR(VLOOKUP(A4978, IMPORTRANGE(""https://docs.google.com/spreadsheets/d/1-3Vjw2Cyy-mry5gbC8ypIR3YVGFfEpyFESummAta6sg/edit"", ""Sheet1!B:D""), 2, FALSE), ""Not Found"")"),"bədi")</f>
        <v>bədi</v>
      </c>
      <c r="E4978" s="2" t="str">
        <f>IFERROR(__xludf.DUMMYFUNCTION("IFERROR(VLOOKUP(A4978, IMPORTRANGE(""https://docs.google.com/spreadsheets/d/1-3Vjw2Cyy-mry5gbC8ypIR3YVGFfEpyFESummAta6sg/edit"", ""Sheet1!B:D""), 3, FALSE), ""Not Found"")"),"b ə d i ")</f>
        <v>b ə d i </v>
      </c>
    </row>
    <row r="4979">
      <c r="A4979" s="1" t="s">
        <v>4982</v>
      </c>
      <c r="B4979" s="1" t="s">
        <v>5</v>
      </c>
      <c r="C4979" s="2">
        <f>IFERROR(__xludf.DUMMYFUNCTION("IFERROR(VLOOKUP(A4979, IMPORTRANGE(""https://docs.google.com/spreadsheets/d/1AVX9GT0dgogEBStecCXMMQ29tWz3gBrtNB8yIromXbY/edit?gid=741673867"", ""out1g!A:B""), 2, FALSE), 0)"),142.0)</f>
        <v>142</v>
      </c>
      <c r="D4979" s="2" t="str">
        <f>IFERROR(__xludf.DUMMYFUNCTION("IFERROR(VLOOKUP(A4979, IMPORTRANGE(""https://docs.google.com/spreadsheets/d/1-3Vjw2Cyy-mry5gbC8ypIR3YVGFfEpyFESummAta6sg/edit"", ""Sheet1!B:D""), 2, FALSE), ""Not Found"")"),"poʊniz")</f>
        <v>poʊniz</v>
      </c>
      <c r="E4979" s="2" t="str">
        <f>IFERROR(__xludf.DUMMYFUNCTION("IFERROR(VLOOKUP(A4979, IMPORTRANGE(""https://docs.google.com/spreadsheets/d/1-3Vjw2Cyy-mry5gbC8ypIR3YVGFfEpyFESummAta6sg/edit"", ""Sheet1!B:D""), 3, FALSE), ""Not Found"")"),"p o ʊ n i z ")</f>
        <v>p o ʊ n i z </v>
      </c>
    </row>
    <row r="4980">
      <c r="A4980" s="1" t="s">
        <v>4983</v>
      </c>
      <c r="B4980" s="1" t="s">
        <v>5</v>
      </c>
      <c r="C4980" s="2">
        <f>IFERROR(__xludf.DUMMYFUNCTION("IFERROR(VLOOKUP(A4980, IMPORTRANGE(""https://docs.google.com/spreadsheets/d/1AVX9GT0dgogEBStecCXMMQ29tWz3gBrtNB8yIromXbY/edit?gid=741673867"", ""out1g!A:B""), 2, FALSE), 0)"),187.0)</f>
        <v>187</v>
      </c>
      <c r="D4980" s="2" t="str">
        <f>IFERROR(__xludf.DUMMYFUNCTION("IFERROR(VLOOKUP(A4980, IMPORTRANGE(""https://docs.google.com/spreadsheets/d/1-3Vjw2Cyy-mry5gbC8ypIR3YVGFfEpyFESummAta6sg/edit"", ""Sheet1!B:D""), 2, FALSE), ""Not Found"")"),"ɛmi")</f>
        <v>ɛmi</v>
      </c>
      <c r="E4980" s="2" t="str">
        <f>IFERROR(__xludf.DUMMYFUNCTION("IFERROR(VLOOKUP(A4980, IMPORTRANGE(""https://docs.google.com/spreadsheets/d/1-3Vjw2Cyy-mry5gbC8ypIR3YVGFfEpyFESummAta6sg/edit"", ""Sheet1!B:D""), 3, FALSE), ""Not Found"")"),"ɛ m i ")</f>
        <v>ɛ m i </v>
      </c>
    </row>
    <row r="4981">
      <c r="A4981" s="1" t="s">
        <v>4984</v>
      </c>
      <c r="B4981" s="1" t="s">
        <v>5</v>
      </c>
      <c r="C4981" s="2">
        <f>IFERROR(__xludf.DUMMYFUNCTION("IFERROR(VLOOKUP(A4981, IMPORTRANGE(""https://docs.google.com/spreadsheets/d/1AVX9GT0dgogEBStecCXMMQ29tWz3gBrtNB8yIromXbY/edit?gid=741673867"", ""out1g!A:B""), 2, FALSE), 0)"),350.0)</f>
        <v>350</v>
      </c>
      <c r="D4981" s="2" t="str">
        <f>IFERROR(__xludf.DUMMYFUNCTION("IFERROR(VLOOKUP(A4981, IMPORTRANGE(""https://docs.google.com/spreadsheets/d/1-3Vjw2Cyy-mry5gbC8ypIR3YVGFfEpyFESummAta6sg/edit"", ""Sheet1!B:D""), 2, FALSE), ""Not Found"")"),"nɑtsi")</f>
        <v>nɑtsi</v>
      </c>
      <c r="E4981" s="2" t="str">
        <f>IFERROR(__xludf.DUMMYFUNCTION("IFERROR(VLOOKUP(A4981, IMPORTRANGE(""https://docs.google.com/spreadsheets/d/1-3Vjw2Cyy-mry5gbC8ypIR3YVGFfEpyFESummAta6sg/edit"", ""Sheet1!B:D""), 3, FALSE), ""Not Found"")"),"n ɑ t s i ")</f>
        <v>n ɑ t s i </v>
      </c>
    </row>
    <row r="4982">
      <c r="A4982" s="1" t="s">
        <v>4985</v>
      </c>
      <c r="B4982" s="1" t="s">
        <v>5</v>
      </c>
      <c r="C4982" s="2">
        <f>IFERROR(__xludf.DUMMYFUNCTION("IFERROR(VLOOKUP(A4982, IMPORTRANGE(""https://docs.google.com/spreadsheets/d/1AVX9GT0dgogEBStecCXMMQ29tWz3gBrtNB8yIromXbY/edit?gid=741673867"", ""out1g!A:B""), 2, FALSE), 0)"),89.0)</f>
        <v>89</v>
      </c>
      <c r="D4982" s="2" t="str">
        <f>IFERROR(__xludf.DUMMYFUNCTION("IFERROR(VLOOKUP(A4982, IMPORTRANGE(""https://docs.google.com/spreadsheets/d/1-3Vjw2Cyy-mry5gbC8ypIR3YVGFfEpyFESummAta6sg/edit"", ""Sheet1!B:D""), 2, FALSE), ""Not Found"")"),"bʊliz")</f>
        <v>bʊliz</v>
      </c>
      <c r="E4982" s="2" t="str">
        <f>IFERROR(__xludf.DUMMYFUNCTION("IFERROR(VLOOKUP(A4982, IMPORTRANGE(""https://docs.google.com/spreadsheets/d/1-3Vjw2Cyy-mry5gbC8ypIR3YVGFfEpyFESummAta6sg/edit"", ""Sheet1!B:D""), 3, FALSE), ""Not Found"")"),"b ʊ l i z ")</f>
        <v>b ʊ l i z </v>
      </c>
    </row>
    <row r="4983">
      <c r="A4983" s="1" t="s">
        <v>4986</v>
      </c>
      <c r="B4983" s="1" t="s">
        <v>5</v>
      </c>
      <c r="C4983" s="2">
        <f>IFERROR(__xludf.DUMMYFUNCTION("IFERROR(VLOOKUP(A4983, IMPORTRANGE(""https://docs.google.com/spreadsheets/d/1AVX9GT0dgogEBStecCXMMQ29tWz3gBrtNB8yIromXbY/edit?gid=741673867"", ""out1g!A:B""), 2, FALSE), 0)"),65.0)</f>
        <v>65</v>
      </c>
      <c r="D4983" s="2" t="str">
        <f>IFERROR(__xludf.DUMMYFUNCTION("IFERROR(VLOOKUP(A4983, IMPORTRANGE(""https://docs.google.com/spreadsheets/d/1-3Vjw2Cyy-mry5gbC8ypIR3YVGFfEpyFESummAta6sg/edit"", ""Sheet1!B:D""), 2, FALSE), ""Not Found"")"),"tɑʒ")</f>
        <v>tɑʒ</v>
      </c>
      <c r="E4983" s="2" t="str">
        <f>IFERROR(__xludf.DUMMYFUNCTION("IFERROR(VLOOKUP(A4983, IMPORTRANGE(""https://docs.google.com/spreadsheets/d/1-3Vjw2Cyy-mry5gbC8ypIR3YVGFfEpyFESummAta6sg/edit"", ""Sheet1!B:D""), 3, FALSE), ""Not Found"")"),"t ɑ ʒ ")</f>
        <v>t ɑ ʒ </v>
      </c>
    </row>
    <row r="4984">
      <c r="A4984" s="1" t="s">
        <v>4987</v>
      </c>
      <c r="B4984" s="1" t="s">
        <v>5</v>
      </c>
      <c r="C4984" s="2">
        <f>IFERROR(__xludf.DUMMYFUNCTION("IFERROR(VLOOKUP(A4984, IMPORTRANGE(""https://docs.google.com/spreadsheets/d/1AVX9GT0dgogEBStecCXMMQ29tWz3gBrtNB8yIromXbY/edit?gid=741673867"", ""out1g!A:B""), 2, FALSE), 0)"),1499.0)</f>
        <v>1499</v>
      </c>
      <c r="D4984" s="2" t="str">
        <f>IFERROR(__xludf.DUMMYFUNCTION("IFERROR(VLOOKUP(A4984, IMPORTRANGE(""https://docs.google.com/spreadsheets/d/1-3Vjw2Cyy-mry5gbC8ypIR3YVGFfEpyFESummAta6sg/edit"", ""Sheet1!B:D""), 2, FALSE), ""Not Found"")"),"foʊkɪs")</f>
        <v>foʊkɪs</v>
      </c>
      <c r="E4984" s="2" t="str">
        <f>IFERROR(__xludf.DUMMYFUNCTION("IFERROR(VLOOKUP(A4984, IMPORTRANGE(""https://docs.google.com/spreadsheets/d/1-3Vjw2Cyy-mry5gbC8ypIR3YVGFfEpyFESummAta6sg/edit"", ""Sheet1!B:D""), 3, FALSE), ""Not Found"")"),"f o ʊ k ɪ s ")</f>
        <v>f o ʊ k ɪ s </v>
      </c>
    </row>
    <row r="4985">
      <c r="A4985" s="1" t="s">
        <v>4988</v>
      </c>
      <c r="B4985" s="1" t="s">
        <v>5</v>
      </c>
      <c r="C4985" s="2">
        <f>IFERROR(__xludf.DUMMYFUNCTION("IFERROR(VLOOKUP(A4985, IMPORTRANGE(""https://docs.google.com/spreadsheets/d/1AVX9GT0dgogEBStecCXMMQ29tWz3gBrtNB8yIromXbY/edit?gid=741673867"", ""out1g!A:B""), 2, FALSE), 0)"),68.0)</f>
        <v>68</v>
      </c>
      <c r="D4985" s="2" t="str">
        <f>IFERROR(__xludf.DUMMYFUNCTION("IFERROR(VLOOKUP(A4985, IMPORTRANGE(""https://docs.google.com/spreadsheets/d/1-3Vjw2Cyy-mry5gbC8ypIR3YVGFfEpyFESummAta6sg/edit"", ""Sheet1!B:D""), 2, FALSE), ""Not Found"")"),"ʤɛst")</f>
        <v>ʤɛst</v>
      </c>
      <c r="E4985" s="2" t="str">
        <f>IFERROR(__xludf.DUMMYFUNCTION("IFERROR(VLOOKUP(A4985, IMPORTRANGE(""https://docs.google.com/spreadsheets/d/1-3Vjw2Cyy-mry5gbC8ypIR3YVGFfEpyFESummAta6sg/edit"", ""Sheet1!B:D""), 3, FALSE), ""Not Found"")"),"ʤ ɛ s t ")</f>
        <v>ʤ ɛ s t </v>
      </c>
    </row>
    <row r="4986">
      <c r="A4986" s="1" t="s">
        <v>4989</v>
      </c>
      <c r="B4986" s="1" t="s">
        <v>5</v>
      </c>
      <c r="C4986" s="2">
        <f>IFERROR(__xludf.DUMMYFUNCTION("IFERROR(VLOOKUP(A4986, IMPORTRANGE(""https://docs.google.com/spreadsheets/d/1AVX9GT0dgogEBStecCXMMQ29tWz3gBrtNB8yIromXbY/edit?gid=741673867"", ""out1g!A:B""), 2, FALSE), 0)"),100.0)</f>
        <v>100</v>
      </c>
      <c r="D4986" s="2" t="str">
        <f>IFERROR(__xludf.DUMMYFUNCTION("IFERROR(VLOOKUP(A4986, IMPORTRANGE(""https://docs.google.com/spreadsheets/d/1-3Vjw2Cyy-mry5gbC8ypIR3YVGFfEpyFESummAta6sg/edit"", ""Sheet1!B:D""), 2, FALSE), ""Not Found"")"),"ʧɛriz")</f>
        <v>ʧɛriz</v>
      </c>
      <c r="E4986" s="2" t="str">
        <f>IFERROR(__xludf.DUMMYFUNCTION("IFERROR(VLOOKUP(A4986, IMPORTRANGE(""https://docs.google.com/spreadsheets/d/1-3Vjw2Cyy-mry5gbC8ypIR3YVGFfEpyFESummAta6sg/edit"", ""Sheet1!B:D""), 3, FALSE), ""Not Found"")"),"ʧ ɛ r i z ")</f>
        <v>ʧ ɛ r i z </v>
      </c>
    </row>
    <row r="4987">
      <c r="A4987" s="1" t="s">
        <v>4990</v>
      </c>
      <c r="B4987" s="1" t="s">
        <v>5</v>
      </c>
      <c r="C4987" s="2">
        <f>IFERROR(__xludf.DUMMYFUNCTION("IFERROR(VLOOKUP(A4987, IMPORTRANGE(""https://docs.google.com/spreadsheets/d/1AVX9GT0dgogEBStecCXMMQ29tWz3gBrtNB8yIromXbY/edit?gid=741673867"", ""out1g!A:B""), 2, FALSE), 0)"),42869.0)</f>
        <v>42869</v>
      </c>
      <c r="D4987" s="2" t="str">
        <f>IFERROR(__xludf.DUMMYFUNCTION("IFERROR(VLOOKUP(A4987, IMPORTRANGE(""https://docs.google.com/spreadsheets/d/1-3Vjw2Cyy-mry5gbC8ypIR3YVGFfEpyFESummAta6sg/edit"", ""Sheet1!B:D""), 2, FALSE), ""Not Found"")"),"fərst")</f>
        <v>fərst</v>
      </c>
      <c r="E4987" s="2" t="str">
        <f>IFERROR(__xludf.DUMMYFUNCTION("IFERROR(VLOOKUP(A4987, IMPORTRANGE(""https://docs.google.com/spreadsheets/d/1-3Vjw2Cyy-mry5gbC8ypIR3YVGFfEpyFESummAta6sg/edit"", ""Sheet1!B:D""), 3, FALSE), ""Not Found"")"),"f ə r s t ")</f>
        <v>f ə r s t </v>
      </c>
    </row>
    <row r="4988">
      <c r="A4988" s="1" t="s">
        <v>4991</v>
      </c>
      <c r="B4988" s="1" t="s">
        <v>5</v>
      </c>
      <c r="C4988" s="2">
        <f>IFERROR(__xludf.DUMMYFUNCTION("IFERROR(VLOOKUP(A4988, IMPORTRANGE(""https://docs.google.com/spreadsheets/d/1AVX9GT0dgogEBStecCXMMQ29tWz3gBrtNB8yIromXbY/edit?gid=741673867"", ""out1g!A:B""), 2, FALSE), 0)"),87.0)</f>
        <v>87</v>
      </c>
      <c r="D4988" s="2" t="str">
        <f>IFERROR(__xludf.DUMMYFUNCTION("IFERROR(VLOOKUP(A4988, IMPORTRANGE(""https://docs.google.com/spreadsheets/d/1-3Vjw2Cyy-mry5gbC8ypIR3YVGFfEpyFESummAta6sg/edit"", ""Sheet1!B:D""), 2, FALSE), ""Not Found"")"),"sərvərz")</f>
        <v>sərvərz</v>
      </c>
      <c r="E4988" s="2" t="str">
        <f>IFERROR(__xludf.DUMMYFUNCTION("IFERROR(VLOOKUP(A4988, IMPORTRANGE(""https://docs.google.com/spreadsheets/d/1-3Vjw2Cyy-mry5gbC8ypIR3YVGFfEpyFESummAta6sg/edit"", ""Sheet1!B:D""), 3, FALSE), ""Not Found"")"),"s ə r v ə r z ")</f>
        <v>s ə r v ə r z </v>
      </c>
    </row>
    <row r="4989">
      <c r="A4989" s="1" t="s">
        <v>4992</v>
      </c>
      <c r="B4989" s="1" t="s">
        <v>5</v>
      </c>
      <c r="C4989" s="2">
        <f>IFERROR(__xludf.DUMMYFUNCTION("IFERROR(VLOOKUP(A4989, IMPORTRANGE(""https://docs.google.com/spreadsheets/d/1AVX9GT0dgogEBStecCXMMQ29tWz3gBrtNB8yIromXbY/edit?gid=741673867"", ""out1g!A:B""), 2, FALSE), 0)"),30.0)</f>
        <v>30</v>
      </c>
      <c r="D4989" s="2" t="str">
        <f>IFERROR(__xludf.DUMMYFUNCTION("IFERROR(VLOOKUP(A4989, IMPORTRANGE(""https://docs.google.com/spreadsheets/d/1-3Vjw2Cyy-mry5gbC8ypIR3YVGFfEpyFESummAta6sg/edit"", ""Sheet1!B:D""), 2, FALSE), ""Not Found"")"),"lərks")</f>
        <v>lərks</v>
      </c>
      <c r="E4989" s="2" t="str">
        <f>IFERROR(__xludf.DUMMYFUNCTION("IFERROR(VLOOKUP(A4989, IMPORTRANGE(""https://docs.google.com/spreadsheets/d/1-3Vjw2Cyy-mry5gbC8ypIR3YVGFfEpyFESummAta6sg/edit"", ""Sheet1!B:D""), 3, FALSE), ""Not Found"")"),"l ə r k s ")</f>
        <v>l ə r k s </v>
      </c>
    </row>
    <row r="4990">
      <c r="A4990" s="1" t="s">
        <v>4993</v>
      </c>
      <c r="B4990" s="1" t="s">
        <v>5</v>
      </c>
      <c r="C4990" s="2">
        <f>IFERROR(__xludf.DUMMYFUNCTION("IFERROR(VLOOKUP(A4990, IMPORTRANGE(""https://docs.google.com/spreadsheets/d/1AVX9GT0dgogEBStecCXMMQ29tWz3gBrtNB8yIromXbY/edit?gid=741673867"", ""out1g!A:B""), 2, FALSE), 0)"),1364.0)</f>
        <v>1364</v>
      </c>
      <c r="D4990" s="2" t="str">
        <f>IFERROR(__xludf.DUMMYFUNCTION("IFERROR(VLOOKUP(A4990, IMPORTRANGE(""https://docs.google.com/spreadsheets/d/1-3Vjw2Cyy-mry5gbC8ypIR3YVGFfEpyFESummAta6sg/edit"", ""Sheet1!B:D""), 2, FALSE), ""Not Found"")"),"taɪd")</f>
        <v>taɪd</v>
      </c>
      <c r="E4990" s="2" t="str">
        <f>IFERROR(__xludf.DUMMYFUNCTION("IFERROR(VLOOKUP(A4990, IMPORTRANGE(""https://docs.google.com/spreadsheets/d/1-3Vjw2Cyy-mry5gbC8ypIR3YVGFfEpyFESummAta6sg/edit"", ""Sheet1!B:D""), 3, FALSE), ""Not Found"")"),"t a ɪ d ")</f>
        <v>t a ɪ d </v>
      </c>
    </row>
    <row r="4991">
      <c r="A4991" s="1" t="s">
        <v>4994</v>
      </c>
      <c r="B4991" s="1" t="s">
        <v>5</v>
      </c>
      <c r="C4991" s="2">
        <f>IFERROR(__xludf.DUMMYFUNCTION("IFERROR(VLOOKUP(A4991, IMPORTRANGE(""https://docs.google.com/spreadsheets/d/1AVX9GT0dgogEBStecCXMMQ29tWz3gBrtNB8yIromXbY/edit?gid=741673867"", ""out1g!A:B""), 2, FALSE), 0)"),632.0)</f>
        <v>632</v>
      </c>
      <c r="D4991" s="2" t="str">
        <f>IFERROR(__xludf.DUMMYFUNCTION("IFERROR(VLOOKUP(A4991, IMPORTRANGE(""https://docs.google.com/spreadsheets/d/1-3Vjw2Cyy-mry5gbC8ypIR3YVGFfEpyFESummAta6sg/edit"", ""Sheet1!B:D""), 2, FALSE), ""Not Found"")"),"daɪnər")</f>
        <v>daɪnər</v>
      </c>
      <c r="E4991" s="2" t="str">
        <f>IFERROR(__xludf.DUMMYFUNCTION("IFERROR(VLOOKUP(A4991, IMPORTRANGE(""https://docs.google.com/spreadsheets/d/1-3Vjw2Cyy-mry5gbC8ypIR3YVGFfEpyFESummAta6sg/edit"", ""Sheet1!B:D""), 3, FALSE), ""Not Found"")"),"d a ɪ n ə r ")</f>
        <v>d a ɪ n ə r </v>
      </c>
    </row>
    <row r="4992">
      <c r="A4992" s="1" t="s">
        <v>4995</v>
      </c>
      <c r="B4992" s="1" t="s">
        <v>5</v>
      </c>
      <c r="C4992" s="2">
        <f>IFERROR(__xludf.DUMMYFUNCTION("IFERROR(VLOOKUP(A4992, IMPORTRANGE(""https://docs.google.com/spreadsheets/d/1AVX9GT0dgogEBStecCXMMQ29tWz3gBrtNB8yIromXbY/edit?gid=741673867"", ""out1g!A:B""), 2, FALSE), 0)"),149.0)</f>
        <v>149</v>
      </c>
      <c r="D4992" s="2" t="str">
        <f>IFERROR(__xludf.DUMMYFUNCTION("IFERROR(VLOOKUP(A4992, IMPORTRANGE(""https://docs.google.com/spreadsheets/d/1-3Vjw2Cyy-mry5gbC8ypIR3YVGFfEpyFESummAta6sg/edit"", ""Sheet1!B:D""), 2, FALSE), ""Not Found"")"),"koʊn")</f>
        <v>koʊn</v>
      </c>
      <c r="E4992" s="2" t="str">
        <f>IFERROR(__xludf.DUMMYFUNCTION("IFERROR(VLOOKUP(A4992, IMPORTRANGE(""https://docs.google.com/spreadsheets/d/1-3Vjw2Cyy-mry5gbC8ypIR3YVGFfEpyFESummAta6sg/edit"", ""Sheet1!B:D""), 3, FALSE), ""Not Found"")"),"k o ʊ n ")</f>
        <v>k o ʊ n </v>
      </c>
    </row>
    <row r="4993">
      <c r="A4993" s="1" t="s">
        <v>4996</v>
      </c>
      <c r="B4993" s="1" t="s">
        <v>5</v>
      </c>
      <c r="C4993" s="2">
        <f>IFERROR(__xludf.DUMMYFUNCTION("IFERROR(VLOOKUP(A4993, IMPORTRANGE(""https://docs.google.com/spreadsheets/d/1AVX9GT0dgogEBStecCXMMQ29tWz3gBrtNB8yIromXbY/edit?gid=741673867"", ""out1g!A:B""), 2, FALSE), 0)"),46.0)</f>
        <v>46</v>
      </c>
      <c r="D4993" s="2" t="str">
        <f>IFERROR(__xludf.DUMMYFUNCTION("IFERROR(VLOOKUP(A4993, IMPORTRANGE(""https://docs.google.com/spreadsheets/d/1-3Vjw2Cyy-mry5gbC8ypIR3YVGFfEpyFESummAta6sg/edit"", ""Sheet1!B:D""), 2, FALSE), ""Not Found"")"),"bri")</f>
        <v>bri</v>
      </c>
      <c r="E4993" s="2" t="str">
        <f>IFERROR(__xludf.DUMMYFUNCTION("IFERROR(VLOOKUP(A4993, IMPORTRANGE(""https://docs.google.com/spreadsheets/d/1-3Vjw2Cyy-mry5gbC8ypIR3YVGFfEpyFESummAta6sg/edit"", ""Sheet1!B:D""), 3, FALSE), ""Not Found"")"),"b r i ")</f>
        <v>b r i </v>
      </c>
    </row>
    <row r="4994">
      <c r="A4994" s="1" t="s">
        <v>4997</v>
      </c>
      <c r="B4994" s="1" t="s">
        <v>5</v>
      </c>
      <c r="C4994" s="2">
        <f>IFERROR(__xludf.DUMMYFUNCTION("IFERROR(VLOOKUP(A4994, IMPORTRANGE(""https://docs.google.com/spreadsheets/d/1AVX9GT0dgogEBStecCXMMQ29tWz3gBrtNB8yIromXbY/edit?gid=741673867"", ""out1g!A:B""), 2, FALSE), 0)"),400.0)</f>
        <v>400</v>
      </c>
      <c r="D4994" s="2" t="str">
        <f>IFERROR(__xludf.DUMMYFUNCTION("IFERROR(VLOOKUP(A4994, IMPORTRANGE(""https://docs.google.com/spreadsheets/d/1-3Vjw2Cyy-mry5gbC8ypIR3YVGFfEpyFESummAta6sg/edit"", ""Sheet1!B:D""), 2, FALSE), ""Not Found"")"),"ætɪk")</f>
        <v>ætɪk</v>
      </c>
      <c r="E4994" s="2" t="str">
        <f>IFERROR(__xludf.DUMMYFUNCTION("IFERROR(VLOOKUP(A4994, IMPORTRANGE(""https://docs.google.com/spreadsheets/d/1-3Vjw2Cyy-mry5gbC8ypIR3YVGFfEpyFESummAta6sg/edit"", ""Sheet1!B:D""), 3, FALSE), ""Not Found"")"),"æ t ɪ k ")</f>
        <v>æ t ɪ k </v>
      </c>
    </row>
    <row r="4995">
      <c r="A4995" s="1" t="s">
        <v>4998</v>
      </c>
      <c r="B4995" s="1" t="s">
        <v>5</v>
      </c>
      <c r="C4995" s="2">
        <f>IFERROR(__xludf.DUMMYFUNCTION("IFERROR(VLOOKUP(A4995, IMPORTRANGE(""https://docs.google.com/spreadsheets/d/1AVX9GT0dgogEBStecCXMMQ29tWz3gBrtNB8yIromXbY/edit?gid=741673867"", ""out1g!A:B""), 2, FALSE), 0)"),73.0)</f>
        <v>73</v>
      </c>
      <c r="D4995" s="2" t="str">
        <f>IFERROR(__xludf.DUMMYFUNCTION("IFERROR(VLOOKUP(A4995, IMPORTRANGE(""https://docs.google.com/spreadsheets/d/1-3Vjw2Cyy-mry5gbC8ypIR3YVGFfEpyFESummAta6sg/edit"", ""Sheet1!B:D""), 2, FALSE), ""Not Found"")"),"il")</f>
        <v>il</v>
      </c>
      <c r="E4995" s="2" t="str">
        <f>IFERROR(__xludf.DUMMYFUNCTION("IFERROR(VLOOKUP(A4995, IMPORTRANGE(""https://docs.google.com/spreadsheets/d/1-3Vjw2Cyy-mry5gbC8ypIR3YVGFfEpyFESummAta6sg/edit"", ""Sheet1!B:D""), 3, FALSE), ""Not Found"")"),"i l ")</f>
        <v>i l </v>
      </c>
    </row>
    <row r="4996">
      <c r="A4996" s="1" t="s">
        <v>4999</v>
      </c>
      <c r="B4996" s="1" t="s">
        <v>5</v>
      </c>
      <c r="C4996" s="2">
        <f>IFERROR(__xludf.DUMMYFUNCTION("IFERROR(VLOOKUP(A4996, IMPORTRANGE(""https://docs.google.com/spreadsheets/d/1AVX9GT0dgogEBStecCXMMQ29tWz3gBrtNB8yIromXbY/edit?gid=741673867"", ""out1g!A:B""), 2, FALSE), 0)"),143.0)</f>
        <v>143</v>
      </c>
      <c r="D4996" s="2" t="str">
        <f>IFERROR(__xludf.DUMMYFUNCTION("IFERROR(VLOOKUP(A4996, IMPORTRANGE(""https://docs.google.com/spreadsheets/d/1-3Vjw2Cyy-mry5gbC8ypIR3YVGFfEpyFESummAta6sg/edit"", ""Sheet1!B:D""), 2, FALSE), ""Not Found"")"),"poʊəts")</f>
        <v>poʊəts</v>
      </c>
      <c r="E4996" s="2" t="str">
        <f>IFERROR(__xludf.DUMMYFUNCTION("IFERROR(VLOOKUP(A4996, IMPORTRANGE(""https://docs.google.com/spreadsheets/d/1-3Vjw2Cyy-mry5gbC8ypIR3YVGFfEpyFESummAta6sg/edit"", ""Sheet1!B:D""), 3, FALSE), ""Not Found"")"),"p o ʊ ə t s ")</f>
        <v>p o ʊ ə t s </v>
      </c>
    </row>
    <row r="4997">
      <c r="A4997" s="1" t="s">
        <v>5000</v>
      </c>
      <c r="B4997" s="1" t="s">
        <v>5</v>
      </c>
      <c r="C4997" s="2">
        <f>IFERROR(__xludf.DUMMYFUNCTION("IFERROR(VLOOKUP(A4997, IMPORTRANGE(""https://docs.google.com/spreadsheets/d/1AVX9GT0dgogEBStecCXMMQ29tWz3gBrtNB8yIromXbY/edit?gid=741673867"", ""out1g!A:B""), 2, FALSE), 0)"),10.0)</f>
        <v>10</v>
      </c>
      <c r="D4997" s="2" t="str">
        <f>IFERROR(__xludf.DUMMYFUNCTION("IFERROR(VLOOKUP(A4997, IMPORTRANGE(""https://docs.google.com/spreadsheets/d/1-3Vjw2Cyy-mry5gbC8ypIR3YVGFfEpyFESummAta6sg/edit"", ""Sheet1!B:D""), 2, FALSE), ""Not Found"")"),"ʧæpi")</f>
        <v>ʧæpi</v>
      </c>
      <c r="E4997" s="2" t="str">
        <f>IFERROR(__xludf.DUMMYFUNCTION("IFERROR(VLOOKUP(A4997, IMPORTRANGE(""https://docs.google.com/spreadsheets/d/1-3Vjw2Cyy-mry5gbC8ypIR3YVGFfEpyFESummAta6sg/edit"", ""Sheet1!B:D""), 3, FALSE), ""Not Found"")"),"ʧ æ p i ")</f>
        <v>ʧ æ p i </v>
      </c>
    </row>
    <row r="4998">
      <c r="A4998" s="1" t="s">
        <v>5001</v>
      </c>
      <c r="B4998" s="1" t="s">
        <v>5</v>
      </c>
      <c r="C4998" s="2">
        <f>IFERROR(__xludf.DUMMYFUNCTION("IFERROR(VLOOKUP(A4998, IMPORTRANGE(""https://docs.google.com/spreadsheets/d/1AVX9GT0dgogEBStecCXMMQ29tWz3gBrtNB8yIromXbY/edit?gid=741673867"", ""out1g!A:B""), 2, FALSE), 0)"),92.0)</f>
        <v>92</v>
      </c>
      <c r="D4998" s="2" t="str">
        <f>IFERROR(__xludf.DUMMYFUNCTION("IFERROR(VLOOKUP(A4998, IMPORTRANGE(""https://docs.google.com/spreadsheets/d/1-3Vjw2Cyy-mry5gbC8ypIR3YVGFfEpyFESummAta6sg/edit"", ""Sheet1!B:D""), 2, FALSE), ""Not Found"")"),"loʊgoʊ")</f>
        <v>loʊgoʊ</v>
      </c>
      <c r="E4998" s="2" t="str">
        <f>IFERROR(__xludf.DUMMYFUNCTION("IFERROR(VLOOKUP(A4998, IMPORTRANGE(""https://docs.google.com/spreadsheets/d/1-3Vjw2Cyy-mry5gbC8ypIR3YVGFfEpyFESummAta6sg/edit"", ""Sheet1!B:D""), 3, FALSE), ""Not Found"")"),"l o ʊ g o ʊ ")</f>
        <v>l o ʊ g o ʊ </v>
      </c>
    </row>
    <row r="4999">
      <c r="A4999" s="1" t="s">
        <v>5002</v>
      </c>
      <c r="B4999" s="1" t="s">
        <v>5</v>
      </c>
      <c r="C4999" s="2">
        <f>IFERROR(__xludf.DUMMYFUNCTION("IFERROR(VLOOKUP(A4999, IMPORTRANGE(""https://docs.google.com/spreadsheets/d/1AVX9GT0dgogEBStecCXMMQ29tWz3gBrtNB8yIromXbY/edit?gid=741673867"", ""out1g!A:B""), 2, FALSE), 0)"),185.0)</f>
        <v>185</v>
      </c>
      <c r="D4999" s="2" t="str">
        <f>IFERROR(__xludf.DUMMYFUNCTION("IFERROR(VLOOKUP(A4999, IMPORTRANGE(""https://docs.google.com/spreadsheets/d/1-3Vjw2Cyy-mry5gbC8ypIR3YVGFfEpyFESummAta6sg/edit"", ""Sheet1!B:D""), 2, FALSE), ""Not Found"")"),"fəʤ")</f>
        <v>fəʤ</v>
      </c>
      <c r="E4999" s="2" t="str">
        <f>IFERROR(__xludf.DUMMYFUNCTION("IFERROR(VLOOKUP(A4999, IMPORTRANGE(""https://docs.google.com/spreadsheets/d/1-3Vjw2Cyy-mry5gbC8ypIR3YVGFfEpyFESummAta6sg/edit"", ""Sheet1!B:D""), 3, FALSE), ""Not Found"")"),"f ə ʤ ")</f>
        <v>f ə ʤ </v>
      </c>
    </row>
    <row r="5000">
      <c r="A5000" s="1" t="s">
        <v>5003</v>
      </c>
      <c r="B5000" s="1" t="s">
        <v>5</v>
      </c>
      <c r="C5000" s="2">
        <f>IFERROR(__xludf.DUMMYFUNCTION("IFERROR(VLOOKUP(A5000, IMPORTRANGE(""https://docs.google.com/spreadsheets/d/1AVX9GT0dgogEBStecCXMMQ29tWz3gBrtNB8yIromXbY/edit?gid=741673867"", ""out1g!A:B""), 2, FALSE), 0)"),123.0)</f>
        <v>123</v>
      </c>
      <c r="D5000" s="2" t="str">
        <f>IFERROR(__xludf.DUMMYFUNCTION("IFERROR(VLOOKUP(A5000, IMPORTRANGE(""https://docs.google.com/spreadsheets/d/1-3Vjw2Cyy-mry5gbC8ypIR3YVGFfEpyFESummAta6sg/edit"", ""Sheet1!B:D""), 2, FALSE), ""Not Found"")"),"swæm")</f>
        <v>swæm</v>
      </c>
      <c r="E5000" s="2" t="str">
        <f>IFERROR(__xludf.DUMMYFUNCTION("IFERROR(VLOOKUP(A5000, IMPORTRANGE(""https://docs.google.com/spreadsheets/d/1-3Vjw2Cyy-mry5gbC8ypIR3YVGFfEpyFESummAta6sg/edit"", ""Sheet1!B:D""), 3, FALSE), ""Not Found"")"),"s w æ m ")</f>
        <v>s w æ m </v>
      </c>
    </row>
    <row r="5001">
      <c r="A5001" s="1" t="s">
        <v>5004</v>
      </c>
      <c r="B5001" s="1" t="s">
        <v>5</v>
      </c>
      <c r="C5001" s="2">
        <f>IFERROR(__xludf.DUMMYFUNCTION("IFERROR(VLOOKUP(A5001, IMPORTRANGE(""https://docs.google.com/spreadsheets/d/1AVX9GT0dgogEBStecCXMMQ29tWz3gBrtNB8yIromXbY/edit?gid=741673867"", ""out1g!A:B""), 2, FALSE), 0)"),164.0)</f>
        <v>164</v>
      </c>
      <c r="D5001" s="2" t="str">
        <f>IFERROR(__xludf.DUMMYFUNCTION("IFERROR(VLOOKUP(A5001, IMPORTRANGE(""https://docs.google.com/spreadsheets/d/1-3Vjw2Cyy-mry5gbC8ypIR3YVGFfEpyFESummAta6sg/edit"", ""Sheet1!B:D""), 2, FALSE), ""Not Found"")"),"wæki")</f>
        <v>wæki</v>
      </c>
      <c r="E5001" s="2" t="str">
        <f>IFERROR(__xludf.DUMMYFUNCTION("IFERROR(VLOOKUP(A5001, IMPORTRANGE(""https://docs.google.com/spreadsheets/d/1-3Vjw2Cyy-mry5gbC8ypIR3YVGFfEpyFESummAta6sg/edit"", ""Sheet1!B:D""), 3, FALSE), ""Not Found"")"),"w æ k i ")</f>
        <v>w æ k i </v>
      </c>
    </row>
    <row r="5002">
      <c r="A5002" s="1" t="s">
        <v>5005</v>
      </c>
      <c r="B5002" s="1" t="s">
        <v>5</v>
      </c>
      <c r="C5002" s="2">
        <f>IFERROR(__xludf.DUMMYFUNCTION("IFERROR(VLOOKUP(A5002, IMPORTRANGE(""https://docs.google.com/spreadsheets/d/1AVX9GT0dgogEBStecCXMMQ29tWz3gBrtNB8yIromXbY/edit?gid=741673867"", ""out1g!A:B""), 2, FALSE), 0)"),854.0)</f>
        <v>854</v>
      </c>
      <c r="D5002" s="2" t="str">
        <f>IFERROR(__xludf.DUMMYFUNCTION("IFERROR(VLOOKUP(A5002, IMPORTRANGE(""https://docs.google.com/spreadsheets/d/1-3Vjw2Cyy-mry5gbC8ypIR3YVGFfEpyFESummAta6sg/edit"", ""Sheet1!B:D""), 2, FALSE), ""Not Found"")"),"goʊl")</f>
        <v>goʊl</v>
      </c>
      <c r="E5002" s="2" t="str">
        <f>IFERROR(__xludf.DUMMYFUNCTION("IFERROR(VLOOKUP(A5002, IMPORTRANGE(""https://docs.google.com/spreadsheets/d/1-3Vjw2Cyy-mry5gbC8ypIR3YVGFfEpyFESummAta6sg/edit"", ""Sheet1!B:D""), 3, FALSE), ""Not Found"")"),"g o ʊ l ")</f>
        <v>g o ʊ l </v>
      </c>
    </row>
    <row r="5003">
      <c r="A5003" s="1" t="s">
        <v>5006</v>
      </c>
      <c r="B5003" s="1" t="s">
        <v>5</v>
      </c>
      <c r="C5003" s="2">
        <f>IFERROR(__xludf.DUMMYFUNCTION("IFERROR(VLOOKUP(A5003, IMPORTRANGE(""https://docs.google.com/spreadsheets/d/1AVX9GT0dgogEBStecCXMMQ29tWz3gBrtNB8yIromXbY/edit?gid=741673867"", ""out1g!A:B""), 2, FALSE), 0)"),1938.0)</f>
        <v>1938</v>
      </c>
      <c r="D5003" s="2" t="str">
        <f>IFERROR(__xludf.DUMMYFUNCTION("IFERROR(VLOOKUP(A5003, IMPORTRANGE(""https://docs.google.com/spreadsheets/d/1-3Vjw2Cyy-mry5gbC8ypIR3YVGFfEpyFESummAta6sg/edit"", ""Sheet1!B:D""), 2, FALSE), ""Not Found"")"),"hʊk")</f>
        <v>hʊk</v>
      </c>
      <c r="E5003" s="2" t="str">
        <f>IFERROR(__xludf.DUMMYFUNCTION("IFERROR(VLOOKUP(A5003, IMPORTRANGE(""https://docs.google.com/spreadsheets/d/1-3Vjw2Cyy-mry5gbC8ypIR3YVGFfEpyFESummAta6sg/edit"", ""Sheet1!B:D""), 3, FALSE), ""Not Found"")"),"h ʊ k ")</f>
        <v>h ʊ k </v>
      </c>
    </row>
    <row r="5004">
      <c r="A5004" s="1" t="s">
        <v>5007</v>
      </c>
      <c r="B5004" s="1" t="s">
        <v>5</v>
      </c>
      <c r="C5004" s="2">
        <f>IFERROR(__xludf.DUMMYFUNCTION("IFERROR(VLOOKUP(A5004, IMPORTRANGE(""https://docs.google.com/spreadsheets/d/1AVX9GT0dgogEBStecCXMMQ29tWz3gBrtNB8yIromXbY/edit?gid=741673867"", ""out1g!A:B""), 2, FALSE), 0)"),52.0)</f>
        <v>52</v>
      </c>
      <c r="D5004" s="2" t="str">
        <f>IFERROR(__xludf.DUMMYFUNCTION("IFERROR(VLOOKUP(A5004, IMPORTRANGE(""https://docs.google.com/spreadsheets/d/1-3Vjw2Cyy-mry5gbC8ypIR3YVGFfEpyFESummAta6sg/edit"", ""Sheet1!B:D""), 2, FALSE), ""Not Found"")"),"sitən")</f>
        <v>sitən</v>
      </c>
      <c r="E5004" s="2" t="str">
        <f>IFERROR(__xludf.DUMMYFUNCTION("IFERROR(VLOOKUP(A5004, IMPORTRANGE(""https://docs.google.com/spreadsheets/d/1-3Vjw2Cyy-mry5gbC8ypIR3YVGFfEpyFESummAta6sg/edit"", ""Sheet1!B:D""), 3, FALSE), ""Not Found"")"),"s i t ə n ")</f>
        <v>s i t ə n </v>
      </c>
    </row>
    <row r="5005">
      <c r="A5005" s="1" t="s">
        <v>5008</v>
      </c>
      <c r="B5005" s="1" t="s">
        <v>5</v>
      </c>
      <c r="C5005" s="2">
        <f>IFERROR(__xludf.DUMMYFUNCTION("IFERROR(VLOOKUP(A5005, IMPORTRANGE(""https://docs.google.com/spreadsheets/d/1AVX9GT0dgogEBStecCXMMQ29tWz3gBrtNB8yIromXbY/edit?gid=741673867"", ""out1g!A:B""), 2, FALSE), 0)"),212.0)</f>
        <v>212</v>
      </c>
      <c r="D5005" s="2" t="str">
        <f>IFERROR(__xludf.DUMMYFUNCTION("IFERROR(VLOOKUP(A5005, IMPORTRANGE(""https://docs.google.com/spreadsheets/d/1-3Vjw2Cyy-mry5gbC8ypIR3YVGFfEpyFESummAta6sg/edit"", ""Sheet1!B:D""), 2, FALSE), ""Not Found"")"),"wɪri")</f>
        <v>wɪri</v>
      </c>
      <c r="E5005" s="2" t="str">
        <f>IFERROR(__xludf.DUMMYFUNCTION("IFERROR(VLOOKUP(A5005, IMPORTRANGE(""https://docs.google.com/spreadsheets/d/1-3Vjw2Cyy-mry5gbC8ypIR3YVGFfEpyFESummAta6sg/edit"", ""Sheet1!B:D""), 3, FALSE), ""Not Found"")"),"w ɪ r i ")</f>
        <v>w ɪ r i </v>
      </c>
    </row>
    <row r="5006">
      <c r="A5006" s="1" t="s">
        <v>5009</v>
      </c>
      <c r="B5006" s="1" t="s">
        <v>5</v>
      </c>
      <c r="C5006" s="2">
        <f>IFERROR(__xludf.DUMMYFUNCTION("IFERROR(VLOOKUP(A5006, IMPORTRANGE(""https://docs.google.com/spreadsheets/d/1AVX9GT0dgogEBStecCXMMQ29tWz3gBrtNB8yIromXbY/edit?gid=741673867"", ""out1g!A:B""), 2, FALSE), 0)"),360.0)</f>
        <v>360</v>
      </c>
      <c r="D5006" s="2" t="str">
        <f>IFERROR(__xludf.DUMMYFUNCTION("IFERROR(VLOOKUP(A5006, IMPORTRANGE(""https://docs.google.com/spreadsheets/d/1-3Vjw2Cyy-mry5gbC8ypIR3YVGFfEpyFESummAta6sg/edit"", ""Sheet1!B:D""), 2, FALSE), ""Not Found"")"),"kulər")</f>
        <v>kulər</v>
      </c>
      <c r="E5006" s="2" t="str">
        <f>IFERROR(__xludf.DUMMYFUNCTION("IFERROR(VLOOKUP(A5006, IMPORTRANGE(""https://docs.google.com/spreadsheets/d/1-3Vjw2Cyy-mry5gbC8ypIR3YVGFfEpyFESummAta6sg/edit"", ""Sheet1!B:D""), 3, FALSE), ""Not Found"")"),"k u l ə r ")</f>
        <v>k u l ə r </v>
      </c>
    </row>
    <row r="5007">
      <c r="A5007" s="1" t="s">
        <v>5010</v>
      </c>
      <c r="B5007" s="1" t="s">
        <v>5</v>
      </c>
      <c r="C5007" s="2">
        <f>IFERROR(__xludf.DUMMYFUNCTION("IFERROR(VLOOKUP(A5007, IMPORTRANGE(""https://docs.google.com/spreadsheets/d/1AVX9GT0dgogEBStecCXMMQ29tWz3gBrtNB8yIromXbY/edit?gid=741673867"", ""out1g!A:B""), 2, FALSE), 0)"),90.0)</f>
        <v>90</v>
      </c>
      <c r="D5007" s="2" t="str">
        <f>IFERROR(__xludf.DUMMYFUNCTION("IFERROR(VLOOKUP(A5007, IMPORTRANGE(""https://docs.google.com/spreadsheets/d/1-3Vjw2Cyy-mry5gbC8ypIR3YVGFfEpyFESummAta6sg/edit"", ""Sheet1!B:D""), 2, FALSE), ""Not Found"")"),"dəŋ")</f>
        <v>dəŋ</v>
      </c>
      <c r="E5007" s="2" t="str">
        <f>IFERROR(__xludf.DUMMYFUNCTION("IFERROR(VLOOKUP(A5007, IMPORTRANGE(""https://docs.google.com/spreadsheets/d/1-3Vjw2Cyy-mry5gbC8ypIR3YVGFfEpyFESummAta6sg/edit"", ""Sheet1!B:D""), 3, FALSE), ""Not Found"")"),"d ə ŋ ")</f>
        <v>d ə ŋ </v>
      </c>
    </row>
    <row r="5008">
      <c r="A5008" s="1" t="s">
        <v>5011</v>
      </c>
      <c r="B5008" s="1" t="s">
        <v>5</v>
      </c>
      <c r="C5008" s="2">
        <f>IFERROR(__xludf.DUMMYFUNCTION("IFERROR(VLOOKUP(A5008, IMPORTRANGE(""https://docs.google.com/spreadsheets/d/1AVX9GT0dgogEBStecCXMMQ29tWz3gBrtNB8yIromXbY/edit?gid=741673867"", ""out1g!A:B""), 2, FALSE), 0)"),69.0)</f>
        <v>69</v>
      </c>
      <c r="D5008" s="2" t="str">
        <f>IFERROR(__xludf.DUMMYFUNCTION("IFERROR(VLOOKUP(A5008, IMPORTRANGE(""https://docs.google.com/spreadsheets/d/1-3Vjw2Cyy-mry5gbC8ypIR3YVGFfEpyFESummAta6sg/edit"", ""Sheet1!B:D""), 2, FALSE), ""Not Found"")"),"ʤɔɪəs")</f>
        <v>ʤɔɪəs</v>
      </c>
      <c r="E5008" s="2" t="str">
        <f>IFERROR(__xludf.DUMMYFUNCTION("IFERROR(VLOOKUP(A5008, IMPORTRANGE(""https://docs.google.com/spreadsheets/d/1-3Vjw2Cyy-mry5gbC8ypIR3YVGFfEpyFESummAta6sg/edit"", ""Sheet1!B:D""), 3, FALSE), ""Not Found"")"),"ʤ ɔ ɪ ə s ")</f>
        <v>ʤ ɔ ɪ ə s </v>
      </c>
    </row>
    <row r="5009">
      <c r="A5009" s="1" t="s">
        <v>5012</v>
      </c>
      <c r="B5009" s="1" t="s">
        <v>5</v>
      </c>
      <c r="C5009" s="2">
        <f>IFERROR(__xludf.DUMMYFUNCTION("IFERROR(VLOOKUP(A5009, IMPORTRANGE(""https://docs.google.com/spreadsheets/d/1AVX9GT0dgogEBStecCXMMQ29tWz3gBrtNB8yIromXbY/edit?gid=741673867"", ""out1g!A:B""), 2, FALSE), 0)"),176.0)</f>
        <v>176</v>
      </c>
      <c r="D5009" s="2" t="str">
        <f>IFERROR(__xludf.DUMMYFUNCTION("IFERROR(VLOOKUP(A5009, IMPORTRANGE(""https://docs.google.com/spreadsheets/d/1-3Vjw2Cyy-mry5gbC8ypIR3YVGFfEpyFESummAta6sg/edit"", ""Sheet1!B:D""), 2, FALSE), ""Not Found"")"),"soʊk")</f>
        <v>soʊk</v>
      </c>
      <c r="E5009" s="2" t="str">
        <f>IFERROR(__xludf.DUMMYFUNCTION("IFERROR(VLOOKUP(A5009, IMPORTRANGE(""https://docs.google.com/spreadsheets/d/1-3Vjw2Cyy-mry5gbC8ypIR3YVGFfEpyFESummAta6sg/edit"", ""Sheet1!B:D""), 3, FALSE), ""Not Found"")"),"s o ʊ k ")</f>
        <v>s o ʊ k </v>
      </c>
    </row>
    <row r="5010">
      <c r="A5010" s="1" t="s">
        <v>5013</v>
      </c>
      <c r="B5010" s="1" t="s">
        <v>5</v>
      </c>
      <c r="C5010" s="2">
        <f>IFERROR(__xludf.DUMMYFUNCTION("IFERROR(VLOOKUP(A5010, IMPORTRANGE(""https://docs.google.com/spreadsheets/d/1AVX9GT0dgogEBStecCXMMQ29tWz3gBrtNB8yIromXbY/edit?gid=741673867"", ""out1g!A:B""), 2, FALSE), 0)"),20.0)</f>
        <v>20</v>
      </c>
      <c r="D5010" s="2" t="str">
        <f>IFERROR(__xludf.DUMMYFUNCTION("IFERROR(VLOOKUP(A5010, IMPORTRANGE(""https://docs.google.com/spreadsheets/d/1-3Vjw2Cyy-mry5gbC8ypIR3YVGFfEpyFESummAta6sg/edit"", ""Sheet1!B:D""), 2, FALSE), ""Not Found"")"),"ævæst")</f>
        <v>ævæst</v>
      </c>
      <c r="E5010" s="2" t="str">
        <f>IFERROR(__xludf.DUMMYFUNCTION("IFERROR(VLOOKUP(A5010, IMPORTRANGE(""https://docs.google.com/spreadsheets/d/1-3Vjw2Cyy-mry5gbC8ypIR3YVGFfEpyFESummAta6sg/edit"", ""Sheet1!B:D""), 3, FALSE), ""Not Found"")"),"æ v æ s t ")</f>
        <v>æ v æ s t </v>
      </c>
    </row>
    <row r="5011">
      <c r="A5011" s="1" t="s">
        <v>5014</v>
      </c>
      <c r="B5011" s="1" t="s">
        <v>5</v>
      </c>
      <c r="C5011" s="2">
        <f>IFERROR(__xludf.DUMMYFUNCTION("IFERROR(VLOOKUP(A5011, IMPORTRANGE(""https://docs.google.com/spreadsheets/d/1AVX9GT0dgogEBStecCXMMQ29tWz3gBrtNB8yIromXbY/edit?gid=741673867"", ""out1g!A:B""), 2, FALSE), 0)"),57.0)</f>
        <v>57</v>
      </c>
      <c r="D5011" s="2" t="str">
        <f>IFERROR(__xludf.DUMMYFUNCTION("IFERROR(VLOOKUP(A5011, IMPORTRANGE(""https://docs.google.com/spreadsheets/d/1-3Vjw2Cyy-mry5gbC8ypIR3YVGFfEpyFESummAta6sg/edit"", ""Sheet1!B:D""), 2, FALSE), ""Not Found"")"),"tɔɪɪŋ")</f>
        <v>tɔɪɪŋ</v>
      </c>
      <c r="E5011" s="2" t="str">
        <f>IFERROR(__xludf.DUMMYFUNCTION("IFERROR(VLOOKUP(A5011, IMPORTRANGE(""https://docs.google.com/spreadsheets/d/1-3Vjw2Cyy-mry5gbC8ypIR3YVGFfEpyFESummAta6sg/edit"", ""Sheet1!B:D""), 3, FALSE), ""Not Found"")"),"t ɔ ɪ ɪ ŋ ")</f>
        <v>t ɔ ɪ ɪ ŋ </v>
      </c>
    </row>
    <row r="5012">
      <c r="A5012" s="1" t="s">
        <v>5015</v>
      </c>
      <c r="B5012" s="1" t="s">
        <v>5</v>
      </c>
      <c r="C5012" s="2">
        <f>IFERROR(__xludf.DUMMYFUNCTION("IFERROR(VLOOKUP(A5012, IMPORTRANGE(""https://docs.google.com/spreadsheets/d/1AVX9GT0dgogEBStecCXMMQ29tWz3gBrtNB8yIromXbY/edit?gid=741673867"", ""out1g!A:B""), 2, FALSE), 0)"),46.0)</f>
        <v>46</v>
      </c>
      <c r="D5012" s="2" t="str">
        <f>IFERROR(__xludf.DUMMYFUNCTION("IFERROR(VLOOKUP(A5012, IMPORTRANGE(""https://docs.google.com/spreadsheets/d/1-3Vjw2Cyy-mry5gbC8ypIR3YVGFfEpyFESummAta6sg/edit"", ""Sheet1!B:D""), 2, FALSE), ""Not Found"")"),"tərbaɪn")</f>
        <v>tərbaɪn</v>
      </c>
      <c r="E5012" s="2" t="str">
        <f>IFERROR(__xludf.DUMMYFUNCTION("IFERROR(VLOOKUP(A5012, IMPORTRANGE(""https://docs.google.com/spreadsheets/d/1-3Vjw2Cyy-mry5gbC8ypIR3YVGFfEpyFESummAta6sg/edit"", ""Sheet1!B:D""), 3, FALSE), ""Not Found"")"),"t ə r b a ɪ n ")</f>
        <v>t ə r b a ɪ n </v>
      </c>
    </row>
    <row r="5013">
      <c r="A5013" s="1" t="s">
        <v>5016</v>
      </c>
      <c r="B5013" s="1" t="s">
        <v>5</v>
      </c>
      <c r="C5013" s="2">
        <f>IFERROR(__xludf.DUMMYFUNCTION("IFERROR(VLOOKUP(A5013, IMPORTRANGE(""https://docs.google.com/spreadsheets/d/1AVX9GT0dgogEBStecCXMMQ29tWz3gBrtNB8yIromXbY/edit?gid=741673867"", ""out1g!A:B""), 2, FALSE), 0)"),16.0)</f>
        <v>16</v>
      </c>
      <c r="D5013" s="2" t="str">
        <f>IFERROR(__xludf.DUMMYFUNCTION("IFERROR(VLOOKUP(A5013, IMPORTRANGE(""https://docs.google.com/spreadsheets/d/1-3Vjw2Cyy-mry5gbC8ypIR3YVGFfEpyFESummAta6sg/edit"", ""Sheet1!B:D""), 2, FALSE), ""Not Found"")"),"ses")</f>
        <v>ses</v>
      </c>
      <c r="E5013" s="2" t="str">
        <f>IFERROR(__xludf.DUMMYFUNCTION("IFERROR(VLOOKUP(A5013, IMPORTRANGE(""https://docs.google.com/spreadsheets/d/1-3Vjw2Cyy-mry5gbC8ypIR3YVGFfEpyFESummAta6sg/edit"", ""Sheet1!B:D""), 3, FALSE), ""Not Found"")"),"s e s ")</f>
        <v>s e s </v>
      </c>
    </row>
    <row r="5014">
      <c r="A5014" s="1" t="s">
        <v>5017</v>
      </c>
      <c r="B5014" s="1" t="s">
        <v>5</v>
      </c>
      <c r="C5014" s="2">
        <f>IFERROR(__xludf.DUMMYFUNCTION("IFERROR(VLOOKUP(A5014, IMPORTRANGE(""https://docs.google.com/spreadsheets/d/1AVX9GT0dgogEBStecCXMMQ29tWz3gBrtNB8yIromXbY/edit?gid=741673867"", ""out1g!A:B""), 2, FALSE), 0)"),116.0)</f>
        <v>116</v>
      </c>
      <c r="D5014" s="2" t="str">
        <f>IFERROR(__xludf.DUMMYFUNCTION("IFERROR(VLOOKUP(A5014, IMPORTRANGE(""https://docs.google.com/spreadsheets/d/1-3Vjw2Cyy-mry5gbC8ypIR3YVGFfEpyFESummAta6sg/edit"", ""Sheet1!B:D""), 2, FALSE), ""Not Found"")"),"bɑrloʊ")</f>
        <v>bɑrloʊ</v>
      </c>
      <c r="E5014" s="2" t="str">
        <f>IFERROR(__xludf.DUMMYFUNCTION("IFERROR(VLOOKUP(A5014, IMPORTRANGE(""https://docs.google.com/spreadsheets/d/1-3Vjw2Cyy-mry5gbC8ypIR3YVGFfEpyFESummAta6sg/edit"", ""Sheet1!B:D""), 3, FALSE), ""Not Found"")"),"b ɑ r l o ʊ ")</f>
        <v>b ɑ r l o ʊ </v>
      </c>
    </row>
    <row r="5015">
      <c r="A5015" s="1" t="s">
        <v>5018</v>
      </c>
      <c r="B5015" s="1" t="s">
        <v>5</v>
      </c>
      <c r="C5015" s="2">
        <f>IFERROR(__xludf.DUMMYFUNCTION("IFERROR(VLOOKUP(A5015, IMPORTRANGE(""https://docs.google.com/spreadsheets/d/1AVX9GT0dgogEBStecCXMMQ29tWz3gBrtNB8yIromXbY/edit?gid=741673867"", ""out1g!A:B""), 2, FALSE), 0)"),479.0)</f>
        <v>479</v>
      </c>
      <c r="D5015" s="2" t="str">
        <f>IFERROR(__xludf.DUMMYFUNCTION("IFERROR(VLOOKUP(A5015, IMPORTRANGE(""https://docs.google.com/spreadsheets/d/1-3Vjw2Cyy-mry5gbC8ypIR3YVGFfEpyFESummAta6sg/edit"", ""Sheet1!B:D""), 2, FALSE), ""Not Found"")"),"keɑs")</f>
        <v>keɑs</v>
      </c>
      <c r="E5015" s="2" t="str">
        <f>IFERROR(__xludf.DUMMYFUNCTION("IFERROR(VLOOKUP(A5015, IMPORTRANGE(""https://docs.google.com/spreadsheets/d/1-3Vjw2Cyy-mry5gbC8ypIR3YVGFfEpyFESummAta6sg/edit"", ""Sheet1!B:D""), 3, FALSE), ""Not Found"")"),"k e ɑ s ")</f>
        <v>k e ɑ s </v>
      </c>
    </row>
    <row r="5016">
      <c r="A5016" s="1" t="s">
        <v>5019</v>
      </c>
      <c r="B5016" s="1" t="s">
        <v>5</v>
      </c>
      <c r="C5016" s="2">
        <f>IFERROR(__xludf.DUMMYFUNCTION("IFERROR(VLOOKUP(A5016, IMPORTRANGE(""https://docs.google.com/spreadsheets/d/1AVX9GT0dgogEBStecCXMMQ29tWz3gBrtNB8yIromXbY/edit?gid=741673867"", ""out1g!A:B""), 2, FALSE), 0)"),166.0)</f>
        <v>166</v>
      </c>
      <c r="D5016" s="2" t="str">
        <f>IFERROR(__xludf.DUMMYFUNCTION("IFERROR(VLOOKUP(A5016, IMPORTRANGE(""https://docs.google.com/spreadsheets/d/1-3Vjw2Cyy-mry5gbC8ypIR3YVGFfEpyFESummAta6sg/edit"", ""Sheet1!B:D""), 2, FALSE), ""Not Found"")"),"rɑtɪŋ")</f>
        <v>rɑtɪŋ</v>
      </c>
      <c r="E5016" s="2" t="str">
        <f>IFERROR(__xludf.DUMMYFUNCTION("IFERROR(VLOOKUP(A5016, IMPORTRANGE(""https://docs.google.com/spreadsheets/d/1-3Vjw2Cyy-mry5gbC8ypIR3YVGFfEpyFESummAta6sg/edit"", ""Sheet1!B:D""), 3, FALSE), ""Not Found"")"),"r ɑ t ɪ ŋ ")</f>
        <v>r ɑ t ɪ ŋ </v>
      </c>
    </row>
    <row r="5017">
      <c r="A5017" s="1" t="s">
        <v>5020</v>
      </c>
      <c r="B5017" s="1" t="s">
        <v>5</v>
      </c>
      <c r="C5017" s="2">
        <f>IFERROR(__xludf.DUMMYFUNCTION("IFERROR(VLOOKUP(A5017, IMPORTRANGE(""https://docs.google.com/spreadsheets/d/1AVX9GT0dgogEBStecCXMMQ29tWz3gBrtNB8yIromXbY/edit?gid=741673867"", ""out1g!A:B""), 2, FALSE), 0)"),1850.0)</f>
        <v>1850</v>
      </c>
      <c r="D5017" s="2" t="str">
        <f>IFERROR(__xludf.DUMMYFUNCTION("IFERROR(VLOOKUP(A5017, IMPORTRANGE(""https://docs.google.com/spreadsheets/d/1-3Vjw2Cyy-mry5gbC8ypIR3YVGFfEpyFESummAta6sg/edit"", ""Sheet1!B:D""), 2, FALSE), ""Not Found"")"),"wet")</f>
        <v>wet</v>
      </c>
      <c r="E5017" s="2" t="str">
        <f>IFERROR(__xludf.DUMMYFUNCTION("IFERROR(VLOOKUP(A5017, IMPORTRANGE(""https://docs.google.com/spreadsheets/d/1-3Vjw2Cyy-mry5gbC8ypIR3YVGFfEpyFESummAta6sg/edit"", ""Sheet1!B:D""), 3, FALSE), ""Not Found"")"),"w e t ")</f>
        <v>w e t </v>
      </c>
    </row>
    <row r="5018">
      <c r="A5018" s="1" t="s">
        <v>5021</v>
      </c>
      <c r="B5018" s="1" t="s">
        <v>5</v>
      </c>
      <c r="C5018" s="2">
        <f>IFERROR(__xludf.DUMMYFUNCTION("IFERROR(VLOOKUP(A5018, IMPORTRANGE(""https://docs.google.com/spreadsheets/d/1AVX9GT0dgogEBStecCXMMQ29tWz3gBrtNB8yIromXbY/edit?gid=741673867"", ""out1g!A:B""), 2, FALSE), 0)"),27654.0)</f>
        <v>27654</v>
      </c>
      <c r="D5018" s="2" t="str">
        <f>IFERROR(__xludf.DUMMYFUNCTION("IFERROR(VLOOKUP(A5018, IMPORTRANGE(""https://docs.google.com/spreadsheets/d/1-3Vjw2Cyy-mry5gbC8ypIR3YVGFfEpyFESummAta6sg/edit"", ""Sheet1!B:D""), 2, FALSE), ""Not Found"")"),"θri")</f>
        <v>θri</v>
      </c>
      <c r="E5018" s="2" t="str">
        <f>IFERROR(__xludf.DUMMYFUNCTION("IFERROR(VLOOKUP(A5018, IMPORTRANGE(""https://docs.google.com/spreadsheets/d/1-3Vjw2Cyy-mry5gbC8ypIR3YVGFfEpyFESummAta6sg/edit"", ""Sheet1!B:D""), 3, FALSE), ""Not Found"")"),"θ r i ")</f>
        <v>θ r i </v>
      </c>
    </row>
    <row r="5019">
      <c r="A5019" s="1" t="s">
        <v>5022</v>
      </c>
      <c r="B5019" s="1" t="s">
        <v>5</v>
      </c>
      <c r="C5019" s="2">
        <f>IFERROR(__xludf.DUMMYFUNCTION("IFERROR(VLOOKUP(A5019, IMPORTRANGE(""https://docs.google.com/spreadsheets/d/1AVX9GT0dgogEBStecCXMMQ29tWz3gBrtNB8yIromXbY/edit?gid=741673867"", ""out1g!A:B""), 2, FALSE), 0)"),304549.0)</f>
        <v>304549</v>
      </c>
      <c r="D5019" s="2" t="str">
        <f>IFERROR(__xludf.DUMMYFUNCTION("IFERROR(VLOOKUP(A5019, IMPORTRANGE(""https://docs.google.com/spreadsheets/d/1-3Vjw2Cyy-mry5gbC8ypIR3YVGFfEpyFESummAta6sg/edit"", ""Sheet1!B:D""), 2, FALSE), ""Not Found"")"),"noʊ")</f>
        <v>noʊ</v>
      </c>
      <c r="E5019" s="2" t="str">
        <f>IFERROR(__xludf.DUMMYFUNCTION("IFERROR(VLOOKUP(A5019, IMPORTRANGE(""https://docs.google.com/spreadsheets/d/1-3Vjw2Cyy-mry5gbC8ypIR3YVGFfEpyFESummAta6sg/edit"", ""Sheet1!B:D""), 3, FALSE), ""Not Found"")"),"n o ʊ ")</f>
        <v>n o ʊ </v>
      </c>
    </row>
    <row r="5020">
      <c r="A5020" s="1" t="s">
        <v>5023</v>
      </c>
      <c r="B5020" s="1" t="s">
        <v>5</v>
      </c>
      <c r="C5020" s="2">
        <f>IFERROR(__xludf.DUMMYFUNCTION("IFERROR(VLOOKUP(A5020, IMPORTRANGE(""https://docs.google.com/spreadsheets/d/1AVX9GT0dgogEBStecCXMMQ29tWz3gBrtNB8yIromXbY/edit?gid=741673867"", ""out1g!A:B""), 2, FALSE), 0)"),365.0)</f>
        <v>365</v>
      </c>
      <c r="D5020" s="2" t="str">
        <f>IFERROR(__xludf.DUMMYFUNCTION("IFERROR(VLOOKUP(A5020, IMPORTRANGE(""https://docs.google.com/spreadsheets/d/1-3Vjw2Cyy-mry5gbC8ypIR3YVGFfEpyFESummAta6sg/edit"", ""Sheet1!B:D""), 2, FALSE), ""Not Found"")"),"kreg")</f>
        <v>kreg</v>
      </c>
      <c r="E5020" s="2" t="str">
        <f>IFERROR(__xludf.DUMMYFUNCTION("IFERROR(VLOOKUP(A5020, IMPORTRANGE(""https://docs.google.com/spreadsheets/d/1-3Vjw2Cyy-mry5gbC8ypIR3YVGFfEpyFESummAta6sg/edit"", ""Sheet1!B:D""), 3, FALSE), ""Not Found"")"),"k r e g ")</f>
        <v>k r e g </v>
      </c>
    </row>
    <row r="5021">
      <c r="A5021" s="1" t="s">
        <v>5024</v>
      </c>
      <c r="B5021" s="1" t="s">
        <v>5</v>
      </c>
      <c r="C5021" s="2">
        <f>IFERROR(__xludf.DUMMYFUNCTION("IFERROR(VLOOKUP(A5021, IMPORTRANGE(""https://docs.google.com/spreadsheets/d/1AVX9GT0dgogEBStecCXMMQ29tWz3gBrtNB8yIromXbY/edit?gid=741673867"", ""out1g!A:B""), 2, FALSE), 0)"),99.0)</f>
        <v>99</v>
      </c>
      <c r="D5021" s="2" t="str">
        <f>IFERROR(__xludf.DUMMYFUNCTION("IFERROR(VLOOKUP(A5021, IMPORTRANGE(""https://docs.google.com/spreadsheets/d/1-3Vjw2Cyy-mry5gbC8ypIR3YVGFfEpyFESummAta6sg/edit"", ""Sheet1!B:D""), 2, FALSE), ""Not Found"")"),"pænzi")</f>
        <v>pænzi</v>
      </c>
      <c r="E5021" s="2" t="str">
        <f>IFERROR(__xludf.DUMMYFUNCTION("IFERROR(VLOOKUP(A5021, IMPORTRANGE(""https://docs.google.com/spreadsheets/d/1-3Vjw2Cyy-mry5gbC8ypIR3YVGFfEpyFESummAta6sg/edit"", ""Sheet1!B:D""), 3, FALSE), ""Not Found"")"),"p æ n z i ")</f>
        <v>p æ n z i </v>
      </c>
    </row>
    <row r="5022">
      <c r="A5022" s="1" t="s">
        <v>5025</v>
      </c>
      <c r="B5022" s="1" t="s">
        <v>5</v>
      </c>
      <c r="C5022" s="2">
        <f>IFERROR(__xludf.DUMMYFUNCTION("IFERROR(VLOOKUP(A5022, IMPORTRANGE(""https://docs.google.com/spreadsheets/d/1AVX9GT0dgogEBStecCXMMQ29tWz3gBrtNB8yIromXbY/edit?gid=741673867"", ""out1g!A:B""), 2, FALSE), 0)"),1185.0)</f>
        <v>1185</v>
      </c>
      <c r="D5022" s="2" t="str">
        <f>IFERROR(__xludf.DUMMYFUNCTION("IFERROR(VLOOKUP(A5022, IMPORTRANGE(""https://docs.google.com/spreadsheets/d/1-3Vjw2Cyy-mry5gbC8ypIR3YVGFfEpyFESummAta6sg/edit"", ""Sheet1!B:D""), 2, FALSE), ""Not Found"")"),"rɔɪəl")</f>
        <v>rɔɪəl</v>
      </c>
      <c r="E5022" s="2" t="str">
        <f>IFERROR(__xludf.DUMMYFUNCTION("IFERROR(VLOOKUP(A5022, IMPORTRANGE(""https://docs.google.com/spreadsheets/d/1-3Vjw2Cyy-mry5gbC8ypIR3YVGFfEpyFESummAta6sg/edit"", ""Sheet1!B:D""), 3, FALSE), ""Not Found"")"),"r ɔ ɪ ə l ")</f>
        <v>r ɔ ɪ ə l </v>
      </c>
    </row>
    <row r="5023">
      <c r="A5023" s="1" t="s">
        <v>5026</v>
      </c>
      <c r="B5023" s="1" t="s">
        <v>5</v>
      </c>
      <c r="C5023" s="2">
        <f>IFERROR(__xludf.DUMMYFUNCTION("IFERROR(VLOOKUP(A5023, IMPORTRANGE(""https://docs.google.com/spreadsheets/d/1AVX9GT0dgogEBStecCXMMQ29tWz3gBrtNB8yIromXbY/edit?gid=741673867"", ""out1g!A:B""), 2, FALSE), 0)"),1610.0)</f>
        <v>1610</v>
      </c>
      <c r="D5023" s="2" t="str">
        <f>IFERROR(__xludf.DUMMYFUNCTION("IFERROR(VLOOKUP(A5023, IMPORTRANGE(""https://docs.google.com/spreadsheets/d/1-3Vjw2Cyy-mry5gbC8ypIR3YVGFfEpyFESummAta6sg/edit"", ""Sheet1!B:D""), 2, FALSE), ""Not Found"")"),"blu")</f>
        <v>blu</v>
      </c>
      <c r="E5023" s="2" t="str">
        <f>IFERROR(__xludf.DUMMYFUNCTION("IFERROR(VLOOKUP(A5023, IMPORTRANGE(""https://docs.google.com/spreadsheets/d/1-3Vjw2Cyy-mry5gbC8ypIR3YVGFfEpyFESummAta6sg/edit"", ""Sheet1!B:D""), 3, FALSE), ""Not Found"")"),"b l u ")</f>
        <v>b l u </v>
      </c>
    </row>
    <row r="5024">
      <c r="A5024" s="1" t="s">
        <v>5027</v>
      </c>
      <c r="B5024" s="1" t="s">
        <v>5</v>
      </c>
      <c r="C5024" s="2">
        <f>IFERROR(__xludf.DUMMYFUNCTION("IFERROR(VLOOKUP(A5024, IMPORTRANGE(""https://docs.google.com/spreadsheets/d/1AVX9GT0dgogEBStecCXMMQ29tWz3gBrtNB8yIromXbY/edit?gid=741673867"", ""out1g!A:B""), 2, FALSE), 0)"),5932.0)</f>
        <v>5932</v>
      </c>
      <c r="D5024" s="2" t="str">
        <f>IFERROR(__xludf.DUMMYFUNCTION("IFERROR(VLOOKUP(A5024, IMPORTRANGE(""https://docs.google.com/spreadsheets/d/1-3Vjw2Cyy-mry5gbC8ypIR3YVGFfEpyFESummAta6sg/edit"", ""Sheet1!B:D""), 2, FALSE), ""Not Found"")"),"lɔ")</f>
        <v>lɔ</v>
      </c>
      <c r="E5024" s="2" t="str">
        <f>IFERROR(__xludf.DUMMYFUNCTION("IFERROR(VLOOKUP(A5024, IMPORTRANGE(""https://docs.google.com/spreadsheets/d/1-3Vjw2Cyy-mry5gbC8ypIR3YVGFfEpyFESummAta6sg/edit"", ""Sheet1!B:D""), 3, FALSE), ""Not Found"")"),"l ɔ ")</f>
        <v>l ɔ </v>
      </c>
    </row>
    <row r="5025">
      <c r="A5025" s="1" t="s">
        <v>5028</v>
      </c>
      <c r="B5025" s="1" t="s">
        <v>5</v>
      </c>
      <c r="C5025" s="2">
        <f>IFERROR(__xludf.DUMMYFUNCTION("IFERROR(VLOOKUP(A5025, IMPORTRANGE(""https://docs.google.com/spreadsheets/d/1AVX9GT0dgogEBStecCXMMQ29tWz3gBrtNB8yIromXbY/edit?gid=741673867"", ""out1g!A:B""), 2, FALSE), 0)"),485.0)</f>
        <v>485</v>
      </c>
      <c r="D5025" s="2" t="str">
        <f>IFERROR(__xludf.DUMMYFUNCTION("IFERROR(VLOOKUP(A5025, IMPORTRANGE(""https://docs.google.com/spreadsheets/d/1-3Vjw2Cyy-mry5gbC8ypIR3YVGFfEpyFESummAta6sg/edit"", ""Sheet1!B:D""), 2, FALSE), ""Not Found"")"),"stɔrz")</f>
        <v>stɔrz</v>
      </c>
      <c r="E5025" s="2" t="str">
        <f>IFERROR(__xludf.DUMMYFUNCTION("IFERROR(VLOOKUP(A5025, IMPORTRANGE(""https://docs.google.com/spreadsheets/d/1-3Vjw2Cyy-mry5gbC8ypIR3YVGFfEpyFESummAta6sg/edit"", ""Sheet1!B:D""), 3, FALSE), ""Not Found"")"),"s t ɔ r z ")</f>
        <v>s t ɔ r z </v>
      </c>
    </row>
    <row r="5026">
      <c r="A5026" s="1" t="s">
        <v>5029</v>
      </c>
      <c r="B5026" s="1" t="s">
        <v>5</v>
      </c>
      <c r="C5026" s="2">
        <f>IFERROR(__xludf.DUMMYFUNCTION("IFERROR(VLOOKUP(A5026, IMPORTRANGE(""https://docs.google.com/spreadsheets/d/1AVX9GT0dgogEBStecCXMMQ29tWz3gBrtNB8yIromXbY/edit?gid=741673867"", ""out1g!A:B""), 2, FALSE), 0)"),46.0)</f>
        <v>46</v>
      </c>
      <c r="D5026" s="2" t="str">
        <f>IFERROR(__xludf.DUMMYFUNCTION("IFERROR(VLOOKUP(A5026, IMPORTRANGE(""https://docs.google.com/spreadsheets/d/1-3Vjw2Cyy-mry5gbC8ypIR3YVGFfEpyFESummAta6sg/edit"", ""Sheet1!B:D""), 2, FALSE), ""Not Found"")"),"oʊpəs")</f>
        <v>oʊpəs</v>
      </c>
      <c r="E5026" s="2" t="str">
        <f>IFERROR(__xludf.DUMMYFUNCTION("IFERROR(VLOOKUP(A5026, IMPORTRANGE(""https://docs.google.com/spreadsheets/d/1-3Vjw2Cyy-mry5gbC8ypIR3YVGFfEpyFESummAta6sg/edit"", ""Sheet1!B:D""), 3, FALSE), ""Not Found"")"),"o ʊ p ə s ")</f>
        <v>o ʊ p ə s </v>
      </c>
    </row>
    <row r="5027">
      <c r="A5027" s="1" t="s">
        <v>5030</v>
      </c>
      <c r="B5027" s="1" t="s">
        <v>5</v>
      </c>
      <c r="C5027" s="2">
        <f>IFERROR(__xludf.DUMMYFUNCTION("IFERROR(VLOOKUP(A5027, IMPORTRANGE(""https://docs.google.com/spreadsheets/d/1AVX9GT0dgogEBStecCXMMQ29tWz3gBrtNB8yIromXbY/edit?gid=741673867"", ""out1g!A:B""), 2, FALSE), 0)"),46.0)</f>
        <v>46</v>
      </c>
      <c r="D5027" s="2" t="str">
        <f>IFERROR(__xludf.DUMMYFUNCTION("IFERROR(VLOOKUP(A5027, IMPORTRANGE(""https://docs.google.com/spreadsheets/d/1-3Vjw2Cyy-mry5gbC8ypIR3YVGFfEpyFESummAta6sg/edit"", ""Sheet1!B:D""), 2, FALSE), ""Not Found"")"),"tʊrd")</f>
        <v>tʊrd</v>
      </c>
      <c r="E5027" s="2" t="str">
        <f>IFERROR(__xludf.DUMMYFUNCTION("IFERROR(VLOOKUP(A5027, IMPORTRANGE(""https://docs.google.com/spreadsheets/d/1-3Vjw2Cyy-mry5gbC8ypIR3YVGFfEpyFESummAta6sg/edit"", ""Sheet1!B:D""), 3, FALSE), ""Not Found"")"),"t ʊ r d ")</f>
        <v>t ʊ r d </v>
      </c>
    </row>
    <row r="5028">
      <c r="A5028" s="1" t="s">
        <v>5031</v>
      </c>
      <c r="B5028" s="1" t="s">
        <v>5</v>
      </c>
      <c r="C5028" s="2">
        <f>IFERROR(__xludf.DUMMYFUNCTION("IFERROR(VLOOKUP(A5028, IMPORTRANGE(""https://docs.google.com/spreadsheets/d/1AVX9GT0dgogEBStecCXMMQ29tWz3gBrtNB8yIromXbY/edit?gid=741673867"", ""out1g!A:B""), 2, FALSE), 0)"),83.0)</f>
        <v>83</v>
      </c>
      <c r="D5028" s="2" t="str">
        <f>IFERROR(__xludf.DUMMYFUNCTION("IFERROR(VLOOKUP(A5028, IMPORTRANGE(""https://docs.google.com/spreadsheets/d/1-3Vjw2Cyy-mry5gbC8ypIR3YVGFfEpyFESummAta6sg/edit"", ""Sheet1!B:D""), 2, FALSE), ""Not Found"")"),"mɑtər")</f>
        <v>mɑtər</v>
      </c>
      <c r="E5028" s="2" t="str">
        <f>IFERROR(__xludf.DUMMYFUNCTION("IFERROR(VLOOKUP(A5028, IMPORTRANGE(""https://docs.google.com/spreadsheets/d/1-3Vjw2Cyy-mry5gbC8ypIR3YVGFfEpyFESummAta6sg/edit"", ""Sheet1!B:D""), 3, FALSE), ""Not Found"")"),"m ɑ t ə r ")</f>
        <v>m ɑ t ə r </v>
      </c>
    </row>
    <row r="5029">
      <c r="A5029" s="1" t="s">
        <v>5032</v>
      </c>
      <c r="B5029" s="1" t="s">
        <v>5</v>
      </c>
      <c r="C5029" s="2">
        <f>IFERROR(__xludf.DUMMYFUNCTION("IFERROR(VLOOKUP(A5029, IMPORTRANGE(""https://docs.google.com/spreadsheets/d/1AVX9GT0dgogEBStecCXMMQ29tWz3gBrtNB8yIromXbY/edit?gid=741673867"", ""out1g!A:B""), 2, FALSE), 0)"),2155.0)</f>
        <v>2155</v>
      </c>
      <c r="D5029" s="2" t="str">
        <f>IFERROR(__xludf.DUMMYFUNCTION("IFERROR(VLOOKUP(A5029, IMPORTRANGE(""https://docs.google.com/spreadsheets/d/1-3Vjw2Cyy-mry5gbC8ypIR3YVGFfEpyFESummAta6sg/edit"", ""Sheet1!B:D""), 2, FALSE), ""Not Found"")"),"brekɪŋ")</f>
        <v>brekɪŋ</v>
      </c>
      <c r="E5029" s="2" t="str">
        <f>IFERROR(__xludf.DUMMYFUNCTION("IFERROR(VLOOKUP(A5029, IMPORTRANGE(""https://docs.google.com/spreadsheets/d/1-3Vjw2Cyy-mry5gbC8ypIR3YVGFfEpyFESummAta6sg/edit"", ""Sheet1!B:D""), 3, FALSE), ""Not Found"")"),"b r e k ɪ ŋ ")</f>
        <v>b r e k ɪ ŋ </v>
      </c>
    </row>
    <row r="5030">
      <c r="A5030" s="1" t="s">
        <v>5033</v>
      </c>
      <c r="B5030" s="1" t="s">
        <v>5</v>
      </c>
      <c r="C5030" s="2">
        <f>IFERROR(__xludf.DUMMYFUNCTION("IFERROR(VLOOKUP(A5030, IMPORTRANGE(""https://docs.google.com/spreadsheets/d/1AVX9GT0dgogEBStecCXMMQ29tWz3gBrtNB8yIromXbY/edit?gid=741673867"", ""out1g!A:B""), 2, FALSE), 0)"),86.0)</f>
        <v>86</v>
      </c>
      <c r="D5030" s="2" t="str">
        <f>IFERROR(__xludf.DUMMYFUNCTION("IFERROR(VLOOKUP(A5030, IMPORTRANGE(""https://docs.google.com/spreadsheets/d/1-3Vjw2Cyy-mry5gbC8ypIR3YVGFfEpyFESummAta6sg/edit"", ""Sheet1!B:D""), 2, FALSE), ""Not Found"")"),"hk")</f>
        <v>hk</v>
      </c>
      <c r="E5030" s="2" t="str">
        <f>IFERROR(__xludf.DUMMYFUNCTION("IFERROR(VLOOKUP(A5030, IMPORTRANGE(""https://docs.google.com/spreadsheets/d/1-3Vjw2Cyy-mry5gbC8ypIR3YVGFfEpyFESummAta6sg/edit"", ""Sheet1!B:D""), 3, FALSE), ""Not Found"")"),"h k ")</f>
        <v>h k </v>
      </c>
    </row>
    <row r="5031">
      <c r="A5031" s="1" t="s">
        <v>5034</v>
      </c>
      <c r="B5031" s="1" t="s">
        <v>5</v>
      </c>
      <c r="C5031" s="2">
        <f>IFERROR(__xludf.DUMMYFUNCTION("IFERROR(VLOOKUP(A5031, IMPORTRANGE(""https://docs.google.com/spreadsheets/d/1AVX9GT0dgogEBStecCXMMQ29tWz3gBrtNB8yIromXbY/edit?gid=741673867"", ""out1g!A:B""), 2, FALSE), 0)"),1060.0)</f>
        <v>1060</v>
      </c>
      <c r="D5031" s="2" t="str">
        <f>IFERROR(__xludf.DUMMYFUNCTION("IFERROR(VLOOKUP(A5031, IMPORTRANGE(""https://docs.google.com/spreadsheets/d/1-3Vjw2Cyy-mry5gbC8ypIR3YVGFfEpyFESummAta6sg/edit"", ""Sheet1!B:D""), 2, FALSE), ""Not Found"")"),"wen")</f>
        <v>wen</v>
      </c>
      <c r="E5031" s="2" t="str">
        <f>IFERROR(__xludf.DUMMYFUNCTION("IFERROR(VLOOKUP(A5031, IMPORTRANGE(""https://docs.google.com/spreadsheets/d/1-3Vjw2Cyy-mry5gbC8ypIR3YVGFfEpyFESummAta6sg/edit"", ""Sheet1!B:D""), 3, FALSE), ""Not Found"")"),"w e n ")</f>
        <v>w e n </v>
      </c>
    </row>
    <row r="5032">
      <c r="A5032" s="1" t="s">
        <v>5035</v>
      </c>
      <c r="B5032" s="1" t="s">
        <v>5</v>
      </c>
      <c r="C5032" s="2">
        <f>IFERROR(__xludf.DUMMYFUNCTION("IFERROR(VLOOKUP(A5032, IMPORTRANGE(""https://docs.google.com/spreadsheets/d/1AVX9GT0dgogEBStecCXMMQ29tWz3gBrtNB8yIromXbY/edit?gid=741673867"", ""out1g!A:B""), 2, FALSE), 0)"),230.0)</f>
        <v>230</v>
      </c>
      <c r="D5032" s="2" t="str">
        <f>IFERROR(__xludf.DUMMYFUNCTION("IFERROR(VLOOKUP(A5032, IMPORTRANGE(""https://docs.google.com/spreadsheets/d/1-3Vjw2Cyy-mry5gbC8ypIR3YVGFfEpyFESummAta6sg/edit"", ""Sheet1!B:D""), 2, FALSE), ""Not Found"")"),"frɔɪd")</f>
        <v>frɔɪd</v>
      </c>
      <c r="E5032" s="2" t="str">
        <f>IFERROR(__xludf.DUMMYFUNCTION("IFERROR(VLOOKUP(A5032, IMPORTRANGE(""https://docs.google.com/spreadsheets/d/1-3Vjw2Cyy-mry5gbC8ypIR3YVGFfEpyFESummAta6sg/edit"", ""Sheet1!B:D""), 3, FALSE), ""Not Found"")"),"f r ɔ ɪ d ")</f>
        <v>f r ɔ ɪ d </v>
      </c>
    </row>
    <row r="5033">
      <c r="A5033" s="1" t="s">
        <v>5036</v>
      </c>
      <c r="B5033" s="1" t="s">
        <v>5</v>
      </c>
      <c r="C5033" s="2">
        <f>IFERROR(__xludf.DUMMYFUNCTION("IFERROR(VLOOKUP(A5033, IMPORTRANGE(""https://docs.google.com/spreadsheets/d/1AVX9GT0dgogEBStecCXMMQ29tWz3gBrtNB8yIromXbY/edit?gid=741673867"", ""out1g!A:B""), 2, FALSE), 0)"),71.0)</f>
        <v>71</v>
      </c>
      <c r="D5033" s="2" t="str">
        <f>IFERROR(__xludf.DUMMYFUNCTION("IFERROR(VLOOKUP(A5033, IMPORTRANGE(""https://docs.google.com/spreadsheets/d/1-3Vjw2Cyy-mry5gbC8ypIR3YVGFfEpyFESummAta6sg/edit"", ""Sheet1!B:D""), 2, FALSE), ""Not Found"")"),"dɛbi")</f>
        <v>dɛbi</v>
      </c>
      <c r="E5033" s="2" t="str">
        <f>IFERROR(__xludf.DUMMYFUNCTION("IFERROR(VLOOKUP(A5033, IMPORTRANGE(""https://docs.google.com/spreadsheets/d/1-3Vjw2Cyy-mry5gbC8ypIR3YVGFfEpyFESummAta6sg/edit"", ""Sheet1!B:D""), 3, FALSE), ""Not Found"")"),"d ɛ b i ")</f>
        <v>d ɛ b i </v>
      </c>
    </row>
    <row r="5034">
      <c r="A5034" s="1" t="s">
        <v>5037</v>
      </c>
      <c r="B5034" s="1" t="s">
        <v>5</v>
      </c>
      <c r="C5034" s="2">
        <f>IFERROR(__xludf.DUMMYFUNCTION("IFERROR(VLOOKUP(A5034, IMPORTRANGE(""https://docs.google.com/spreadsheets/d/1AVX9GT0dgogEBStecCXMMQ29tWz3gBrtNB8yIromXbY/edit?gid=741673867"", ""out1g!A:B""), 2, FALSE), 0)"),447.0)</f>
        <v>447</v>
      </c>
      <c r="D5034" s="2" t="str">
        <f>IFERROR(__xludf.DUMMYFUNCTION("IFERROR(VLOOKUP(A5034, IMPORTRANGE(""https://docs.google.com/spreadsheets/d/1-3Vjw2Cyy-mry5gbC8ypIR3YVGFfEpyFESummAta6sg/edit"", ""Sheet1!B:D""), 2, FALSE), ""Not Found"")"),"wekɪŋ")</f>
        <v>wekɪŋ</v>
      </c>
      <c r="E5034" s="2" t="str">
        <f>IFERROR(__xludf.DUMMYFUNCTION("IFERROR(VLOOKUP(A5034, IMPORTRANGE(""https://docs.google.com/spreadsheets/d/1-3Vjw2Cyy-mry5gbC8ypIR3YVGFfEpyFESummAta6sg/edit"", ""Sheet1!B:D""), 3, FALSE), ""Not Found"")"),"w e k ɪ ŋ ")</f>
        <v>w e k ɪ ŋ </v>
      </c>
    </row>
    <row r="5035">
      <c r="A5035" s="1" t="s">
        <v>5038</v>
      </c>
      <c r="B5035" s="1" t="s">
        <v>5</v>
      </c>
      <c r="C5035" s="2">
        <f>IFERROR(__xludf.DUMMYFUNCTION("IFERROR(VLOOKUP(A5035, IMPORTRANGE(""https://docs.google.com/spreadsheets/d/1AVX9GT0dgogEBStecCXMMQ29tWz3gBrtNB8yIromXbY/edit?gid=741673867"", ""out1g!A:B""), 2, FALSE), 0)"),57.0)</f>
        <v>57</v>
      </c>
      <c r="D5035" s="2" t="str">
        <f>IFERROR(__xludf.DUMMYFUNCTION("IFERROR(VLOOKUP(A5035, IMPORTRANGE(""https://docs.google.com/spreadsheets/d/1-3Vjw2Cyy-mry5gbC8ypIR3YVGFfEpyFESummAta6sg/edit"", ""Sheet1!B:D""), 2, FALSE), ""Not Found"")"),"kəli")</f>
        <v>kəli</v>
      </c>
      <c r="E5035" s="2" t="str">
        <f>IFERROR(__xludf.DUMMYFUNCTION("IFERROR(VLOOKUP(A5035, IMPORTRANGE(""https://docs.google.com/spreadsheets/d/1-3Vjw2Cyy-mry5gbC8ypIR3YVGFfEpyFESummAta6sg/edit"", ""Sheet1!B:D""), 3, FALSE), ""Not Found"")"),"k ə l i ")</f>
        <v>k ə l i </v>
      </c>
    </row>
    <row r="5036">
      <c r="A5036" s="1" t="s">
        <v>5039</v>
      </c>
      <c r="B5036" s="1" t="s">
        <v>5</v>
      </c>
      <c r="C5036" s="2">
        <f>IFERROR(__xludf.DUMMYFUNCTION("IFERROR(VLOOKUP(A5036, IMPORTRANGE(""https://docs.google.com/spreadsheets/d/1AVX9GT0dgogEBStecCXMMQ29tWz3gBrtNB8yIromXbY/edit?gid=741673867"", ""out1g!A:B""), 2, FALSE), 0)"),657.0)</f>
        <v>657</v>
      </c>
      <c r="D5036" s="2" t="str">
        <f>IFERROR(__xludf.DUMMYFUNCTION("IFERROR(VLOOKUP(A5036, IMPORTRANGE(""https://docs.google.com/spreadsheets/d/1-3Vjw2Cyy-mry5gbC8ypIR3YVGFfEpyFESummAta6sg/edit"", ""Sheet1!B:D""), 2, FALSE), ""Not Found"")"),"ʃekɪŋ")</f>
        <v>ʃekɪŋ</v>
      </c>
      <c r="E5036" s="2" t="str">
        <f>IFERROR(__xludf.DUMMYFUNCTION("IFERROR(VLOOKUP(A5036, IMPORTRANGE(""https://docs.google.com/spreadsheets/d/1-3Vjw2Cyy-mry5gbC8ypIR3YVGFfEpyFESummAta6sg/edit"", ""Sheet1!B:D""), 3, FALSE), ""Not Found"")"),"ʃ e k ɪ ŋ ")</f>
        <v>ʃ e k ɪ ŋ </v>
      </c>
    </row>
    <row r="5037">
      <c r="A5037" s="1" t="s">
        <v>5040</v>
      </c>
      <c r="B5037" s="1" t="s">
        <v>5</v>
      </c>
      <c r="C5037" s="2">
        <f>IFERROR(__xludf.DUMMYFUNCTION("IFERROR(VLOOKUP(A5037, IMPORTRANGE(""https://docs.google.com/spreadsheets/d/1AVX9GT0dgogEBStecCXMMQ29tWz3gBrtNB8yIromXbY/edit?gid=741673867"", ""out1g!A:B""), 2, FALSE), 0)"),13.0)</f>
        <v>13</v>
      </c>
      <c r="D5037" s="2" t="str">
        <f>IFERROR(__xludf.DUMMYFUNCTION("IFERROR(VLOOKUP(A5037, IMPORTRANGE(""https://docs.google.com/spreadsheets/d/1-3Vjw2Cyy-mry5gbC8ypIR3YVGFfEpyFESummAta6sg/edit"", ""Sheet1!B:D""), 2, FALSE), ""Not Found"")"),"θwet")</f>
        <v>θwet</v>
      </c>
      <c r="E5037" s="2" t="str">
        <f>IFERROR(__xludf.DUMMYFUNCTION("IFERROR(VLOOKUP(A5037, IMPORTRANGE(""https://docs.google.com/spreadsheets/d/1-3Vjw2Cyy-mry5gbC8ypIR3YVGFfEpyFESummAta6sg/edit"", ""Sheet1!B:D""), 3, FALSE), ""Not Found"")"),"θ w e t ")</f>
        <v>θ w e t </v>
      </c>
    </row>
    <row r="5038">
      <c r="A5038" s="1" t="s">
        <v>5041</v>
      </c>
      <c r="B5038" s="1" t="s">
        <v>5</v>
      </c>
      <c r="C5038" s="2">
        <f>IFERROR(__xludf.DUMMYFUNCTION("IFERROR(VLOOKUP(A5038, IMPORTRANGE(""https://docs.google.com/spreadsheets/d/1AVX9GT0dgogEBStecCXMMQ29tWz3gBrtNB8yIromXbY/edit?gid=741673867"", ""out1g!A:B""), 2, FALSE), 0)"),25796.0)</f>
        <v>25796</v>
      </c>
      <c r="D5038" s="2" t="str">
        <f>IFERROR(__xludf.DUMMYFUNCTION("IFERROR(VLOOKUP(A5038, IMPORTRANGE(""https://docs.google.com/spreadsheets/d/1-3Vjw2Cyy-mry5gbC8ypIR3YVGFfEpyFESummAta6sg/edit"", ""Sheet1!B:D""), 2, FALSE), ""Not Found"")"),"wɑnə")</f>
        <v>wɑnə</v>
      </c>
      <c r="E5038" s="2" t="str">
        <f>IFERROR(__xludf.DUMMYFUNCTION("IFERROR(VLOOKUP(A5038, IMPORTRANGE(""https://docs.google.com/spreadsheets/d/1-3Vjw2Cyy-mry5gbC8ypIR3YVGFfEpyFESummAta6sg/edit"", ""Sheet1!B:D""), 3, FALSE), ""Not Found"")"),"w ɑ n ə ")</f>
        <v>w ɑ n ə </v>
      </c>
    </row>
    <row r="5039">
      <c r="A5039" s="1" t="s">
        <v>5042</v>
      </c>
      <c r="B5039" s="1" t="s">
        <v>5</v>
      </c>
      <c r="C5039" s="2">
        <f>IFERROR(__xludf.DUMMYFUNCTION("IFERROR(VLOOKUP(A5039, IMPORTRANGE(""https://docs.google.com/spreadsheets/d/1AVX9GT0dgogEBStecCXMMQ29tWz3gBrtNB8yIromXbY/edit?gid=741673867"", ""out1g!A:B""), 2, FALSE), 0)"),120.0)</f>
        <v>120</v>
      </c>
      <c r="D5039" s="2" t="str">
        <f>IFERROR(__xludf.DUMMYFUNCTION("IFERROR(VLOOKUP(A5039, IMPORTRANGE(""https://docs.google.com/spreadsheets/d/1-3Vjw2Cyy-mry5gbC8ypIR3YVGFfEpyFESummAta6sg/edit"", ""Sheet1!B:D""), 2, FALSE), ""Not Found"")"),"fɛnsɪz")</f>
        <v>fɛnsɪz</v>
      </c>
      <c r="E5039" s="2" t="str">
        <f>IFERROR(__xludf.DUMMYFUNCTION("IFERROR(VLOOKUP(A5039, IMPORTRANGE(""https://docs.google.com/spreadsheets/d/1-3Vjw2Cyy-mry5gbC8ypIR3YVGFfEpyFESummAta6sg/edit"", ""Sheet1!B:D""), 3, FALSE), ""Not Found"")"),"f ɛ n s ɪ z ")</f>
        <v>f ɛ n s ɪ z </v>
      </c>
    </row>
    <row r="5040">
      <c r="A5040" s="1" t="s">
        <v>5043</v>
      </c>
      <c r="B5040" s="1" t="s">
        <v>5</v>
      </c>
      <c r="C5040" s="2">
        <f>IFERROR(__xludf.DUMMYFUNCTION("IFERROR(VLOOKUP(A5040, IMPORTRANGE(""https://docs.google.com/spreadsheets/d/1AVX9GT0dgogEBStecCXMMQ29tWz3gBrtNB8yIromXbY/edit?gid=741673867"", ""out1g!A:B""), 2, FALSE), 0)"),2646.0)</f>
        <v>2646</v>
      </c>
      <c r="D5040" s="2" t="str">
        <f>IFERROR(__xludf.DUMMYFUNCTION("IFERROR(VLOOKUP(A5040, IMPORTRANGE(""https://docs.google.com/spreadsheets/d/1-3Vjw2Cyy-mry5gbC8ypIR3YVGFfEpyFESummAta6sg/edit"", ""Sheet1!B:D""), 2, FALSE), ""Not Found"")"),"trit")</f>
        <v>trit</v>
      </c>
      <c r="E5040" s="2" t="str">
        <f>IFERROR(__xludf.DUMMYFUNCTION("IFERROR(VLOOKUP(A5040, IMPORTRANGE(""https://docs.google.com/spreadsheets/d/1-3Vjw2Cyy-mry5gbC8ypIR3YVGFfEpyFESummAta6sg/edit"", ""Sheet1!B:D""), 3, FALSE), ""Not Found"")"),"t r i t ")</f>
        <v>t r i t </v>
      </c>
    </row>
    <row r="5041">
      <c r="A5041" s="1" t="s">
        <v>5044</v>
      </c>
      <c r="B5041" s="1" t="s">
        <v>5</v>
      </c>
      <c r="C5041" s="2">
        <f>IFERROR(__xludf.DUMMYFUNCTION("IFERROR(VLOOKUP(A5041, IMPORTRANGE(""https://docs.google.com/spreadsheets/d/1AVX9GT0dgogEBStecCXMMQ29tWz3gBrtNB8yIromXbY/edit?gid=741673867"", ""out1g!A:B""), 2, FALSE), 0)"),1874.0)</f>
        <v>1874</v>
      </c>
      <c r="D5041" s="2" t="str">
        <f>IFERROR(__xludf.DUMMYFUNCTION("IFERROR(VLOOKUP(A5041, IMPORTRANGE(""https://docs.google.com/spreadsheets/d/1-3Vjw2Cyy-mry5gbC8ypIR3YVGFfEpyFESummAta6sg/edit"", ""Sheet1!B:D""), 2, FALSE), ""Not Found"")"),"frik")</f>
        <v>frik</v>
      </c>
      <c r="E5041" s="2" t="str">
        <f>IFERROR(__xludf.DUMMYFUNCTION("IFERROR(VLOOKUP(A5041, IMPORTRANGE(""https://docs.google.com/spreadsheets/d/1-3Vjw2Cyy-mry5gbC8ypIR3YVGFfEpyFESummAta6sg/edit"", ""Sheet1!B:D""), 3, FALSE), ""Not Found"")"),"f r i k ")</f>
        <v>f r i k </v>
      </c>
    </row>
    <row r="5042">
      <c r="A5042" s="1" t="s">
        <v>5045</v>
      </c>
      <c r="B5042" s="1" t="s">
        <v>5</v>
      </c>
      <c r="C5042" s="2">
        <f>IFERROR(__xludf.DUMMYFUNCTION("IFERROR(VLOOKUP(A5042, IMPORTRANGE(""https://docs.google.com/spreadsheets/d/1AVX9GT0dgogEBStecCXMMQ29tWz3gBrtNB8yIromXbY/edit?gid=741673867"", ""out1g!A:B""), 2, FALSE), 0)"),1012.0)</f>
        <v>1012</v>
      </c>
      <c r="D5042" s="2" t="str">
        <f>IFERROR(__xludf.DUMMYFUNCTION("IFERROR(VLOOKUP(A5042, IMPORTRANGE(""https://docs.google.com/spreadsheets/d/1-3Vjw2Cyy-mry5gbC8ypIR3YVGFfEpyFESummAta6sg/edit"", ""Sheet1!B:D""), 2, FALSE), ""Not Found"")"),"soʊdə")</f>
        <v>soʊdə</v>
      </c>
      <c r="E5042" s="2" t="str">
        <f>IFERROR(__xludf.DUMMYFUNCTION("IFERROR(VLOOKUP(A5042, IMPORTRANGE(""https://docs.google.com/spreadsheets/d/1-3Vjw2Cyy-mry5gbC8ypIR3YVGFfEpyFESummAta6sg/edit"", ""Sheet1!B:D""), 3, FALSE), ""Not Found"")"),"s o ʊ d ə ")</f>
        <v>s o ʊ d ə </v>
      </c>
    </row>
    <row r="5043">
      <c r="A5043" s="1" t="s">
        <v>5046</v>
      </c>
      <c r="B5043" s="1" t="s">
        <v>5</v>
      </c>
      <c r="C5043" s="2">
        <f>IFERROR(__xludf.DUMMYFUNCTION("IFERROR(VLOOKUP(A5043, IMPORTRANGE(""https://docs.google.com/spreadsheets/d/1AVX9GT0dgogEBStecCXMMQ29tWz3gBrtNB8yIromXbY/edit?gid=741673867"", ""out1g!A:B""), 2, FALSE), 0)"),97.0)</f>
        <v>97</v>
      </c>
      <c r="D5043" s="2" t="str">
        <f>IFERROR(__xludf.DUMMYFUNCTION("IFERROR(VLOOKUP(A5043, IMPORTRANGE(""https://docs.google.com/spreadsheets/d/1-3Vjw2Cyy-mry5gbC8ypIR3YVGFfEpyFESummAta6sg/edit"", ""Sheet1!B:D""), 2, FALSE), ""Not Found"")"),"ɛməri")</f>
        <v>ɛməri</v>
      </c>
      <c r="E5043" s="2" t="str">
        <f>IFERROR(__xludf.DUMMYFUNCTION("IFERROR(VLOOKUP(A5043, IMPORTRANGE(""https://docs.google.com/spreadsheets/d/1-3Vjw2Cyy-mry5gbC8ypIR3YVGFfEpyFESummAta6sg/edit"", ""Sheet1!B:D""), 3, FALSE), ""Not Found"")"),"ɛ m ə r i ")</f>
        <v>ɛ m ə r i </v>
      </c>
    </row>
    <row r="5044">
      <c r="A5044" s="1" t="s">
        <v>5047</v>
      </c>
      <c r="B5044" s="1" t="s">
        <v>5</v>
      </c>
      <c r="C5044" s="2">
        <f>IFERROR(__xludf.DUMMYFUNCTION("IFERROR(VLOOKUP(A5044, IMPORTRANGE(""https://docs.google.com/spreadsheets/d/1AVX9GT0dgogEBStecCXMMQ29tWz3gBrtNB8yIromXbY/edit?gid=741673867"", ""out1g!A:B""), 2, FALSE), 0)"),93.0)</f>
        <v>93</v>
      </c>
      <c r="D5044" s="2" t="str">
        <f>IFERROR(__xludf.DUMMYFUNCTION("IFERROR(VLOOKUP(A5044, IMPORTRANGE(""https://docs.google.com/spreadsheets/d/1-3Vjw2Cyy-mry5gbC8ypIR3YVGFfEpyFESummAta6sg/edit"", ""Sheet1!B:D""), 2, FALSE), ""Not Found"")"),"kɛri")</f>
        <v>kɛri</v>
      </c>
      <c r="E5044" s="2" t="str">
        <f>IFERROR(__xludf.DUMMYFUNCTION("IFERROR(VLOOKUP(A5044, IMPORTRANGE(""https://docs.google.com/spreadsheets/d/1-3Vjw2Cyy-mry5gbC8ypIR3YVGFfEpyFESummAta6sg/edit"", ""Sheet1!B:D""), 3, FALSE), ""Not Found"")"),"k ɛ r i ")</f>
        <v>k ɛ r i </v>
      </c>
    </row>
    <row r="5045">
      <c r="A5045" s="1" t="s">
        <v>5048</v>
      </c>
      <c r="B5045" s="1" t="s">
        <v>5</v>
      </c>
      <c r="C5045" s="2">
        <f>IFERROR(__xludf.DUMMYFUNCTION("IFERROR(VLOOKUP(A5045, IMPORTRANGE(""https://docs.google.com/spreadsheets/d/1AVX9GT0dgogEBStecCXMMQ29tWz3gBrtNB8yIromXbY/edit?gid=741673867"", ""out1g!A:B""), 2, FALSE), 0)"),176.0)</f>
        <v>176</v>
      </c>
      <c r="D5045" s="2" t="str">
        <f>IFERROR(__xludf.DUMMYFUNCTION("IFERROR(VLOOKUP(A5045, IMPORTRANGE(""https://docs.google.com/spreadsheets/d/1-3Vjw2Cyy-mry5gbC8ypIR3YVGFfEpyFESummAta6sg/edit"", ""Sheet1!B:D""), 2, FALSE), ""Not Found"")"),"kɑrmə")</f>
        <v>kɑrmə</v>
      </c>
      <c r="E5045" s="2" t="str">
        <f>IFERROR(__xludf.DUMMYFUNCTION("IFERROR(VLOOKUP(A5045, IMPORTRANGE(""https://docs.google.com/spreadsheets/d/1-3Vjw2Cyy-mry5gbC8ypIR3YVGFfEpyFESummAta6sg/edit"", ""Sheet1!B:D""), 3, FALSE), ""Not Found"")"),"k ɑ r m ə ")</f>
        <v>k ɑ r m ə </v>
      </c>
    </row>
    <row r="5046">
      <c r="A5046" s="1" t="s">
        <v>5049</v>
      </c>
      <c r="B5046" s="1" t="s">
        <v>5</v>
      </c>
      <c r="C5046" s="2">
        <f>IFERROR(__xludf.DUMMYFUNCTION("IFERROR(VLOOKUP(A5046, IMPORTRANGE(""https://docs.google.com/spreadsheets/d/1AVX9GT0dgogEBStecCXMMQ29tWz3gBrtNB8yIromXbY/edit?gid=741673867"", ""out1g!A:B""), 2, FALSE), 0)"),1262.0)</f>
        <v>1262</v>
      </c>
      <c r="D5046" s="2" t="str">
        <f>IFERROR(__xludf.DUMMYFUNCTION("IFERROR(VLOOKUP(A5046, IMPORTRANGE(""https://docs.google.com/spreadsheets/d/1-3Vjw2Cyy-mry5gbC8ypIR3YVGFfEpyFESummAta6sg/edit"", ""Sheet1!B:D""), 2, FALSE), ""Not Found"")"),"hɛlθi")</f>
        <v>hɛlθi</v>
      </c>
      <c r="E5046" s="2" t="str">
        <f>IFERROR(__xludf.DUMMYFUNCTION("IFERROR(VLOOKUP(A5046, IMPORTRANGE(""https://docs.google.com/spreadsheets/d/1-3Vjw2Cyy-mry5gbC8ypIR3YVGFfEpyFESummAta6sg/edit"", ""Sheet1!B:D""), 3, FALSE), ""Not Found"")"),"h ɛ l θ i ")</f>
        <v>h ɛ l θ i </v>
      </c>
    </row>
    <row r="5047">
      <c r="A5047" s="1" t="s">
        <v>5050</v>
      </c>
      <c r="B5047" s="1" t="s">
        <v>5</v>
      </c>
      <c r="C5047" s="2">
        <f>IFERROR(__xludf.DUMMYFUNCTION("IFERROR(VLOOKUP(A5047, IMPORTRANGE(""https://docs.google.com/spreadsheets/d/1AVX9GT0dgogEBStecCXMMQ29tWz3gBrtNB8yIromXbY/edit?gid=741673867"", ""out1g!A:B""), 2, FALSE), 0)"),199.0)</f>
        <v>199</v>
      </c>
      <c r="D5047" s="2" t="str">
        <f>IFERROR(__xludf.DUMMYFUNCTION("IFERROR(VLOOKUP(A5047, IMPORTRANGE(""https://docs.google.com/spreadsheets/d/1-3Vjw2Cyy-mry5gbC8ypIR3YVGFfEpyFESummAta6sg/edit"", ""Sheet1!B:D""), 2, FALSE), ""Not Found"")"),"əwets")</f>
        <v>əwets</v>
      </c>
      <c r="E5047" s="2" t="str">
        <f>IFERROR(__xludf.DUMMYFUNCTION("IFERROR(VLOOKUP(A5047, IMPORTRANGE(""https://docs.google.com/spreadsheets/d/1-3Vjw2Cyy-mry5gbC8ypIR3YVGFfEpyFESummAta6sg/edit"", ""Sheet1!B:D""), 3, FALSE), ""Not Found"")"),"ə w e t s ")</f>
        <v>ə w e t s </v>
      </c>
    </row>
    <row r="5048">
      <c r="A5048" s="1" t="s">
        <v>5051</v>
      </c>
      <c r="B5048" s="1" t="s">
        <v>5</v>
      </c>
      <c r="C5048" s="2">
        <f>IFERROR(__xludf.DUMMYFUNCTION("IFERROR(VLOOKUP(A5048, IMPORTRANGE(""https://docs.google.com/spreadsheets/d/1AVX9GT0dgogEBStecCXMMQ29tWz3gBrtNB8yIromXbY/edit?gid=741673867"", ""out1g!A:B""), 2, FALSE), 0)"),159.0)</f>
        <v>159</v>
      </c>
      <c r="D5048" s="2" t="str">
        <f>IFERROR(__xludf.DUMMYFUNCTION("IFERROR(VLOOKUP(A5048, IMPORTRANGE(""https://docs.google.com/spreadsheets/d/1-3Vjw2Cyy-mry5gbC8ypIR3YVGFfEpyFESummAta6sg/edit"", ""Sheet1!B:D""), 2, FALSE), ""Not Found"")"),"slaɪmi")</f>
        <v>slaɪmi</v>
      </c>
      <c r="E5048" s="2" t="str">
        <f>IFERROR(__xludf.DUMMYFUNCTION("IFERROR(VLOOKUP(A5048, IMPORTRANGE(""https://docs.google.com/spreadsheets/d/1-3Vjw2Cyy-mry5gbC8ypIR3YVGFfEpyFESummAta6sg/edit"", ""Sheet1!B:D""), 3, FALSE), ""Not Found"")"),"s l a ɪ m i ")</f>
        <v>s l a ɪ m i </v>
      </c>
    </row>
    <row r="5049">
      <c r="A5049" s="1" t="s">
        <v>5052</v>
      </c>
      <c r="B5049" s="1" t="s">
        <v>5</v>
      </c>
      <c r="C5049" s="2">
        <f>IFERROR(__xludf.DUMMYFUNCTION("IFERROR(VLOOKUP(A5049, IMPORTRANGE(""https://docs.google.com/spreadsheets/d/1AVX9GT0dgogEBStecCXMMQ29tWz3gBrtNB8yIromXbY/edit?gid=741673867"", ""out1g!A:B""), 2, FALSE), 0)"),78.0)</f>
        <v>78</v>
      </c>
      <c r="D5049" s="2" t="str">
        <f>IFERROR(__xludf.DUMMYFUNCTION("IFERROR(VLOOKUP(A5049, IMPORTRANGE(""https://docs.google.com/spreadsheets/d/1-3Vjw2Cyy-mry5gbC8ypIR3YVGFfEpyFESummAta6sg/edit"", ""Sheet1!B:D""), 2, FALSE), ""Not Found"")"),"vɛktər")</f>
        <v>vɛktər</v>
      </c>
      <c r="E5049" s="2" t="str">
        <f>IFERROR(__xludf.DUMMYFUNCTION("IFERROR(VLOOKUP(A5049, IMPORTRANGE(""https://docs.google.com/spreadsheets/d/1-3Vjw2Cyy-mry5gbC8ypIR3YVGFfEpyFESummAta6sg/edit"", ""Sheet1!B:D""), 3, FALSE), ""Not Found"")"),"v ɛ k t ə r ")</f>
        <v>v ɛ k t ə r </v>
      </c>
    </row>
    <row r="5050">
      <c r="A5050" s="1" t="s">
        <v>5053</v>
      </c>
      <c r="B5050" s="1" t="s">
        <v>5</v>
      </c>
      <c r="C5050" s="2">
        <f>IFERROR(__xludf.DUMMYFUNCTION("IFERROR(VLOOKUP(A5050, IMPORTRANGE(""https://docs.google.com/spreadsheets/d/1AVX9GT0dgogEBStecCXMMQ29tWz3gBrtNB8yIromXbY/edit?gid=741673867"", ""out1g!A:B""), 2, FALSE), 0)"),189.0)</f>
        <v>189</v>
      </c>
      <c r="D5050" s="2" t="str">
        <f>IFERROR(__xludf.DUMMYFUNCTION("IFERROR(VLOOKUP(A5050, IMPORTRANGE(""https://docs.google.com/spreadsheets/d/1-3Vjw2Cyy-mry5gbC8ypIR3YVGFfEpyFESummAta6sg/edit"", ""Sheet1!B:D""), 2, FALSE), ""Not Found"")"),"sed")</f>
        <v>sed</v>
      </c>
      <c r="E5050" s="2" t="str">
        <f>IFERROR(__xludf.DUMMYFUNCTION("IFERROR(VLOOKUP(A5050, IMPORTRANGE(""https://docs.google.com/spreadsheets/d/1-3Vjw2Cyy-mry5gbC8ypIR3YVGFfEpyFESummAta6sg/edit"", ""Sheet1!B:D""), 3, FALSE), ""Not Found"")"),"s e d ")</f>
        <v>s e d </v>
      </c>
    </row>
    <row r="5051">
      <c r="A5051" s="1" t="s">
        <v>5054</v>
      </c>
      <c r="B5051" s="1" t="s">
        <v>5</v>
      </c>
      <c r="C5051" s="2">
        <f>IFERROR(__xludf.DUMMYFUNCTION("IFERROR(VLOOKUP(A5051, IMPORTRANGE(""https://docs.google.com/spreadsheets/d/1AVX9GT0dgogEBStecCXMMQ29tWz3gBrtNB8yIromXbY/edit?gid=741673867"", ""out1g!A:B""), 2, FALSE), 0)"),9945.0)</f>
        <v>9945</v>
      </c>
      <c r="D5051" s="2" t="str">
        <f>IFERROR(__xludf.DUMMYFUNCTION("IFERROR(VLOOKUP(A5051, IMPORTRANGE(""https://docs.google.com/spreadsheets/d/1-3Vjw2Cyy-mry5gbC8ypIR3YVGFfEpyFESummAta6sg/edit"", ""Sheet1!B:D""), 2, FALSE), ""Not Found"")"),"haɪ")</f>
        <v>haɪ</v>
      </c>
      <c r="E5051" s="2" t="str">
        <f>IFERROR(__xludf.DUMMYFUNCTION("IFERROR(VLOOKUP(A5051, IMPORTRANGE(""https://docs.google.com/spreadsheets/d/1-3Vjw2Cyy-mry5gbC8ypIR3YVGFfEpyFESummAta6sg/edit"", ""Sheet1!B:D""), 3, FALSE), ""Not Found"")"),"h a ɪ ")</f>
        <v>h a ɪ </v>
      </c>
    </row>
    <row r="5052">
      <c r="A5052" s="1" t="s">
        <v>5055</v>
      </c>
      <c r="B5052" s="1" t="s">
        <v>5</v>
      </c>
      <c r="C5052" s="2">
        <f>IFERROR(__xludf.DUMMYFUNCTION("IFERROR(VLOOKUP(A5052, IMPORTRANGE(""https://docs.google.com/spreadsheets/d/1AVX9GT0dgogEBStecCXMMQ29tWz3gBrtNB8yIromXbY/edit?gid=741673867"", ""out1g!A:B""), 2, FALSE), 0)"),1579.0)</f>
        <v>1579</v>
      </c>
      <c r="D5052" s="2" t="str">
        <f>IFERROR(__xludf.DUMMYFUNCTION("IFERROR(VLOOKUP(A5052, IMPORTRANGE(""https://docs.google.com/spreadsheets/d/1-3Vjw2Cyy-mry5gbC8ypIR3YVGFfEpyFESummAta6sg/edit"", ""Sheet1!B:D""), 2, FALSE), ""Not Found"")"),"ʤoʊnz")</f>
        <v>ʤoʊnz</v>
      </c>
      <c r="E5052" s="2" t="str">
        <f>IFERROR(__xludf.DUMMYFUNCTION("IFERROR(VLOOKUP(A5052, IMPORTRANGE(""https://docs.google.com/spreadsheets/d/1-3Vjw2Cyy-mry5gbC8ypIR3YVGFfEpyFESummAta6sg/edit"", ""Sheet1!B:D""), 3, FALSE), ""Not Found"")"),"ʤ o ʊ n z ")</f>
        <v>ʤ o ʊ n z </v>
      </c>
    </row>
    <row r="5053">
      <c r="A5053" s="1" t="s">
        <v>5056</v>
      </c>
      <c r="B5053" s="1" t="s">
        <v>5</v>
      </c>
      <c r="C5053" s="2">
        <f>IFERROR(__xludf.DUMMYFUNCTION("IFERROR(VLOOKUP(A5053, IMPORTRANGE(""https://docs.google.com/spreadsheets/d/1AVX9GT0dgogEBStecCXMMQ29tWz3gBrtNB8yIromXbY/edit?gid=741673867"", ""out1g!A:B""), 2, FALSE), 0)"),67.0)</f>
        <v>67</v>
      </c>
      <c r="D5053" s="2" t="str">
        <f>IFERROR(__xludf.DUMMYFUNCTION("IFERROR(VLOOKUP(A5053, IMPORTRANGE(""https://docs.google.com/spreadsheets/d/1-3Vjw2Cyy-mry5gbC8ypIR3YVGFfEpyFESummAta6sg/edit"", ""Sheet1!B:D""), 2, FALSE), ""Not Found"")"),"toʊstɪd")</f>
        <v>toʊstɪd</v>
      </c>
      <c r="E5053" s="2" t="str">
        <f>IFERROR(__xludf.DUMMYFUNCTION("IFERROR(VLOOKUP(A5053, IMPORTRANGE(""https://docs.google.com/spreadsheets/d/1-3Vjw2Cyy-mry5gbC8ypIR3YVGFfEpyFESummAta6sg/edit"", ""Sheet1!B:D""), 3, FALSE), ""Not Found"")"),"t o ʊ s t ɪ d ")</f>
        <v>t o ʊ s t ɪ d </v>
      </c>
    </row>
    <row r="5054">
      <c r="A5054" s="1" t="s">
        <v>5057</v>
      </c>
      <c r="B5054" s="1" t="s">
        <v>5</v>
      </c>
      <c r="C5054" s="2">
        <f>IFERROR(__xludf.DUMMYFUNCTION("IFERROR(VLOOKUP(A5054, IMPORTRANGE(""https://docs.google.com/spreadsheets/d/1AVX9GT0dgogEBStecCXMMQ29tWz3gBrtNB8yIromXbY/edit?gid=741673867"", ""out1g!A:B""), 2, FALSE), 0)"),862.0)</f>
        <v>862</v>
      </c>
      <c r="D5054" s="2" t="str">
        <f>IFERROR(__xludf.DUMMYFUNCTION("IFERROR(VLOOKUP(A5054, IMPORTRANGE(""https://docs.google.com/spreadsheets/d/1-3Vjw2Cyy-mry5gbC8ypIR3YVGFfEpyFESummAta6sg/edit"", ""Sheet1!B:D""), 2, FALSE), ""Not Found"")"),"skrimz")</f>
        <v>skrimz</v>
      </c>
      <c r="E5054" s="2" t="str">
        <f>IFERROR(__xludf.DUMMYFUNCTION("IFERROR(VLOOKUP(A5054, IMPORTRANGE(""https://docs.google.com/spreadsheets/d/1-3Vjw2Cyy-mry5gbC8ypIR3YVGFfEpyFESummAta6sg/edit"", ""Sheet1!B:D""), 3, FALSE), ""Not Found"")"),"s k r i m z ")</f>
        <v>s k r i m z </v>
      </c>
    </row>
    <row r="5055">
      <c r="A5055" s="1" t="s">
        <v>5058</v>
      </c>
      <c r="B5055" s="1" t="s">
        <v>5</v>
      </c>
      <c r="C5055" s="2">
        <f>IFERROR(__xludf.DUMMYFUNCTION("IFERROR(VLOOKUP(A5055, IMPORTRANGE(""https://docs.google.com/spreadsheets/d/1AVX9GT0dgogEBStecCXMMQ29tWz3gBrtNB8yIromXbY/edit?gid=741673867"", ""out1g!A:B""), 2, FALSE), 0)"),51.0)</f>
        <v>51</v>
      </c>
      <c r="D5055" s="2" t="str">
        <f>IFERROR(__xludf.DUMMYFUNCTION("IFERROR(VLOOKUP(A5055, IMPORTRANGE(""https://docs.google.com/spreadsheets/d/1-3Vjw2Cyy-mry5gbC8ypIR3YVGFfEpyFESummAta6sg/edit"", ""Sheet1!B:D""), 2, FALSE), ""Not Found"")"),"ədrɪft")</f>
        <v>ədrɪft</v>
      </c>
      <c r="E5055" s="2" t="str">
        <f>IFERROR(__xludf.DUMMYFUNCTION("IFERROR(VLOOKUP(A5055, IMPORTRANGE(""https://docs.google.com/spreadsheets/d/1-3Vjw2Cyy-mry5gbC8ypIR3YVGFfEpyFESummAta6sg/edit"", ""Sheet1!B:D""), 3, FALSE), ""Not Found"")"),"ə d r ɪ f t ")</f>
        <v>ə d r ɪ f t </v>
      </c>
    </row>
    <row r="5056">
      <c r="A5056" s="1" t="s">
        <v>5059</v>
      </c>
      <c r="B5056" s="1" t="s">
        <v>5</v>
      </c>
      <c r="C5056" s="2">
        <f>IFERROR(__xludf.DUMMYFUNCTION("IFERROR(VLOOKUP(A5056, IMPORTRANGE(""https://docs.google.com/spreadsheets/d/1AVX9GT0dgogEBStecCXMMQ29tWz3gBrtNB8yIromXbY/edit?gid=741673867"", ""out1g!A:B""), 2, FALSE), 0)"),2633.0)</f>
        <v>2633</v>
      </c>
      <c r="D5056" s="2" t="str">
        <f>IFERROR(__xludf.DUMMYFUNCTION("IFERROR(VLOOKUP(A5056, IMPORTRANGE(""https://docs.google.com/spreadsheets/d/1-3Vjw2Cyy-mry5gbC8ypIR3YVGFfEpyFESummAta6sg/edit"", ""Sheet1!B:D""), 2, FALSE), ""Not Found"")"),"lɛvəl")</f>
        <v>lɛvəl</v>
      </c>
      <c r="E5056" s="2" t="str">
        <f>IFERROR(__xludf.DUMMYFUNCTION("IFERROR(VLOOKUP(A5056, IMPORTRANGE(""https://docs.google.com/spreadsheets/d/1-3Vjw2Cyy-mry5gbC8ypIR3YVGFfEpyFESummAta6sg/edit"", ""Sheet1!B:D""), 3, FALSE), ""Not Found"")"),"l ɛ v ə l ")</f>
        <v>l ɛ v ə l </v>
      </c>
    </row>
    <row r="5057">
      <c r="A5057" s="1" t="s">
        <v>5060</v>
      </c>
      <c r="B5057" s="1" t="s">
        <v>5</v>
      </c>
      <c r="C5057" s="2">
        <f>IFERROR(__xludf.DUMMYFUNCTION("IFERROR(VLOOKUP(A5057, IMPORTRANGE(""https://docs.google.com/spreadsheets/d/1AVX9GT0dgogEBStecCXMMQ29tWz3gBrtNB8yIromXbY/edit?gid=741673867"", ""out1g!A:B""), 2, FALSE), 0)"),54.0)</f>
        <v>54</v>
      </c>
      <c r="D5057" s="2" t="str">
        <f>IFERROR(__xludf.DUMMYFUNCTION("IFERROR(VLOOKUP(A5057, IMPORTRANGE(""https://docs.google.com/spreadsheets/d/1-3Vjw2Cyy-mry5gbC8ypIR3YVGFfEpyFESummAta6sg/edit"", ""Sheet1!B:D""), 2, FALSE), ""Not Found"")"),"pətit")</f>
        <v>pətit</v>
      </c>
      <c r="E5057" s="2" t="str">
        <f>IFERROR(__xludf.DUMMYFUNCTION("IFERROR(VLOOKUP(A5057, IMPORTRANGE(""https://docs.google.com/spreadsheets/d/1-3Vjw2Cyy-mry5gbC8ypIR3YVGFfEpyFESummAta6sg/edit"", ""Sheet1!B:D""), 3, FALSE), ""Not Found"")"),"p ə t i t ")</f>
        <v>p ə t i t </v>
      </c>
    </row>
    <row r="5058">
      <c r="A5058" s="1" t="s">
        <v>5061</v>
      </c>
      <c r="B5058" s="1" t="s">
        <v>5</v>
      </c>
      <c r="C5058" s="2">
        <f>IFERROR(__xludf.DUMMYFUNCTION("IFERROR(VLOOKUP(A5058, IMPORTRANGE(""https://docs.google.com/spreadsheets/d/1AVX9GT0dgogEBStecCXMMQ29tWz3gBrtNB8yIromXbY/edit?gid=741673867"", ""out1g!A:B""), 2, FALSE), 0)"),171.0)</f>
        <v>171</v>
      </c>
      <c r="D5058" s="2" t="str">
        <f>IFERROR(__xludf.DUMMYFUNCTION("IFERROR(VLOOKUP(A5058, IMPORTRANGE(""https://docs.google.com/spreadsheets/d/1-3Vjw2Cyy-mry5gbC8ypIR3YVGFfEpyFESummAta6sg/edit"", ""Sheet1!B:D""), 2, FALSE), ""Not Found"")"),"ʤæb")</f>
        <v>ʤæb</v>
      </c>
      <c r="E5058" s="2" t="str">
        <f>IFERROR(__xludf.DUMMYFUNCTION("IFERROR(VLOOKUP(A5058, IMPORTRANGE(""https://docs.google.com/spreadsheets/d/1-3Vjw2Cyy-mry5gbC8ypIR3YVGFfEpyFESummAta6sg/edit"", ""Sheet1!B:D""), 3, FALSE), ""Not Found"")"),"ʤ æ b ")</f>
        <v>ʤ æ b </v>
      </c>
    </row>
    <row r="5059">
      <c r="A5059" s="1" t="s">
        <v>5062</v>
      </c>
      <c r="B5059" s="1" t="s">
        <v>5</v>
      </c>
      <c r="C5059" s="2">
        <f>IFERROR(__xludf.DUMMYFUNCTION("IFERROR(VLOOKUP(A5059, IMPORTRANGE(""https://docs.google.com/spreadsheets/d/1AVX9GT0dgogEBStecCXMMQ29tWz3gBrtNB8yIromXbY/edit?gid=741673867"", ""out1g!A:B""), 2, FALSE), 0)"),326.0)</f>
        <v>326</v>
      </c>
      <c r="D5059" s="2" t="str">
        <f>IFERROR(__xludf.DUMMYFUNCTION("IFERROR(VLOOKUP(A5059, IMPORTRANGE(""https://docs.google.com/spreadsheets/d/1-3Vjw2Cyy-mry5gbC8ypIR3YVGFfEpyFESummAta6sg/edit"", ""Sheet1!B:D""), 2, FALSE), ""Not Found"")"),"kɛriər")</f>
        <v>kɛriər</v>
      </c>
      <c r="E5059" s="2" t="str">
        <f>IFERROR(__xludf.DUMMYFUNCTION("IFERROR(VLOOKUP(A5059, IMPORTRANGE(""https://docs.google.com/spreadsheets/d/1-3Vjw2Cyy-mry5gbC8ypIR3YVGFfEpyFESummAta6sg/edit"", ""Sheet1!B:D""), 3, FALSE), ""Not Found"")"),"k ɛ r i ə r ")</f>
        <v>k ɛ r i ə r </v>
      </c>
    </row>
    <row r="5060">
      <c r="A5060" s="1" t="s">
        <v>5063</v>
      </c>
      <c r="B5060" s="1" t="s">
        <v>5</v>
      </c>
      <c r="C5060" s="2">
        <f>IFERROR(__xludf.DUMMYFUNCTION("IFERROR(VLOOKUP(A5060, IMPORTRANGE(""https://docs.google.com/spreadsheets/d/1AVX9GT0dgogEBStecCXMMQ29tWz3gBrtNB8yIromXbY/edit?gid=741673867"", ""out1g!A:B""), 2, FALSE), 0)"),3782.0)</f>
        <v>3782</v>
      </c>
      <c r="D5060" s="2" t="str">
        <f>IFERROR(__xludf.DUMMYFUNCTION("IFERROR(VLOOKUP(A5060, IMPORTRANGE(""https://docs.google.com/spreadsheets/d/1-3Vjw2Cyy-mry5gbC8ypIR3YVGFfEpyFESummAta6sg/edit"", ""Sheet1!B:D""), 2, FALSE), ""Not Found"")"),"oʊ")</f>
        <v>oʊ</v>
      </c>
      <c r="E5060" s="2" t="str">
        <f>IFERROR(__xludf.DUMMYFUNCTION("IFERROR(VLOOKUP(A5060, IMPORTRANGE(""https://docs.google.com/spreadsheets/d/1-3Vjw2Cyy-mry5gbC8ypIR3YVGFfEpyFESummAta6sg/edit"", ""Sheet1!B:D""), 3, FALSE), ""Not Found"")"),"o ʊ ")</f>
        <v>o ʊ </v>
      </c>
    </row>
    <row r="5061">
      <c r="A5061" s="1" t="s">
        <v>5064</v>
      </c>
      <c r="B5061" s="1" t="s">
        <v>5</v>
      </c>
      <c r="C5061" s="2">
        <f>IFERROR(__xludf.DUMMYFUNCTION("IFERROR(VLOOKUP(A5061, IMPORTRANGE(""https://docs.google.com/spreadsheets/d/1AVX9GT0dgogEBStecCXMMQ29tWz3gBrtNB8yIromXbY/edit?gid=741673867"", ""out1g!A:B""), 2, FALSE), 0)"),70.0)</f>
        <v>70</v>
      </c>
      <c r="D5061" s="2" t="str">
        <f>IFERROR(__xludf.DUMMYFUNCTION("IFERROR(VLOOKUP(A5061, IMPORTRANGE(""https://docs.google.com/spreadsheets/d/1-3Vjw2Cyy-mry5gbC8ypIR3YVGFfEpyFESummAta6sg/edit"", ""Sheet1!B:D""), 2, FALSE), ""Not Found"")"),"kits")</f>
        <v>kits</v>
      </c>
      <c r="E5061" s="2" t="str">
        <f>IFERROR(__xludf.DUMMYFUNCTION("IFERROR(VLOOKUP(A5061, IMPORTRANGE(""https://docs.google.com/spreadsheets/d/1-3Vjw2Cyy-mry5gbC8ypIR3YVGFfEpyFESummAta6sg/edit"", ""Sheet1!B:D""), 3, FALSE), ""Not Found"")"),"k i t s ")</f>
        <v>k i t s </v>
      </c>
    </row>
    <row r="5062">
      <c r="A5062" s="1" t="s">
        <v>5065</v>
      </c>
      <c r="B5062" s="1" t="s">
        <v>5</v>
      </c>
      <c r="C5062" s="2">
        <f>IFERROR(__xludf.DUMMYFUNCTION("IFERROR(VLOOKUP(A5062, IMPORTRANGE(""https://docs.google.com/spreadsheets/d/1AVX9GT0dgogEBStecCXMMQ29tWz3gBrtNB8yIromXbY/edit?gid=741673867"", ""out1g!A:B""), 2, FALSE), 0)"),918.0)</f>
        <v>918</v>
      </c>
      <c r="D5062" s="2" t="str">
        <f>IFERROR(__xludf.DUMMYFUNCTION("IFERROR(VLOOKUP(A5062, IMPORTRANGE(""https://docs.google.com/spreadsheets/d/1-3Vjw2Cyy-mry5gbC8ypIR3YVGFfEpyFESummAta6sg/edit"", ""Sheet1!B:D""), 2, FALSE), ""Not Found"")"),"lɛts")</f>
        <v>lɛts</v>
      </c>
      <c r="E5062" s="2" t="str">
        <f>IFERROR(__xludf.DUMMYFUNCTION("IFERROR(VLOOKUP(A5062, IMPORTRANGE(""https://docs.google.com/spreadsheets/d/1-3Vjw2Cyy-mry5gbC8ypIR3YVGFfEpyFESummAta6sg/edit"", ""Sheet1!B:D""), 3, FALSE), ""Not Found"")"),"l ɛ t s ")</f>
        <v>l ɛ t s </v>
      </c>
    </row>
    <row r="5063">
      <c r="A5063" s="1" t="s">
        <v>5066</v>
      </c>
      <c r="B5063" s="1" t="s">
        <v>5</v>
      </c>
      <c r="C5063" s="2">
        <f>IFERROR(__xludf.DUMMYFUNCTION("IFERROR(VLOOKUP(A5063, IMPORTRANGE(""https://docs.google.com/spreadsheets/d/1AVX9GT0dgogEBStecCXMMQ29tWz3gBrtNB8yIromXbY/edit?gid=741673867"", ""out1g!A:B""), 2, FALSE), 0)"),5038.0)</f>
        <v>5038</v>
      </c>
      <c r="D5063" s="2" t="str">
        <f>IFERROR(__xludf.DUMMYFUNCTION("IFERROR(VLOOKUP(A5063, IMPORTRANGE(""https://docs.google.com/spreadsheets/d/1-3Vjw2Cyy-mry5gbC8ypIR3YVGFfEpyFESummAta6sg/edit"", ""Sheet1!B:D""), 2, FALSE), ""Not Found"")"),"kləb")</f>
        <v>kləb</v>
      </c>
      <c r="E5063" s="2" t="str">
        <f>IFERROR(__xludf.DUMMYFUNCTION("IFERROR(VLOOKUP(A5063, IMPORTRANGE(""https://docs.google.com/spreadsheets/d/1-3Vjw2Cyy-mry5gbC8ypIR3YVGFfEpyFESummAta6sg/edit"", ""Sheet1!B:D""), 3, FALSE), ""Not Found"")"),"k l ə b ")</f>
        <v>k l ə b </v>
      </c>
    </row>
    <row r="5064">
      <c r="A5064" s="1" t="s">
        <v>5067</v>
      </c>
      <c r="B5064" s="1" t="s">
        <v>5</v>
      </c>
      <c r="C5064" s="2">
        <f>IFERROR(__xludf.DUMMYFUNCTION("IFERROR(VLOOKUP(A5064, IMPORTRANGE(""https://docs.google.com/spreadsheets/d/1AVX9GT0dgogEBStecCXMMQ29tWz3gBrtNB8yIromXbY/edit?gid=741673867"", ""out1g!A:B""), 2, FALSE), 0)"),71.0)</f>
        <v>71</v>
      </c>
      <c r="D5064" s="2" t="str">
        <f>IFERROR(__xludf.DUMMYFUNCTION("IFERROR(VLOOKUP(A5064, IMPORTRANGE(""https://docs.google.com/spreadsheets/d/1-3Vjw2Cyy-mry5gbC8ypIR3YVGFfEpyFESummAta6sg/edit"", ""Sheet1!B:D""), 2, FALSE), ""Not Found"")"),"waɪps")</f>
        <v>waɪps</v>
      </c>
      <c r="E5064" s="2" t="str">
        <f>IFERROR(__xludf.DUMMYFUNCTION("IFERROR(VLOOKUP(A5064, IMPORTRANGE(""https://docs.google.com/spreadsheets/d/1-3Vjw2Cyy-mry5gbC8ypIR3YVGFfEpyFESummAta6sg/edit"", ""Sheet1!B:D""), 3, FALSE), ""Not Found"")"),"w a ɪ p s ")</f>
        <v>w a ɪ p s </v>
      </c>
    </row>
    <row r="5065">
      <c r="A5065" s="1" t="s">
        <v>5068</v>
      </c>
      <c r="B5065" s="1" t="s">
        <v>5</v>
      </c>
      <c r="C5065" s="2">
        <f>IFERROR(__xludf.DUMMYFUNCTION("IFERROR(VLOOKUP(A5065, IMPORTRANGE(""https://docs.google.com/spreadsheets/d/1AVX9GT0dgogEBStecCXMMQ29tWz3gBrtNB8yIromXbY/edit?gid=741673867"", ""out1g!A:B""), 2, FALSE), 0)"),304.0)</f>
        <v>304</v>
      </c>
      <c r="D5065" s="2" t="str">
        <f>IFERROR(__xludf.DUMMYFUNCTION("IFERROR(VLOOKUP(A5065, IMPORTRANGE(""https://docs.google.com/spreadsheets/d/1-3Vjw2Cyy-mry5gbC8ypIR3YVGFfEpyFESummAta6sg/edit"", ""Sheet1!B:D""), 2, FALSE), ""Not Found"")"),"drek")</f>
        <v>drek</v>
      </c>
      <c r="E5065" s="2" t="str">
        <f>IFERROR(__xludf.DUMMYFUNCTION("IFERROR(VLOOKUP(A5065, IMPORTRANGE(""https://docs.google.com/spreadsheets/d/1-3Vjw2Cyy-mry5gbC8ypIR3YVGFfEpyFESummAta6sg/edit"", ""Sheet1!B:D""), 3, FALSE), ""Not Found"")"),"d r e k ")</f>
        <v>d r e k </v>
      </c>
    </row>
    <row r="5066">
      <c r="A5066" s="1" t="s">
        <v>5069</v>
      </c>
      <c r="B5066" s="1" t="s">
        <v>5</v>
      </c>
      <c r="C5066" s="2">
        <f>IFERROR(__xludf.DUMMYFUNCTION("IFERROR(VLOOKUP(A5066, IMPORTRANGE(""https://docs.google.com/spreadsheets/d/1AVX9GT0dgogEBStecCXMMQ29tWz3gBrtNB8yIromXbY/edit?gid=741673867"", ""out1g!A:B""), 2, FALSE), 0)"),53.0)</f>
        <v>53</v>
      </c>
      <c r="D5066" s="2" t="str">
        <f>IFERROR(__xludf.DUMMYFUNCTION("IFERROR(VLOOKUP(A5066, IMPORTRANGE(""https://docs.google.com/spreadsheets/d/1-3Vjw2Cyy-mry5gbC8ypIR3YVGFfEpyFESummAta6sg/edit"", ""Sheet1!B:D""), 2, FALSE), ""Not Found"")"),"poʊstɪŋ")</f>
        <v>poʊstɪŋ</v>
      </c>
      <c r="E5066" s="2" t="str">
        <f>IFERROR(__xludf.DUMMYFUNCTION("IFERROR(VLOOKUP(A5066, IMPORTRANGE(""https://docs.google.com/spreadsheets/d/1-3Vjw2Cyy-mry5gbC8ypIR3YVGFfEpyFESummAta6sg/edit"", ""Sheet1!B:D""), 3, FALSE), ""Not Found"")"),"p o ʊ s t ɪ ŋ ")</f>
        <v>p o ʊ s t ɪ ŋ </v>
      </c>
    </row>
    <row r="5067">
      <c r="A5067" s="1" t="s">
        <v>5070</v>
      </c>
      <c r="B5067" s="1" t="s">
        <v>5</v>
      </c>
      <c r="C5067" s="2">
        <f>IFERROR(__xludf.DUMMYFUNCTION("IFERROR(VLOOKUP(A5067, IMPORTRANGE(""https://docs.google.com/spreadsheets/d/1AVX9GT0dgogEBStecCXMMQ29tWz3gBrtNB8yIromXbY/edit?gid=741673867"", ""out1g!A:B""), 2, FALSE), 0)"),16.0)</f>
        <v>16</v>
      </c>
      <c r="D5067" s="2" t="str">
        <f>IFERROR(__xludf.DUMMYFUNCTION("IFERROR(VLOOKUP(A5067, IMPORTRANGE(""https://docs.google.com/spreadsheets/d/1-3Vjw2Cyy-mry5gbC8ypIR3YVGFfEpyFESummAta6sg/edit"", ""Sheet1!B:D""), 2, FALSE), ""Not Found"")"),"wev")</f>
        <v>wev</v>
      </c>
      <c r="E5067" s="2" t="str">
        <f>IFERROR(__xludf.DUMMYFUNCTION("IFERROR(VLOOKUP(A5067, IMPORTRANGE(""https://docs.google.com/spreadsheets/d/1-3Vjw2Cyy-mry5gbC8ypIR3YVGFfEpyFESummAta6sg/edit"", ""Sheet1!B:D""), 3, FALSE), ""Not Found"")"),"w e v ")</f>
        <v>w e v </v>
      </c>
    </row>
    <row r="5068">
      <c r="A5068" s="1" t="s">
        <v>5071</v>
      </c>
      <c r="B5068" s="1" t="s">
        <v>5</v>
      </c>
      <c r="C5068" s="2">
        <f>IFERROR(__xludf.DUMMYFUNCTION("IFERROR(VLOOKUP(A5068, IMPORTRANGE(""https://docs.google.com/spreadsheets/d/1AVX9GT0dgogEBStecCXMMQ29tWz3gBrtNB8yIromXbY/edit?gid=741673867"", ""out1g!A:B""), 2, FALSE), 0)"),48.0)</f>
        <v>48</v>
      </c>
      <c r="D5068" s="2" t="str">
        <f>IFERROR(__xludf.DUMMYFUNCTION("IFERROR(VLOOKUP(A5068, IMPORTRANGE(""https://docs.google.com/spreadsheets/d/1-3Vjw2Cyy-mry5gbC8ypIR3YVGFfEpyFESummAta6sg/edit"", ""Sheet1!B:D""), 2, FALSE), ""Not Found"")"),"nɪpi")</f>
        <v>nɪpi</v>
      </c>
      <c r="E5068" s="2" t="str">
        <f>IFERROR(__xludf.DUMMYFUNCTION("IFERROR(VLOOKUP(A5068, IMPORTRANGE(""https://docs.google.com/spreadsheets/d/1-3Vjw2Cyy-mry5gbC8ypIR3YVGFfEpyFESummAta6sg/edit"", ""Sheet1!B:D""), 3, FALSE), ""Not Found"")"),"n ɪ p i ")</f>
        <v>n ɪ p i </v>
      </c>
    </row>
    <row r="5069">
      <c r="A5069" s="1" t="s">
        <v>5072</v>
      </c>
      <c r="B5069" s="1" t="s">
        <v>5</v>
      </c>
      <c r="C5069" s="2">
        <f>IFERROR(__xludf.DUMMYFUNCTION("IFERROR(VLOOKUP(A5069, IMPORTRANGE(""https://docs.google.com/spreadsheets/d/1AVX9GT0dgogEBStecCXMMQ29tWz3gBrtNB8yIromXbY/edit?gid=741673867"", ""out1g!A:B""), 2, FALSE), 0)"),979.0)</f>
        <v>979</v>
      </c>
      <c r="D5069" s="2" t="str">
        <f>IFERROR(__xludf.DUMMYFUNCTION("IFERROR(VLOOKUP(A5069, IMPORTRANGE(""https://docs.google.com/spreadsheets/d/1-3Vjw2Cyy-mry5gbC8ypIR3YVGFfEpyFESummAta6sg/edit"", ""Sheet1!B:D""), 2, FALSE), ""Not Found"")"),"fɪθ")</f>
        <v>fɪθ</v>
      </c>
      <c r="E5069" s="2" t="str">
        <f>IFERROR(__xludf.DUMMYFUNCTION("IFERROR(VLOOKUP(A5069, IMPORTRANGE(""https://docs.google.com/spreadsheets/d/1-3Vjw2Cyy-mry5gbC8ypIR3YVGFfEpyFESummAta6sg/edit"", ""Sheet1!B:D""), 3, FALSE), ""Not Found"")"),"f ɪ θ ")</f>
        <v>f ɪ θ </v>
      </c>
    </row>
    <row r="5070">
      <c r="A5070" s="1" t="s">
        <v>5073</v>
      </c>
      <c r="B5070" s="1" t="s">
        <v>5</v>
      </c>
      <c r="C5070" s="2">
        <f>IFERROR(__xludf.DUMMYFUNCTION("IFERROR(VLOOKUP(A5070, IMPORTRANGE(""https://docs.google.com/spreadsheets/d/1AVX9GT0dgogEBStecCXMMQ29tWz3gBrtNB8yIromXbY/edit?gid=741673867"", ""out1g!A:B""), 2, FALSE), 0)"),87.0)</f>
        <v>87</v>
      </c>
      <c r="D5070" s="2" t="str">
        <f>IFERROR(__xludf.DUMMYFUNCTION("IFERROR(VLOOKUP(A5070, IMPORTRANGE(""https://docs.google.com/spreadsheets/d/1-3Vjw2Cyy-mry5gbC8ypIR3YVGFfEpyFESummAta6sg/edit"", ""Sheet1!B:D""), 2, FALSE), ""Not Found"")"),"ɛrərz")</f>
        <v>ɛrərz</v>
      </c>
      <c r="E5070" s="2" t="str">
        <f>IFERROR(__xludf.DUMMYFUNCTION("IFERROR(VLOOKUP(A5070, IMPORTRANGE(""https://docs.google.com/spreadsheets/d/1-3Vjw2Cyy-mry5gbC8ypIR3YVGFfEpyFESummAta6sg/edit"", ""Sheet1!B:D""), 3, FALSE), ""Not Found"")"),"ɛ r ə r z ")</f>
        <v>ɛ r ə r z </v>
      </c>
    </row>
    <row r="5071">
      <c r="A5071" s="1" t="s">
        <v>5074</v>
      </c>
      <c r="B5071" s="1" t="s">
        <v>5</v>
      </c>
      <c r="C5071" s="2">
        <f>IFERROR(__xludf.DUMMYFUNCTION("IFERROR(VLOOKUP(A5071, IMPORTRANGE(""https://docs.google.com/spreadsheets/d/1AVX9GT0dgogEBStecCXMMQ29tWz3gBrtNB8yIromXbY/edit?gid=741673867"", ""out1g!A:B""), 2, FALSE), 0)"),51.0)</f>
        <v>51</v>
      </c>
      <c r="D5071" s="2" t="str">
        <f>IFERROR(__xludf.DUMMYFUNCTION("IFERROR(VLOOKUP(A5071, IMPORTRANGE(""https://docs.google.com/spreadsheets/d/1-3Vjw2Cyy-mry5gbC8ypIR3YVGFfEpyFESummAta6sg/edit"", ""Sheet1!B:D""), 2, FALSE), ""Not Found"")"),"kɔŋ")</f>
        <v>kɔŋ</v>
      </c>
      <c r="E5071" s="2" t="str">
        <f>IFERROR(__xludf.DUMMYFUNCTION("IFERROR(VLOOKUP(A5071, IMPORTRANGE(""https://docs.google.com/spreadsheets/d/1-3Vjw2Cyy-mry5gbC8ypIR3YVGFfEpyFESummAta6sg/edit"", ""Sheet1!B:D""), 3, FALSE), ""Not Found"")"),"k ɔ ŋ ")</f>
        <v>k ɔ ŋ </v>
      </c>
    </row>
    <row r="5072">
      <c r="A5072" s="1" t="s">
        <v>5075</v>
      </c>
      <c r="B5072" s="1" t="s">
        <v>5</v>
      </c>
      <c r="C5072" s="2">
        <f>IFERROR(__xludf.DUMMYFUNCTION("IFERROR(VLOOKUP(A5072, IMPORTRANGE(""https://docs.google.com/spreadsheets/d/1AVX9GT0dgogEBStecCXMMQ29tWz3gBrtNB8yIromXbY/edit?gid=741673867"", ""out1g!A:B""), 2, FALSE), 0)"),807.0)</f>
        <v>807</v>
      </c>
      <c r="D5072" s="2" t="str">
        <f>IFERROR(__xludf.DUMMYFUNCTION("IFERROR(VLOOKUP(A5072, IMPORTRANGE(""https://docs.google.com/spreadsheets/d/1-3Vjw2Cyy-mry5gbC8ypIR3YVGFfEpyFESummAta6sg/edit"", ""Sheet1!B:D""), 2, FALSE), ""Not Found"")"),"rɑki")</f>
        <v>rɑki</v>
      </c>
      <c r="E5072" s="2" t="str">
        <f>IFERROR(__xludf.DUMMYFUNCTION("IFERROR(VLOOKUP(A5072, IMPORTRANGE(""https://docs.google.com/spreadsheets/d/1-3Vjw2Cyy-mry5gbC8ypIR3YVGFfEpyFESummAta6sg/edit"", ""Sheet1!B:D""), 3, FALSE), ""Not Found"")"),"r ɑ k i ")</f>
        <v>r ɑ k i </v>
      </c>
    </row>
    <row r="5073">
      <c r="A5073" s="1" t="s">
        <v>5076</v>
      </c>
      <c r="B5073" s="1" t="s">
        <v>5</v>
      </c>
      <c r="C5073" s="2">
        <f>IFERROR(__xludf.DUMMYFUNCTION("IFERROR(VLOOKUP(A5073, IMPORTRANGE(""https://docs.google.com/spreadsheets/d/1AVX9GT0dgogEBStecCXMMQ29tWz3gBrtNB8yIromXbY/edit?gid=741673867"", ""out1g!A:B""), 2, FALSE), 0)"),1085.0)</f>
        <v>1085</v>
      </c>
      <c r="D5073" s="2" t="str">
        <f>IFERROR(__xludf.DUMMYFUNCTION("IFERROR(VLOOKUP(A5073, IMPORTRANGE(""https://docs.google.com/spreadsheets/d/1-3Vjw2Cyy-mry5gbC8ypIR3YVGFfEpyFESummAta6sg/edit"", ""Sheet1!B:D""), 2, FALSE), ""Not Found"")"),"ɪl")</f>
        <v>ɪl</v>
      </c>
      <c r="E5073" s="2" t="str">
        <f>IFERROR(__xludf.DUMMYFUNCTION("IFERROR(VLOOKUP(A5073, IMPORTRANGE(""https://docs.google.com/spreadsheets/d/1-3Vjw2Cyy-mry5gbC8ypIR3YVGFfEpyFESummAta6sg/edit"", ""Sheet1!B:D""), 3, FALSE), ""Not Found"")"),"ɪ l ")</f>
        <v>ɪ l </v>
      </c>
    </row>
    <row r="5074">
      <c r="A5074" s="1" t="s">
        <v>5077</v>
      </c>
      <c r="B5074" s="1" t="s">
        <v>5</v>
      </c>
      <c r="C5074" s="2">
        <f>IFERROR(__xludf.DUMMYFUNCTION("IFERROR(VLOOKUP(A5074, IMPORTRANGE(""https://docs.google.com/spreadsheets/d/1AVX9GT0dgogEBStecCXMMQ29tWz3gBrtNB8yIromXbY/edit?gid=741673867"", ""out1g!A:B""), 2, FALSE), 0)"),282.0)</f>
        <v>282</v>
      </c>
      <c r="D5074" s="2" t="str">
        <f>IFERROR(__xludf.DUMMYFUNCTION("IFERROR(VLOOKUP(A5074, IMPORTRANGE(""https://docs.google.com/spreadsheets/d/1-3Vjw2Cyy-mry5gbC8ypIR3YVGFfEpyFESummAta6sg/edit"", ""Sheet1!B:D""), 2, FALSE), ""Not Found"")"),"blɛr")</f>
        <v>blɛr</v>
      </c>
      <c r="E5074" s="2" t="str">
        <f>IFERROR(__xludf.DUMMYFUNCTION("IFERROR(VLOOKUP(A5074, IMPORTRANGE(""https://docs.google.com/spreadsheets/d/1-3Vjw2Cyy-mry5gbC8ypIR3YVGFfEpyFESummAta6sg/edit"", ""Sheet1!B:D""), 3, FALSE), ""Not Found"")"),"b l ɛ r ")</f>
        <v>b l ɛ r </v>
      </c>
    </row>
    <row r="5075">
      <c r="A5075" s="1" t="s">
        <v>5078</v>
      </c>
      <c r="B5075" s="1" t="s">
        <v>5</v>
      </c>
      <c r="C5075" s="2">
        <f>IFERROR(__xludf.DUMMYFUNCTION("IFERROR(VLOOKUP(A5075, IMPORTRANGE(""https://docs.google.com/spreadsheets/d/1AVX9GT0dgogEBStecCXMMQ29tWz3gBrtNB8yIromXbY/edit?gid=741673867"", ""out1g!A:B""), 2, FALSE), 0)"),961.0)</f>
        <v>961</v>
      </c>
      <c r="D5075" s="2" t="str">
        <f>IFERROR(__xludf.DUMMYFUNCTION("IFERROR(VLOOKUP(A5075, IMPORTRANGE(""https://docs.google.com/spreadsheets/d/1-3Vjw2Cyy-mry5gbC8ypIR3YVGFfEpyFESummAta6sg/edit"", ""Sheet1!B:D""), 2, FALSE), ""Not Found"")"),"ɛl")</f>
        <v>ɛl</v>
      </c>
      <c r="E5075" s="2" t="str">
        <f>IFERROR(__xludf.DUMMYFUNCTION("IFERROR(VLOOKUP(A5075, IMPORTRANGE(""https://docs.google.com/spreadsheets/d/1-3Vjw2Cyy-mry5gbC8ypIR3YVGFfEpyFESummAta6sg/edit"", ""Sheet1!B:D""), 3, FALSE), ""Not Found"")"),"ɛ l ")</f>
        <v>ɛ l </v>
      </c>
    </row>
    <row r="5076">
      <c r="A5076" s="1" t="s">
        <v>5079</v>
      </c>
      <c r="B5076" s="1" t="s">
        <v>5</v>
      </c>
      <c r="C5076" s="2">
        <f>IFERROR(__xludf.DUMMYFUNCTION("IFERROR(VLOOKUP(A5076, IMPORTRANGE(""https://docs.google.com/spreadsheets/d/1AVX9GT0dgogEBStecCXMMQ29tWz3gBrtNB8yIromXbY/edit?gid=741673867"", ""out1g!A:B""), 2, FALSE), 0)"),626.0)</f>
        <v>626</v>
      </c>
      <c r="D5076" s="2" t="str">
        <f>IFERROR(__xludf.DUMMYFUNCTION("IFERROR(VLOOKUP(A5076, IMPORTRANGE(""https://docs.google.com/spreadsheets/d/1-3Vjw2Cyy-mry5gbC8ypIR3YVGFfEpyFESummAta6sg/edit"", ""Sheet1!B:D""), 2, FALSE), ""Not Found"")"),"koʊmə")</f>
        <v>koʊmə</v>
      </c>
      <c r="E5076" s="2" t="str">
        <f>IFERROR(__xludf.DUMMYFUNCTION("IFERROR(VLOOKUP(A5076, IMPORTRANGE(""https://docs.google.com/spreadsheets/d/1-3Vjw2Cyy-mry5gbC8ypIR3YVGFfEpyFESummAta6sg/edit"", ""Sheet1!B:D""), 3, FALSE), ""Not Found"")"),"k o ʊ m ə ")</f>
        <v>k o ʊ m ə </v>
      </c>
    </row>
    <row r="5077">
      <c r="A5077" s="1" t="s">
        <v>5080</v>
      </c>
      <c r="B5077" s="1" t="s">
        <v>5</v>
      </c>
      <c r="C5077" s="2">
        <f>IFERROR(__xludf.DUMMYFUNCTION("IFERROR(VLOOKUP(A5077, IMPORTRANGE(""https://docs.google.com/spreadsheets/d/1AVX9GT0dgogEBStecCXMMQ29tWz3gBrtNB8yIromXbY/edit?gid=741673867"", ""out1g!A:B""), 2, FALSE), 0)"),188.0)</f>
        <v>188</v>
      </c>
      <c r="D5077" s="2" t="str">
        <f>IFERROR(__xludf.DUMMYFUNCTION("IFERROR(VLOOKUP(A5077, IMPORTRANGE(""https://docs.google.com/spreadsheets/d/1-3Vjw2Cyy-mry5gbC8ypIR3YVGFfEpyFESummAta6sg/edit"", ""Sheet1!B:D""), 2, FALSE), ""Not Found"")"),"pætsi")</f>
        <v>pætsi</v>
      </c>
      <c r="E5077" s="2" t="str">
        <f>IFERROR(__xludf.DUMMYFUNCTION("IFERROR(VLOOKUP(A5077, IMPORTRANGE(""https://docs.google.com/spreadsheets/d/1-3Vjw2Cyy-mry5gbC8ypIR3YVGFfEpyFESummAta6sg/edit"", ""Sheet1!B:D""), 3, FALSE), ""Not Found"")"),"p æ t s i ")</f>
        <v>p æ t s i </v>
      </c>
    </row>
    <row r="5078">
      <c r="A5078" s="1" t="s">
        <v>5081</v>
      </c>
      <c r="B5078" s="1" t="s">
        <v>5</v>
      </c>
      <c r="C5078" s="2">
        <f>IFERROR(__xludf.DUMMYFUNCTION("IFERROR(VLOOKUP(A5078, IMPORTRANGE(""https://docs.google.com/spreadsheets/d/1AVX9GT0dgogEBStecCXMMQ29tWz3gBrtNB8yIromXbY/edit?gid=741673867"", ""out1g!A:B""), 2, FALSE), 0)"),172.0)</f>
        <v>172</v>
      </c>
      <c r="D5078" s="2" t="str">
        <f>IFERROR(__xludf.DUMMYFUNCTION("IFERROR(VLOOKUP(A5078, IMPORTRANGE(""https://docs.google.com/spreadsheets/d/1-3Vjw2Cyy-mry5gbC8ypIR3YVGFfEpyFESummAta6sg/edit"", ""Sheet1!B:D""), 2, FALSE), ""Not Found"")"),"frɑgz")</f>
        <v>frɑgz</v>
      </c>
      <c r="E5078" s="2" t="str">
        <f>IFERROR(__xludf.DUMMYFUNCTION("IFERROR(VLOOKUP(A5078, IMPORTRANGE(""https://docs.google.com/spreadsheets/d/1-3Vjw2Cyy-mry5gbC8ypIR3YVGFfEpyFESummAta6sg/edit"", ""Sheet1!B:D""), 3, FALSE), ""Not Found"")"),"f r ɑ g z ")</f>
        <v>f r ɑ g z </v>
      </c>
    </row>
    <row r="5079">
      <c r="A5079" s="1" t="s">
        <v>5082</v>
      </c>
      <c r="B5079" s="1" t="s">
        <v>5</v>
      </c>
      <c r="C5079" s="2">
        <f>IFERROR(__xludf.DUMMYFUNCTION("IFERROR(VLOOKUP(A5079, IMPORTRANGE(""https://docs.google.com/spreadsheets/d/1AVX9GT0dgogEBStecCXMMQ29tWz3gBrtNB8yIromXbY/edit?gid=741673867"", ""out1g!A:B""), 2, FALSE), 0)"),8277.0)</f>
        <v>8277</v>
      </c>
      <c r="D5079" s="2" t="str">
        <f>IFERROR(__xludf.DUMMYFUNCTION("IFERROR(VLOOKUP(A5079, IMPORTRANGE(""https://docs.google.com/spreadsheets/d/1-3Vjw2Cyy-mry5gbC8ypIR3YVGFfEpyFESummAta6sg/edit"", ""Sheet1!B:D""), 2, FALSE), ""Not Found"")"),"aʊər")</f>
        <v>aʊər</v>
      </c>
      <c r="E5079" s="2" t="str">
        <f>IFERROR(__xludf.DUMMYFUNCTION("IFERROR(VLOOKUP(A5079, IMPORTRANGE(""https://docs.google.com/spreadsheets/d/1-3Vjw2Cyy-mry5gbC8ypIR3YVGFfEpyFESummAta6sg/edit"", ""Sheet1!B:D""), 3, FALSE), ""Not Found"")"),"a ʊ ə r ")</f>
        <v>a ʊ ə r </v>
      </c>
    </row>
    <row r="5080">
      <c r="A5080" s="1" t="s">
        <v>5083</v>
      </c>
      <c r="B5080" s="1" t="s">
        <v>5</v>
      </c>
      <c r="C5080" s="2">
        <f>IFERROR(__xludf.DUMMYFUNCTION("IFERROR(VLOOKUP(A5080, IMPORTRANGE(""https://docs.google.com/spreadsheets/d/1AVX9GT0dgogEBStecCXMMQ29tWz3gBrtNB8yIromXbY/edit?gid=741673867"", ""out1g!A:B""), 2, FALSE), 0)"),116.0)</f>
        <v>116</v>
      </c>
      <c r="D5080" s="2" t="str">
        <f>IFERROR(__xludf.DUMMYFUNCTION("IFERROR(VLOOKUP(A5080, IMPORTRANGE(""https://docs.google.com/spreadsheets/d/1-3Vjw2Cyy-mry5gbC8ypIR3YVGFfEpyFESummAta6sg/edit"", ""Sheet1!B:D""), 2, FALSE), ""Not Found"")"),"sloʊd")</f>
        <v>sloʊd</v>
      </c>
      <c r="E5080" s="2" t="str">
        <f>IFERROR(__xludf.DUMMYFUNCTION("IFERROR(VLOOKUP(A5080, IMPORTRANGE(""https://docs.google.com/spreadsheets/d/1-3Vjw2Cyy-mry5gbC8ypIR3YVGFfEpyFESummAta6sg/edit"", ""Sheet1!B:D""), 3, FALSE), ""Not Found"")"),"s l o ʊ d ")</f>
        <v>s l o ʊ d </v>
      </c>
    </row>
    <row r="5081">
      <c r="A5081" s="1" t="s">
        <v>5084</v>
      </c>
      <c r="B5081" s="1" t="s">
        <v>5</v>
      </c>
      <c r="C5081" s="2">
        <f>IFERROR(__xludf.DUMMYFUNCTION("IFERROR(VLOOKUP(A5081, IMPORTRANGE(""https://docs.google.com/spreadsheets/d/1AVX9GT0dgogEBStecCXMMQ29tWz3gBrtNB8yIromXbY/edit?gid=741673867"", ""out1g!A:B""), 2, FALSE), 0)"),128.0)</f>
        <v>128</v>
      </c>
      <c r="D5081" s="2" t="str">
        <f>IFERROR(__xludf.DUMMYFUNCTION("IFERROR(VLOOKUP(A5081, IMPORTRANGE(""https://docs.google.com/spreadsheets/d/1-3Vjw2Cyy-mry5gbC8ypIR3YVGFfEpyFESummAta6sg/edit"", ""Sheet1!B:D""), 2, FALSE), ""Not Found"")"),"pəfs")</f>
        <v>pəfs</v>
      </c>
      <c r="E5081" s="2" t="str">
        <f>IFERROR(__xludf.DUMMYFUNCTION("IFERROR(VLOOKUP(A5081, IMPORTRANGE(""https://docs.google.com/spreadsheets/d/1-3Vjw2Cyy-mry5gbC8ypIR3YVGFfEpyFESummAta6sg/edit"", ""Sheet1!B:D""), 3, FALSE), ""Not Found"")"),"p ə f s ")</f>
        <v>p ə f s </v>
      </c>
    </row>
    <row r="5082">
      <c r="A5082" s="1" t="s">
        <v>5085</v>
      </c>
      <c r="B5082" s="1" t="s">
        <v>5</v>
      </c>
      <c r="C5082" s="2">
        <f>IFERROR(__xludf.DUMMYFUNCTION("IFERROR(VLOOKUP(A5082, IMPORTRANGE(""https://docs.google.com/spreadsheets/d/1AVX9GT0dgogEBStecCXMMQ29tWz3gBrtNB8yIromXbY/edit?gid=741673867"", ""out1g!A:B""), 2, FALSE), 0)"),15879.0)</f>
        <v>15879</v>
      </c>
      <c r="D5082" s="2" t="str">
        <f>IFERROR(__xludf.DUMMYFUNCTION("IFERROR(VLOOKUP(A5082, IMPORTRANGE(""https://docs.google.com/spreadsheets/d/1-3Vjw2Cyy-mry5gbC8ypIR3YVGFfEpyFESummAta6sg/edit"", ""Sheet1!B:D""), 2, FALSE), ""Not Found"")"),"sɪt")</f>
        <v>sɪt</v>
      </c>
      <c r="E5082" s="2" t="str">
        <f>IFERROR(__xludf.DUMMYFUNCTION("IFERROR(VLOOKUP(A5082, IMPORTRANGE(""https://docs.google.com/spreadsheets/d/1-3Vjw2Cyy-mry5gbC8ypIR3YVGFfEpyFESummAta6sg/edit"", ""Sheet1!B:D""), 3, FALSE), ""Not Found"")"),"s ɪ t ")</f>
        <v>s ɪ t </v>
      </c>
    </row>
    <row r="5083">
      <c r="A5083" s="1" t="s">
        <v>5086</v>
      </c>
      <c r="B5083" s="1" t="s">
        <v>5</v>
      </c>
      <c r="C5083" s="2">
        <f>IFERROR(__xludf.DUMMYFUNCTION("IFERROR(VLOOKUP(A5083, IMPORTRANGE(""https://docs.google.com/spreadsheets/d/1AVX9GT0dgogEBStecCXMMQ29tWz3gBrtNB8yIromXbY/edit?gid=741673867"", ""out1g!A:B""), 2, FALSE), 0)"),339.0)</f>
        <v>339</v>
      </c>
      <c r="D5083" s="2" t="str">
        <f>IFERROR(__xludf.DUMMYFUNCTION("IFERROR(VLOOKUP(A5083, IMPORTRANGE(""https://docs.google.com/spreadsheets/d/1-3Vjw2Cyy-mry5gbC8ypIR3YVGFfEpyFESummAta6sg/edit"", ""Sheet1!B:D""), 2, FALSE), ""Not Found"")"),"wɪʃɪŋ")</f>
        <v>wɪʃɪŋ</v>
      </c>
      <c r="E5083" s="2" t="str">
        <f>IFERROR(__xludf.DUMMYFUNCTION("IFERROR(VLOOKUP(A5083, IMPORTRANGE(""https://docs.google.com/spreadsheets/d/1-3Vjw2Cyy-mry5gbC8ypIR3YVGFfEpyFESummAta6sg/edit"", ""Sheet1!B:D""), 3, FALSE), ""Not Found"")"),"w ɪ ʃ ɪ ŋ ")</f>
        <v>w ɪ ʃ ɪ ŋ </v>
      </c>
    </row>
    <row r="5084">
      <c r="A5084" s="1" t="s">
        <v>5087</v>
      </c>
      <c r="B5084" s="1" t="s">
        <v>5</v>
      </c>
      <c r="C5084" s="2">
        <f>IFERROR(__xludf.DUMMYFUNCTION("IFERROR(VLOOKUP(A5084, IMPORTRANGE(""https://docs.google.com/spreadsheets/d/1AVX9GT0dgogEBStecCXMMQ29tWz3gBrtNB8yIromXbY/edit?gid=741673867"", ""out1g!A:B""), 2, FALSE), 0)"),1007.0)</f>
        <v>1007</v>
      </c>
      <c r="D5084" s="2" t="str">
        <f>IFERROR(__xludf.DUMMYFUNCTION("IFERROR(VLOOKUP(A5084, IMPORTRANGE(""https://docs.google.com/spreadsheets/d/1-3Vjw2Cyy-mry5gbC8ypIR3YVGFfEpyFESummAta6sg/edit"", ""Sheet1!B:D""), 2, FALSE), ""Not Found"")"),"sərvd")</f>
        <v>sərvd</v>
      </c>
      <c r="E5084" s="2" t="str">
        <f>IFERROR(__xludf.DUMMYFUNCTION("IFERROR(VLOOKUP(A5084, IMPORTRANGE(""https://docs.google.com/spreadsheets/d/1-3Vjw2Cyy-mry5gbC8ypIR3YVGFfEpyFESummAta6sg/edit"", ""Sheet1!B:D""), 3, FALSE), ""Not Found"")"),"s ə r v d ")</f>
        <v>s ə r v d </v>
      </c>
    </row>
    <row r="5085">
      <c r="A5085" s="1" t="s">
        <v>5088</v>
      </c>
      <c r="B5085" s="1" t="s">
        <v>5</v>
      </c>
      <c r="C5085" s="2">
        <f>IFERROR(__xludf.DUMMYFUNCTION("IFERROR(VLOOKUP(A5085, IMPORTRANGE(""https://docs.google.com/spreadsheets/d/1AVX9GT0dgogEBStecCXMMQ29tWz3gBrtNB8yIromXbY/edit?gid=741673867"", ""out1g!A:B""), 2, FALSE), 0)"),6281.0)</f>
        <v>6281</v>
      </c>
      <c r="D5085" s="2" t="str">
        <f>IFERROR(__xludf.DUMMYFUNCTION("IFERROR(VLOOKUP(A5085, IMPORTRANGE(""https://docs.google.com/spreadsheets/d/1-3Vjw2Cyy-mry5gbC8ypIR3YVGFfEpyFESummAta6sg/edit"", ""Sheet1!B:D""), 2, FALSE), ""Not Found"")"),"sæm")</f>
        <v>sæm</v>
      </c>
      <c r="E5085" s="2" t="str">
        <f>IFERROR(__xludf.DUMMYFUNCTION("IFERROR(VLOOKUP(A5085, IMPORTRANGE(""https://docs.google.com/spreadsheets/d/1-3Vjw2Cyy-mry5gbC8ypIR3YVGFfEpyFESummAta6sg/edit"", ""Sheet1!B:D""), 3, FALSE), ""Not Found"")"),"s æ m ")</f>
        <v>s æ m </v>
      </c>
    </row>
    <row r="5086">
      <c r="A5086" s="1" t="s">
        <v>5089</v>
      </c>
      <c r="B5086" s="1" t="s">
        <v>5</v>
      </c>
      <c r="C5086" s="2">
        <f>IFERROR(__xludf.DUMMYFUNCTION("IFERROR(VLOOKUP(A5086, IMPORTRANGE(""https://docs.google.com/spreadsheets/d/1AVX9GT0dgogEBStecCXMMQ29tWz3gBrtNB8yIromXbY/edit?gid=741673867"", ""out1g!A:B""), 2, FALSE), 0)"),52.0)</f>
        <v>52</v>
      </c>
      <c r="D5086" s="2" t="str">
        <f>IFERROR(__xludf.DUMMYFUNCTION("IFERROR(VLOOKUP(A5086, IMPORTRANGE(""https://docs.google.com/spreadsheets/d/1-3Vjw2Cyy-mry5gbC8ypIR3YVGFfEpyFESummAta6sg/edit"", ""Sheet1!B:D""), 2, FALSE), ""Not Found"")"),"ʧui")</f>
        <v>ʧui</v>
      </c>
      <c r="E5086" s="2" t="str">
        <f>IFERROR(__xludf.DUMMYFUNCTION("IFERROR(VLOOKUP(A5086, IMPORTRANGE(""https://docs.google.com/spreadsheets/d/1-3Vjw2Cyy-mry5gbC8ypIR3YVGFfEpyFESummAta6sg/edit"", ""Sheet1!B:D""), 3, FALSE), ""Not Found"")"),"ʧ u i ")</f>
        <v>ʧ u i </v>
      </c>
    </row>
    <row r="5087">
      <c r="A5087" s="1" t="s">
        <v>5090</v>
      </c>
      <c r="B5087" s="1" t="s">
        <v>5</v>
      </c>
      <c r="C5087" s="2">
        <f>IFERROR(__xludf.DUMMYFUNCTION("IFERROR(VLOOKUP(A5087, IMPORTRANGE(""https://docs.google.com/spreadsheets/d/1AVX9GT0dgogEBStecCXMMQ29tWz3gBrtNB8yIromXbY/edit?gid=741673867"", ""out1g!A:B""), 2, FALSE), 0)"),111.0)</f>
        <v>111</v>
      </c>
      <c r="D5087" s="2" t="str">
        <f>IFERROR(__xludf.DUMMYFUNCTION("IFERROR(VLOOKUP(A5087, IMPORTRANGE(""https://docs.google.com/spreadsheets/d/1-3Vjw2Cyy-mry5gbC8ypIR3YVGFfEpyFESummAta6sg/edit"", ""Sheet1!B:D""), 2, FALSE), ""Not Found"")"),"fɔlaʊt")</f>
        <v>fɔlaʊt</v>
      </c>
      <c r="E5087" s="2" t="str">
        <f>IFERROR(__xludf.DUMMYFUNCTION("IFERROR(VLOOKUP(A5087, IMPORTRANGE(""https://docs.google.com/spreadsheets/d/1-3Vjw2Cyy-mry5gbC8ypIR3YVGFfEpyFESummAta6sg/edit"", ""Sheet1!B:D""), 3, FALSE), ""Not Found"")"),"f ɔ l a ʊ t ")</f>
        <v>f ɔ l a ʊ t </v>
      </c>
    </row>
    <row r="5088">
      <c r="A5088" s="1" t="s">
        <v>5091</v>
      </c>
      <c r="B5088" s="1" t="s">
        <v>5</v>
      </c>
      <c r="C5088" s="2">
        <f>IFERROR(__xludf.DUMMYFUNCTION("IFERROR(VLOOKUP(A5088, IMPORTRANGE(""https://docs.google.com/spreadsheets/d/1AVX9GT0dgogEBStecCXMMQ29tWz3gBrtNB8yIromXbY/edit?gid=741673867"", ""out1g!A:B""), 2, FALSE), 0)"),826.0)</f>
        <v>826</v>
      </c>
      <c r="D5088" s="2" t="str">
        <f>IFERROR(__xludf.DUMMYFUNCTION("IFERROR(VLOOKUP(A5088, IMPORTRANGE(""https://docs.google.com/spreadsheets/d/1-3Vjw2Cyy-mry5gbC8ypIR3YVGFfEpyFESummAta6sg/edit"", ""Sheet1!B:D""), 2, FALSE), ""Not Found"")"),"strək")</f>
        <v>strək</v>
      </c>
      <c r="E5088" s="2" t="str">
        <f>IFERROR(__xludf.DUMMYFUNCTION("IFERROR(VLOOKUP(A5088, IMPORTRANGE(""https://docs.google.com/spreadsheets/d/1-3Vjw2Cyy-mry5gbC8ypIR3YVGFfEpyFESummAta6sg/edit"", ""Sheet1!B:D""), 3, FALSE), ""Not Found"")"),"s t r ə k ")</f>
        <v>s t r ə k </v>
      </c>
    </row>
    <row r="5089">
      <c r="A5089" s="1" t="s">
        <v>5092</v>
      </c>
      <c r="B5089" s="1" t="s">
        <v>5</v>
      </c>
      <c r="C5089" s="2">
        <f>IFERROR(__xludf.DUMMYFUNCTION("IFERROR(VLOOKUP(A5089, IMPORTRANGE(""https://docs.google.com/spreadsheets/d/1AVX9GT0dgogEBStecCXMMQ29tWz3gBrtNB8yIromXbY/edit?gid=741673867"", ""out1g!A:B""), 2, FALSE), 0)"),66.0)</f>
        <v>66</v>
      </c>
      <c r="D5089" s="2" t="str">
        <f>IFERROR(__xludf.DUMMYFUNCTION("IFERROR(VLOOKUP(A5089, IMPORTRANGE(""https://docs.google.com/spreadsheets/d/1-3Vjw2Cyy-mry5gbC8ypIR3YVGFfEpyFESummAta6sg/edit"", ""Sheet1!B:D""), 2, FALSE), ""Not Found"")"),"tʊʃ")</f>
        <v>tʊʃ</v>
      </c>
      <c r="E5089" s="2" t="str">
        <f>IFERROR(__xludf.DUMMYFUNCTION("IFERROR(VLOOKUP(A5089, IMPORTRANGE(""https://docs.google.com/spreadsheets/d/1-3Vjw2Cyy-mry5gbC8ypIR3YVGFfEpyFESummAta6sg/edit"", ""Sheet1!B:D""), 3, FALSE), ""Not Found"")"),"t ʊ ʃ ")</f>
        <v>t ʊ ʃ </v>
      </c>
    </row>
    <row r="5090">
      <c r="A5090" s="1" t="s">
        <v>5093</v>
      </c>
      <c r="B5090" s="1" t="s">
        <v>5</v>
      </c>
      <c r="C5090" s="2">
        <f>IFERROR(__xludf.DUMMYFUNCTION("IFERROR(VLOOKUP(A5090, IMPORTRANGE(""https://docs.google.com/spreadsheets/d/1AVX9GT0dgogEBStecCXMMQ29tWz3gBrtNB8yIromXbY/edit?gid=741673867"", ""out1g!A:B""), 2, FALSE), 0)"),107.0)</f>
        <v>107</v>
      </c>
      <c r="D5090" s="2" t="str">
        <f>IFERROR(__xludf.DUMMYFUNCTION("IFERROR(VLOOKUP(A5090, IMPORTRANGE(""https://docs.google.com/spreadsheets/d/1-3Vjw2Cyy-mry5gbC8ypIR3YVGFfEpyFESummAta6sg/edit"", ""Sheet1!B:D""), 2, FALSE), ""Not Found"")"),"gɛrɪt")</f>
        <v>gɛrɪt</v>
      </c>
      <c r="E5090" s="2" t="str">
        <f>IFERROR(__xludf.DUMMYFUNCTION("IFERROR(VLOOKUP(A5090, IMPORTRANGE(""https://docs.google.com/spreadsheets/d/1-3Vjw2Cyy-mry5gbC8ypIR3YVGFfEpyFESummAta6sg/edit"", ""Sheet1!B:D""), 3, FALSE), ""Not Found"")"),"g ɛ r ɪ t ")</f>
        <v>g ɛ r ɪ t </v>
      </c>
    </row>
    <row r="5091">
      <c r="A5091" s="1" t="s">
        <v>5094</v>
      </c>
      <c r="B5091" s="1" t="s">
        <v>5</v>
      </c>
      <c r="C5091" s="2">
        <f>IFERROR(__xludf.DUMMYFUNCTION("IFERROR(VLOOKUP(A5091, IMPORTRANGE(""https://docs.google.com/spreadsheets/d/1AVX9GT0dgogEBStecCXMMQ29tWz3gBrtNB8yIromXbY/edit?gid=741673867"", ""out1g!A:B""), 2, FALSE), 0)"),1381.0)</f>
        <v>1381</v>
      </c>
      <c r="D5091" s="2" t="str">
        <f>IFERROR(__xludf.DUMMYFUNCTION("IFERROR(VLOOKUP(A5091, IMPORTRANGE(""https://docs.google.com/spreadsheets/d/1-3Vjw2Cyy-mry5gbC8ypIR3YVGFfEpyFESummAta6sg/edit"", ""Sheet1!B:D""), 2, FALSE), ""Not Found"")"),"luzər")</f>
        <v>luzər</v>
      </c>
      <c r="E5091" s="2" t="str">
        <f>IFERROR(__xludf.DUMMYFUNCTION("IFERROR(VLOOKUP(A5091, IMPORTRANGE(""https://docs.google.com/spreadsheets/d/1-3Vjw2Cyy-mry5gbC8ypIR3YVGFfEpyFESummAta6sg/edit"", ""Sheet1!B:D""), 3, FALSE), ""Not Found"")"),"l u z ə r ")</f>
        <v>l u z ə r </v>
      </c>
    </row>
    <row r="5092">
      <c r="A5092" s="1" t="s">
        <v>5095</v>
      </c>
      <c r="B5092" s="1" t="s">
        <v>5</v>
      </c>
      <c r="C5092" s="2">
        <f>IFERROR(__xludf.DUMMYFUNCTION("IFERROR(VLOOKUP(A5092, IMPORTRANGE(""https://docs.google.com/spreadsheets/d/1AVX9GT0dgogEBStecCXMMQ29tWz3gBrtNB8yIromXbY/edit?gid=741673867"", ""out1g!A:B""), 2, FALSE), 0)"),102.0)</f>
        <v>102</v>
      </c>
      <c r="D5092" s="2" t="str">
        <f>IFERROR(__xludf.DUMMYFUNCTION("IFERROR(VLOOKUP(A5092, IMPORTRANGE(""https://docs.google.com/spreadsheets/d/1-3Vjw2Cyy-mry5gbC8ypIR3YVGFfEpyFESummAta6sg/edit"", ""Sheet1!B:D""), 2, FALSE), ""Not Found"")"),"bləʃɪŋ")</f>
        <v>bləʃɪŋ</v>
      </c>
      <c r="E5092" s="2" t="str">
        <f>IFERROR(__xludf.DUMMYFUNCTION("IFERROR(VLOOKUP(A5092, IMPORTRANGE(""https://docs.google.com/spreadsheets/d/1-3Vjw2Cyy-mry5gbC8ypIR3YVGFfEpyFESummAta6sg/edit"", ""Sheet1!B:D""), 3, FALSE), ""Not Found"")"),"b l ə ʃ ɪ ŋ ")</f>
        <v>b l ə ʃ ɪ ŋ </v>
      </c>
    </row>
    <row r="5093">
      <c r="A5093" s="1" t="s">
        <v>5096</v>
      </c>
      <c r="B5093" s="1" t="s">
        <v>5</v>
      </c>
      <c r="C5093" s="2">
        <f>IFERROR(__xludf.DUMMYFUNCTION("IFERROR(VLOOKUP(A5093, IMPORTRANGE(""https://docs.google.com/spreadsheets/d/1AVX9GT0dgogEBStecCXMMQ29tWz3gBrtNB8yIromXbY/edit?gid=741673867"", ""out1g!A:B""), 2, FALSE), 0)"),140.0)</f>
        <v>140</v>
      </c>
      <c r="D5093" s="2" t="str">
        <f>IFERROR(__xludf.DUMMYFUNCTION("IFERROR(VLOOKUP(A5093, IMPORTRANGE(""https://docs.google.com/spreadsheets/d/1-3Vjw2Cyy-mry5gbC8ypIR3YVGFfEpyFESummAta6sg/edit"", ""Sheet1!B:D""), 2, FALSE), ""Not Found"")"),"ɔrb")</f>
        <v>ɔrb</v>
      </c>
      <c r="E5093" s="2" t="str">
        <f>IFERROR(__xludf.DUMMYFUNCTION("IFERROR(VLOOKUP(A5093, IMPORTRANGE(""https://docs.google.com/spreadsheets/d/1-3Vjw2Cyy-mry5gbC8ypIR3YVGFfEpyFESummAta6sg/edit"", ""Sheet1!B:D""), 3, FALSE), ""Not Found"")"),"ɔ r b ")</f>
        <v>ɔ r b </v>
      </c>
    </row>
    <row r="5094">
      <c r="A5094" s="1" t="s">
        <v>5097</v>
      </c>
      <c r="B5094" s="1" t="s">
        <v>5</v>
      </c>
      <c r="C5094" s="2">
        <f>IFERROR(__xludf.DUMMYFUNCTION("IFERROR(VLOOKUP(A5094, IMPORTRANGE(""https://docs.google.com/spreadsheets/d/1AVX9GT0dgogEBStecCXMMQ29tWz3gBrtNB8yIromXbY/edit?gid=741673867"", ""out1g!A:B""), 2, FALSE), 0)"),32679.0)</f>
        <v>32679</v>
      </c>
      <c r="D5094" s="2" t="str">
        <f>IFERROR(__xludf.DUMMYFUNCTION("IFERROR(VLOOKUP(A5094, IMPORTRANGE(""https://docs.google.com/spreadsheets/d/1-3Vjw2Cyy-mry5gbC8ypIR3YVGFfEpyFESummAta6sg/edit"", ""Sheet1!B:D""), 2, FALSE), ""Not Found"")"),"məni")</f>
        <v>məni</v>
      </c>
      <c r="E5094" s="2" t="str">
        <f>IFERROR(__xludf.DUMMYFUNCTION("IFERROR(VLOOKUP(A5094, IMPORTRANGE(""https://docs.google.com/spreadsheets/d/1-3Vjw2Cyy-mry5gbC8ypIR3YVGFfEpyFESummAta6sg/edit"", ""Sheet1!B:D""), 3, FALSE), ""Not Found"")"),"m ə n i ")</f>
        <v>m ə n i </v>
      </c>
    </row>
    <row r="5095">
      <c r="A5095" s="1" t="s">
        <v>5098</v>
      </c>
      <c r="B5095" s="1" t="s">
        <v>5</v>
      </c>
      <c r="C5095" s="2">
        <f>IFERROR(__xludf.DUMMYFUNCTION("IFERROR(VLOOKUP(A5095, IMPORTRANGE(""https://docs.google.com/spreadsheets/d/1AVX9GT0dgogEBStecCXMMQ29tWz3gBrtNB8yIromXbY/edit?gid=741673867"", ""out1g!A:B""), 2, FALSE), 0)"),1200.0)</f>
        <v>1200</v>
      </c>
      <c r="D5095" s="2" t="str">
        <f>IFERROR(__xludf.DUMMYFUNCTION("IFERROR(VLOOKUP(A5095, IMPORTRANGE(""https://docs.google.com/spreadsheets/d/1-3Vjw2Cyy-mry5gbC8ypIR3YVGFfEpyFESummAta6sg/edit"", ""Sheet1!B:D""), 2, FALSE), ""Not Found"")"),"raɪtər")</f>
        <v>raɪtər</v>
      </c>
      <c r="E5095" s="2" t="str">
        <f>IFERROR(__xludf.DUMMYFUNCTION("IFERROR(VLOOKUP(A5095, IMPORTRANGE(""https://docs.google.com/spreadsheets/d/1-3Vjw2Cyy-mry5gbC8ypIR3YVGFfEpyFESummAta6sg/edit"", ""Sheet1!B:D""), 3, FALSE), ""Not Found"")"),"r a ɪ t ə r ")</f>
        <v>r a ɪ t ə r </v>
      </c>
    </row>
    <row r="5096">
      <c r="A5096" s="1" t="s">
        <v>5099</v>
      </c>
      <c r="B5096" s="1" t="s">
        <v>5</v>
      </c>
      <c r="C5096" s="2">
        <f>IFERROR(__xludf.DUMMYFUNCTION("IFERROR(VLOOKUP(A5096, IMPORTRANGE(""https://docs.google.com/spreadsheets/d/1AVX9GT0dgogEBStecCXMMQ29tWz3gBrtNB8yIromXbY/edit?gid=741673867"", ""out1g!A:B""), 2, FALSE), 0)"),221.0)</f>
        <v>221</v>
      </c>
      <c r="D5096" s="2" t="str">
        <f>IFERROR(__xludf.DUMMYFUNCTION("IFERROR(VLOOKUP(A5096, IMPORTRANGE(""https://docs.google.com/spreadsheets/d/1-3Vjw2Cyy-mry5gbC8ypIR3YVGFfEpyFESummAta6sg/edit"", ""Sheet1!B:D""), 2, FALSE), ""Not Found"")"),"lɪftɪŋ")</f>
        <v>lɪftɪŋ</v>
      </c>
      <c r="E5096" s="2" t="str">
        <f>IFERROR(__xludf.DUMMYFUNCTION("IFERROR(VLOOKUP(A5096, IMPORTRANGE(""https://docs.google.com/spreadsheets/d/1-3Vjw2Cyy-mry5gbC8ypIR3YVGFfEpyFESummAta6sg/edit"", ""Sheet1!B:D""), 3, FALSE), ""Not Found"")"),"l ɪ f t ɪ ŋ ")</f>
        <v>l ɪ f t ɪ ŋ </v>
      </c>
    </row>
    <row r="5097">
      <c r="A5097" s="1" t="s">
        <v>5100</v>
      </c>
      <c r="B5097" s="1" t="s">
        <v>5</v>
      </c>
      <c r="C5097" s="2">
        <f>IFERROR(__xludf.DUMMYFUNCTION("IFERROR(VLOOKUP(A5097, IMPORTRANGE(""https://docs.google.com/spreadsheets/d/1AVX9GT0dgogEBStecCXMMQ29tWz3gBrtNB8yIromXbY/edit?gid=741673867"", ""out1g!A:B""), 2, FALSE), 0)"),313.0)</f>
        <v>313</v>
      </c>
      <c r="D5097" s="2" t="str">
        <f>IFERROR(__xludf.DUMMYFUNCTION("IFERROR(VLOOKUP(A5097, IMPORTRANGE(""https://docs.google.com/spreadsheets/d/1-3Vjw2Cyy-mry5gbC8ypIR3YVGFfEpyFESummAta6sg/edit"", ""Sheet1!B:D""), 2, FALSE), ""Not Found"")"),"buti")</f>
        <v>buti</v>
      </c>
      <c r="E5097" s="2" t="str">
        <f>IFERROR(__xludf.DUMMYFUNCTION("IFERROR(VLOOKUP(A5097, IMPORTRANGE(""https://docs.google.com/spreadsheets/d/1-3Vjw2Cyy-mry5gbC8ypIR3YVGFfEpyFESummAta6sg/edit"", ""Sheet1!B:D""), 3, FALSE), ""Not Found"")"),"b u t i ")</f>
        <v>b u t i </v>
      </c>
    </row>
    <row r="5098">
      <c r="A5098" s="1" t="s">
        <v>5101</v>
      </c>
      <c r="B5098" s="1" t="s">
        <v>5</v>
      </c>
      <c r="C5098" s="2">
        <f>IFERROR(__xludf.DUMMYFUNCTION("IFERROR(VLOOKUP(A5098, IMPORTRANGE(""https://docs.google.com/spreadsheets/d/1AVX9GT0dgogEBStecCXMMQ29tWz3gBrtNB8yIromXbY/edit?gid=741673867"", ""out1g!A:B""), 2, FALSE), 0)"),5668.0)</f>
        <v>5668</v>
      </c>
      <c r="D5098" s="2" t="str">
        <f>IFERROR(__xludf.DUMMYFUNCTION("IFERROR(VLOOKUP(A5098, IMPORTRANGE(""https://docs.google.com/spreadsheets/d/1-3Vjw2Cyy-mry5gbC8ypIR3YVGFfEpyFESummAta6sg/edit"", ""Sheet1!B:D""), 2, FALSE), ""Not Found"")"),"ʧɑrli")</f>
        <v>ʧɑrli</v>
      </c>
      <c r="E5098" s="2" t="str">
        <f>IFERROR(__xludf.DUMMYFUNCTION("IFERROR(VLOOKUP(A5098, IMPORTRANGE(""https://docs.google.com/spreadsheets/d/1-3Vjw2Cyy-mry5gbC8ypIR3YVGFfEpyFESummAta6sg/edit"", ""Sheet1!B:D""), 3, FALSE), ""Not Found"")"),"ʧ ɑ r l i ")</f>
        <v>ʧ ɑ r l i </v>
      </c>
    </row>
    <row r="5099">
      <c r="A5099" s="1" t="s">
        <v>5102</v>
      </c>
      <c r="B5099" s="1" t="s">
        <v>5</v>
      </c>
      <c r="C5099" s="2">
        <f>IFERROR(__xludf.DUMMYFUNCTION("IFERROR(VLOOKUP(A5099, IMPORTRANGE(""https://docs.google.com/spreadsheets/d/1AVX9GT0dgogEBStecCXMMQ29tWz3gBrtNB8yIromXbY/edit?gid=741673867"", ""out1g!A:B""), 2, FALSE), 0)"),2382.0)</f>
        <v>2382</v>
      </c>
      <c r="D5099" s="2" t="str">
        <f>IFERROR(__xludf.DUMMYFUNCTION("IFERROR(VLOOKUP(A5099, IMPORTRANGE(""https://docs.google.com/spreadsheets/d/1-3Vjw2Cyy-mry5gbC8ypIR3YVGFfEpyFESummAta6sg/edit"", ""Sheet1!B:D""), 2, FALSE), ""Not Found"")"),"ʧɛkt")</f>
        <v>ʧɛkt</v>
      </c>
      <c r="E5099" s="2" t="str">
        <f>IFERROR(__xludf.DUMMYFUNCTION("IFERROR(VLOOKUP(A5099, IMPORTRANGE(""https://docs.google.com/spreadsheets/d/1-3Vjw2Cyy-mry5gbC8ypIR3YVGFfEpyFESummAta6sg/edit"", ""Sheet1!B:D""), 3, FALSE), ""Not Found"")"),"ʧ ɛ k t ")</f>
        <v>ʧ ɛ k t </v>
      </c>
    </row>
    <row r="5100">
      <c r="A5100" s="1" t="s">
        <v>5103</v>
      </c>
      <c r="B5100" s="1" t="s">
        <v>5</v>
      </c>
      <c r="C5100" s="2">
        <f>IFERROR(__xludf.DUMMYFUNCTION("IFERROR(VLOOKUP(A5100, IMPORTRANGE(""https://docs.google.com/spreadsheets/d/1AVX9GT0dgogEBStecCXMMQ29tWz3gBrtNB8yIromXbY/edit?gid=741673867"", ""out1g!A:B""), 2, FALSE), 0)"),259.0)</f>
        <v>259</v>
      </c>
      <c r="D5100" s="2" t="str">
        <f>IFERROR(__xludf.DUMMYFUNCTION("IFERROR(VLOOKUP(A5100, IMPORTRANGE(""https://docs.google.com/spreadsheets/d/1-3Vjw2Cyy-mry5gbC8ypIR3YVGFfEpyFESummAta6sg/edit"", ""Sheet1!B:D""), 2, FALSE), ""Not Found"")"),"ʤed")</f>
        <v>ʤed</v>
      </c>
      <c r="E5100" s="2" t="str">
        <f>IFERROR(__xludf.DUMMYFUNCTION("IFERROR(VLOOKUP(A5100, IMPORTRANGE(""https://docs.google.com/spreadsheets/d/1-3Vjw2Cyy-mry5gbC8ypIR3YVGFfEpyFESummAta6sg/edit"", ""Sheet1!B:D""), 3, FALSE), ""Not Found"")"),"ʤ e d ")</f>
        <v>ʤ e d </v>
      </c>
    </row>
    <row r="5101">
      <c r="A5101" s="1" t="s">
        <v>5104</v>
      </c>
      <c r="B5101" s="1" t="s">
        <v>5</v>
      </c>
      <c r="C5101" s="2">
        <f>IFERROR(__xludf.DUMMYFUNCTION("IFERROR(VLOOKUP(A5101, IMPORTRANGE(""https://docs.google.com/spreadsheets/d/1AVX9GT0dgogEBStecCXMMQ29tWz3gBrtNB8yIromXbY/edit?gid=741673867"", ""out1g!A:B""), 2, FALSE), 0)"),64.0)</f>
        <v>64</v>
      </c>
      <c r="D5101" s="2" t="str">
        <f>IFERROR(__xludf.DUMMYFUNCTION("IFERROR(VLOOKUP(A5101, IMPORTRANGE(""https://docs.google.com/spreadsheets/d/1-3Vjw2Cyy-mry5gbC8ypIR3YVGFfEpyFESummAta6sg/edit"", ""Sheet1!B:D""), 2, FALSE), ""Not Found"")"),"blɪts")</f>
        <v>blɪts</v>
      </c>
      <c r="E5101" s="2" t="str">
        <f>IFERROR(__xludf.DUMMYFUNCTION("IFERROR(VLOOKUP(A5101, IMPORTRANGE(""https://docs.google.com/spreadsheets/d/1-3Vjw2Cyy-mry5gbC8ypIR3YVGFfEpyFESummAta6sg/edit"", ""Sheet1!B:D""), 3, FALSE), ""Not Found"")"),"b l ɪ t s ")</f>
        <v>b l ɪ t s </v>
      </c>
    </row>
    <row r="5102">
      <c r="A5102" s="1" t="s">
        <v>5105</v>
      </c>
      <c r="B5102" s="1" t="s">
        <v>5</v>
      </c>
      <c r="C5102" s="2">
        <f>IFERROR(__xludf.DUMMYFUNCTION("IFERROR(VLOOKUP(A5102, IMPORTRANGE(""https://docs.google.com/spreadsheets/d/1AVX9GT0dgogEBStecCXMMQ29tWz3gBrtNB8yIromXbY/edit?gid=741673867"", ""out1g!A:B""), 2, FALSE), 0)"),4559.0)</f>
        <v>4559</v>
      </c>
      <c r="D5102" s="2" t="str">
        <f>IFERROR(__xludf.DUMMYFUNCTION("IFERROR(VLOOKUP(A5102, IMPORTRANGE(""https://docs.google.com/spreadsheets/d/1-3Vjw2Cyy-mry5gbC8ypIR3YVGFfEpyFESummAta6sg/edit"", ""Sheet1!B:D""), 2, FALSE), ""Not Found"")"),"ʧɑrʤ")</f>
        <v>ʧɑrʤ</v>
      </c>
      <c r="E5102" s="2" t="str">
        <f>IFERROR(__xludf.DUMMYFUNCTION("IFERROR(VLOOKUP(A5102, IMPORTRANGE(""https://docs.google.com/spreadsheets/d/1-3Vjw2Cyy-mry5gbC8ypIR3YVGFfEpyFESummAta6sg/edit"", ""Sheet1!B:D""), 3, FALSE), ""Not Found"")"),"ʧ ɑ r ʤ ")</f>
        <v>ʧ ɑ r ʤ </v>
      </c>
    </row>
    <row r="5103">
      <c r="A5103" s="1" t="s">
        <v>5106</v>
      </c>
      <c r="B5103" s="1" t="s">
        <v>5</v>
      </c>
      <c r="C5103" s="2">
        <f>IFERROR(__xludf.DUMMYFUNCTION("IFERROR(VLOOKUP(A5103, IMPORTRANGE(""https://docs.google.com/spreadsheets/d/1AVX9GT0dgogEBStecCXMMQ29tWz3gBrtNB8yIromXbY/edit?gid=741673867"", ""out1g!A:B""), 2, FALSE), 0)"),24339.0)</f>
        <v>24339</v>
      </c>
      <c r="D5103" s="2" t="str">
        <f>IFERROR(__xludf.DUMMYFUNCTION("IFERROR(VLOOKUP(A5103, IMPORTRANGE(""https://docs.google.com/spreadsheets/d/1-3Vjw2Cyy-mry5gbC8ypIR3YVGFfEpyFESummAta6sg/edit"", ""Sheet1!B:D""), 2, FALSE), ""Not Found"")"),"wɪʧ")</f>
        <v>wɪʧ</v>
      </c>
      <c r="E5103" s="2" t="str">
        <f>IFERROR(__xludf.DUMMYFUNCTION("IFERROR(VLOOKUP(A5103, IMPORTRANGE(""https://docs.google.com/spreadsheets/d/1-3Vjw2Cyy-mry5gbC8ypIR3YVGFfEpyFESummAta6sg/edit"", ""Sheet1!B:D""), 3, FALSE), ""Not Found"")"),"w ɪ ʧ ")</f>
        <v>w ɪ ʧ </v>
      </c>
    </row>
    <row r="5104">
      <c r="A5104" s="1" t="s">
        <v>5107</v>
      </c>
      <c r="B5104" s="1" t="s">
        <v>5</v>
      </c>
      <c r="C5104" s="2">
        <f>IFERROR(__xludf.DUMMYFUNCTION("IFERROR(VLOOKUP(A5104, IMPORTRANGE(""https://docs.google.com/spreadsheets/d/1AVX9GT0dgogEBStecCXMMQ29tWz3gBrtNB8yIromXbY/edit?gid=741673867"", ""out1g!A:B""), 2, FALSE), 0)"),117.0)</f>
        <v>117</v>
      </c>
      <c r="D5104" s="2" t="str">
        <f>IFERROR(__xludf.DUMMYFUNCTION("IFERROR(VLOOKUP(A5104, IMPORTRANGE(""https://docs.google.com/spreadsheets/d/1-3Vjw2Cyy-mry5gbC8ypIR3YVGFfEpyFESummAta6sg/edit"", ""Sheet1!B:D""), 2, FALSE), ""Not Found"")"),"sɪrə")</f>
        <v>sɪrə</v>
      </c>
      <c r="E5104" s="2" t="str">
        <f>IFERROR(__xludf.DUMMYFUNCTION("IFERROR(VLOOKUP(A5104, IMPORTRANGE(""https://docs.google.com/spreadsheets/d/1-3Vjw2Cyy-mry5gbC8ypIR3YVGFfEpyFESummAta6sg/edit"", ""Sheet1!B:D""), 3, FALSE), ""Not Found"")"),"s ɪ r ə ")</f>
        <v>s ɪ r ə </v>
      </c>
    </row>
    <row r="5105">
      <c r="A5105" s="1" t="s">
        <v>5108</v>
      </c>
      <c r="B5105" s="1" t="s">
        <v>5</v>
      </c>
      <c r="C5105" s="2">
        <f>IFERROR(__xludf.DUMMYFUNCTION("IFERROR(VLOOKUP(A5105, IMPORTRANGE(""https://docs.google.com/spreadsheets/d/1AVX9GT0dgogEBStecCXMMQ29tWz3gBrtNB8yIromXbY/edit?gid=741673867"", ""out1g!A:B""), 2, FALSE), 0)"),74.0)</f>
        <v>74</v>
      </c>
      <c r="D5105" s="2" t="str">
        <f>IFERROR(__xludf.DUMMYFUNCTION("IFERROR(VLOOKUP(A5105, IMPORTRANGE(""https://docs.google.com/spreadsheets/d/1-3Vjw2Cyy-mry5gbC8ypIR3YVGFfEpyFESummAta6sg/edit"", ""Sheet1!B:D""), 2, FALSE), ""Not Found"")"),"həd")</f>
        <v>həd</v>
      </c>
      <c r="E5105" s="2" t="str">
        <f>IFERROR(__xludf.DUMMYFUNCTION("IFERROR(VLOOKUP(A5105, IMPORTRANGE(""https://docs.google.com/spreadsheets/d/1-3Vjw2Cyy-mry5gbC8ypIR3YVGFfEpyFESummAta6sg/edit"", ""Sheet1!B:D""), 3, FALSE), ""Not Found"")"),"h ə d ")</f>
        <v>h ə d </v>
      </c>
    </row>
    <row r="5106">
      <c r="A5106" s="1" t="s">
        <v>5109</v>
      </c>
      <c r="B5106" s="1" t="s">
        <v>5</v>
      </c>
      <c r="C5106" s="2">
        <f>IFERROR(__xludf.DUMMYFUNCTION("IFERROR(VLOOKUP(A5106, IMPORTRANGE(""https://docs.google.com/spreadsheets/d/1AVX9GT0dgogEBStecCXMMQ29tWz3gBrtNB8yIromXbY/edit?gid=741673867"", ""out1g!A:B""), 2, FALSE), 0)"),577.0)</f>
        <v>577</v>
      </c>
      <c r="D5106" s="2" t="str">
        <f>IFERROR(__xludf.DUMMYFUNCTION("IFERROR(VLOOKUP(A5106, IMPORTRANGE(""https://docs.google.com/spreadsheets/d/1-3Vjw2Cyy-mry5gbC8ypIR3YVGFfEpyFESummAta6sg/edit"", ""Sheet1!B:D""), 2, FALSE), ""Not Found"")"),"reʤ")</f>
        <v>reʤ</v>
      </c>
      <c r="E5106" s="2" t="str">
        <f>IFERROR(__xludf.DUMMYFUNCTION("IFERROR(VLOOKUP(A5106, IMPORTRANGE(""https://docs.google.com/spreadsheets/d/1-3Vjw2Cyy-mry5gbC8ypIR3YVGFfEpyFESummAta6sg/edit"", ""Sheet1!B:D""), 3, FALSE), ""Not Found"")"),"r e ʤ ")</f>
        <v>r e ʤ </v>
      </c>
    </row>
    <row r="5107">
      <c r="A5107" s="1" t="s">
        <v>5110</v>
      </c>
      <c r="B5107" s="1" t="s">
        <v>5</v>
      </c>
      <c r="C5107" s="2">
        <f>IFERROR(__xludf.DUMMYFUNCTION("IFERROR(VLOOKUP(A5107, IMPORTRANGE(""https://docs.google.com/spreadsheets/d/1AVX9GT0dgogEBStecCXMMQ29tWz3gBrtNB8yIromXbY/edit?gid=741673867"", ""out1g!A:B""), 2, FALSE), 0)"),3369.0)</f>
        <v>3369</v>
      </c>
      <c r="D5107" s="2" t="str">
        <f>IFERROR(__xludf.DUMMYFUNCTION("IFERROR(VLOOKUP(A5107, IMPORTRANGE(""https://docs.google.com/spreadsheets/d/1-3Vjw2Cyy-mry5gbC8ypIR3YVGFfEpyFESummAta6sg/edit"", ""Sheet1!B:D""), 2, FALSE), ""Not Found"")"),"spes")</f>
        <v>spes</v>
      </c>
      <c r="E5107" s="2" t="str">
        <f>IFERROR(__xludf.DUMMYFUNCTION("IFERROR(VLOOKUP(A5107, IMPORTRANGE(""https://docs.google.com/spreadsheets/d/1-3Vjw2Cyy-mry5gbC8ypIR3YVGFfEpyFESummAta6sg/edit"", ""Sheet1!B:D""), 3, FALSE), ""Not Found"")"),"s p e s ")</f>
        <v>s p e s </v>
      </c>
    </row>
    <row r="5108">
      <c r="A5108" s="1" t="s">
        <v>5111</v>
      </c>
      <c r="B5108" s="1" t="s">
        <v>5</v>
      </c>
      <c r="C5108" s="2">
        <f>IFERROR(__xludf.DUMMYFUNCTION("IFERROR(VLOOKUP(A5108, IMPORTRANGE(""https://docs.google.com/spreadsheets/d/1AVX9GT0dgogEBStecCXMMQ29tWz3gBrtNB8yIromXbY/edit?gid=741673867"", ""out1g!A:B""), 2, FALSE), 0)"),1394.0)</f>
        <v>1394</v>
      </c>
      <c r="D5108" s="2" t="str">
        <f>IFERROR(__xludf.DUMMYFUNCTION("IFERROR(VLOOKUP(A5108, IMPORTRANGE(""https://docs.google.com/spreadsheets/d/1-3Vjw2Cyy-mry5gbC8ypIR3YVGFfEpyFESummAta6sg/edit"", ""Sheet1!B:D""), 2, FALSE), ""Not Found"")"),"vi")</f>
        <v>vi</v>
      </c>
      <c r="E5108" s="2" t="str">
        <f>IFERROR(__xludf.DUMMYFUNCTION("IFERROR(VLOOKUP(A5108, IMPORTRANGE(""https://docs.google.com/spreadsheets/d/1-3Vjw2Cyy-mry5gbC8ypIR3YVGFfEpyFESummAta6sg/edit"", ""Sheet1!B:D""), 3, FALSE), ""Not Found"")"),"v i ")</f>
        <v>v i </v>
      </c>
    </row>
    <row r="5109">
      <c r="A5109" s="1" t="s">
        <v>5112</v>
      </c>
      <c r="B5109" s="1" t="s">
        <v>5</v>
      </c>
      <c r="C5109" s="2">
        <f>IFERROR(__xludf.DUMMYFUNCTION("IFERROR(VLOOKUP(A5109, IMPORTRANGE(""https://docs.google.com/spreadsheets/d/1AVX9GT0dgogEBStecCXMMQ29tWz3gBrtNB8yIromXbY/edit?gid=741673867"", ""out1g!A:B""), 2, FALSE), 0)"),441.0)</f>
        <v>441</v>
      </c>
      <c r="D5109" s="2" t="str">
        <f>IFERROR(__xludf.DUMMYFUNCTION("IFERROR(VLOOKUP(A5109, IMPORTRANGE(""https://docs.google.com/spreadsheets/d/1-3Vjw2Cyy-mry5gbC8ypIR3YVGFfEpyFESummAta6sg/edit"", ""Sheet1!B:D""), 2, FALSE), ""Not Found"")"),"θroʊn")</f>
        <v>θroʊn</v>
      </c>
      <c r="E5109" s="2" t="str">
        <f>IFERROR(__xludf.DUMMYFUNCTION("IFERROR(VLOOKUP(A5109, IMPORTRANGE(""https://docs.google.com/spreadsheets/d/1-3Vjw2Cyy-mry5gbC8ypIR3YVGFfEpyFESummAta6sg/edit"", ""Sheet1!B:D""), 3, FALSE), ""Not Found"")"),"θ r o ʊ n ")</f>
        <v>θ r o ʊ n </v>
      </c>
    </row>
    <row r="5110">
      <c r="A5110" s="1" t="s">
        <v>5113</v>
      </c>
      <c r="B5110" s="1" t="s">
        <v>5</v>
      </c>
      <c r="C5110" s="2">
        <f>IFERROR(__xludf.DUMMYFUNCTION("IFERROR(VLOOKUP(A5110, IMPORTRANGE(""https://docs.google.com/spreadsheets/d/1AVX9GT0dgogEBStecCXMMQ29tWz3gBrtNB8yIromXbY/edit?gid=741673867"", ""out1g!A:B""), 2, FALSE), 0)"),1161.0)</f>
        <v>1161</v>
      </c>
      <c r="D5110" s="2" t="str">
        <f>IFERROR(__xludf.DUMMYFUNCTION("IFERROR(VLOOKUP(A5110, IMPORTRANGE(""https://docs.google.com/spreadsheets/d/1-3Vjw2Cyy-mry5gbC8ypIR3YVGFfEpyFESummAta6sg/edit"", ""Sheet1!B:D""), 2, FALSE), ""Not Found"")"),"renʤ")</f>
        <v>renʤ</v>
      </c>
      <c r="E5110" s="2" t="str">
        <f>IFERROR(__xludf.DUMMYFUNCTION("IFERROR(VLOOKUP(A5110, IMPORTRANGE(""https://docs.google.com/spreadsheets/d/1-3Vjw2Cyy-mry5gbC8ypIR3YVGFfEpyFESummAta6sg/edit"", ""Sheet1!B:D""), 3, FALSE), ""Not Found"")"),"r e n ʤ ")</f>
        <v>r e n ʤ </v>
      </c>
    </row>
    <row r="5111">
      <c r="A5111" s="1" t="s">
        <v>5114</v>
      </c>
      <c r="B5111" s="1" t="s">
        <v>5</v>
      </c>
      <c r="C5111" s="2">
        <f>IFERROR(__xludf.DUMMYFUNCTION("IFERROR(VLOOKUP(A5111, IMPORTRANGE(""https://docs.google.com/spreadsheets/d/1AVX9GT0dgogEBStecCXMMQ29tWz3gBrtNB8yIromXbY/edit?gid=741673867"", ""out1g!A:B""), 2, FALSE), 0)"),56.0)</f>
        <v>56</v>
      </c>
      <c r="D5111" s="2" t="str">
        <f>IFERROR(__xludf.DUMMYFUNCTION("IFERROR(VLOOKUP(A5111, IMPORTRANGE(""https://docs.google.com/spreadsheets/d/1-3Vjw2Cyy-mry5gbC8ypIR3YVGFfEpyFESummAta6sg/edit"", ""Sheet1!B:D""), 2, FALSE), ""Not Found"")"),"stuʤ")</f>
        <v>stuʤ</v>
      </c>
      <c r="E5111" s="2" t="str">
        <f>IFERROR(__xludf.DUMMYFUNCTION("IFERROR(VLOOKUP(A5111, IMPORTRANGE(""https://docs.google.com/spreadsheets/d/1-3Vjw2Cyy-mry5gbC8ypIR3YVGFfEpyFESummAta6sg/edit"", ""Sheet1!B:D""), 3, FALSE), ""Not Found"")"),"s t u ʤ ")</f>
        <v>s t u ʤ </v>
      </c>
    </row>
    <row r="5112">
      <c r="A5112" s="1" t="s">
        <v>5115</v>
      </c>
      <c r="B5112" s="1" t="s">
        <v>5</v>
      </c>
      <c r="C5112" s="2">
        <f>IFERROR(__xludf.DUMMYFUNCTION("IFERROR(VLOOKUP(A5112, IMPORTRANGE(""https://docs.google.com/spreadsheets/d/1AVX9GT0dgogEBStecCXMMQ29tWz3gBrtNB8yIromXbY/edit?gid=741673867"", ""out1g!A:B""), 2, FALSE), 0)"),117.0)</f>
        <v>117</v>
      </c>
      <c r="D5112" s="2" t="str">
        <f>IFERROR(__xludf.DUMMYFUNCTION("IFERROR(VLOOKUP(A5112, IMPORTRANGE(""https://docs.google.com/spreadsheets/d/1-3Vjw2Cyy-mry5gbC8ypIR3YVGFfEpyFESummAta6sg/edit"", ""Sheet1!B:D""), 2, FALSE), ""Not Found"")"),"dɔθ")</f>
        <v>dɔθ</v>
      </c>
      <c r="E5112" s="2" t="str">
        <f>IFERROR(__xludf.DUMMYFUNCTION("IFERROR(VLOOKUP(A5112, IMPORTRANGE(""https://docs.google.com/spreadsheets/d/1-3Vjw2Cyy-mry5gbC8ypIR3YVGFfEpyFESummAta6sg/edit"", ""Sheet1!B:D""), 3, FALSE), ""Not Found"")"),"d ɔ θ ")</f>
        <v>d ɔ θ </v>
      </c>
    </row>
    <row r="5113">
      <c r="A5113" s="1" t="s">
        <v>5116</v>
      </c>
      <c r="B5113" s="1" t="s">
        <v>5</v>
      </c>
      <c r="C5113" s="2">
        <f>IFERROR(__xludf.DUMMYFUNCTION("IFERROR(VLOOKUP(A5113, IMPORTRANGE(""https://docs.google.com/spreadsheets/d/1AVX9GT0dgogEBStecCXMMQ29tWz3gBrtNB8yIromXbY/edit?gid=741673867"", ""out1g!A:B""), 2, FALSE), 0)"),80.0)</f>
        <v>80</v>
      </c>
      <c r="D5113" s="2" t="str">
        <f>IFERROR(__xludf.DUMMYFUNCTION("IFERROR(VLOOKUP(A5113, IMPORTRANGE(""https://docs.google.com/spreadsheets/d/1-3Vjw2Cyy-mry5gbC8ypIR3YVGFfEpyFESummAta6sg/edit"", ""Sheet1!B:D""), 2, FALSE), ""Not Found"")"),"dɛks")</f>
        <v>dɛks</v>
      </c>
      <c r="E5113" s="2" t="str">
        <f>IFERROR(__xludf.DUMMYFUNCTION("IFERROR(VLOOKUP(A5113, IMPORTRANGE(""https://docs.google.com/spreadsheets/d/1-3Vjw2Cyy-mry5gbC8ypIR3YVGFfEpyFESummAta6sg/edit"", ""Sheet1!B:D""), 3, FALSE), ""Not Found"")"),"d ɛ k s ")</f>
        <v>d ɛ k s </v>
      </c>
    </row>
    <row r="5114">
      <c r="A5114" s="1" t="s">
        <v>5117</v>
      </c>
      <c r="B5114" s="1" t="s">
        <v>5</v>
      </c>
      <c r="C5114" s="2">
        <f>IFERROR(__xludf.DUMMYFUNCTION("IFERROR(VLOOKUP(A5114, IMPORTRANGE(""https://docs.google.com/spreadsheets/d/1AVX9GT0dgogEBStecCXMMQ29tWz3gBrtNB8yIromXbY/edit?gid=741673867"", ""out1g!A:B""), 2, FALSE), 0)"),54.0)</f>
        <v>54</v>
      </c>
      <c r="D5114" s="2" t="str">
        <f>IFERROR(__xludf.DUMMYFUNCTION("IFERROR(VLOOKUP(A5114, IMPORTRANGE(""https://docs.google.com/spreadsheets/d/1-3Vjw2Cyy-mry5gbC8ypIR3YVGFfEpyFESummAta6sg/edit"", ""Sheet1!B:D""), 2, FALSE), ""Not Found"")"),"riθ")</f>
        <v>riθ</v>
      </c>
      <c r="E5114" s="2" t="str">
        <f>IFERROR(__xludf.DUMMYFUNCTION("IFERROR(VLOOKUP(A5114, IMPORTRANGE(""https://docs.google.com/spreadsheets/d/1-3Vjw2Cyy-mry5gbC8ypIR3YVGFfEpyFESummAta6sg/edit"", ""Sheet1!B:D""), 3, FALSE), ""Not Found"")"),"r i θ ")</f>
        <v>r i θ </v>
      </c>
    </row>
    <row r="5115">
      <c r="A5115" s="1" t="s">
        <v>5118</v>
      </c>
      <c r="B5115" s="1" t="s">
        <v>5</v>
      </c>
      <c r="C5115" s="2">
        <f>IFERROR(__xludf.DUMMYFUNCTION("IFERROR(VLOOKUP(A5115, IMPORTRANGE(""https://docs.google.com/spreadsheets/d/1AVX9GT0dgogEBStecCXMMQ29tWz3gBrtNB8yIromXbY/edit?gid=741673867"", ""out1g!A:B""), 2, FALSE), 0)"),643.0)</f>
        <v>643</v>
      </c>
      <c r="D5115" s="2" t="str">
        <f>IFERROR(__xludf.DUMMYFUNCTION("IFERROR(VLOOKUP(A5115, IMPORTRANGE(""https://docs.google.com/spreadsheets/d/1-3Vjw2Cyy-mry5gbC8ypIR3YVGFfEpyFESummAta6sg/edit"", ""Sheet1!B:D""), 2, FALSE), ""Not Found"")"),"bɪrd")</f>
        <v>bɪrd</v>
      </c>
      <c r="E5115" s="2" t="str">
        <f>IFERROR(__xludf.DUMMYFUNCTION("IFERROR(VLOOKUP(A5115, IMPORTRANGE(""https://docs.google.com/spreadsheets/d/1-3Vjw2Cyy-mry5gbC8ypIR3YVGFfEpyFESummAta6sg/edit"", ""Sheet1!B:D""), 3, FALSE), ""Not Found"")"),"b ɪ r d ")</f>
        <v>b ɪ r d </v>
      </c>
    </row>
    <row r="5116">
      <c r="A5116" s="1" t="s">
        <v>5119</v>
      </c>
      <c r="B5116" s="1" t="s">
        <v>5</v>
      </c>
      <c r="C5116" s="2">
        <f>IFERROR(__xludf.DUMMYFUNCTION("IFERROR(VLOOKUP(A5116, IMPORTRANGE(""https://docs.google.com/spreadsheets/d/1AVX9GT0dgogEBStecCXMMQ29tWz3gBrtNB8yIromXbY/edit?gid=741673867"", ""out1g!A:B""), 2, FALSE), 0)"),611.0)</f>
        <v>611</v>
      </c>
      <c r="D5116" s="2" t="str">
        <f>IFERROR(__xludf.DUMMYFUNCTION("IFERROR(VLOOKUP(A5116, IMPORTRANGE(""https://docs.google.com/spreadsheets/d/1-3Vjw2Cyy-mry5gbC8ypIR3YVGFfEpyFESummAta6sg/edit"", ""Sheet1!B:D""), 2, FALSE), ""Not Found"")"),"luθər")</f>
        <v>luθər</v>
      </c>
      <c r="E5116" s="2" t="str">
        <f>IFERROR(__xludf.DUMMYFUNCTION("IFERROR(VLOOKUP(A5116, IMPORTRANGE(""https://docs.google.com/spreadsheets/d/1-3Vjw2Cyy-mry5gbC8ypIR3YVGFfEpyFESummAta6sg/edit"", ""Sheet1!B:D""), 3, FALSE), ""Not Found"")"),"l u θ ə r ")</f>
        <v>l u θ ə r </v>
      </c>
    </row>
    <row r="5117">
      <c r="A5117" s="1" t="s">
        <v>5120</v>
      </c>
      <c r="B5117" s="1" t="s">
        <v>5</v>
      </c>
      <c r="C5117" s="2">
        <f>IFERROR(__xludf.DUMMYFUNCTION("IFERROR(VLOOKUP(A5117, IMPORTRANGE(""https://docs.google.com/spreadsheets/d/1AVX9GT0dgogEBStecCXMMQ29tWz3gBrtNB8yIromXbY/edit?gid=741673867"", ""out1g!A:B""), 2, FALSE), 0)"),47.0)</f>
        <v>47</v>
      </c>
      <c r="D5117" s="2" t="str">
        <f>IFERROR(__xludf.DUMMYFUNCTION("IFERROR(VLOOKUP(A5117, IMPORTRANGE(""https://docs.google.com/spreadsheets/d/1-3Vjw2Cyy-mry5gbC8ypIR3YVGFfEpyFESummAta6sg/edit"", ""Sheet1!B:D""), 2, FALSE), ""Not Found"")"),"nɛktər")</f>
        <v>nɛktər</v>
      </c>
      <c r="E5117" s="2" t="str">
        <f>IFERROR(__xludf.DUMMYFUNCTION("IFERROR(VLOOKUP(A5117, IMPORTRANGE(""https://docs.google.com/spreadsheets/d/1-3Vjw2Cyy-mry5gbC8ypIR3YVGFfEpyFESummAta6sg/edit"", ""Sheet1!B:D""), 3, FALSE), ""Not Found"")"),"n ɛ k t ə r ")</f>
        <v>n ɛ k t ə r </v>
      </c>
    </row>
    <row r="5118">
      <c r="A5118" s="1" t="s">
        <v>5121</v>
      </c>
      <c r="B5118" s="1" t="s">
        <v>5</v>
      </c>
      <c r="C5118" s="2">
        <f>IFERROR(__xludf.DUMMYFUNCTION("IFERROR(VLOOKUP(A5118, IMPORTRANGE(""https://docs.google.com/spreadsheets/d/1AVX9GT0dgogEBStecCXMMQ29tWz3gBrtNB8yIromXbY/edit?gid=741673867"", ""out1g!A:B""), 2, FALSE), 0)"),793.0)</f>
        <v>793</v>
      </c>
      <c r="D5118" s="2" t="str">
        <f>IFERROR(__xludf.DUMMYFUNCTION("IFERROR(VLOOKUP(A5118, IMPORTRANGE(""https://docs.google.com/spreadsheets/d/1-3Vjw2Cyy-mry5gbC8ypIR3YVGFfEpyFESummAta6sg/edit"", ""Sheet1!B:D""), 2, FALSE), ""Not Found"")"),"bloʊz")</f>
        <v>bloʊz</v>
      </c>
      <c r="E5118" s="2" t="str">
        <f>IFERROR(__xludf.DUMMYFUNCTION("IFERROR(VLOOKUP(A5118, IMPORTRANGE(""https://docs.google.com/spreadsheets/d/1-3Vjw2Cyy-mry5gbC8ypIR3YVGFfEpyFESummAta6sg/edit"", ""Sheet1!B:D""), 3, FALSE), ""Not Found"")"),"b l o ʊ z ")</f>
        <v>b l o ʊ z </v>
      </c>
    </row>
    <row r="5119">
      <c r="A5119" s="1" t="s">
        <v>5122</v>
      </c>
      <c r="B5119" s="1" t="s">
        <v>5</v>
      </c>
      <c r="C5119" s="2">
        <f>IFERROR(__xludf.DUMMYFUNCTION("IFERROR(VLOOKUP(A5119, IMPORTRANGE(""https://docs.google.com/spreadsheets/d/1AVX9GT0dgogEBStecCXMMQ29tWz3gBrtNB8yIromXbY/edit?gid=741673867"", ""out1g!A:B""), 2, FALSE), 0)"),69.0)</f>
        <v>69</v>
      </c>
      <c r="D5119" s="2" t="str">
        <f>IFERROR(__xludf.DUMMYFUNCTION("IFERROR(VLOOKUP(A5119, IMPORTRANGE(""https://docs.google.com/spreadsheets/d/1-3Vjw2Cyy-mry5gbC8ypIR3YVGFfEpyFESummAta6sg/edit"", ""Sheet1!B:D""), 2, FALSE), ""Not Found"")"),"skɪnd")</f>
        <v>skɪnd</v>
      </c>
      <c r="E5119" s="2" t="str">
        <f>IFERROR(__xludf.DUMMYFUNCTION("IFERROR(VLOOKUP(A5119, IMPORTRANGE(""https://docs.google.com/spreadsheets/d/1-3Vjw2Cyy-mry5gbC8ypIR3YVGFfEpyFESummAta6sg/edit"", ""Sheet1!B:D""), 3, FALSE), ""Not Found"")"),"s k ɪ n d ")</f>
        <v>s k ɪ n d </v>
      </c>
    </row>
    <row r="5120">
      <c r="A5120" s="1" t="s">
        <v>5123</v>
      </c>
      <c r="B5120" s="1" t="s">
        <v>5</v>
      </c>
      <c r="C5120" s="2">
        <f>IFERROR(__xludf.DUMMYFUNCTION("IFERROR(VLOOKUP(A5120, IMPORTRANGE(""https://docs.google.com/spreadsheets/d/1AVX9GT0dgogEBStecCXMMQ29tWz3gBrtNB8yIromXbY/edit?gid=741673867"", ""out1g!A:B""), 2, FALSE), 0)"),3611.0)</f>
        <v>3611</v>
      </c>
      <c r="D5120" s="2" t="str">
        <f>IFERROR(__xludf.DUMMYFUNCTION("IFERROR(VLOOKUP(A5120, IMPORTRANGE(""https://docs.google.com/spreadsheets/d/1-3Vjw2Cyy-mry5gbC8ypIR3YVGFfEpyFESummAta6sg/edit"", ""Sheet1!B:D""), 2, FALSE), ""Not Found"")"),"faɪtɪŋ")</f>
        <v>faɪtɪŋ</v>
      </c>
      <c r="E5120" s="2" t="str">
        <f>IFERROR(__xludf.DUMMYFUNCTION("IFERROR(VLOOKUP(A5120, IMPORTRANGE(""https://docs.google.com/spreadsheets/d/1-3Vjw2Cyy-mry5gbC8ypIR3YVGFfEpyFESummAta6sg/edit"", ""Sheet1!B:D""), 3, FALSE), ""Not Found"")"),"f a ɪ t ɪ ŋ ")</f>
        <v>f a ɪ t ɪ ŋ </v>
      </c>
    </row>
    <row r="5121">
      <c r="A5121" s="1" t="s">
        <v>5124</v>
      </c>
      <c r="B5121" s="1" t="s">
        <v>5</v>
      </c>
      <c r="C5121" s="2">
        <f>IFERROR(__xludf.DUMMYFUNCTION("IFERROR(VLOOKUP(A5121, IMPORTRANGE(""https://docs.google.com/spreadsheets/d/1AVX9GT0dgogEBStecCXMMQ29tWz3gBrtNB8yIromXbY/edit?gid=741673867"", ""out1g!A:B""), 2, FALSE), 0)"),303.0)</f>
        <v>303</v>
      </c>
      <c r="D5121" s="2" t="str">
        <f>IFERROR(__xludf.DUMMYFUNCTION("IFERROR(VLOOKUP(A5121, IMPORTRANGE(""https://docs.google.com/spreadsheets/d/1-3Vjw2Cyy-mry5gbC8ypIR3YVGFfEpyFESummAta6sg/edit"", ""Sheet1!B:D""), 2, FALSE), ""Not Found"")"),"roʊps")</f>
        <v>roʊps</v>
      </c>
      <c r="E5121" s="2" t="str">
        <f>IFERROR(__xludf.DUMMYFUNCTION("IFERROR(VLOOKUP(A5121, IMPORTRANGE(""https://docs.google.com/spreadsheets/d/1-3Vjw2Cyy-mry5gbC8ypIR3YVGFfEpyFESummAta6sg/edit"", ""Sheet1!B:D""), 3, FALSE), ""Not Found"")"),"r o ʊ p s ")</f>
        <v>r o ʊ p s </v>
      </c>
    </row>
    <row r="5122">
      <c r="A5122" s="1" t="s">
        <v>5125</v>
      </c>
      <c r="B5122" s="1" t="s">
        <v>5</v>
      </c>
      <c r="C5122" s="2">
        <f>IFERROR(__xludf.DUMMYFUNCTION("IFERROR(VLOOKUP(A5122, IMPORTRANGE(""https://docs.google.com/spreadsheets/d/1AVX9GT0dgogEBStecCXMMQ29tWz3gBrtNB8yIromXbY/edit?gid=741673867"", ""out1g!A:B""), 2, FALSE), 0)"),367.0)</f>
        <v>367</v>
      </c>
      <c r="D5122" s="2" t="str">
        <f>IFERROR(__xludf.DUMMYFUNCTION("IFERROR(VLOOKUP(A5122, IMPORTRANGE(""https://docs.google.com/spreadsheets/d/1-3Vjw2Cyy-mry5gbC8ypIR3YVGFfEpyFESummAta6sg/edit"", ""Sheet1!B:D""), 2, FALSE), ""Not Found"")"),"neld")</f>
        <v>neld</v>
      </c>
      <c r="E5122" s="2" t="str">
        <f>IFERROR(__xludf.DUMMYFUNCTION("IFERROR(VLOOKUP(A5122, IMPORTRANGE(""https://docs.google.com/spreadsheets/d/1-3Vjw2Cyy-mry5gbC8ypIR3YVGFfEpyFESummAta6sg/edit"", ""Sheet1!B:D""), 3, FALSE), ""Not Found"")"),"n e l d ")</f>
        <v>n e l d </v>
      </c>
    </row>
    <row r="5123">
      <c r="A5123" s="1" t="s">
        <v>5126</v>
      </c>
      <c r="B5123" s="1" t="s">
        <v>5</v>
      </c>
      <c r="C5123" s="2">
        <f>IFERROR(__xludf.DUMMYFUNCTION("IFERROR(VLOOKUP(A5123, IMPORTRANGE(""https://docs.google.com/spreadsheets/d/1AVX9GT0dgogEBStecCXMMQ29tWz3gBrtNB8yIromXbY/edit?gid=741673867"", ""out1g!A:B""), 2, FALSE), 0)"),681.0)</f>
        <v>681</v>
      </c>
      <c r="D5123" s="2" t="str">
        <f>IFERROR(__xludf.DUMMYFUNCTION("IFERROR(VLOOKUP(A5123, IMPORTRANGE(""https://docs.google.com/spreadsheets/d/1-3Vjw2Cyy-mry5gbC8ypIR3YVGFfEpyFESummAta6sg/edit"", ""Sheet1!B:D""), 2, FALSE), ""Not Found"")"),"fulz")</f>
        <v>fulz</v>
      </c>
      <c r="E5123" s="2" t="str">
        <f>IFERROR(__xludf.DUMMYFUNCTION("IFERROR(VLOOKUP(A5123, IMPORTRANGE(""https://docs.google.com/spreadsheets/d/1-3Vjw2Cyy-mry5gbC8ypIR3YVGFfEpyFESummAta6sg/edit"", ""Sheet1!B:D""), 3, FALSE), ""Not Found"")"),"f u l z ")</f>
        <v>f u l z </v>
      </c>
    </row>
    <row r="5124">
      <c r="A5124" s="1" t="s">
        <v>5127</v>
      </c>
      <c r="B5124" s="1" t="s">
        <v>5</v>
      </c>
      <c r="C5124" s="2">
        <f>IFERROR(__xludf.DUMMYFUNCTION("IFERROR(VLOOKUP(A5124, IMPORTRANGE(""https://docs.google.com/spreadsheets/d/1AVX9GT0dgogEBStecCXMMQ29tWz3gBrtNB8yIromXbY/edit?gid=741673867"", ""out1g!A:B""), 2, FALSE), 0)"),83629.0)</f>
        <v>83629</v>
      </c>
      <c r="D5124" s="2" t="str">
        <f>IFERROR(__xludf.DUMMYFUNCTION("IFERROR(VLOOKUP(A5124, IMPORTRANGE(""https://docs.google.com/spreadsheets/d/1-3Vjw2Cyy-mry5gbC8ypIR3YVGFfEpyFESummAta6sg/edit"", ""Sheet1!B:D""), 2, FALSE), ""Not Found"")"),"se")</f>
        <v>se</v>
      </c>
      <c r="E5124" s="2" t="str">
        <f>IFERROR(__xludf.DUMMYFUNCTION("IFERROR(VLOOKUP(A5124, IMPORTRANGE(""https://docs.google.com/spreadsheets/d/1-3Vjw2Cyy-mry5gbC8ypIR3YVGFfEpyFESummAta6sg/edit"", ""Sheet1!B:D""), 3, FALSE), ""Not Found"")"),"s e ")</f>
        <v>s e </v>
      </c>
    </row>
    <row r="5125">
      <c r="A5125" s="1" t="s">
        <v>5128</v>
      </c>
      <c r="B5125" s="1" t="s">
        <v>5</v>
      </c>
      <c r="C5125" s="2">
        <f>IFERROR(__xludf.DUMMYFUNCTION("IFERROR(VLOOKUP(A5125, IMPORTRANGE(""https://docs.google.com/spreadsheets/d/1AVX9GT0dgogEBStecCXMMQ29tWz3gBrtNB8yIromXbY/edit?gid=741673867"", ""out1g!A:B""), 2, FALSE), 0)"),163.0)</f>
        <v>163</v>
      </c>
      <c r="D5125" s="2" t="str">
        <f>IFERROR(__xludf.DUMMYFUNCTION("IFERROR(VLOOKUP(A5125, IMPORTRANGE(""https://docs.google.com/spreadsheets/d/1-3Vjw2Cyy-mry5gbC8ypIR3YVGFfEpyFESummAta6sg/edit"", ""Sheet1!B:D""), 2, FALSE), ""Not Found"")"),"lɛvər")</f>
        <v>lɛvər</v>
      </c>
      <c r="E5125" s="2" t="str">
        <f>IFERROR(__xludf.DUMMYFUNCTION("IFERROR(VLOOKUP(A5125, IMPORTRANGE(""https://docs.google.com/spreadsheets/d/1-3Vjw2Cyy-mry5gbC8ypIR3YVGFfEpyFESummAta6sg/edit"", ""Sheet1!B:D""), 3, FALSE), ""Not Found"")"),"l ɛ v ə r ")</f>
        <v>l ɛ v ə r </v>
      </c>
    </row>
    <row r="5126">
      <c r="A5126" s="1" t="s">
        <v>5129</v>
      </c>
      <c r="B5126" s="1" t="s">
        <v>5</v>
      </c>
      <c r="C5126" s="2">
        <f>IFERROR(__xludf.DUMMYFUNCTION("IFERROR(VLOOKUP(A5126, IMPORTRANGE(""https://docs.google.com/spreadsheets/d/1AVX9GT0dgogEBStecCXMMQ29tWz3gBrtNB8yIromXbY/edit?gid=741673867"", ""out1g!A:B""), 2, FALSE), 0)"),18331.0)</f>
        <v>18331</v>
      </c>
      <c r="D5126" s="2" t="str">
        <f>IFERROR(__xludf.DUMMYFUNCTION("IFERROR(VLOOKUP(A5126, IMPORTRANGE(""https://docs.google.com/spreadsheets/d/1-3Vjw2Cyy-mry5gbC8ypIR3YVGFfEpyFESummAta6sg/edit"", ""Sheet1!B:D""), 2, FALSE), ""Not Found"")"),"mɛni")</f>
        <v>mɛni</v>
      </c>
      <c r="E5126" s="2" t="str">
        <f>IFERROR(__xludf.DUMMYFUNCTION("IFERROR(VLOOKUP(A5126, IMPORTRANGE(""https://docs.google.com/spreadsheets/d/1-3Vjw2Cyy-mry5gbC8ypIR3YVGFfEpyFESummAta6sg/edit"", ""Sheet1!B:D""), 3, FALSE), ""Not Found"")"),"m ɛ n i ")</f>
        <v>m ɛ n i </v>
      </c>
    </row>
    <row r="5127">
      <c r="A5127" s="1" t="s">
        <v>5130</v>
      </c>
      <c r="B5127" s="1" t="s">
        <v>5</v>
      </c>
      <c r="C5127" s="2">
        <f>IFERROR(__xludf.DUMMYFUNCTION("IFERROR(VLOOKUP(A5127, IMPORTRANGE(""https://docs.google.com/spreadsheets/d/1AVX9GT0dgogEBStecCXMMQ29tWz3gBrtNB8yIromXbY/edit?gid=741673867"", ""out1g!A:B""), 2, FALSE), 0)"),501.0)</f>
        <v>501</v>
      </c>
      <c r="D5127" s="2" t="str">
        <f>IFERROR(__xludf.DUMMYFUNCTION("IFERROR(VLOOKUP(A5127, IMPORTRANGE(""https://docs.google.com/spreadsheets/d/1-3Vjw2Cyy-mry5gbC8ypIR3YVGFfEpyFESummAta6sg/edit"", ""Sheet1!B:D""), 2, FALSE), ""Not Found"")"),"bərdən")</f>
        <v>bərdən</v>
      </c>
      <c r="E5127" s="2" t="str">
        <f>IFERROR(__xludf.DUMMYFUNCTION("IFERROR(VLOOKUP(A5127, IMPORTRANGE(""https://docs.google.com/spreadsheets/d/1-3Vjw2Cyy-mry5gbC8ypIR3YVGFfEpyFESummAta6sg/edit"", ""Sheet1!B:D""), 3, FALSE), ""Not Found"")"),"b ə r d ə n ")</f>
        <v>b ə r d ə n </v>
      </c>
    </row>
    <row r="5128">
      <c r="A5128" s="1" t="s">
        <v>5131</v>
      </c>
      <c r="B5128" s="1" t="s">
        <v>5</v>
      </c>
      <c r="C5128" s="2">
        <f>IFERROR(__xludf.DUMMYFUNCTION("IFERROR(VLOOKUP(A5128, IMPORTRANGE(""https://docs.google.com/spreadsheets/d/1AVX9GT0dgogEBStecCXMMQ29tWz3gBrtNB8yIromXbY/edit?gid=741673867"", ""out1g!A:B""), 2, FALSE), 0)"),85.0)</f>
        <v>85</v>
      </c>
      <c r="D5128" s="2" t="str">
        <f>IFERROR(__xludf.DUMMYFUNCTION("IFERROR(VLOOKUP(A5128, IMPORTRANGE(""https://docs.google.com/spreadsheets/d/1-3Vjw2Cyy-mry5gbC8ypIR3YVGFfEpyFESummAta6sg/edit"", ""Sheet1!B:D""), 2, FALSE), ""Not Found"")"),"læʃ")</f>
        <v>læʃ</v>
      </c>
      <c r="E5128" s="2" t="str">
        <f>IFERROR(__xludf.DUMMYFUNCTION("IFERROR(VLOOKUP(A5128, IMPORTRANGE(""https://docs.google.com/spreadsheets/d/1-3Vjw2Cyy-mry5gbC8ypIR3YVGFfEpyFESummAta6sg/edit"", ""Sheet1!B:D""), 3, FALSE), ""Not Found"")"),"l æ ʃ ")</f>
        <v>l æ ʃ </v>
      </c>
    </row>
    <row r="5129">
      <c r="A5129" s="1" t="s">
        <v>5132</v>
      </c>
      <c r="B5129" s="1" t="s">
        <v>5</v>
      </c>
      <c r="C5129" s="2">
        <f>IFERROR(__xludf.DUMMYFUNCTION("IFERROR(VLOOKUP(A5129, IMPORTRANGE(""https://docs.google.com/spreadsheets/d/1AVX9GT0dgogEBStecCXMMQ29tWz3gBrtNB8yIromXbY/edit?gid=741673867"", ""out1g!A:B""), 2, FALSE), 0)"),192.0)</f>
        <v>192</v>
      </c>
      <c r="D5129" s="2" t="str">
        <f>IFERROR(__xludf.DUMMYFUNCTION("IFERROR(VLOOKUP(A5129, IMPORTRANGE(""https://docs.google.com/spreadsheets/d/1-3Vjw2Cyy-mry5gbC8ypIR3YVGFfEpyFESummAta6sg/edit"", ""Sheet1!B:D""), 2, FALSE), ""Not Found"")"),"səli")</f>
        <v>səli</v>
      </c>
      <c r="E5129" s="2" t="str">
        <f>IFERROR(__xludf.DUMMYFUNCTION("IFERROR(VLOOKUP(A5129, IMPORTRANGE(""https://docs.google.com/spreadsheets/d/1-3Vjw2Cyy-mry5gbC8ypIR3YVGFfEpyFESummAta6sg/edit"", ""Sheet1!B:D""), 3, FALSE), ""Not Found"")"),"s ə l i ")</f>
        <v>s ə l i </v>
      </c>
    </row>
    <row r="5130">
      <c r="A5130" s="1" t="s">
        <v>5133</v>
      </c>
      <c r="B5130" s="1" t="s">
        <v>5</v>
      </c>
      <c r="C5130" s="2">
        <f>IFERROR(__xludf.DUMMYFUNCTION("IFERROR(VLOOKUP(A5130, IMPORTRANGE(""https://docs.google.com/spreadsheets/d/1AVX9GT0dgogEBStecCXMMQ29tWz3gBrtNB8yIromXbY/edit?gid=741673867"", ""out1g!A:B""), 2, FALSE), 0)"),3547.0)</f>
        <v>3547</v>
      </c>
      <c r="D5130" s="2" t="str">
        <f>IFERROR(__xludf.DUMMYFUNCTION("IFERROR(VLOOKUP(A5130, IMPORTRANGE(""https://docs.google.com/spreadsheets/d/1-3Vjw2Cyy-mry5gbC8ypIR3YVGFfEpyFESummAta6sg/edit"", ""Sheet1!B:D""), 2, FALSE), ""Not Found"")"),"bɑbi")</f>
        <v>bɑbi</v>
      </c>
      <c r="E5130" s="2" t="str">
        <f>IFERROR(__xludf.DUMMYFUNCTION("IFERROR(VLOOKUP(A5130, IMPORTRANGE(""https://docs.google.com/spreadsheets/d/1-3Vjw2Cyy-mry5gbC8ypIR3YVGFfEpyFESummAta6sg/edit"", ""Sheet1!B:D""), 3, FALSE), ""Not Found"")"),"b ɑ b i ")</f>
        <v>b ɑ b i </v>
      </c>
    </row>
    <row r="5131">
      <c r="A5131" s="1" t="s">
        <v>5134</v>
      </c>
      <c r="B5131" s="1" t="s">
        <v>5</v>
      </c>
      <c r="C5131" s="2">
        <f>IFERROR(__xludf.DUMMYFUNCTION("IFERROR(VLOOKUP(A5131, IMPORTRANGE(""https://docs.google.com/spreadsheets/d/1AVX9GT0dgogEBStecCXMMQ29tWz3gBrtNB8yIromXbY/edit?gid=741673867"", ""out1g!A:B""), 2, FALSE), 0)"),57.0)</f>
        <v>57</v>
      </c>
      <c r="D5131" s="2" t="str">
        <f>IFERROR(__xludf.DUMMYFUNCTION("IFERROR(VLOOKUP(A5131, IMPORTRANGE(""https://docs.google.com/spreadsheets/d/1-3Vjw2Cyy-mry5gbC8ypIR3YVGFfEpyFESummAta6sg/edit"", ""Sheet1!B:D""), 2, FALSE), ""Not Found"")"),"bid")</f>
        <v>bid</v>
      </c>
      <c r="E5131" s="2" t="str">
        <f>IFERROR(__xludf.DUMMYFUNCTION("IFERROR(VLOOKUP(A5131, IMPORTRANGE(""https://docs.google.com/spreadsheets/d/1-3Vjw2Cyy-mry5gbC8ypIR3YVGFfEpyFESummAta6sg/edit"", ""Sheet1!B:D""), 3, FALSE), ""Not Found"")"),"b i d ")</f>
        <v>b i d </v>
      </c>
    </row>
    <row r="5132">
      <c r="A5132" s="1" t="s">
        <v>5135</v>
      </c>
      <c r="B5132" s="1" t="s">
        <v>5</v>
      </c>
      <c r="C5132" s="2">
        <f>IFERROR(__xludf.DUMMYFUNCTION("IFERROR(VLOOKUP(A5132, IMPORTRANGE(""https://docs.google.com/spreadsheets/d/1AVX9GT0dgogEBStecCXMMQ29tWz3gBrtNB8yIromXbY/edit?gid=741673867"", ""out1g!A:B""), 2, FALSE), 0)"),69.0)</f>
        <v>69</v>
      </c>
      <c r="D5132" s="2" t="str">
        <f>IFERROR(__xludf.DUMMYFUNCTION("IFERROR(VLOOKUP(A5132, IMPORTRANGE(""https://docs.google.com/spreadsheets/d/1-3Vjw2Cyy-mry5gbC8ypIR3YVGFfEpyFESummAta6sg/edit"", ""Sheet1!B:D""), 2, FALSE), ""Not Found"")"),"wɪnʧ")</f>
        <v>wɪnʧ</v>
      </c>
      <c r="E5132" s="2" t="str">
        <f>IFERROR(__xludf.DUMMYFUNCTION("IFERROR(VLOOKUP(A5132, IMPORTRANGE(""https://docs.google.com/spreadsheets/d/1-3Vjw2Cyy-mry5gbC8ypIR3YVGFfEpyFESummAta6sg/edit"", ""Sheet1!B:D""), 3, FALSE), ""Not Found"")"),"w ɪ n ʧ ")</f>
        <v>w ɪ n ʧ </v>
      </c>
    </row>
    <row r="5133">
      <c r="A5133" s="1" t="s">
        <v>5136</v>
      </c>
      <c r="B5133" s="1" t="s">
        <v>5</v>
      </c>
      <c r="C5133" s="2">
        <f>IFERROR(__xludf.DUMMYFUNCTION("IFERROR(VLOOKUP(A5133, IMPORTRANGE(""https://docs.google.com/spreadsheets/d/1AVX9GT0dgogEBStecCXMMQ29tWz3gBrtNB8yIromXbY/edit?gid=741673867"", ""out1g!A:B""), 2, FALSE), 0)"),60.0)</f>
        <v>60</v>
      </c>
      <c r="D5133" s="2" t="str">
        <f>IFERROR(__xludf.DUMMYFUNCTION("IFERROR(VLOOKUP(A5133, IMPORTRANGE(""https://docs.google.com/spreadsheets/d/1-3Vjw2Cyy-mry5gbC8ypIR3YVGFfEpyFESummAta6sg/edit"", ""Sheet1!B:D""), 2, FALSE), ""Not Found"")"),"ælf")</f>
        <v>ælf</v>
      </c>
      <c r="E5133" s="2" t="str">
        <f>IFERROR(__xludf.DUMMYFUNCTION("IFERROR(VLOOKUP(A5133, IMPORTRANGE(""https://docs.google.com/spreadsheets/d/1-3Vjw2Cyy-mry5gbC8ypIR3YVGFfEpyFESummAta6sg/edit"", ""Sheet1!B:D""), 3, FALSE), ""Not Found"")"),"æ l f ")</f>
        <v>æ l f </v>
      </c>
    </row>
    <row r="5134">
      <c r="A5134" s="1" t="s">
        <v>5137</v>
      </c>
      <c r="B5134" s="1" t="s">
        <v>5</v>
      </c>
      <c r="C5134" s="2">
        <f>IFERROR(__xludf.DUMMYFUNCTION("IFERROR(VLOOKUP(A5134, IMPORTRANGE(""https://docs.google.com/spreadsheets/d/1AVX9GT0dgogEBStecCXMMQ29tWz3gBrtNB8yIromXbY/edit?gid=741673867"", ""out1g!A:B""), 2, FALSE), 0)"),140.0)</f>
        <v>140</v>
      </c>
      <c r="D5134" s="2" t="str">
        <f>IFERROR(__xludf.DUMMYFUNCTION("IFERROR(VLOOKUP(A5134, IMPORTRANGE(""https://docs.google.com/spreadsheets/d/1-3Vjw2Cyy-mry5gbC8ypIR3YVGFfEpyFESummAta6sg/edit"", ""Sheet1!B:D""), 2, FALSE), ""Not Found"")"),"stuərd")</f>
        <v>stuərd</v>
      </c>
      <c r="E5134" s="2" t="str">
        <f>IFERROR(__xludf.DUMMYFUNCTION("IFERROR(VLOOKUP(A5134, IMPORTRANGE(""https://docs.google.com/spreadsheets/d/1-3Vjw2Cyy-mry5gbC8ypIR3YVGFfEpyFESummAta6sg/edit"", ""Sheet1!B:D""), 3, FALSE), ""Not Found"")"),"s t u ə r d ")</f>
        <v>s t u ə r d </v>
      </c>
    </row>
    <row r="5135">
      <c r="A5135" s="1" t="s">
        <v>5138</v>
      </c>
      <c r="B5135" s="1" t="s">
        <v>5</v>
      </c>
      <c r="C5135" s="2">
        <f>IFERROR(__xludf.DUMMYFUNCTION("IFERROR(VLOOKUP(A5135, IMPORTRANGE(""https://docs.google.com/spreadsheets/d/1AVX9GT0dgogEBStecCXMMQ29tWz3gBrtNB8yIromXbY/edit?gid=741673867"", ""out1g!A:B""), 2, FALSE), 0)"),58.0)</f>
        <v>58</v>
      </c>
      <c r="D5135" s="2" t="str">
        <f>IFERROR(__xludf.DUMMYFUNCTION("IFERROR(VLOOKUP(A5135, IMPORTRANGE(""https://docs.google.com/spreadsheets/d/1-3Vjw2Cyy-mry5gbC8ypIR3YVGFfEpyFESummAta6sg/edit"", ""Sheet1!B:D""), 2, FALSE), ""Not Found"")"),"bæʃt")</f>
        <v>bæʃt</v>
      </c>
      <c r="E5135" s="2" t="str">
        <f>IFERROR(__xludf.DUMMYFUNCTION("IFERROR(VLOOKUP(A5135, IMPORTRANGE(""https://docs.google.com/spreadsheets/d/1-3Vjw2Cyy-mry5gbC8ypIR3YVGFfEpyFESummAta6sg/edit"", ""Sheet1!B:D""), 3, FALSE), ""Not Found"")"),"b æ ʃ t ")</f>
        <v>b æ ʃ t </v>
      </c>
    </row>
    <row r="5136">
      <c r="A5136" s="1" t="s">
        <v>5139</v>
      </c>
      <c r="B5136" s="1" t="s">
        <v>5</v>
      </c>
      <c r="C5136" s="2">
        <f>IFERROR(__xludf.DUMMYFUNCTION("IFERROR(VLOOKUP(A5136, IMPORTRANGE(""https://docs.google.com/spreadsheets/d/1AVX9GT0dgogEBStecCXMMQ29tWz3gBrtNB8yIromXbY/edit?gid=741673867"", ""out1g!A:B""), 2, FALSE), 0)"),20.0)</f>
        <v>20</v>
      </c>
      <c r="D5136" s="2" t="str">
        <f>IFERROR(__xludf.DUMMYFUNCTION("IFERROR(VLOOKUP(A5136, IMPORTRANGE(""https://docs.google.com/spreadsheets/d/1-3Vjw2Cyy-mry5gbC8ypIR3YVGFfEpyFESummAta6sg/edit"", ""Sheet1!B:D""), 2, FALSE), ""Not Found"")"),"grumz")</f>
        <v>grumz</v>
      </c>
      <c r="E5136" s="2" t="str">
        <f>IFERROR(__xludf.DUMMYFUNCTION("IFERROR(VLOOKUP(A5136, IMPORTRANGE(""https://docs.google.com/spreadsheets/d/1-3Vjw2Cyy-mry5gbC8ypIR3YVGFfEpyFESummAta6sg/edit"", ""Sheet1!B:D""), 3, FALSE), ""Not Found"")"),"g r u m z ")</f>
        <v>g r u m z </v>
      </c>
    </row>
    <row r="5137">
      <c r="A5137" s="1" t="s">
        <v>5140</v>
      </c>
      <c r="B5137" s="1" t="s">
        <v>5</v>
      </c>
      <c r="C5137" s="2">
        <f>IFERROR(__xludf.DUMMYFUNCTION("IFERROR(VLOOKUP(A5137, IMPORTRANGE(""https://docs.google.com/spreadsheets/d/1AVX9GT0dgogEBStecCXMMQ29tWz3gBrtNB8yIromXbY/edit?gid=741673867"", ""out1g!A:B""), 2, FALSE), 0)"),945.0)</f>
        <v>945</v>
      </c>
      <c r="D5137" s="2" t="str">
        <f>IFERROR(__xludf.DUMMYFUNCTION("IFERROR(VLOOKUP(A5137, IMPORTRANGE(""https://docs.google.com/spreadsheets/d/1-3Vjw2Cyy-mry5gbC8ypIR3YVGFfEpyFESummAta6sg/edit"", ""Sheet1!B:D""), 2, FALSE), ""Not Found"")"),"taɪgər")</f>
        <v>taɪgər</v>
      </c>
      <c r="E5137" s="2" t="str">
        <f>IFERROR(__xludf.DUMMYFUNCTION("IFERROR(VLOOKUP(A5137, IMPORTRANGE(""https://docs.google.com/spreadsheets/d/1-3Vjw2Cyy-mry5gbC8ypIR3YVGFfEpyFESummAta6sg/edit"", ""Sheet1!B:D""), 3, FALSE), ""Not Found"")"),"t a ɪ g ə r ")</f>
        <v>t a ɪ g ə r </v>
      </c>
    </row>
    <row r="5138">
      <c r="A5138" s="1" t="s">
        <v>5141</v>
      </c>
      <c r="B5138" s="1" t="s">
        <v>5</v>
      </c>
      <c r="C5138" s="2">
        <f>IFERROR(__xludf.DUMMYFUNCTION("IFERROR(VLOOKUP(A5138, IMPORTRANGE(""https://docs.google.com/spreadsheets/d/1AVX9GT0dgogEBStecCXMMQ29tWz3gBrtNB8yIromXbY/edit?gid=741673867"", ""out1g!A:B""), 2, FALSE), 0)"),236.0)</f>
        <v>236</v>
      </c>
      <c r="D5138" s="2" t="str">
        <f>IFERROR(__xludf.DUMMYFUNCTION("IFERROR(VLOOKUP(A5138, IMPORTRANGE(""https://docs.google.com/spreadsheets/d/1-3Vjw2Cyy-mry5gbC8ypIR3YVGFfEpyFESummAta6sg/edit"", ""Sheet1!B:D""), 2, FALSE), ""Not Found"")"),"snək")</f>
        <v>snək</v>
      </c>
      <c r="E5138" s="2" t="str">
        <f>IFERROR(__xludf.DUMMYFUNCTION("IFERROR(VLOOKUP(A5138, IMPORTRANGE(""https://docs.google.com/spreadsheets/d/1-3Vjw2Cyy-mry5gbC8ypIR3YVGFfEpyFESummAta6sg/edit"", ""Sheet1!B:D""), 3, FALSE), ""Not Found"")"),"s n ə k ")</f>
        <v>s n ə k </v>
      </c>
    </row>
    <row r="5139">
      <c r="A5139" s="1" t="s">
        <v>5142</v>
      </c>
      <c r="B5139" s="1" t="s">
        <v>5</v>
      </c>
      <c r="C5139" s="2">
        <f>IFERROR(__xludf.DUMMYFUNCTION("IFERROR(VLOOKUP(A5139, IMPORTRANGE(""https://docs.google.com/spreadsheets/d/1AVX9GT0dgogEBStecCXMMQ29tWz3gBrtNB8yIromXbY/edit?gid=741673867"", ""out1g!A:B""), 2, FALSE), 0)"),342.0)</f>
        <v>342</v>
      </c>
      <c r="D5139" s="2" t="str">
        <f>IFERROR(__xludf.DUMMYFUNCTION("IFERROR(VLOOKUP(A5139, IMPORTRANGE(""https://docs.google.com/spreadsheets/d/1-3Vjw2Cyy-mry5gbC8ypIR3YVGFfEpyFESummAta6sg/edit"", ""Sheet1!B:D""), 2, FALSE), ""Not Found"")"),"spənʤ")</f>
        <v>spənʤ</v>
      </c>
      <c r="E5139" s="2" t="str">
        <f>IFERROR(__xludf.DUMMYFUNCTION("IFERROR(VLOOKUP(A5139, IMPORTRANGE(""https://docs.google.com/spreadsheets/d/1-3Vjw2Cyy-mry5gbC8ypIR3YVGFfEpyFESummAta6sg/edit"", ""Sheet1!B:D""), 3, FALSE), ""Not Found"")"),"s p ə n ʤ ")</f>
        <v>s p ə n ʤ </v>
      </c>
    </row>
    <row r="5140">
      <c r="A5140" s="1" t="s">
        <v>5143</v>
      </c>
      <c r="B5140" s="1" t="s">
        <v>5</v>
      </c>
      <c r="C5140" s="2">
        <f>IFERROR(__xludf.DUMMYFUNCTION("IFERROR(VLOOKUP(A5140, IMPORTRANGE(""https://docs.google.com/spreadsheets/d/1AVX9GT0dgogEBStecCXMMQ29tWz3gBrtNB8yIromXbY/edit?gid=741673867"", ""out1g!A:B""), 2, FALSE), 0)"),113068.0)</f>
        <v>113068</v>
      </c>
      <c r="D5140" s="2" t="str">
        <f>IFERROR(__xludf.DUMMYFUNCTION("IFERROR(VLOOKUP(A5140, IMPORTRANGE(""https://docs.google.com/spreadsheets/d/1-3Vjw2Cyy-mry5gbC8ypIR3YVGFfEpyFESummAta6sg/edit"", ""Sheet1!B:D""), 2, FALSE), ""Not Found"")"),"ɛz")</f>
        <v>ɛz</v>
      </c>
      <c r="E5140" s="2" t="str">
        <f>IFERROR(__xludf.DUMMYFUNCTION("IFERROR(VLOOKUP(A5140, IMPORTRANGE(""https://docs.google.com/spreadsheets/d/1-3Vjw2Cyy-mry5gbC8ypIR3YVGFfEpyFESummAta6sg/edit"", ""Sheet1!B:D""), 3, FALSE), ""Not Found"")"),"ɛ z ")</f>
        <v>ɛ z </v>
      </c>
    </row>
    <row r="5141">
      <c r="A5141" s="1" t="s">
        <v>5144</v>
      </c>
      <c r="B5141" s="1" t="s">
        <v>5</v>
      </c>
      <c r="C5141" s="2">
        <f>IFERROR(__xludf.DUMMYFUNCTION("IFERROR(VLOOKUP(A5141, IMPORTRANGE(""https://docs.google.com/spreadsheets/d/1AVX9GT0dgogEBStecCXMMQ29tWz3gBrtNB8yIromXbY/edit?gid=741673867"", ""out1g!A:B""), 2, FALSE), 0)"),775.0)</f>
        <v>775</v>
      </c>
      <c r="D5141" s="2" t="str">
        <f>IFERROR(__xludf.DUMMYFUNCTION("IFERROR(VLOOKUP(A5141, IMPORTRANGE(""https://docs.google.com/spreadsheets/d/1-3Vjw2Cyy-mry5gbC8ypIR3YVGFfEpyFESummAta6sg/edit"", ""Sheet1!B:D""), 2, FALSE), ""Not Found"")"),"soʊp")</f>
        <v>soʊp</v>
      </c>
      <c r="E5141" s="2" t="str">
        <f>IFERROR(__xludf.DUMMYFUNCTION("IFERROR(VLOOKUP(A5141, IMPORTRANGE(""https://docs.google.com/spreadsheets/d/1-3Vjw2Cyy-mry5gbC8ypIR3YVGFfEpyFESummAta6sg/edit"", ""Sheet1!B:D""), 3, FALSE), ""Not Found"")"),"s o ʊ p ")</f>
        <v>s o ʊ p </v>
      </c>
    </row>
    <row r="5142">
      <c r="A5142" s="1" t="s">
        <v>5145</v>
      </c>
      <c r="B5142" s="1" t="s">
        <v>5</v>
      </c>
      <c r="C5142" s="2">
        <f>IFERROR(__xludf.DUMMYFUNCTION("IFERROR(VLOOKUP(A5142, IMPORTRANGE(""https://docs.google.com/spreadsheets/d/1AVX9GT0dgogEBStecCXMMQ29tWz3gBrtNB8yIromXbY/edit?gid=741673867"", ""out1g!A:B""), 2, FALSE), 0)"),1239.0)</f>
        <v>1239</v>
      </c>
      <c r="D5142" s="2" t="str">
        <f>IFERROR(__xludf.DUMMYFUNCTION("IFERROR(VLOOKUP(A5142, IMPORTRANGE(""https://docs.google.com/spreadsheets/d/1-3Vjw2Cyy-mry5gbC8ypIR3YVGFfEpyFESummAta6sg/edit"", ""Sheet1!B:D""), 2, FALSE), ""Not Found"")"),"əvɔɪd")</f>
        <v>əvɔɪd</v>
      </c>
      <c r="E5142" s="2" t="str">
        <f>IFERROR(__xludf.DUMMYFUNCTION("IFERROR(VLOOKUP(A5142, IMPORTRANGE(""https://docs.google.com/spreadsheets/d/1-3Vjw2Cyy-mry5gbC8ypIR3YVGFfEpyFESummAta6sg/edit"", ""Sheet1!B:D""), 3, FALSE), ""Not Found"")"),"ə v ɔ ɪ d ")</f>
        <v>ə v ɔ ɪ d </v>
      </c>
    </row>
    <row r="5143">
      <c r="A5143" s="1" t="s">
        <v>5146</v>
      </c>
      <c r="B5143" s="1" t="s">
        <v>5</v>
      </c>
      <c r="C5143" s="2">
        <f>IFERROR(__xludf.DUMMYFUNCTION("IFERROR(VLOOKUP(A5143, IMPORTRANGE(""https://docs.google.com/spreadsheets/d/1AVX9GT0dgogEBStecCXMMQ29tWz3gBrtNB8yIromXbY/edit?gid=741673867"", ""out1g!A:B""), 2, FALSE), 0)"),14852.0)</f>
        <v>14852</v>
      </c>
      <c r="D5143" s="2" t="str">
        <f>IFERROR(__xludf.DUMMYFUNCTION("IFERROR(VLOOKUP(A5143, IMPORTRANGE(""https://docs.google.com/spreadsheets/d/1-3Vjw2Cyy-mry5gbC8ypIR3YVGFfEpyFESummAta6sg/edit"", ""Sheet1!B:D""), 2, FALSE), ""Not Found"")"),"səʧ")</f>
        <v>səʧ</v>
      </c>
      <c r="E5143" s="2" t="str">
        <f>IFERROR(__xludf.DUMMYFUNCTION("IFERROR(VLOOKUP(A5143, IMPORTRANGE(""https://docs.google.com/spreadsheets/d/1-3Vjw2Cyy-mry5gbC8ypIR3YVGFfEpyFESummAta6sg/edit"", ""Sheet1!B:D""), 3, FALSE), ""Not Found"")"),"s ə ʧ ")</f>
        <v>s ə ʧ </v>
      </c>
    </row>
    <row r="5144">
      <c r="A5144" s="1" t="s">
        <v>5147</v>
      </c>
      <c r="B5144" s="1" t="s">
        <v>5</v>
      </c>
      <c r="C5144" s="2">
        <f>IFERROR(__xludf.DUMMYFUNCTION("IFERROR(VLOOKUP(A5144, IMPORTRANGE(""https://docs.google.com/spreadsheets/d/1AVX9GT0dgogEBStecCXMMQ29tWz3gBrtNB8yIromXbY/edit?gid=741673867"", ""out1g!A:B""), 2, FALSE), 0)"),68.0)</f>
        <v>68</v>
      </c>
      <c r="D5144" s="2" t="str">
        <f>IFERROR(__xludf.DUMMYFUNCTION("IFERROR(VLOOKUP(A5144, IMPORTRANGE(""https://docs.google.com/spreadsheets/d/1-3Vjw2Cyy-mry5gbC8ypIR3YVGFfEpyFESummAta6sg/edit"", ""Sheet1!B:D""), 2, FALSE), ""Not Found"")"),"nitli")</f>
        <v>nitli</v>
      </c>
      <c r="E5144" s="2" t="str">
        <f>IFERROR(__xludf.DUMMYFUNCTION("IFERROR(VLOOKUP(A5144, IMPORTRANGE(""https://docs.google.com/spreadsheets/d/1-3Vjw2Cyy-mry5gbC8ypIR3YVGFfEpyFESummAta6sg/edit"", ""Sheet1!B:D""), 3, FALSE), ""Not Found"")"),"n i t l i ")</f>
        <v>n i t l i </v>
      </c>
    </row>
    <row r="5145">
      <c r="A5145" s="1" t="s">
        <v>5148</v>
      </c>
      <c r="B5145" s="1" t="s">
        <v>5</v>
      </c>
      <c r="C5145" s="2">
        <f>IFERROR(__xludf.DUMMYFUNCTION("IFERROR(VLOOKUP(A5145, IMPORTRANGE(""https://docs.google.com/spreadsheets/d/1AVX9GT0dgogEBStecCXMMQ29tWz3gBrtNB8yIromXbY/edit?gid=741673867"", ""out1g!A:B""), 2, FALSE), 0)"),563.0)</f>
        <v>563</v>
      </c>
      <c r="D5145" s="2" t="str">
        <f>IFERROR(__xludf.DUMMYFUNCTION("IFERROR(VLOOKUP(A5145, IMPORTRANGE(""https://docs.google.com/spreadsheets/d/1-3Vjw2Cyy-mry5gbC8ypIR3YVGFfEpyFESummAta6sg/edit"", ""Sheet1!B:D""), 2, FALSE), ""Not Found"")"),"nelz")</f>
        <v>nelz</v>
      </c>
      <c r="E5145" s="2" t="str">
        <f>IFERROR(__xludf.DUMMYFUNCTION("IFERROR(VLOOKUP(A5145, IMPORTRANGE(""https://docs.google.com/spreadsheets/d/1-3Vjw2Cyy-mry5gbC8ypIR3YVGFfEpyFESummAta6sg/edit"", ""Sheet1!B:D""), 3, FALSE), ""Not Found"")"),"n e l z ")</f>
        <v>n e l z </v>
      </c>
    </row>
    <row r="5146">
      <c r="A5146" s="1" t="s">
        <v>5149</v>
      </c>
      <c r="B5146" s="1" t="s">
        <v>5</v>
      </c>
      <c r="C5146" s="2">
        <f>IFERROR(__xludf.DUMMYFUNCTION("IFERROR(VLOOKUP(A5146, IMPORTRANGE(""https://docs.google.com/spreadsheets/d/1AVX9GT0dgogEBStecCXMMQ29tWz3gBrtNB8yIromXbY/edit?gid=741673867"", ""out1g!A:B""), 2, FALSE), 0)"),687.0)</f>
        <v>687</v>
      </c>
      <c r="D5146" s="2" t="str">
        <f>IFERROR(__xludf.DUMMYFUNCTION("IFERROR(VLOOKUP(A5146, IMPORTRANGE(""https://docs.google.com/spreadsheets/d/1-3Vjw2Cyy-mry5gbC8ypIR3YVGFfEpyFESummAta6sg/edit"", ""Sheet1!B:D""), 2, FALSE), ""Not Found"")"),"bɛrən")</f>
        <v>bɛrən</v>
      </c>
      <c r="E5146" s="2" t="str">
        <f>IFERROR(__xludf.DUMMYFUNCTION("IFERROR(VLOOKUP(A5146, IMPORTRANGE(""https://docs.google.com/spreadsheets/d/1-3Vjw2Cyy-mry5gbC8ypIR3YVGFfEpyFESummAta6sg/edit"", ""Sheet1!B:D""), 3, FALSE), ""Not Found"")"),"b ɛ r ə n ")</f>
        <v>b ɛ r ə n </v>
      </c>
    </row>
    <row r="5147">
      <c r="A5147" s="1" t="s">
        <v>5150</v>
      </c>
      <c r="B5147" s="1" t="s">
        <v>5</v>
      </c>
      <c r="C5147" s="2">
        <f>IFERROR(__xludf.DUMMYFUNCTION("IFERROR(VLOOKUP(A5147, IMPORTRANGE(""https://docs.google.com/spreadsheets/d/1AVX9GT0dgogEBStecCXMMQ29tWz3gBrtNB8yIromXbY/edit?gid=741673867"", ""out1g!A:B""), 2, FALSE), 0)"),47.0)</f>
        <v>47</v>
      </c>
      <c r="D5147" s="2" t="str">
        <f>IFERROR(__xludf.DUMMYFUNCTION("IFERROR(VLOOKUP(A5147, IMPORTRANGE(""https://docs.google.com/spreadsheets/d/1-3Vjw2Cyy-mry5gbC8ypIR3YVGFfEpyFESummAta6sg/edit"", ""Sheet1!B:D""), 2, FALSE), ""Not Found"")"),"əten")</f>
        <v>əten</v>
      </c>
      <c r="E5147" s="2" t="str">
        <f>IFERROR(__xludf.DUMMYFUNCTION("IFERROR(VLOOKUP(A5147, IMPORTRANGE(""https://docs.google.com/spreadsheets/d/1-3Vjw2Cyy-mry5gbC8ypIR3YVGFfEpyFESummAta6sg/edit"", ""Sheet1!B:D""), 3, FALSE), ""Not Found"")"),"ə t e n ")</f>
        <v>ə t e n </v>
      </c>
    </row>
    <row r="5148">
      <c r="A5148" s="1" t="s">
        <v>5151</v>
      </c>
      <c r="B5148" s="1" t="s">
        <v>5</v>
      </c>
      <c r="C5148" s="2">
        <f>IFERROR(__xludf.DUMMYFUNCTION("IFERROR(VLOOKUP(A5148, IMPORTRANGE(""https://docs.google.com/spreadsheets/d/1AVX9GT0dgogEBStecCXMMQ29tWz3gBrtNB8yIromXbY/edit?gid=741673867"", ""out1g!A:B""), 2, FALSE), 0)"),3078.0)</f>
        <v>3078</v>
      </c>
      <c r="D5148" s="2" t="str">
        <f>IFERROR(__xludf.DUMMYFUNCTION("IFERROR(VLOOKUP(A5148, IMPORTRANGE(""https://docs.google.com/spreadsheets/d/1-3Vjw2Cyy-mry5gbC8ypIR3YVGFfEpyFESummAta6sg/edit"", ""Sheet1!B:D""), 2, FALSE), ""Not Found"")"),"waɪn")</f>
        <v>waɪn</v>
      </c>
      <c r="E5148" s="2" t="str">
        <f>IFERROR(__xludf.DUMMYFUNCTION("IFERROR(VLOOKUP(A5148, IMPORTRANGE(""https://docs.google.com/spreadsheets/d/1-3Vjw2Cyy-mry5gbC8ypIR3YVGFfEpyFESummAta6sg/edit"", ""Sheet1!B:D""), 3, FALSE), ""Not Found"")"),"w a ɪ n ")</f>
        <v>w a ɪ n </v>
      </c>
    </row>
    <row r="5149">
      <c r="A5149" s="1" t="s">
        <v>5152</v>
      </c>
      <c r="B5149" s="1" t="s">
        <v>5</v>
      </c>
      <c r="C5149" s="2">
        <f>IFERROR(__xludf.DUMMYFUNCTION("IFERROR(VLOOKUP(A5149, IMPORTRANGE(""https://docs.google.com/spreadsheets/d/1AVX9GT0dgogEBStecCXMMQ29tWz3gBrtNB8yIromXbY/edit?gid=741673867"", ""out1g!A:B""), 2, FALSE), 0)"),430.0)</f>
        <v>430</v>
      </c>
      <c r="D5149" s="2" t="str">
        <f>IFERROR(__xludf.DUMMYFUNCTION("IFERROR(VLOOKUP(A5149, IMPORTRANGE(""https://docs.google.com/spreadsheets/d/1-3Vjw2Cyy-mry5gbC8ypIR3YVGFfEpyFESummAta6sg/edit"", ""Sheet1!B:D""), 2, FALSE), ""Not Found"")"),"græni")</f>
        <v>græni</v>
      </c>
      <c r="E5149" s="2" t="str">
        <f>IFERROR(__xludf.DUMMYFUNCTION("IFERROR(VLOOKUP(A5149, IMPORTRANGE(""https://docs.google.com/spreadsheets/d/1-3Vjw2Cyy-mry5gbC8ypIR3YVGFfEpyFESummAta6sg/edit"", ""Sheet1!B:D""), 3, FALSE), ""Not Found"")"),"g r æ n i ")</f>
        <v>g r æ n i </v>
      </c>
    </row>
    <row r="5150">
      <c r="A5150" s="1" t="s">
        <v>5153</v>
      </c>
      <c r="B5150" s="1" t="s">
        <v>5</v>
      </c>
      <c r="C5150" s="2">
        <f>IFERROR(__xludf.DUMMYFUNCTION("IFERROR(VLOOKUP(A5150, IMPORTRANGE(""https://docs.google.com/spreadsheets/d/1AVX9GT0dgogEBStecCXMMQ29tWz3gBrtNB8yIromXbY/edit?gid=741673867"", ""out1g!A:B""), 2, FALSE), 0)"),103992.0)</f>
        <v>103992</v>
      </c>
      <c r="D5150" s="2" t="str">
        <f>IFERROR(__xludf.DUMMYFUNCTION("IFERROR(VLOOKUP(A5150, IMPORTRANGE(""https://docs.google.com/spreadsheets/d/1-3Vjw2Cyy-mry5gbC8ypIR3YVGFfEpyFESummAta6sg/edit"", ""Sheet1!B:D""), 2, FALSE), ""Not Found"")"),"frəm")</f>
        <v>frəm</v>
      </c>
      <c r="E5150" s="2" t="str">
        <f>IFERROR(__xludf.DUMMYFUNCTION("IFERROR(VLOOKUP(A5150, IMPORTRANGE(""https://docs.google.com/spreadsheets/d/1-3Vjw2Cyy-mry5gbC8ypIR3YVGFfEpyFESummAta6sg/edit"", ""Sheet1!B:D""), 3, FALSE), ""Not Found"")"),"f r ə m ")</f>
        <v>f r ə m </v>
      </c>
    </row>
    <row r="5151">
      <c r="A5151" s="1" t="s">
        <v>5154</v>
      </c>
      <c r="B5151" s="1" t="s">
        <v>5</v>
      </c>
      <c r="C5151" s="2">
        <f>IFERROR(__xludf.DUMMYFUNCTION("IFERROR(VLOOKUP(A5151, IMPORTRANGE(""https://docs.google.com/spreadsheets/d/1AVX9GT0dgogEBStecCXMMQ29tWz3gBrtNB8yIromXbY/edit?gid=741673867"", ""out1g!A:B""), 2, FALSE), 0)"),49.0)</f>
        <v>49</v>
      </c>
      <c r="D5151" s="2" t="str">
        <f>IFERROR(__xludf.DUMMYFUNCTION("IFERROR(VLOOKUP(A5151, IMPORTRANGE(""https://docs.google.com/spreadsheets/d/1-3Vjw2Cyy-mry5gbC8ypIR3YVGFfEpyFESummAta6sg/edit"", ""Sheet1!B:D""), 2, FALSE), ""Not Found"")"),"resi")</f>
        <v>resi</v>
      </c>
      <c r="E5151" s="2" t="str">
        <f>IFERROR(__xludf.DUMMYFUNCTION("IFERROR(VLOOKUP(A5151, IMPORTRANGE(""https://docs.google.com/spreadsheets/d/1-3Vjw2Cyy-mry5gbC8ypIR3YVGFfEpyFESummAta6sg/edit"", ""Sheet1!B:D""), 3, FALSE), ""Not Found"")"),"r e s i ")</f>
        <v>r e s i </v>
      </c>
    </row>
    <row r="5152">
      <c r="A5152" s="1" t="s">
        <v>5155</v>
      </c>
      <c r="B5152" s="1" t="s">
        <v>5</v>
      </c>
      <c r="C5152" s="2">
        <f>IFERROR(__xludf.DUMMYFUNCTION("IFERROR(VLOOKUP(A5152, IMPORTRANGE(""https://docs.google.com/spreadsheets/d/1AVX9GT0dgogEBStecCXMMQ29tWz3gBrtNB8yIromXbY/edit?gid=741673867"", ""out1g!A:B""), 2, FALSE), 0)"),1408.0)</f>
        <v>1408</v>
      </c>
      <c r="D5152" s="2" t="str">
        <f>IFERROR(__xludf.DUMMYFUNCTION("IFERROR(VLOOKUP(A5152, IMPORTRANGE(""https://docs.google.com/spreadsheets/d/1-3Vjw2Cyy-mry5gbC8ypIR3YVGFfEpyFESummAta6sg/edit"", ""Sheet1!B:D""), 2, FALSE), ""Not Found"")"),"ʤɑbz")</f>
        <v>ʤɑbz</v>
      </c>
      <c r="E5152" s="2" t="str">
        <f>IFERROR(__xludf.DUMMYFUNCTION("IFERROR(VLOOKUP(A5152, IMPORTRANGE(""https://docs.google.com/spreadsheets/d/1-3Vjw2Cyy-mry5gbC8ypIR3YVGFfEpyFESummAta6sg/edit"", ""Sheet1!B:D""), 3, FALSE), ""Not Found"")"),"ʤ ɑ b z ")</f>
        <v>ʤ ɑ b z </v>
      </c>
    </row>
    <row r="5153">
      <c r="A5153" s="1" t="s">
        <v>5156</v>
      </c>
      <c r="B5153" s="1" t="s">
        <v>5</v>
      </c>
      <c r="C5153" s="2">
        <f>IFERROR(__xludf.DUMMYFUNCTION("IFERROR(VLOOKUP(A5153, IMPORTRANGE(""https://docs.google.com/spreadsheets/d/1AVX9GT0dgogEBStecCXMMQ29tWz3gBrtNB8yIromXbY/edit?gid=741673867"", ""out1g!A:B""), 2, FALSE), 0)"),155.0)</f>
        <v>155</v>
      </c>
      <c r="D5153" s="2" t="str">
        <f>IFERROR(__xludf.DUMMYFUNCTION("IFERROR(VLOOKUP(A5153, IMPORTRANGE(""https://docs.google.com/spreadsheets/d/1-3Vjw2Cyy-mry5gbC8ypIR3YVGFfEpyFESummAta6sg/edit"", ""Sheet1!B:D""), 2, FALSE), ""Not Found"")"),"nidi")</f>
        <v>nidi</v>
      </c>
      <c r="E5153" s="2" t="str">
        <f>IFERROR(__xludf.DUMMYFUNCTION("IFERROR(VLOOKUP(A5153, IMPORTRANGE(""https://docs.google.com/spreadsheets/d/1-3Vjw2Cyy-mry5gbC8ypIR3YVGFfEpyFESummAta6sg/edit"", ""Sheet1!B:D""), 3, FALSE), ""Not Found"")"),"n i d i ")</f>
        <v>n i d i </v>
      </c>
    </row>
    <row r="5154">
      <c r="A5154" s="1" t="s">
        <v>5157</v>
      </c>
      <c r="B5154" s="1" t="s">
        <v>5</v>
      </c>
      <c r="C5154" s="2">
        <f>IFERROR(__xludf.DUMMYFUNCTION("IFERROR(VLOOKUP(A5154, IMPORTRANGE(""https://docs.google.com/spreadsheets/d/1AVX9GT0dgogEBStecCXMMQ29tWz3gBrtNB8yIromXbY/edit?gid=741673867"", ""out1g!A:B""), 2, FALSE), 0)"),56.0)</f>
        <v>56</v>
      </c>
      <c r="D5154" s="2" t="str">
        <f>IFERROR(__xludf.DUMMYFUNCTION("IFERROR(VLOOKUP(A5154, IMPORTRANGE(""https://docs.google.com/spreadsheets/d/1-3Vjw2Cyy-mry5gbC8ypIR3YVGFfEpyFESummAta6sg/edit"", ""Sheet1!B:D""), 2, FALSE), ""Not Found"")"),"pilɪŋ")</f>
        <v>pilɪŋ</v>
      </c>
      <c r="E5154" s="2" t="str">
        <f>IFERROR(__xludf.DUMMYFUNCTION("IFERROR(VLOOKUP(A5154, IMPORTRANGE(""https://docs.google.com/spreadsheets/d/1-3Vjw2Cyy-mry5gbC8ypIR3YVGFfEpyFESummAta6sg/edit"", ""Sheet1!B:D""), 3, FALSE), ""Not Found"")"),"p i l ɪ ŋ ")</f>
        <v>p i l ɪ ŋ </v>
      </c>
    </row>
    <row r="5155">
      <c r="A5155" s="1" t="s">
        <v>5158</v>
      </c>
      <c r="B5155" s="1" t="s">
        <v>5</v>
      </c>
      <c r="C5155" s="2">
        <f>IFERROR(__xludf.DUMMYFUNCTION("IFERROR(VLOOKUP(A5155, IMPORTRANGE(""https://docs.google.com/spreadsheets/d/1AVX9GT0dgogEBStecCXMMQ29tWz3gBrtNB8yIromXbY/edit?gid=741673867"", ""out1g!A:B""), 2, FALSE), 0)"),186.0)</f>
        <v>186</v>
      </c>
      <c r="D5155" s="2" t="str">
        <f>IFERROR(__xludf.DUMMYFUNCTION("IFERROR(VLOOKUP(A5155, IMPORTRANGE(""https://docs.google.com/spreadsheets/d/1-3Vjw2Cyy-mry5gbC8ypIR3YVGFfEpyFESummAta6sg/edit"", ""Sheet1!B:D""), 2, FALSE), ""Not Found"")"),"hiv")</f>
        <v>hiv</v>
      </c>
      <c r="E5155" s="2" t="str">
        <f>IFERROR(__xludf.DUMMYFUNCTION("IFERROR(VLOOKUP(A5155, IMPORTRANGE(""https://docs.google.com/spreadsheets/d/1-3Vjw2Cyy-mry5gbC8ypIR3YVGFfEpyFESummAta6sg/edit"", ""Sheet1!B:D""), 3, FALSE), ""Not Found"")"),"h i v ")</f>
        <v>h i v </v>
      </c>
    </row>
    <row r="5156">
      <c r="A5156" s="1" t="s">
        <v>5159</v>
      </c>
      <c r="B5156" s="1" t="s">
        <v>5</v>
      </c>
      <c r="C5156" s="2">
        <f>IFERROR(__xludf.DUMMYFUNCTION("IFERROR(VLOOKUP(A5156, IMPORTRANGE(""https://docs.google.com/spreadsheets/d/1AVX9GT0dgogEBStecCXMMQ29tWz3gBrtNB8yIromXbY/edit?gid=741673867"", ""out1g!A:B""), 2, FALSE), 0)"),47.0)</f>
        <v>47</v>
      </c>
      <c r="D5156" s="2" t="str">
        <f>IFERROR(__xludf.DUMMYFUNCTION("IFERROR(VLOOKUP(A5156, IMPORTRANGE(""https://docs.google.com/spreadsheets/d/1-3Vjw2Cyy-mry5gbC8ypIR3YVGFfEpyFESummAta6sg/edit"", ""Sheet1!B:D""), 2, FALSE), ""Not Found"")"),"əsɔlts")</f>
        <v>əsɔlts</v>
      </c>
      <c r="E5156" s="2" t="str">
        <f>IFERROR(__xludf.DUMMYFUNCTION("IFERROR(VLOOKUP(A5156, IMPORTRANGE(""https://docs.google.com/spreadsheets/d/1-3Vjw2Cyy-mry5gbC8ypIR3YVGFfEpyFESummAta6sg/edit"", ""Sheet1!B:D""), 3, FALSE), ""Not Found"")"),"ə s ɔ l t s ")</f>
        <v>ə s ɔ l t s </v>
      </c>
    </row>
    <row r="5157">
      <c r="A5157" s="1" t="s">
        <v>5160</v>
      </c>
      <c r="B5157" s="1" t="s">
        <v>5</v>
      </c>
      <c r="C5157" s="2">
        <f>IFERROR(__xludf.DUMMYFUNCTION("IFERROR(VLOOKUP(A5157, IMPORTRANGE(""https://docs.google.com/spreadsheets/d/1AVX9GT0dgogEBStecCXMMQ29tWz3gBrtNB8yIromXbY/edit?gid=741673867"", ""out1g!A:B""), 2, FALSE), 0)"),1138.0)</f>
        <v>1138</v>
      </c>
      <c r="D5157" s="2" t="str">
        <f>IFERROR(__xludf.DUMMYFUNCTION("IFERROR(VLOOKUP(A5157, IMPORTRANGE(""https://docs.google.com/spreadsheets/d/1-3Vjw2Cyy-mry5gbC8ypIR3YVGFfEpyFESummAta6sg/edit"", ""Sheet1!B:D""), 2, FALSE), ""Not Found"")"),"ɔrɪnʤ")</f>
        <v>ɔrɪnʤ</v>
      </c>
      <c r="E5157" s="2" t="str">
        <f>IFERROR(__xludf.DUMMYFUNCTION("IFERROR(VLOOKUP(A5157, IMPORTRANGE(""https://docs.google.com/spreadsheets/d/1-3Vjw2Cyy-mry5gbC8ypIR3YVGFfEpyFESummAta6sg/edit"", ""Sheet1!B:D""), 3, FALSE), ""Not Found"")"),"ɔ r ɪ n ʤ ")</f>
        <v>ɔ r ɪ n ʤ </v>
      </c>
    </row>
    <row r="5158">
      <c r="A5158" s="1" t="s">
        <v>5161</v>
      </c>
      <c r="B5158" s="1" t="s">
        <v>5</v>
      </c>
      <c r="C5158" s="2">
        <f>IFERROR(__xludf.DUMMYFUNCTION("IFERROR(VLOOKUP(A5158, IMPORTRANGE(""https://docs.google.com/spreadsheets/d/1AVX9GT0dgogEBStecCXMMQ29tWz3gBrtNB8yIromXbY/edit?gid=741673867"", ""out1g!A:B""), 2, FALSE), 0)"),17.0)</f>
        <v>17</v>
      </c>
      <c r="D5158" s="2" t="str">
        <f>IFERROR(__xludf.DUMMYFUNCTION("IFERROR(VLOOKUP(A5158, IMPORTRANGE(""https://docs.google.com/spreadsheets/d/1-3Vjw2Cyy-mry5gbC8ypIR3YVGFfEpyFESummAta6sg/edit"", ""Sheet1!B:D""), 2, FALSE), ""Not Found"")"),"eʤɪŋ")</f>
        <v>eʤɪŋ</v>
      </c>
      <c r="E5158" s="2" t="str">
        <f>IFERROR(__xludf.DUMMYFUNCTION("IFERROR(VLOOKUP(A5158, IMPORTRANGE(""https://docs.google.com/spreadsheets/d/1-3Vjw2Cyy-mry5gbC8ypIR3YVGFfEpyFESummAta6sg/edit"", ""Sheet1!B:D""), 3, FALSE), ""Not Found"")"),"e ʤ ɪ ŋ ")</f>
        <v>e ʤ ɪ ŋ </v>
      </c>
    </row>
    <row r="5159">
      <c r="A5159" s="1" t="s">
        <v>5162</v>
      </c>
      <c r="B5159" s="1" t="s">
        <v>5</v>
      </c>
      <c r="C5159" s="2">
        <f>IFERROR(__xludf.DUMMYFUNCTION("IFERROR(VLOOKUP(A5159, IMPORTRANGE(""https://docs.google.com/spreadsheets/d/1AVX9GT0dgogEBStecCXMMQ29tWz3gBrtNB8yIromXbY/edit?gid=741673867"", ""out1g!A:B""), 2, FALSE), 0)"),110.0)</f>
        <v>110</v>
      </c>
      <c r="D5159" s="2" t="str">
        <f>IFERROR(__xludf.DUMMYFUNCTION("IFERROR(VLOOKUP(A5159, IMPORTRANGE(""https://docs.google.com/spreadsheets/d/1-3Vjw2Cyy-mry5gbC8ypIR3YVGFfEpyFESummAta6sg/edit"", ""Sheet1!B:D""), 2, FALSE), ""Not Found"")"),"əpoʊz")</f>
        <v>əpoʊz</v>
      </c>
      <c r="E5159" s="2" t="str">
        <f>IFERROR(__xludf.DUMMYFUNCTION("IFERROR(VLOOKUP(A5159, IMPORTRANGE(""https://docs.google.com/spreadsheets/d/1-3Vjw2Cyy-mry5gbC8ypIR3YVGFfEpyFESummAta6sg/edit"", ""Sheet1!B:D""), 3, FALSE), ""Not Found"")"),"ə p o ʊ z ")</f>
        <v>ə p o ʊ z </v>
      </c>
    </row>
    <row r="5160">
      <c r="A5160" s="1" t="s">
        <v>5163</v>
      </c>
      <c r="B5160" s="1" t="s">
        <v>5</v>
      </c>
      <c r="C5160" s="2">
        <f>IFERROR(__xludf.DUMMYFUNCTION("IFERROR(VLOOKUP(A5160, IMPORTRANGE(""https://docs.google.com/spreadsheets/d/1AVX9GT0dgogEBStecCXMMQ29tWz3gBrtNB8yIromXbY/edit?gid=741673867"", ""out1g!A:B""), 2, FALSE), 0)"),265.0)</f>
        <v>265</v>
      </c>
      <c r="D5160" s="2" t="str">
        <f>IFERROR(__xludf.DUMMYFUNCTION("IFERROR(VLOOKUP(A5160, IMPORTRANGE(""https://docs.google.com/spreadsheets/d/1-3Vjw2Cyy-mry5gbC8ypIR3YVGFfEpyFESummAta6sg/edit"", ""Sheet1!B:D""), 2, FALSE), ""Not Found"")"),"bʊgi")</f>
        <v>bʊgi</v>
      </c>
      <c r="E5160" s="2" t="str">
        <f>IFERROR(__xludf.DUMMYFUNCTION("IFERROR(VLOOKUP(A5160, IMPORTRANGE(""https://docs.google.com/spreadsheets/d/1-3Vjw2Cyy-mry5gbC8ypIR3YVGFfEpyFESummAta6sg/edit"", ""Sheet1!B:D""), 3, FALSE), ""Not Found"")"),"b ʊ g i ")</f>
        <v>b ʊ g i </v>
      </c>
    </row>
    <row r="5161">
      <c r="A5161" s="1" t="s">
        <v>5164</v>
      </c>
      <c r="B5161" s="1" t="s">
        <v>5</v>
      </c>
      <c r="C5161" s="2">
        <f>IFERROR(__xludf.DUMMYFUNCTION("IFERROR(VLOOKUP(A5161, IMPORTRANGE(""https://docs.google.com/spreadsheets/d/1AVX9GT0dgogEBStecCXMMQ29tWz3gBrtNB8yIromXbY/edit?gid=741673867"", ""out1g!A:B""), 2, FALSE), 0)"),22066.0)</f>
        <v>22066</v>
      </c>
      <c r="D5161" s="2" t="str">
        <f>IFERROR(__xludf.DUMMYFUNCTION("IFERROR(VLOOKUP(A5161, IMPORTRANGE(""https://docs.google.com/spreadsheets/d/1-3Vjw2Cyy-mry5gbC8ypIR3YVGFfEpyFESummAta6sg/edit"", ""Sheet1!B:D""), 2, FALSE), ""Not Found"")"),"lʊkɪŋ")</f>
        <v>lʊkɪŋ</v>
      </c>
      <c r="E5161" s="2" t="str">
        <f>IFERROR(__xludf.DUMMYFUNCTION("IFERROR(VLOOKUP(A5161, IMPORTRANGE(""https://docs.google.com/spreadsheets/d/1-3Vjw2Cyy-mry5gbC8ypIR3YVGFfEpyFESummAta6sg/edit"", ""Sheet1!B:D""), 3, FALSE), ""Not Found"")"),"l ʊ k ɪ ŋ ")</f>
        <v>l ʊ k ɪ ŋ </v>
      </c>
    </row>
    <row r="5162">
      <c r="A5162" s="1" t="s">
        <v>5165</v>
      </c>
      <c r="B5162" s="1" t="s">
        <v>5</v>
      </c>
      <c r="C5162" s="2">
        <f>IFERROR(__xludf.DUMMYFUNCTION("IFERROR(VLOOKUP(A5162, IMPORTRANGE(""https://docs.google.com/spreadsheets/d/1AVX9GT0dgogEBStecCXMMQ29tWz3gBrtNB8yIromXbY/edit?gid=741673867"", ""out1g!A:B""), 2, FALSE), 0)"),3985.0)</f>
        <v>3985</v>
      </c>
      <c r="D5162" s="2" t="str">
        <f>IFERROR(__xludf.DUMMYFUNCTION("IFERROR(VLOOKUP(A5162, IMPORTRANGE(""https://docs.google.com/spreadsheets/d/1-3Vjw2Cyy-mry5gbC8ypIR3YVGFfEpyFESummAta6sg/edit"", ""Sheet1!B:D""), 2, FALSE), ""Not Found"")"),"mɛs")</f>
        <v>mɛs</v>
      </c>
      <c r="E5162" s="2" t="str">
        <f>IFERROR(__xludf.DUMMYFUNCTION("IFERROR(VLOOKUP(A5162, IMPORTRANGE(""https://docs.google.com/spreadsheets/d/1-3Vjw2Cyy-mry5gbC8ypIR3YVGFfEpyFESummAta6sg/edit"", ""Sheet1!B:D""), 3, FALSE), ""Not Found"")"),"m ɛ s ")</f>
        <v>m ɛ s </v>
      </c>
    </row>
    <row r="5163">
      <c r="A5163" s="1" t="s">
        <v>5166</v>
      </c>
      <c r="B5163" s="1" t="s">
        <v>5</v>
      </c>
      <c r="C5163" s="2">
        <f>IFERROR(__xludf.DUMMYFUNCTION("IFERROR(VLOOKUP(A5163, IMPORTRANGE(""https://docs.google.com/spreadsheets/d/1AVX9GT0dgogEBStecCXMMQ29tWz3gBrtNB8yIromXbY/edit?gid=741673867"", ""out1g!A:B""), 2, FALSE), 0)"),56.0)</f>
        <v>56</v>
      </c>
      <c r="D5163" s="2" t="str">
        <f>IFERROR(__xludf.DUMMYFUNCTION("IFERROR(VLOOKUP(A5163, IMPORTRANGE(""https://docs.google.com/spreadsheets/d/1-3Vjw2Cyy-mry5gbC8ypIR3YVGFfEpyFESummAta6sg/edit"", ""Sheet1!B:D""), 2, FALSE), ""Not Found"")"),"pɪps")</f>
        <v>pɪps</v>
      </c>
      <c r="E5163" s="2" t="str">
        <f>IFERROR(__xludf.DUMMYFUNCTION("IFERROR(VLOOKUP(A5163, IMPORTRANGE(""https://docs.google.com/spreadsheets/d/1-3Vjw2Cyy-mry5gbC8ypIR3YVGFfEpyFESummAta6sg/edit"", ""Sheet1!B:D""), 3, FALSE), ""Not Found"")"),"p ɪ p s ")</f>
        <v>p ɪ p s </v>
      </c>
    </row>
    <row r="5164">
      <c r="A5164" s="1" t="s">
        <v>5167</v>
      </c>
      <c r="B5164" s="1" t="s">
        <v>5</v>
      </c>
      <c r="C5164" s="2">
        <f>IFERROR(__xludf.DUMMYFUNCTION("IFERROR(VLOOKUP(A5164, IMPORTRANGE(""https://docs.google.com/spreadsheets/d/1AVX9GT0dgogEBStecCXMMQ29tWz3gBrtNB8yIromXbY/edit?gid=741673867"", ""out1g!A:B""), 2, FALSE), 0)"),4296.0)</f>
        <v>4296</v>
      </c>
      <c r="D5164" s="2" t="str">
        <f>IFERROR(__xludf.DUMMYFUNCTION("IFERROR(VLOOKUP(A5164, IMPORTRANGE(""https://docs.google.com/spreadsheets/d/1-3Vjw2Cyy-mry5gbC8ypIR3YVGFfEpyFESummAta6sg/edit"", ""Sheet1!B:D""), 2, FALSE), ""Not Found"")"),"ræn")</f>
        <v>ræn</v>
      </c>
      <c r="E5164" s="2" t="str">
        <f>IFERROR(__xludf.DUMMYFUNCTION("IFERROR(VLOOKUP(A5164, IMPORTRANGE(""https://docs.google.com/spreadsheets/d/1-3Vjw2Cyy-mry5gbC8ypIR3YVGFfEpyFESummAta6sg/edit"", ""Sheet1!B:D""), 3, FALSE), ""Not Found"")"),"r æ n ")</f>
        <v>r æ n </v>
      </c>
    </row>
    <row r="5165">
      <c r="A5165" s="1" t="s">
        <v>5168</v>
      </c>
      <c r="B5165" s="1" t="s">
        <v>5</v>
      </c>
      <c r="C5165" s="2">
        <f>IFERROR(__xludf.DUMMYFUNCTION("IFERROR(VLOOKUP(A5165, IMPORTRANGE(""https://docs.google.com/spreadsheets/d/1AVX9GT0dgogEBStecCXMMQ29tWz3gBrtNB8yIromXbY/edit?gid=741673867"", ""out1g!A:B""), 2, FALSE), 0)"),77.0)</f>
        <v>77</v>
      </c>
      <c r="D5165" s="2" t="str">
        <f>IFERROR(__xludf.DUMMYFUNCTION("IFERROR(VLOOKUP(A5165, IMPORTRANGE(""https://docs.google.com/spreadsheets/d/1-3Vjw2Cyy-mry5gbC8ypIR3YVGFfEpyFESummAta6sg/edit"", ""Sheet1!B:D""), 2, FALSE), ""Not Found"")"),"kræm")</f>
        <v>kræm</v>
      </c>
      <c r="E5165" s="2" t="str">
        <f>IFERROR(__xludf.DUMMYFUNCTION("IFERROR(VLOOKUP(A5165, IMPORTRANGE(""https://docs.google.com/spreadsheets/d/1-3Vjw2Cyy-mry5gbC8ypIR3YVGFfEpyFESummAta6sg/edit"", ""Sheet1!B:D""), 3, FALSE), ""Not Found"")"),"k r æ m ")</f>
        <v>k r æ m </v>
      </c>
    </row>
    <row r="5166">
      <c r="A5166" s="1" t="s">
        <v>5169</v>
      </c>
      <c r="B5166" s="1" t="s">
        <v>5</v>
      </c>
      <c r="C5166" s="2">
        <f>IFERROR(__xludf.DUMMYFUNCTION("IFERROR(VLOOKUP(A5166, IMPORTRANGE(""https://docs.google.com/spreadsheets/d/1AVX9GT0dgogEBStecCXMMQ29tWz3gBrtNB8yIromXbY/edit?gid=741673867"", ""out1g!A:B""), 2, FALSE), 0)"),365.0)</f>
        <v>365</v>
      </c>
      <c r="D5166" s="2" t="str">
        <f>IFERROR(__xludf.DUMMYFUNCTION("IFERROR(VLOOKUP(A5166, IMPORTRANGE(""https://docs.google.com/spreadsheets/d/1-3Vjw2Cyy-mry5gbC8ypIR3YVGFfEpyFESummAta6sg/edit"", ""Sheet1!B:D""), 2, FALSE), ""Not Found"")"),"ʧik")</f>
        <v>ʧik</v>
      </c>
      <c r="E5166" s="2" t="str">
        <f>IFERROR(__xludf.DUMMYFUNCTION("IFERROR(VLOOKUP(A5166, IMPORTRANGE(""https://docs.google.com/spreadsheets/d/1-3Vjw2Cyy-mry5gbC8ypIR3YVGFfEpyFESummAta6sg/edit"", ""Sheet1!B:D""), 3, FALSE), ""Not Found"")"),"ʧ i k ")</f>
        <v>ʧ i k </v>
      </c>
    </row>
    <row r="5167">
      <c r="A5167" s="1" t="s">
        <v>5170</v>
      </c>
      <c r="B5167" s="1" t="s">
        <v>5</v>
      </c>
      <c r="C5167" s="2">
        <f>IFERROR(__xludf.DUMMYFUNCTION("IFERROR(VLOOKUP(A5167, IMPORTRANGE(""https://docs.google.com/spreadsheets/d/1AVX9GT0dgogEBStecCXMMQ29tWz3gBrtNB8yIromXbY/edit?gid=741673867"", ""out1g!A:B""), 2, FALSE), 0)"),568.0)</f>
        <v>568</v>
      </c>
      <c r="D5167" s="2" t="str">
        <f>IFERROR(__xludf.DUMMYFUNCTION("IFERROR(VLOOKUP(A5167, IMPORTRANGE(""https://docs.google.com/spreadsheets/d/1-3Vjw2Cyy-mry5gbC8ypIR3YVGFfEpyFESummAta6sg/edit"", ""Sheet1!B:D""), 2, FALSE), ""Not Found"")"),"but")</f>
        <v>but</v>
      </c>
      <c r="E5167" s="2" t="str">
        <f>IFERROR(__xludf.DUMMYFUNCTION("IFERROR(VLOOKUP(A5167, IMPORTRANGE(""https://docs.google.com/spreadsheets/d/1-3Vjw2Cyy-mry5gbC8ypIR3YVGFfEpyFESummAta6sg/edit"", ""Sheet1!B:D""), 3, FALSE), ""Not Found"")"),"b u t ")</f>
        <v>b u t </v>
      </c>
    </row>
    <row r="5168">
      <c r="A5168" s="1" t="s">
        <v>5171</v>
      </c>
      <c r="B5168" s="1" t="s">
        <v>5</v>
      </c>
      <c r="C5168" s="2">
        <f>IFERROR(__xludf.DUMMYFUNCTION("IFERROR(VLOOKUP(A5168, IMPORTRANGE(""https://docs.google.com/spreadsheets/d/1AVX9GT0dgogEBStecCXMMQ29tWz3gBrtNB8yIromXbY/edit?gid=741673867"", ""out1g!A:B""), 2, FALSE), 0)"),5701.0)</f>
        <v>5701</v>
      </c>
      <c r="D5168" s="2" t="str">
        <f>IFERROR(__xludf.DUMMYFUNCTION("IFERROR(VLOOKUP(A5168, IMPORTRANGE(""https://docs.google.com/spreadsheets/d/1-3Vjw2Cyy-mry5gbC8ypIR3YVGFfEpyFESummAta6sg/edit"", ""Sheet1!B:D""), 2, FALSE), ""Not Found"")"),"aɪ")</f>
        <v>aɪ</v>
      </c>
      <c r="E5168" s="2" t="str">
        <f>IFERROR(__xludf.DUMMYFUNCTION("IFERROR(VLOOKUP(A5168, IMPORTRANGE(""https://docs.google.com/spreadsheets/d/1-3Vjw2Cyy-mry5gbC8ypIR3YVGFfEpyFESummAta6sg/edit"", ""Sheet1!B:D""), 3, FALSE), ""Not Found"")"),"a ɪ ")</f>
        <v>a ɪ </v>
      </c>
    </row>
    <row r="5169">
      <c r="A5169" s="1" t="s">
        <v>5172</v>
      </c>
      <c r="B5169" s="1" t="s">
        <v>5</v>
      </c>
      <c r="C5169" s="2">
        <f>IFERROR(__xludf.DUMMYFUNCTION("IFERROR(VLOOKUP(A5169, IMPORTRANGE(""https://docs.google.com/spreadsheets/d/1AVX9GT0dgogEBStecCXMMQ29tWz3gBrtNB8yIromXbY/edit?gid=741673867"", ""out1g!A:B""), 2, FALSE), 0)"),46.0)</f>
        <v>46</v>
      </c>
      <c r="D5169" s="2" t="str">
        <f>IFERROR(__xludf.DUMMYFUNCTION("IFERROR(VLOOKUP(A5169, IMPORTRANGE(""https://docs.google.com/spreadsheets/d/1-3Vjw2Cyy-mry5gbC8ypIR3YVGFfEpyFESummAta6sg/edit"", ""Sheet1!B:D""), 2, FALSE), ""Not Found"")"),"pikoʊ")</f>
        <v>pikoʊ</v>
      </c>
      <c r="E5169" s="2" t="str">
        <f>IFERROR(__xludf.DUMMYFUNCTION("IFERROR(VLOOKUP(A5169, IMPORTRANGE(""https://docs.google.com/spreadsheets/d/1-3Vjw2Cyy-mry5gbC8ypIR3YVGFfEpyFESummAta6sg/edit"", ""Sheet1!B:D""), 3, FALSE), ""Not Found"")"),"p i k o ʊ ")</f>
        <v>p i k o ʊ </v>
      </c>
    </row>
    <row r="5170">
      <c r="A5170" s="1" t="s">
        <v>5173</v>
      </c>
      <c r="B5170" s="1" t="s">
        <v>5</v>
      </c>
      <c r="C5170" s="2">
        <f>IFERROR(__xludf.DUMMYFUNCTION("IFERROR(VLOOKUP(A5170, IMPORTRANGE(""https://docs.google.com/spreadsheets/d/1AVX9GT0dgogEBStecCXMMQ29tWz3gBrtNB8yIromXbY/edit?gid=741673867"", ""out1g!A:B""), 2, FALSE), 0)"),120.0)</f>
        <v>120</v>
      </c>
      <c r="D5170" s="2" t="str">
        <f>IFERROR(__xludf.DUMMYFUNCTION("IFERROR(VLOOKUP(A5170, IMPORTRANGE(""https://docs.google.com/spreadsheets/d/1-3Vjw2Cyy-mry5gbC8ypIR3YVGFfEpyFESummAta6sg/edit"", ""Sheet1!B:D""), 2, FALSE), ""Not Found"")"),"glaɪd")</f>
        <v>glaɪd</v>
      </c>
      <c r="E5170" s="2" t="str">
        <f>IFERROR(__xludf.DUMMYFUNCTION("IFERROR(VLOOKUP(A5170, IMPORTRANGE(""https://docs.google.com/spreadsheets/d/1-3Vjw2Cyy-mry5gbC8ypIR3YVGFfEpyFESummAta6sg/edit"", ""Sheet1!B:D""), 3, FALSE), ""Not Found"")"),"g l a ɪ d ")</f>
        <v>g l a ɪ d </v>
      </c>
    </row>
    <row r="5171">
      <c r="A5171" s="1" t="s">
        <v>5174</v>
      </c>
      <c r="B5171" s="1" t="s">
        <v>5</v>
      </c>
      <c r="C5171" s="2">
        <f>IFERROR(__xludf.DUMMYFUNCTION("IFERROR(VLOOKUP(A5171, IMPORTRANGE(""https://docs.google.com/spreadsheets/d/1AVX9GT0dgogEBStecCXMMQ29tWz3gBrtNB8yIromXbY/edit?gid=741673867"", ""out1g!A:B""), 2, FALSE), 0)"),680.0)</f>
        <v>680</v>
      </c>
      <c r="D5171" s="2" t="str">
        <f>IFERROR(__xludf.DUMMYFUNCTION("IFERROR(VLOOKUP(A5171, IMPORTRANGE(""https://docs.google.com/spreadsheets/d/1-3Vjw2Cyy-mry5gbC8ypIR3YVGFfEpyFESummAta6sg/edit"", ""Sheet1!B:D""), 2, FALSE), ""Not Found"")"),"græbd")</f>
        <v>græbd</v>
      </c>
      <c r="E5171" s="2" t="str">
        <f>IFERROR(__xludf.DUMMYFUNCTION("IFERROR(VLOOKUP(A5171, IMPORTRANGE(""https://docs.google.com/spreadsheets/d/1-3Vjw2Cyy-mry5gbC8ypIR3YVGFfEpyFESummAta6sg/edit"", ""Sheet1!B:D""), 3, FALSE), ""Not Found"")"),"g r æ b d ")</f>
        <v>g r æ b d </v>
      </c>
    </row>
    <row r="5172">
      <c r="A5172" s="1" t="s">
        <v>5175</v>
      </c>
      <c r="B5172" s="1" t="s">
        <v>5</v>
      </c>
      <c r="C5172" s="2">
        <f>IFERROR(__xludf.DUMMYFUNCTION("IFERROR(VLOOKUP(A5172, IMPORTRANGE(""https://docs.google.com/spreadsheets/d/1AVX9GT0dgogEBStecCXMMQ29tWz3gBrtNB8yIromXbY/edit?gid=741673867"", ""out1g!A:B""), 2, FALSE), 0)"),94.0)</f>
        <v>94</v>
      </c>
      <c r="D5172" s="2" t="str">
        <f>IFERROR(__xludf.DUMMYFUNCTION("IFERROR(VLOOKUP(A5172, IMPORTRANGE(""https://docs.google.com/spreadsheets/d/1-3Vjw2Cyy-mry5gbC8ypIR3YVGFfEpyFESummAta6sg/edit"", ""Sheet1!B:D""), 2, FALSE), ""Not Found"")"),"mɛdoʊz")</f>
        <v>mɛdoʊz</v>
      </c>
      <c r="E5172" s="2" t="str">
        <f>IFERROR(__xludf.DUMMYFUNCTION("IFERROR(VLOOKUP(A5172, IMPORTRANGE(""https://docs.google.com/spreadsheets/d/1-3Vjw2Cyy-mry5gbC8ypIR3YVGFfEpyFESummAta6sg/edit"", ""Sheet1!B:D""), 3, FALSE), ""Not Found"")"),"m ɛ d o ʊ z ")</f>
        <v>m ɛ d o ʊ z </v>
      </c>
    </row>
    <row r="5173">
      <c r="A5173" s="1" t="s">
        <v>5176</v>
      </c>
      <c r="B5173" s="1" t="s">
        <v>5</v>
      </c>
      <c r="C5173" s="2">
        <f>IFERROR(__xludf.DUMMYFUNCTION("IFERROR(VLOOKUP(A5173, IMPORTRANGE(""https://docs.google.com/spreadsheets/d/1AVX9GT0dgogEBStecCXMMQ29tWz3gBrtNB8yIromXbY/edit?gid=741673867"", ""out1g!A:B""), 2, FALSE), 0)"),1704.0)</f>
        <v>1704</v>
      </c>
      <c r="D5173" s="2" t="str">
        <f>IFERROR(__xludf.DUMMYFUNCTION("IFERROR(VLOOKUP(A5173, IMPORTRANGE(""https://docs.google.com/spreadsheets/d/1-3Vjw2Cyy-mry5gbC8ypIR3YVGFfEpyFESummAta6sg/edit"", ""Sheet1!B:D""), 2, FALSE), ""Not Found"")"),"len")</f>
        <v>len</v>
      </c>
      <c r="E5173" s="2" t="str">
        <f>IFERROR(__xludf.DUMMYFUNCTION("IFERROR(VLOOKUP(A5173, IMPORTRANGE(""https://docs.google.com/spreadsheets/d/1-3Vjw2Cyy-mry5gbC8ypIR3YVGFfEpyFESummAta6sg/edit"", ""Sheet1!B:D""), 3, FALSE), ""Not Found"")"),"l e n ")</f>
        <v>l e n </v>
      </c>
    </row>
    <row r="5174">
      <c r="A5174" s="1" t="s">
        <v>5177</v>
      </c>
      <c r="B5174" s="1" t="s">
        <v>5</v>
      </c>
      <c r="C5174" s="2">
        <f>IFERROR(__xludf.DUMMYFUNCTION("IFERROR(VLOOKUP(A5174, IMPORTRANGE(""https://docs.google.com/spreadsheets/d/1AVX9GT0dgogEBStecCXMMQ29tWz3gBrtNB8yIromXbY/edit?gid=741673867"", ""out1g!A:B""), 2, FALSE), 0)"),71.0)</f>
        <v>71</v>
      </c>
      <c r="D5174" s="2" t="str">
        <f>IFERROR(__xludf.DUMMYFUNCTION("IFERROR(VLOOKUP(A5174, IMPORTRANGE(""https://docs.google.com/spreadsheets/d/1-3Vjw2Cyy-mry5gbC8ypIR3YVGFfEpyFESummAta6sg/edit"", ""Sheet1!B:D""), 2, FALSE), ""Not Found"")"),"rəŋ")</f>
        <v>rəŋ</v>
      </c>
      <c r="E5174" s="2" t="str">
        <f>IFERROR(__xludf.DUMMYFUNCTION("IFERROR(VLOOKUP(A5174, IMPORTRANGE(""https://docs.google.com/spreadsheets/d/1-3Vjw2Cyy-mry5gbC8ypIR3YVGFfEpyFESummAta6sg/edit"", ""Sheet1!B:D""), 3, FALSE), ""Not Found"")"),"r ə ŋ ")</f>
        <v>r ə ŋ </v>
      </c>
    </row>
    <row r="5175">
      <c r="A5175" s="1" t="s">
        <v>5178</v>
      </c>
      <c r="B5175" s="1" t="s">
        <v>5</v>
      </c>
      <c r="C5175" s="2">
        <f>IFERROR(__xludf.DUMMYFUNCTION("IFERROR(VLOOKUP(A5175, IMPORTRANGE(""https://docs.google.com/spreadsheets/d/1AVX9GT0dgogEBStecCXMMQ29tWz3gBrtNB8yIromXbY/edit?gid=741673867"", ""out1g!A:B""), 2, FALSE), 0)"),657.0)</f>
        <v>657</v>
      </c>
      <c r="D5175" s="2" t="str">
        <f>IFERROR(__xludf.DUMMYFUNCTION("IFERROR(VLOOKUP(A5175, IMPORTRANGE(""https://docs.google.com/spreadsheets/d/1-3Vjw2Cyy-mry5gbC8ypIR3YVGFfEpyFESummAta6sg/edit"", ""Sheet1!B:D""), 2, FALSE), ""Not Found"")"),"pəred")</f>
        <v>pəred</v>
      </c>
      <c r="E5175" s="2" t="str">
        <f>IFERROR(__xludf.DUMMYFUNCTION("IFERROR(VLOOKUP(A5175, IMPORTRANGE(""https://docs.google.com/spreadsheets/d/1-3Vjw2Cyy-mry5gbC8ypIR3YVGFfEpyFESummAta6sg/edit"", ""Sheet1!B:D""), 3, FALSE), ""Not Found"")"),"p ə r e d ")</f>
        <v>p ə r e d </v>
      </c>
    </row>
    <row r="5176">
      <c r="A5176" s="1" t="s">
        <v>5179</v>
      </c>
      <c r="B5176" s="1" t="s">
        <v>5</v>
      </c>
      <c r="C5176" s="2">
        <f>IFERROR(__xludf.DUMMYFUNCTION("IFERROR(VLOOKUP(A5176, IMPORTRANGE(""https://docs.google.com/spreadsheets/d/1AVX9GT0dgogEBStecCXMMQ29tWz3gBrtNB8yIromXbY/edit?gid=741673867"", ""out1g!A:B""), 2, FALSE), 0)"),522.0)</f>
        <v>522</v>
      </c>
      <c r="D5176" s="2" t="str">
        <f>IFERROR(__xludf.DUMMYFUNCTION("IFERROR(VLOOKUP(A5176, IMPORTRANGE(""https://docs.google.com/spreadsheets/d/1-3Vjw2Cyy-mry5gbC8ypIR3YVGFfEpyFESummAta6sg/edit"", ""Sheet1!B:D""), 2, FALSE), ""Not Found"")"),"tɛns")</f>
        <v>tɛns</v>
      </c>
      <c r="E5176" s="2" t="str">
        <f>IFERROR(__xludf.DUMMYFUNCTION("IFERROR(VLOOKUP(A5176, IMPORTRANGE(""https://docs.google.com/spreadsheets/d/1-3Vjw2Cyy-mry5gbC8ypIR3YVGFfEpyFESummAta6sg/edit"", ""Sheet1!B:D""), 3, FALSE), ""Not Found"")"),"t ɛ n s ")</f>
        <v>t ɛ n s </v>
      </c>
    </row>
    <row r="5177">
      <c r="A5177" s="1" t="s">
        <v>5180</v>
      </c>
      <c r="B5177" s="1" t="s">
        <v>5</v>
      </c>
      <c r="C5177" s="2">
        <f>IFERROR(__xludf.DUMMYFUNCTION("IFERROR(VLOOKUP(A5177, IMPORTRANGE(""https://docs.google.com/spreadsheets/d/1AVX9GT0dgogEBStecCXMMQ29tWz3gBrtNB8yIromXbY/edit?gid=741673867"", ""out1g!A:B""), 2, FALSE), 0)"),444.0)</f>
        <v>444</v>
      </c>
      <c r="D5177" s="2" t="str">
        <f>IFERROR(__xludf.DUMMYFUNCTION("IFERROR(VLOOKUP(A5177, IMPORTRANGE(""https://docs.google.com/spreadsheets/d/1-3Vjw2Cyy-mry5gbC8ypIR3YVGFfEpyFESummAta6sg/edit"", ""Sheet1!B:D""), 2, FALSE), ""Not Found"")"),"kələr")</f>
        <v>kələr</v>
      </c>
      <c r="E5177" s="2" t="str">
        <f>IFERROR(__xludf.DUMMYFUNCTION("IFERROR(VLOOKUP(A5177, IMPORTRANGE(""https://docs.google.com/spreadsheets/d/1-3Vjw2Cyy-mry5gbC8ypIR3YVGFfEpyFESummAta6sg/edit"", ""Sheet1!B:D""), 3, FALSE), ""Not Found"")"),"k ə l ə r ")</f>
        <v>k ə l ə r </v>
      </c>
    </row>
    <row r="5178">
      <c r="A5178" s="1" t="s">
        <v>5181</v>
      </c>
      <c r="B5178" s="1" t="s">
        <v>5</v>
      </c>
      <c r="C5178" s="2">
        <f>IFERROR(__xludf.DUMMYFUNCTION("IFERROR(VLOOKUP(A5178, IMPORTRANGE(""https://docs.google.com/spreadsheets/d/1AVX9GT0dgogEBStecCXMMQ29tWz3gBrtNB8yIromXbY/edit?gid=741673867"", ""out1g!A:B""), 2, FALSE), 0)"),552.0)</f>
        <v>552</v>
      </c>
      <c r="D5178" s="2" t="str">
        <f>IFERROR(__xludf.DUMMYFUNCTION("IFERROR(VLOOKUP(A5178, IMPORTRANGE(""https://docs.google.com/spreadsheets/d/1-3Vjw2Cyy-mry5gbC8ypIR3YVGFfEpyFESummAta6sg/edit"", ""Sheet1!B:D""), 2, FALSE), ""Not Found"")"),"grif")</f>
        <v>grif</v>
      </c>
      <c r="E5178" s="2" t="str">
        <f>IFERROR(__xludf.DUMMYFUNCTION("IFERROR(VLOOKUP(A5178, IMPORTRANGE(""https://docs.google.com/spreadsheets/d/1-3Vjw2Cyy-mry5gbC8ypIR3YVGFfEpyFESummAta6sg/edit"", ""Sheet1!B:D""), 3, FALSE), ""Not Found"")"),"g r i f ")</f>
        <v>g r i f </v>
      </c>
    </row>
    <row r="5179">
      <c r="A5179" s="1" t="s">
        <v>5182</v>
      </c>
      <c r="B5179" s="1" t="s">
        <v>5</v>
      </c>
      <c r="C5179" s="2">
        <f>IFERROR(__xludf.DUMMYFUNCTION("IFERROR(VLOOKUP(A5179, IMPORTRANGE(""https://docs.google.com/spreadsheets/d/1AVX9GT0dgogEBStecCXMMQ29tWz3gBrtNB8yIromXbY/edit?gid=741673867"", ""out1g!A:B""), 2, FALSE), 0)"),295.0)</f>
        <v>295</v>
      </c>
      <c r="D5179" s="2" t="str">
        <f>IFERROR(__xludf.DUMMYFUNCTION("IFERROR(VLOOKUP(A5179, IMPORTRANGE(""https://docs.google.com/spreadsheets/d/1-3Vjw2Cyy-mry5gbC8ypIR3YVGFfEpyFESummAta6sg/edit"", ""Sheet1!B:D""), 2, FALSE), ""Not Found"")"),"bəstɪŋ")</f>
        <v>bəstɪŋ</v>
      </c>
      <c r="E5179" s="2" t="str">
        <f>IFERROR(__xludf.DUMMYFUNCTION("IFERROR(VLOOKUP(A5179, IMPORTRANGE(""https://docs.google.com/spreadsheets/d/1-3Vjw2Cyy-mry5gbC8ypIR3YVGFfEpyFESummAta6sg/edit"", ""Sheet1!B:D""), 3, FALSE), ""Not Found"")"),"b ə s t ɪ ŋ ")</f>
        <v>b ə s t ɪ ŋ </v>
      </c>
    </row>
    <row r="5180">
      <c r="A5180" s="1" t="s">
        <v>5183</v>
      </c>
      <c r="B5180" s="1" t="s">
        <v>5</v>
      </c>
      <c r="C5180" s="2">
        <f>IFERROR(__xludf.DUMMYFUNCTION("IFERROR(VLOOKUP(A5180, IMPORTRANGE(""https://docs.google.com/spreadsheets/d/1AVX9GT0dgogEBStecCXMMQ29tWz3gBrtNB8yIromXbY/edit?gid=741673867"", ""out1g!A:B""), 2, FALSE), 0)"),103.0)</f>
        <v>103</v>
      </c>
      <c r="D5180" s="2" t="str">
        <f>IFERROR(__xludf.DUMMYFUNCTION("IFERROR(VLOOKUP(A5180, IMPORTRANGE(""https://docs.google.com/spreadsheets/d/1-3Vjw2Cyy-mry5gbC8ypIR3YVGFfEpyFESummAta6sg/edit"", ""Sheet1!B:D""), 2, FALSE), ""Not Found"")"),"gɪld")</f>
        <v>gɪld</v>
      </c>
      <c r="E5180" s="2" t="str">
        <f>IFERROR(__xludf.DUMMYFUNCTION("IFERROR(VLOOKUP(A5180, IMPORTRANGE(""https://docs.google.com/spreadsheets/d/1-3Vjw2Cyy-mry5gbC8ypIR3YVGFfEpyFESummAta6sg/edit"", ""Sheet1!B:D""), 3, FALSE), ""Not Found"")"),"g ɪ l d ")</f>
        <v>g ɪ l d </v>
      </c>
    </row>
    <row r="5181">
      <c r="A5181" s="1" t="s">
        <v>5184</v>
      </c>
      <c r="B5181" s="1" t="s">
        <v>5</v>
      </c>
      <c r="C5181" s="2">
        <f>IFERROR(__xludf.DUMMYFUNCTION("IFERROR(VLOOKUP(A5181, IMPORTRANGE(""https://docs.google.com/spreadsheets/d/1AVX9GT0dgogEBStecCXMMQ29tWz3gBrtNB8yIromXbY/edit?gid=741673867"", ""out1g!A:B""), 2, FALSE), 0)"),1436.0)</f>
        <v>1436</v>
      </c>
      <c r="D5181" s="2" t="str">
        <f>IFERROR(__xludf.DUMMYFUNCTION("IFERROR(VLOOKUP(A5181, IMPORTRANGE(""https://docs.google.com/spreadsheets/d/1-3Vjw2Cyy-mry5gbC8ypIR3YVGFfEpyFESummAta6sg/edit"", ""Sheet1!B:D""), 2, FALSE), ""Not Found"")"),"həŋ")</f>
        <v>həŋ</v>
      </c>
      <c r="E5181" s="2" t="str">
        <f>IFERROR(__xludf.DUMMYFUNCTION("IFERROR(VLOOKUP(A5181, IMPORTRANGE(""https://docs.google.com/spreadsheets/d/1-3Vjw2Cyy-mry5gbC8ypIR3YVGFfEpyFESummAta6sg/edit"", ""Sheet1!B:D""), 3, FALSE), ""Not Found"")"),"h ə ŋ ")</f>
        <v>h ə ŋ </v>
      </c>
    </row>
    <row r="5182">
      <c r="A5182" s="1" t="s">
        <v>5185</v>
      </c>
      <c r="B5182" s="1" t="s">
        <v>5</v>
      </c>
      <c r="C5182" s="2">
        <f>IFERROR(__xludf.DUMMYFUNCTION("IFERROR(VLOOKUP(A5182, IMPORTRANGE(""https://docs.google.com/spreadsheets/d/1AVX9GT0dgogEBStecCXMMQ29tWz3gBrtNB8yIromXbY/edit?gid=741673867"", ""out1g!A:B""), 2, FALSE), 0)"),366.0)</f>
        <v>366</v>
      </c>
      <c r="D5182" s="2" t="str">
        <f>IFERROR(__xludf.DUMMYFUNCTION("IFERROR(VLOOKUP(A5182, IMPORTRANGE(""https://docs.google.com/spreadsheets/d/1-3Vjw2Cyy-mry5gbC8ypIR3YVGFfEpyFESummAta6sg/edit"", ""Sheet1!B:D""), 2, FALSE), ""Not Found"")"),"baʊnti")</f>
        <v>baʊnti</v>
      </c>
      <c r="E5182" s="2" t="str">
        <f>IFERROR(__xludf.DUMMYFUNCTION("IFERROR(VLOOKUP(A5182, IMPORTRANGE(""https://docs.google.com/spreadsheets/d/1-3Vjw2Cyy-mry5gbC8ypIR3YVGFfEpyFESummAta6sg/edit"", ""Sheet1!B:D""), 3, FALSE), ""Not Found"")"),"b a ʊ n t i ")</f>
        <v>b a ʊ n t i </v>
      </c>
    </row>
    <row r="5183">
      <c r="A5183" s="1" t="s">
        <v>5186</v>
      </c>
      <c r="B5183" s="1" t="s">
        <v>5</v>
      </c>
      <c r="C5183" s="2">
        <f>IFERROR(__xludf.DUMMYFUNCTION("IFERROR(VLOOKUP(A5183, IMPORTRANGE(""https://docs.google.com/spreadsheets/d/1AVX9GT0dgogEBStecCXMMQ29tWz3gBrtNB8yIromXbY/edit?gid=741673867"", ""out1g!A:B""), 2, FALSE), 0)"),64.0)</f>
        <v>64</v>
      </c>
      <c r="D5183" s="2" t="str">
        <f>IFERROR(__xludf.DUMMYFUNCTION("IFERROR(VLOOKUP(A5183, IMPORTRANGE(""https://docs.google.com/spreadsheets/d/1-3Vjw2Cyy-mry5gbC8ypIR3YVGFfEpyFESummAta6sg/edit"", ""Sheet1!B:D""), 2, FALSE), ""Not Found"")"),"lætər")</f>
        <v>lætər</v>
      </c>
      <c r="E5183" s="2" t="str">
        <f>IFERROR(__xludf.DUMMYFUNCTION("IFERROR(VLOOKUP(A5183, IMPORTRANGE(""https://docs.google.com/spreadsheets/d/1-3Vjw2Cyy-mry5gbC8ypIR3YVGFfEpyFESummAta6sg/edit"", ""Sheet1!B:D""), 3, FALSE), ""Not Found"")"),"l æ t ə r ")</f>
        <v>l æ t ə r </v>
      </c>
    </row>
    <row r="5184">
      <c r="A5184" s="1" t="s">
        <v>5187</v>
      </c>
      <c r="B5184" s="1" t="s">
        <v>5</v>
      </c>
      <c r="C5184" s="2">
        <f>IFERROR(__xludf.DUMMYFUNCTION("IFERROR(VLOOKUP(A5184, IMPORTRANGE(""https://docs.google.com/spreadsheets/d/1AVX9GT0dgogEBStecCXMMQ29tWz3gBrtNB8yIromXbY/edit?gid=741673867"", ""out1g!A:B""), 2, FALSE), 0)"),1972.0)</f>
        <v>1972</v>
      </c>
      <c r="D5184" s="2" t="str">
        <f>IFERROR(__xludf.DUMMYFUNCTION("IFERROR(VLOOKUP(A5184, IMPORTRANGE(""https://docs.google.com/spreadsheets/d/1-3Vjw2Cyy-mry5gbC8ypIR3YVGFfEpyFESummAta6sg/edit"", ""Sheet1!B:D""), 2, FALSE), ""Not Found"")"),"wɔltər")</f>
        <v>wɔltər</v>
      </c>
      <c r="E5184" s="2" t="str">
        <f>IFERROR(__xludf.DUMMYFUNCTION("IFERROR(VLOOKUP(A5184, IMPORTRANGE(""https://docs.google.com/spreadsheets/d/1-3Vjw2Cyy-mry5gbC8ypIR3YVGFfEpyFESummAta6sg/edit"", ""Sheet1!B:D""), 3, FALSE), ""Not Found"")"),"w ɔ l t ə r ")</f>
        <v>w ɔ l t ə r </v>
      </c>
    </row>
    <row r="5185">
      <c r="A5185" s="1" t="s">
        <v>5188</v>
      </c>
      <c r="B5185" s="1" t="s">
        <v>5</v>
      </c>
      <c r="C5185" s="2">
        <f>IFERROR(__xludf.DUMMYFUNCTION("IFERROR(VLOOKUP(A5185, IMPORTRANGE(""https://docs.google.com/spreadsheets/d/1AVX9GT0dgogEBStecCXMMQ29tWz3gBrtNB8yIromXbY/edit?gid=741673867"", ""out1g!A:B""), 2, FALSE), 0)"),130.0)</f>
        <v>130</v>
      </c>
      <c r="D5185" s="2" t="str">
        <f>IFERROR(__xludf.DUMMYFUNCTION("IFERROR(VLOOKUP(A5185, IMPORTRANGE(""https://docs.google.com/spreadsheets/d/1-3Vjw2Cyy-mry5gbC8ypIR3YVGFfEpyFESummAta6sg/edit"", ""Sheet1!B:D""), 2, FALSE), ""Not Found"")"),"stid")</f>
        <v>stid</v>
      </c>
      <c r="E5185" s="2" t="str">
        <f>IFERROR(__xludf.DUMMYFUNCTION("IFERROR(VLOOKUP(A5185, IMPORTRANGE(""https://docs.google.com/spreadsheets/d/1-3Vjw2Cyy-mry5gbC8ypIR3YVGFfEpyFESummAta6sg/edit"", ""Sheet1!B:D""), 3, FALSE), ""Not Found"")"),"s t i d ")</f>
        <v>s t i d </v>
      </c>
    </row>
    <row r="5186">
      <c r="A5186" s="1" t="s">
        <v>5189</v>
      </c>
      <c r="B5186" s="1" t="s">
        <v>5</v>
      </c>
      <c r="C5186" s="2">
        <f>IFERROR(__xludf.DUMMYFUNCTION("IFERROR(VLOOKUP(A5186, IMPORTRANGE(""https://docs.google.com/spreadsheets/d/1AVX9GT0dgogEBStecCXMMQ29tWz3gBrtNB8yIromXbY/edit?gid=741673867"", ""out1g!A:B""), 2, FALSE), 0)"),2161.0)</f>
        <v>2161</v>
      </c>
      <c r="D5186" s="2" t="str">
        <f>IFERROR(__xludf.DUMMYFUNCTION("IFERROR(VLOOKUP(A5186, IMPORTRANGE(""https://docs.google.com/spreadsheets/d/1-3Vjw2Cyy-mry5gbC8ypIR3YVGFfEpyFESummAta6sg/edit"", ""Sheet1!B:D""), 2, FALSE), ""Not Found"")"),"də")</f>
        <v>də</v>
      </c>
      <c r="E5186" s="2" t="str">
        <f>IFERROR(__xludf.DUMMYFUNCTION("IFERROR(VLOOKUP(A5186, IMPORTRANGE(""https://docs.google.com/spreadsheets/d/1-3Vjw2Cyy-mry5gbC8ypIR3YVGFfEpyFESummAta6sg/edit"", ""Sheet1!B:D""), 3, FALSE), ""Not Found"")"),"d ə ")</f>
        <v>d ə </v>
      </c>
    </row>
    <row r="5187">
      <c r="A5187" s="1" t="s">
        <v>5190</v>
      </c>
      <c r="B5187" s="1" t="s">
        <v>5</v>
      </c>
      <c r="C5187" s="2">
        <f>IFERROR(__xludf.DUMMYFUNCTION("IFERROR(VLOOKUP(A5187, IMPORTRANGE(""https://docs.google.com/spreadsheets/d/1AVX9GT0dgogEBStecCXMMQ29tWz3gBrtNB8yIromXbY/edit?gid=741673867"", ""out1g!A:B""), 2, FALSE), 0)"),390.0)</f>
        <v>390</v>
      </c>
      <c r="D5187" s="2" t="str">
        <f>IFERROR(__xludf.DUMMYFUNCTION("IFERROR(VLOOKUP(A5187, IMPORTRANGE(""https://docs.google.com/spreadsheets/d/1-3Vjw2Cyy-mry5gbC8ypIR3YVGFfEpyFESummAta6sg/edit"", ""Sheet1!B:D""), 2, FALSE), ""Not Found"")"),"səb")</f>
        <v>səb</v>
      </c>
      <c r="E5187" s="2" t="str">
        <f>IFERROR(__xludf.DUMMYFUNCTION("IFERROR(VLOOKUP(A5187, IMPORTRANGE(""https://docs.google.com/spreadsheets/d/1-3Vjw2Cyy-mry5gbC8ypIR3YVGFfEpyFESummAta6sg/edit"", ""Sheet1!B:D""), 3, FALSE), ""Not Found"")"),"s ə b ")</f>
        <v>s ə b </v>
      </c>
    </row>
    <row r="5188">
      <c r="A5188" s="1" t="s">
        <v>5191</v>
      </c>
      <c r="B5188" s="1" t="s">
        <v>5</v>
      </c>
      <c r="C5188" s="2">
        <f>IFERROR(__xludf.DUMMYFUNCTION("IFERROR(VLOOKUP(A5188, IMPORTRANGE(""https://docs.google.com/spreadsheets/d/1AVX9GT0dgogEBStecCXMMQ29tWz3gBrtNB8yIromXbY/edit?gid=741673867"", ""out1g!A:B""), 2, FALSE), 0)"),49.0)</f>
        <v>49</v>
      </c>
      <c r="D5188" s="2" t="str">
        <f>IFERROR(__xludf.DUMMYFUNCTION("IFERROR(VLOOKUP(A5188, IMPORTRANGE(""https://docs.google.com/spreadsheets/d/1-3Vjw2Cyy-mry5gbC8ypIR3YVGFfEpyFESummAta6sg/edit"", ""Sheet1!B:D""), 2, FALSE), ""Not Found"")"),"fevərd")</f>
        <v>fevərd</v>
      </c>
      <c r="E5188" s="2" t="str">
        <f>IFERROR(__xludf.DUMMYFUNCTION("IFERROR(VLOOKUP(A5188, IMPORTRANGE(""https://docs.google.com/spreadsheets/d/1-3Vjw2Cyy-mry5gbC8ypIR3YVGFfEpyFESummAta6sg/edit"", ""Sheet1!B:D""), 3, FALSE), ""Not Found"")"),"f e v ə r d ")</f>
        <v>f e v ə r d </v>
      </c>
    </row>
    <row r="5189">
      <c r="A5189" s="1" t="s">
        <v>5192</v>
      </c>
      <c r="B5189" s="1" t="s">
        <v>5</v>
      </c>
      <c r="C5189" s="2">
        <f>IFERROR(__xludf.DUMMYFUNCTION("IFERROR(VLOOKUP(A5189, IMPORTRANGE(""https://docs.google.com/spreadsheets/d/1AVX9GT0dgogEBStecCXMMQ29tWz3gBrtNB8yIromXbY/edit?gid=741673867"", ""out1g!A:B""), 2, FALSE), 0)"),60.0)</f>
        <v>60</v>
      </c>
      <c r="D5189" s="2" t="str">
        <f>IFERROR(__xludf.DUMMYFUNCTION("IFERROR(VLOOKUP(A5189, IMPORTRANGE(""https://docs.google.com/spreadsheets/d/1-3Vjw2Cyy-mry5gbC8ypIR3YVGFfEpyFESummAta6sg/edit"", ""Sheet1!B:D""), 2, FALSE), ""Not Found"")"),"bəroʊ")</f>
        <v>bəroʊ</v>
      </c>
      <c r="E5189" s="2" t="str">
        <f>IFERROR(__xludf.DUMMYFUNCTION("IFERROR(VLOOKUP(A5189, IMPORTRANGE(""https://docs.google.com/spreadsheets/d/1-3Vjw2Cyy-mry5gbC8ypIR3YVGFfEpyFESummAta6sg/edit"", ""Sheet1!B:D""), 3, FALSE), ""Not Found"")"),"b ə r o ʊ ")</f>
        <v>b ə r o ʊ </v>
      </c>
    </row>
    <row r="5190">
      <c r="A5190" s="1" t="s">
        <v>5193</v>
      </c>
      <c r="B5190" s="1" t="s">
        <v>5</v>
      </c>
      <c r="C5190" s="2">
        <f>IFERROR(__xludf.DUMMYFUNCTION("IFERROR(VLOOKUP(A5190, IMPORTRANGE(""https://docs.google.com/spreadsheets/d/1AVX9GT0dgogEBStecCXMMQ29tWz3gBrtNB8yIromXbY/edit?gid=741673867"", ""out1g!A:B""), 2, FALSE), 0)"),191.0)</f>
        <v>191</v>
      </c>
      <c r="D5190" s="2" t="str">
        <f>IFERROR(__xludf.DUMMYFUNCTION("IFERROR(VLOOKUP(A5190, IMPORTRANGE(""https://docs.google.com/spreadsheets/d/1-3Vjw2Cyy-mry5gbC8ypIR3YVGFfEpyFESummAta6sg/edit"", ""Sheet1!B:D""), 2, FALSE), ""Not Found"")"),"ʤæp")</f>
        <v>ʤæp</v>
      </c>
      <c r="E5190" s="2" t="str">
        <f>IFERROR(__xludf.DUMMYFUNCTION("IFERROR(VLOOKUP(A5190, IMPORTRANGE(""https://docs.google.com/spreadsheets/d/1-3Vjw2Cyy-mry5gbC8ypIR3YVGFfEpyFESummAta6sg/edit"", ""Sheet1!B:D""), 3, FALSE), ""Not Found"")"),"ʤ æ p ")</f>
        <v>ʤ æ p </v>
      </c>
    </row>
    <row r="5191">
      <c r="A5191" s="1" t="s">
        <v>5194</v>
      </c>
      <c r="B5191" s="1" t="s">
        <v>5</v>
      </c>
      <c r="C5191" s="2">
        <f>IFERROR(__xludf.DUMMYFUNCTION("IFERROR(VLOOKUP(A5191, IMPORTRANGE(""https://docs.google.com/spreadsheets/d/1AVX9GT0dgogEBStecCXMMQ29tWz3gBrtNB8yIromXbY/edit?gid=741673867"", ""out1g!A:B""), 2, FALSE), 0)"),68.0)</f>
        <v>68</v>
      </c>
      <c r="D5191" s="2" t="str">
        <f>IFERROR(__xludf.DUMMYFUNCTION("IFERROR(VLOOKUP(A5191, IMPORTRANGE(""https://docs.google.com/spreadsheets/d/1-3Vjw2Cyy-mry5gbC8ypIR3YVGFfEpyFESummAta6sg/edit"", ""Sheet1!B:D""), 2, FALSE), ""Not Found"")"),"lɪnt")</f>
        <v>lɪnt</v>
      </c>
      <c r="E5191" s="2" t="str">
        <f>IFERROR(__xludf.DUMMYFUNCTION("IFERROR(VLOOKUP(A5191, IMPORTRANGE(""https://docs.google.com/spreadsheets/d/1-3Vjw2Cyy-mry5gbC8ypIR3YVGFfEpyFESummAta6sg/edit"", ""Sheet1!B:D""), 3, FALSE), ""Not Found"")"),"l ɪ n t ")</f>
        <v>l ɪ n t </v>
      </c>
    </row>
    <row r="5192">
      <c r="A5192" s="1" t="s">
        <v>5195</v>
      </c>
      <c r="B5192" s="1" t="s">
        <v>5</v>
      </c>
      <c r="C5192" s="2">
        <f>IFERROR(__xludf.DUMMYFUNCTION("IFERROR(VLOOKUP(A5192, IMPORTRANGE(""https://docs.google.com/spreadsheets/d/1AVX9GT0dgogEBStecCXMMQ29tWz3gBrtNB8yIromXbY/edit?gid=741673867"", ""out1g!A:B""), 2, FALSE), 0)"),144.0)</f>
        <v>144</v>
      </c>
      <c r="D5192" s="2" t="str">
        <f>IFERROR(__xludf.DUMMYFUNCTION("IFERROR(VLOOKUP(A5192, IMPORTRANGE(""https://docs.google.com/spreadsheets/d/1-3Vjw2Cyy-mry5gbC8ypIR3YVGFfEpyFESummAta6sg/edit"", ""Sheet1!B:D""), 2, FALSE), ""Not Found"")"),"laɪnəp")</f>
        <v>laɪnəp</v>
      </c>
      <c r="E5192" s="2" t="str">
        <f>IFERROR(__xludf.DUMMYFUNCTION("IFERROR(VLOOKUP(A5192, IMPORTRANGE(""https://docs.google.com/spreadsheets/d/1-3Vjw2Cyy-mry5gbC8ypIR3YVGFfEpyFESummAta6sg/edit"", ""Sheet1!B:D""), 3, FALSE), ""Not Found"")"),"l a ɪ n ə p ")</f>
        <v>l a ɪ n ə p </v>
      </c>
    </row>
    <row r="5193">
      <c r="A5193" s="1" t="s">
        <v>5196</v>
      </c>
      <c r="B5193" s="1" t="s">
        <v>5</v>
      </c>
      <c r="C5193" s="2">
        <f>IFERROR(__xludf.DUMMYFUNCTION("IFERROR(VLOOKUP(A5193, IMPORTRANGE(""https://docs.google.com/spreadsheets/d/1AVX9GT0dgogEBStecCXMMQ29tWz3gBrtNB8yIromXbY/edit?gid=741673867"", ""out1g!A:B""), 2, FALSE), 0)"),382.0)</f>
        <v>382</v>
      </c>
      <c r="D5193" s="2" t="str">
        <f>IFERROR(__xludf.DUMMYFUNCTION("IFERROR(VLOOKUP(A5193, IMPORTRANGE(""https://docs.google.com/spreadsheets/d/1-3Vjw2Cyy-mry5gbC8ypIR3YVGFfEpyFESummAta6sg/edit"", ""Sheet1!B:D""), 2, FALSE), ""Not Found"")"),"ɪŋk")</f>
        <v>ɪŋk</v>
      </c>
      <c r="E5193" s="2" t="str">
        <f>IFERROR(__xludf.DUMMYFUNCTION("IFERROR(VLOOKUP(A5193, IMPORTRANGE(""https://docs.google.com/spreadsheets/d/1-3Vjw2Cyy-mry5gbC8ypIR3YVGFfEpyFESummAta6sg/edit"", ""Sheet1!B:D""), 3, FALSE), ""Not Found"")"),"ɪ ŋ k ")</f>
        <v>ɪ ŋ k </v>
      </c>
    </row>
    <row r="5194">
      <c r="A5194" s="1" t="s">
        <v>5197</v>
      </c>
      <c r="B5194" s="1" t="s">
        <v>5</v>
      </c>
      <c r="C5194" s="2">
        <f>IFERROR(__xludf.DUMMYFUNCTION("IFERROR(VLOOKUP(A5194, IMPORTRANGE(""https://docs.google.com/spreadsheets/d/1AVX9GT0dgogEBStecCXMMQ29tWz3gBrtNB8yIromXbY/edit?gid=741673867"", ""out1g!A:B""), 2, FALSE), 0)"),12453.0)</f>
        <v>12453</v>
      </c>
      <c r="D5194" s="2" t="str">
        <f>IFERROR(__xludf.DUMMYFUNCTION("IFERROR(VLOOKUP(A5194, IMPORTRANGE(""https://docs.google.com/spreadsheets/d/1-3Vjw2Cyy-mry5gbC8ypIR3YVGFfEpyFESummAta6sg/edit"", ""Sheet1!B:D""), 2, FALSE), ""Not Found"")"),"hɑrt")</f>
        <v>hɑrt</v>
      </c>
      <c r="E5194" s="2" t="str">
        <f>IFERROR(__xludf.DUMMYFUNCTION("IFERROR(VLOOKUP(A5194, IMPORTRANGE(""https://docs.google.com/spreadsheets/d/1-3Vjw2Cyy-mry5gbC8ypIR3YVGFfEpyFESummAta6sg/edit"", ""Sheet1!B:D""), 3, FALSE), ""Not Found"")"),"h ɑ r t ")</f>
        <v>h ɑ r t </v>
      </c>
    </row>
    <row r="5195">
      <c r="A5195" s="1" t="s">
        <v>5198</v>
      </c>
      <c r="B5195" s="1" t="s">
        <v>5</v>
      </c>
      <c r="C5195" s="2">
        <f>IFERROR(__xludf.DUMMYFUNCTION("IFERROR(VLOOKUP(A5195, IMPORTRANGE(""https://docs.google.com/spreadsheets/d/1AVX9GT0dgogEBStecCXMMQ29tWz3gBrtNB8yIromXbY/edit?gid=741673867"", ""out1g!A:B""), 2, FALSE), 0)"),1448.0)</f>
        <v>1448</v>
      </c>
      <c r="D5195" s="2" t="str">
        <f>IFERROR(__xludf.DUMMYFUNCTION("IFERROR(VLOOKUP(A5195, IMPORTRANGE(""https://docs.google.com/spreadsheets/d/1-3Vjw2Cyy-mry5gbC8ypIR3YVGFfEpyFESummAta6sg/edit"", ""Sheet1!B:D""), 2, FALSE), ""Not Found"")"),"lɔrə")</f>
        <v>lɔrə</v>
      </c>
      <c r="E5195" s="2" t="str">
        <f>IFERROR(__xludf.DUMMYFUNCTION("IFERROR(VLOOKUP(A5195, IMPORTRANGE(""https://docs.google.com/spreadsheets/d/1-3Vjw2Cyy-mry5gbC8ypIR3YVGFfEpyFESummAta6sg/edit"", ""Sheet1!B:D""), 3, FALSE), ""Not Found"")"),"l ɔ r ə ")</f>
        <v>l ɔ r ə </v>
      </c>
    </row>
    <row r="5196">
      <c r="A5196" s="1" t="s">
        <v>5199</v>
      </c>
      <c r="B5196" s="1" t="s">
        <v>5</v>
      </c>
      <c r="C5196" s="2">
        <f>IFERROR(__xludf.DUMMYFUNCTION("IFERROR(VLOOKUP(A5196, IMPORTRANGE(""https://docs.google.com/spreadsheets/d/1AVX9GT0dgogEBStecCXMMQ29tWz3gBrtNB8yIromXbY/edit?gid=741673867"", ""out1g!A:B""), 2, FALSE), 0)"),49.0)</f>
        <v>49</v>
      </c>
      <c r="D5196" s="2" t="str">
        <f>IFERROR(__xludf.DUMMYFUNCTION("IFERROR(VLOOKUP(A5196, IMPORTRANGE(""https://docs.google.com/spreadsheets/d/1-3Vjw2Cyy-mry5gbC8ypIR3YVGFfEpyFESummAta6sg/edit"", ""Sheet1!B:D""), 2, FALSE), ""Not Found"")"),"pg")</f>
        <v>pg</v>
      </c>
      <c r="E5196" s="2" t="str">
        <f>IFERROR(__xludf.DUMMYFUNCTION("IFERROR(VLOOKUP(A5196, IMPORTRANGE(""https://docs.google.com/spreadsheets/d/1-3Vjw2Cyy-mry5gbC8ypIR3YVGFfEpyFESummAta6sg/edit"", ""Sheet1!B:D""), 3, FALSE), ""Not Found"")"),"p g ")</f>
        <v>p g </v>
      </c>
    </row>
    <row r="5197">
      <c r="A5197" s="1" t="s">
        <v>5200</v>
      </c>
      <c r="B5197" s="1" t="s">
        <v>5</v>
      </c>
      <c r="C5197" s="2">
        <f>IFERROR(__xludf.DUMMYFUNCTION("IFERROR(VLOOKUP(A5197, IMPORTRANGE(""https://docs.google.com/spreadsheets/d/1AVX9GT0dgogEBStecCXMMQ29tWz3gBrtNB8yIromXbY/edit?gid=741673867"", ""out1g!A:B""), 2, FALSE), 0)"),317.0)</f>
        <v>317</v>
      </c>
      <c r="D5197" s="2" t="str">
        <f>IFERROR(__xludf.DUMMYFUNCTION("IFERROR(VLOOKUP(A5197, IMPORTRANGE(""https://docs.google.com/spreadsheets/d/1-3Vjw2Cyy-mry5gbC8ypIR3YVGFfEpyFESummAta6sg/edit"", ""Sheet1!B:D""), 2, FALSE), ""Not Found"")"),"ɪres")</f>
        <v>ɪres</v>
      </c>
      <c r="E5197" s="2" t="str">
        <f>IFERROR(__xludf.DUMMYFUNCTION("IFERROR(VLOOKUP(A5197, IMPORTRANGE(""https://docs.google.com/spreadsheets/d/1-3Vjw2Cyy-mry5gbC8ypIR3YVGFfEpyFESummAta6sg/edit"", ""Sheet1!B:D""), 3, FALSE), ""Not Found"")"),"ɪ r e s ")</f>
        <v>ɪ r e s </v>
      </c>
    </row>
    <row r="5198">
      <c r="A5198" s="1" t="s">
        <v>5201</v>
      </c>
      <c r="B5198" s="1" t="s">
        <v>5</v>
      </c>
      <c r="C5198" s="2">
        <f>IFERROR(__xludf.DUMMYFUNCTION("IFERROR(VLOOKUP(A5198, IMPORTRANGE(""https://docs.google.com/spreadsheets/d/1AVX9GT0dgogEBStecCXMMQ29tWz3gBrtNB8yIromXbY/edit?gid=741673867"", ""out1g!A:B""), 2, FALSE), 0)"),144.0)</f>
        <v>144</v>
      </c>
      <c r="D5198" s="2" t="str">
        <f>IFERROR(__xludf.DUMMYFUNCTION("IFERROR(VLOOKUP(A5198, IMPORTRANGE(""https://docs.google.com/spreadsheets/d/1-3Vjw2Cyy-mry5gbC8ypIR3YVGFfEpyFESummAta6sg/edit"", ""Sheet1!B:D""), 2, FALSE), ""Not Found"")"),"wɪntərz")</f>
        <v>wɪntərz</v>
      </c>
      <c r="E5198" s="2" t="str">
        <f>IFERROR(__xludf.DUMMYFUNCTION("IFERROR(VLOOKUP(A5198, IMPORTRANGE(""https://docs.google.com/spreadsheets/d/1-3Vjw2Cyy-mry5gbC8ypIR3YVGFfEpyFESummAta6sg/edit"", ""Sheet1!B:D""), 3, FALSE), ""Not Found"")"),"w ɪ n t ə r z ")</f>
        <v>w ɪ n t ə r z </v>
      </c>
    </row>
    <row r="5199">
      <c r="A5199" s="1" t="s">
        <v>5202</v>
      </c>
      <c r="B5199" s="1" t="s">
        <v>5</v>
      </c>
      <c r="C5199" s="2">
        <f>IFERROR(__xludf.DUMMYFUNCTION("IFERROR(VLOOKUP(A5199, IMPORTRANGE(""https://docs.google.com/spreadsheets/d/1AVX9GT0dgogEBStecCXMMQ29tWz3gBrtNB8yIromXbY/edit?gid=741673867"", ""out1g!A:B""), 2, FALSE), 0)"),56.0)</f>
        <v>56</v>
      </c>
      <c r="D5199" s="2" t="str">
        <f>IFERROR(__xludf.DUMMYFUNCTION("IFERROR(VLOOKUP(A5199, IMPORTRANGE(""https://docs.google.com/spreadsheets/d/1-3Vjw2Cyy-mry5gbC8ypIR3YVGFfEpyFESummAta6sg/edit"", ""Sheet1!B:D""), 2, FALSE), ""Not Found"")"),"rɪn")</f>
        <v>rɪn</v>
      </c>
      <c r="E5199" s="2" t="str">
        <f>IFERROR(__xludf.DUMMYFUNCTION("IFERROR(VLOOKUP(A5199, IMPORTRANGE(""https://docs.google.com/spreadsheets/d/1-3Vjw2Cyy-mry5gbC8ypIR3YVGFfEpyFESummAta6sg/edit"", ""Sheet1!B:D""), 3, FALSE), ""Not Found"")"),"r ɪ n ")</f>
        <v>r ɪ n </v>
      </c>
    </row>
    <row r="5200">
      <c r="A5200" s="1" t="s">
        <v>5203</v>
      </c>
      <c r="B5200" s="1" t="s">
        <v>5</v>
      </c>
      <c r="C5200" s="2">
        <f>IFERROR(__xludf.DUMMYFUNCTION("IFERROR(VLOOKUP(A5200, IMPORTRANGE(""https://docs.google.com/spreadsheets/d/1AVX9GT0dgogEBStecCXMMQ29tWz3gBrtNB8yIromXbY/edit?gid=741673867"", ""out1g!A:B""), 2, FALSE), 0)"),61.0)</f>
        <v>61</v>
      </c>
      <c r="D5200" s="2" t="str">
        <f>IFERROR(__xludf.DUMMYFUNCTION("IFERROR(VLOOKUP(A5200, IMPORTRANGE(""https://docs.google.com/spreadsheets/d/1-3Vjw2Cyy-mry5gbC8ypIR3YVGFfEpyFESummAta6sg/edit"", ""Sheet1!B:D""), 2, FALSE), ""Not Found"")"),"lɔri")</f>
        <v>lɔri</v>
      </c>
      <c r="E5200" s="2" t="str">
        <f>IFERROR(__xludf.DUMMYFUNCTION("IFERROR(VLOOKUP(A5200, IMPORTRANGE(""https://docs.google.com/spreadsheets/d/1-3Vjw2Cyy-mry5gbC8ypIR3YVGFfEpyFESummAta6sg/edit"", ""Sheet1!B:D""), 3, FALSE), ""Not Found"")"),"l ɔ r i ")</f>
        <v>l ɔ r i </v>
      </c>
    </row>
    <row r="5201">
      <c r="A5201" s="1" t="s">
        <v>5204</v>
      </c>
      <c r="B5201" s="1" t="s">
        <v>5</v>
      </c>
      <c r="C5201" s="2">
        <f>IFERROR(__xludf.DUMMYFUNCTION("IFERROR(VLOOKUP(A5201, IMPORTRANGE(""https://docs.google.com/spreadsheets/d/1AVX9GT0dgogEBStecCXMMQ29tWz3gBrtNB8yIromXbY/edit?gid=741673867"", ""out1g!A:B""), 2, FALSE), 0)"),361.0)</f>
        <v>361</v>
      </c>
      <c r="D5201" s="2" t="str">
        <f>IFERROR(__xludf.DUMMYFUNCTION("IFERROR(VLOOKUP(A5201, IMPORTRANGE(""https://docs.google.com/spreadsheets/d/1-3Vjw2Cyy-mry5gbC8ypIR3YVGFfEpyFESummAta6sg/edit"", ""Sheet1!B:D""), 2, FALSE), ""Not Found"")"),"stren")</f>
        <v>stren</v>
      </c>
      <c r="E5201" s="2" t="str">
        <f>IFERROR(__xludf.DUMMYFUNCTION("IFERROR(VLOOKUP(A5201, IMPORTRANGE(""https://docs.google.com/spreadsheets/d/1-3Vjw2Cyy-mry5gbC8ypIR3YVGFfEpyFESummAta6sg/edit"", ""Sheet1!B:D""), 3, FALSE), ""Not Found"")"),"s t r e n ")</f>
        <v>s t r e n </v>
      </c>
    </row>
    <row r="5202">
      <c r="A5202" s="1" t="s">
        <v>5205</v>
      </c>
      <c r="B5202" s="1" t="s">
        <v>5</v>
      </c>
      <c r="C5202" s="2">
        <f>IFERROR(__xludf.DUMMYFUNCTION("IFERROR(VLOOKUP(A5202, IMPORTRANGE(""https://docs.google.com/spreadsheets/d/1AVX9GT0dgogEBStecCXMMQ29tWz3gBrtNB8yIromXbY/edit?gid=741673867"", ""out1g!A:B""), 2, FALSE), 0)"),307.0)</f>
        <v>307</v>
      </c>
      <c r="D5202" s="2" t="str">
        <f>IFERROR(__xludf.DUMMYFUNCTION("IFERROR(VLOOKUP(A5202, IMPORTRANGE(""https://docs.google.com/spreadsheets/d/1-3Vjw2Cyy-mry5gbC8ypIR3YVGFfEpyFESummAta6sg/edit"", ""Sheet1!B:D""), 2, FALSE), ""Not Found"")"),"dɪŋ")</f>
        <v>dɪŋ</v>
      </c>
      <c r="E5202" s="2" t="str">
        <f>IFERROR(__xludf.DUMMYFUNCTION("IFERROR(VLOOKUP(A5202, IMPORTRANGE(""https://docs.google.com/spreadsheets/d/1-3Vjw2Cyy-mry5gbC8ypIR3YVGFfEpyFESummAta6sg/edit"", ""Sheet1!B:D""), 3, FALSE), ""Not Found"")"),"d ɪ ŋ ")</f>
        <v>d ɪ ŋ </v>
      </c>
    </row>
    <row r="5203">
      <c r="A5203" s="1" t="s">
        <v>5206</v>
      </c>
      <c r="B5203" s="1" t="s">
        <v>5</v>
      </c>
      <c r="C5203" s="2">
        <f>IFERROR(__xludf.DUMMYFUNCTION("IFERROR(VLOOKUP(A5203, IMPORTRANGE(""https://docs.google.com/spreadsheets/d/1AVX9GT0dgogEBStecCXMMQ29tWz3gBrtNB8yIromXbY/edit?gid=741673867"", ""out1g!A:B""), 2, FALSE), 0)"),18311.0)</f>
        <v>18311</v>
      </c>
      <c r="D5203" s="2" t="str">
        <f>IFERROR(__xludf.DUMMYFUNCTION("IFERROR(VLOOKUP(A5203, IMPORTRANGE(""https://docs.google.com/spreadsheets/d/1-3Vjw2Cyy-mry5gbC8ypIR3YVGFfEpyFESummAta6sg/edit"", ""Sheet1!B:D""), 2, FALSE), ""Not Found"")"),"aɪdiə")</f>
        <v>aɪdiə</v>
      </c>
      <c r="E5203" s="2" t="str">
        <f>IFERROR(__xludf.DUMMYFUNCTION("IFERROR(VLOOKUP(A5203, IMPORTRANGE(""https://docs.google.com/spreadsheets/d/1-3Vjw2Cyy-mry5gbC8ypIR3YVGFfEpyFESummAta6sg/edit"", ""Sheet1!B:D""), 3, FALSE), ""Not Found"")"),"a ɪ d i ə ")</f>
        <v>a ɪ d i ə </v>
      </c>
    </row>
    <row r="5204">
      <c r="A5204" s="1" t="s">
        <v>5207</v>
      </c>
      <c r="B5204" s="1" t="s">
        <v>5</v>
      </c>
      <c r="C5204" s="2">
        <f>IFERROR(__xludf.DUMMYFUNCTION("IFERROR(VLOOKUP(A5204, IMPORTRANGE(""https://docs.google.com/spreadsheets/d/1AVX9GT0dgogEBStecCXMMQ29tWz3gBrtNB8yIromXbY/edit?gid=741673867"", ""out1g!A:B""), 2, FALSE), 0)"),765.0)</f>
        <v>765</v>
      </c>
      <c r="D5204" s="2" t="str">
        <f>IFERROR(__xludf.DUMMYFUNCTION("IFERROR(VLOOKUP(A5204, IMPORTRANGE(""https://docs.google.com/spreadsheets/d/1-3Vjw2Cyy-mry5gbC8ypIR3YVGFfEpyFESummAta6sg/edit"", ""Sheet1!B:D""), 2, FALSE), ""Not Found"")"),"blɑks")</f>
        <v>blɑks</v>
      </c>
      <c r="E5204" s="2" t="str">
        <f>IFERROR(__xludf.DUMMYFUNCTION("IFERROR(VLOOKUP(A5204, IMPORTRANGE(""https://docs.google.com/spreadsheets/d/1-3Vjw2Cyy-mry5gbC8ypIR3YVGFfEpyFESummAta6sg/edit"", ""Sheet1!B:D""), 3, FALSE), ""Not Found"")"),"b l ɑ k s ")</f>
        <v>b l ɑ k s </v>
      </c>
    </row>
    <row r="5205">
      <c r="A5205" s="1" t="s">
        <v>5208</v>
      </c>
      <c r="B5205" s="1" t="s">
        <v>5</v>
      </c>
      <c r="C5205" s="2">
        <f>IFERROR(__xludf.DUMMYFUNCTION("IFERROR(VLOOKUP(A5205, IMPORTRANGE(""https://docs.google.com/spreadsheets/d/1AVX9GT0dgogEBStecCXMMQ29tWz3gBrtNB8yIromXbY/edit?gid=741673867"", ""out1g!A:B""), 2, FALSE), 0)"),916.0)</f>
        <v>916</v>
      </c>
      <c r="D5205" s="2" t="str">
        <f>IFERROR(__xludf.DUMMYFUNCTION("IFERROR(VLOOKUP(A5205, IMPORTRANGE(""https://docs.google.com/spreadsheets/d/1-3Vjw2Cyy-mry5gbC8ypIR3YVGFfEpyFESummAta6sg/edit"", ""Sheet1!B:D""), 2, FALSE), ""Not Found"")"),"bɑrz")</f>
        <v>bɑrz</v>
      </c>
      <c r="E5205" s="2" t="str">
        <f>IFERROR(__xludf.DUMMYFUNCTION("IFERROR(VLOOKUP(A5205, IMPORTRANGE(""https://docs.google.com/spreadsheets/d/1-3Vjw2Cyy-mry5gbC8ypIR3YVGFfEpyFESummAta6sg/edit"", ""Sheet1!B:D""), 3, FALSE), ""Not Found"")"),"b ɑ r z ")</f>
        <v>b ɑ r z </v>
      </c>
    </row>
    <row r="5206">
      <c r="A5206" s="1" t="s">
        <v>5209</v>
      </c>
      <c r="B5206" s="1" t="s">
        <v>5</v>
      </c>
      <c r="C5206" s="2">
        <f>IFERROR(__xludf.DUMMYFUNCTION("IFERROR(VLOOKUP(A5206, IMPORTRANGE(""https://docs.google.com/spreadsheets/d/1AVX9GT0dgogEBStecCXMMQ29tWz3gBrtNB8yIromXbY/edit?gid=741673867"", ""out1g!A:B""), 2, FALSE), 0)"),71.0)</f>
        <v>71</v>
      </c>
      <c r="D5206" s="2" t="str">
        <f>IFERROR(__xludf.DUMMYFUNCTION("IFERROR(VLOOKUP(A5206, IMPORTRANGE(""https://docs.google.com/spreadsheets/d/1-3Vjw2Cyy-mry5gbC8ypIR3YVGFfEpyFESummAta6sg/edit"", ""Sheet1!B:D""), 2, FALSE), ""Not Found"")"),"hoʊmɪŋ")</f>
        <v>hoʊmɪŋ</v>
      </c>
      <c r="E5206" s="2" t="str">
        <f>IFERROR(__xludf.DUMMYFUNCTION("IFERROR(VLOOKUP(A5206, IMPORTRANGE(""https://docs.google.com/spreadsheets/d/1-3Vjw2Cyy-mry5gbC8ypIR3YVGFfEpyFESummAta6sg/edit"", ""Sheet1!B:D""), 3, FALSE), ""Not Found"")"),"h o ʊ m ɪ ŋ ")</f>
        <v>h o ʊ m ɪ ŋ </v>
      </c>
    </row>
    <row r="5207">
      <c r="A5207" s="1" t="s">
        <v>5210</v>
      </c>
      <c r="B5207" s="1" t="s">
        <v>5</v>
      </c>
      <c r="C5207" s="2">
        <f>IFERROR(__xludf.DUMMYFUNCTION("IFERROR(VLOOKUP(A5207, IMPORTRANGE(""https://docs.google.com/spreadsheets/d/1AVX9GT0dgogEBStecCXMMQ29tWz3gBrtNB8yIromXbY/edit?gid=741673867"", ""out1g!A:B""), 2, FALSE), 0)"),51.0)</f>
        <v>51</v>
      </c>
      <c r="D5207" s="2" t="str">
        <f>IFERROR(__xludf.DUMMYFUNCTION("IFERROR(VLOOKUP(A5207, IMPORTRANGE(""https://docs.google.com/spreadsheets/d/1-3Vjw2Cyy-mry5gbC8ypIR3YVGFfEpyFESummAta6sg/edit"", ""Sheet1!B:D""), 2, FALSE), ""Not Found"")"),"kloʊnd")</f>
        <v>kloʊnd</v>
      </c>
      <c r="E5207" s="2" t="str">
        <f>IFERROR(__xludf.DUMMYFUNCTION("IFERROR(VLOOKUP(A5207, IMPORTRANGE(""https://docs.google.com/spreadsheets/d/1-3Vjw2Cyy-mry5gbC8ypIR3YVGFfEpyFESummAta6sg/edit"", ""Sheet1!B:D""), 3, FALSE), ""Not Found"")"),"k l o ʊ n d ")</f>
        <v>k l o ʊ n d </v>
      </c>
    </row>
    <row r="5208">
      <c r="A5208" s="1" t="s">
        <v>5211</v>
      </c>
      <c r="B5208" s="1" t="s">
        <v>5</v>
      </c>
      <c r="C5208" s="2">
        <f>IFERROR(__xludf.DUMMYFUNCTION("IFERROR(VLOOKUP(A5208, IMPORTRANGE(""https://docs.google.com/spreadsheets/d/1AVX9GT0dgogEBStecCXMMQ29tWz3gBrtNB8yIromXbY/edit?gid=741673867"", ""out1g!A:B""), 2, FALSE), 0)"),140.0)</f>
        <v>140</v>
      </c>
      <c r="D5208" s="2" t="str">
        <f>IFERROR(__xludf.DUMMYFUNCTION("IFERROR(VLOOKUP(A5208, IMPORTRANGE(""https://docs.google.com/spreadsheets/d/1-3Vjw2Cyy-mry5gbC8ypIR3YVGFfEpyFESummAta6sg/edit"", ""Sheet1!B:D""), 2, FALSE), ""Not Found"")"),"grɪf")</f>
        <v>grɪf</v>
      </c>
      <c r="E5208" s="2" t="str">
        <f>IFERROR(__xludf.DUMMYFUNCTION("IFERROR(VLOOKUP(A5208, IMPORTRANGE(""https://docs.google.com/spreadsheets/d/1-3Vjw2Cyy-mry5gbC8ypIR3YVGFfEpyFESummAta6sg/edit"", ""Sheet1!B:D""), 3, FALSE), ""Not Found"")"),"g r ɪ f ")</f>
        <v>g r ɪ f </v>
      </c>
    </row>
    <row r="5209">
      <c r="A5209" s="1" t="s">
        <v>5212</v>
      </c>
      <c r="B5209" s="1" t="s">
        <v>5</v>
      </c>
      <c r="C5209" s="2">
        <f>IFERROR(__xludf.DUMMYFUNCTION("IFERROR(VLOOKUP(A5209, IMPORTRANGE(""https://docs.google.com/spreadsheets/d/1AVX9GT0dgogEBStecCXMMQ29tWz3gBrtNB8yIromXbY/edit?gid=741673867"", ""out1g!A:B""), 2, FALSE), 0)"),6339.0)</f>
        <v>6339</v>
      </c>
      <c r="D5209" s="2" t="str">
        <f>IFERROR(__xludf.DUMMYFUNCTION("IFERROR(VLOOKUP(A5209, IMPORTRANGE(""https://docs.google.com/spreadsheets/d/1-3Vjw2Cyy-mry5gbC8ypIR3YVGFfEpyFESummAta6sg/edit"", ""Sheet1!B:D""), 2, FALSE), ""Not Found"")"),"bɔs")</f>
        <v>bɔs</v>
      </c>
      <c r="E5209" s="2" t="str">
        <f>IFERROR(__xludf.DUMMYFUNCTION("IFERROR(VLOOKUP(A5209, IMPORTRANGE(""https://docs.google.com/spreadsheets/d/1-3Vjw2Cyy-mry5gbC8ypIR3YVGFfEpyFESummAta6sg/edit"", ""Sheet1!B:D""), 3, FALSE), ""Not Found"")"),"b ɔ s ")</f>
        <v>b ɔ s </v>
      </c>
    </row>
    <row r="5210">
      <c r="A5210" s="1" t="s">
        <v>5213</v>
      </c>
      <c r="B5210" s="1" t="s">
        <v>5</v>
      </c>
      <c r="C5210" s="2">
        <f>IFERROR(__xludf.DUMMYFUNCTION("IFERROR(VLOOKUP(A5210, IMPORTRANGE(""https://docs.google.com/spreadsheets/d/1AVX9GT0dgogEBStecCXMMQ29tWz3gBrtNB8yIromXbY/edit?gid=741673867"", ""out1g!A:B""), 2, FALSE), 0)"),61.0)</f>
        <v>61</v>
      </c>
      <c r="D5210" s="2" t="str">
        <f>IFERROR(__xludf.DUMMYFUNCTION("IFERROR(VLOOKUP(A5210, IMPORTRANGE(""https://docs.google.com/spreadsheets/d/1-3Vjw2Cyy-mry5gbC8ypIR3YVGFfEpyFESummAta6sg/edit"", ""Sheet1!B:D""), 2, FALSE), ""Not Found"")"),"limə")</f>
        <v>limə</v>
      </c>
      <c r="E5210" s="2" t="str">
        <f>IFERROR(__xludf.DUMMYFUNCTION("IFERROR(VLOOKUP(A5210, IMPORTRANGE(""https://docs.google.com/spreadsheets/d/1-3Vjw2Cyy-mry5gbC8ypIR3YVGFfEpyFESummAta6sg/edit"", ""Sheet1!B:D""), 3, FALSE), ""Not Found"")"),"l i m ə ")</f>
        <v>l i m ə </v>
      </c>
    </row>
    <row r="5211">
      <c r="A5211" s="1" t="s">
        <v>5214</v>
      </c>
      <c r="B5211" s="1" t="s">
        <v>5</v>
      </c>
      <c r="C5211" s="2">
        <f>IFERROR(__xludf.DUMMYFUNCTION("IFERROR(VLOOKUP(A5211, IMPORTRANGE(""https://docs.google.com/spreadsheets/d/1AVX9GT0dgogEBStecCXMMQ29tWz3gBrtNB8yIromXbY/edit?gid=741673867"", ""out1g!A:B""), 2, FALSE), 0)"),1075.0)</f>
        <v>1075</v>
      </c>
      <c r="D5211" s="2" t="str">
        <f>IFERROR(__xludf.DUMMYFUNCTION("IFERROR(VLOOKUP(A5211, IMPORTRANGE(""https://docs.google.com/spreadsheets/d/1-3Vjw2Cyy-mry5gbC8ypIR3YVGFfEpyFESummAta6sg/edit"", ""Sheet1!B:D""), 2, FALSE), ""Not Found"")"),"hɔrn")</f>
        <v>hɔrn</v>
      </c>
      <c r="E5211" s="2" t="str">
        <f>IFERROR(__xludf.DUMMYFUNCTION("IFERROR(VLOOKUP(A5211, IMPORTRANGE(""https://docs.google.com/spreadsheets/d/1-3Vjw2Cyy-mry5gbC8ypIR3YVGFfEpyFESummAta6sg/edit"", ""Sheet1!B:D""), 3, FALSE), ""Not Found"")"),"h ɔ r n ")</f>
        <v>h ɔ r n </v>
      </c>
    </row>
    <row r="5212">
      <c r="A5212" s="1" t="s">
        <v>5215</v>
      </c>
      <c r="B5212" s="1" t="s">
        <v>5</v>
      </c>
      <c r="C5212" s="2">
        <f>IFERROR(__xludf.DUMMYFUNCTION("IFERROR(VLOOKUP(A5212, IMPORTRANGE(""https://docs.google.com/spreadsheets/d/1AVX9GT0dgogEBStecCXMMQ29tWz3gBrtNB8yIromXbY/edit?gid=741673867"", ""out1g!A:B""), 2, FALSE), 0)"),58.0)</f>
        <v>58</v>
      </c>
      <c r="D5212" s="2" t="str">
        <f>IFERROR(__xludf.DUMMYFUNCTION("IFERROR(VLOOKUP(A5212, IMPORTRANGE(""https://docs.google.com/spreadsheets/d/1-3Vjw2Cyy-mry5gbC8ypIR3YVGFfEpyFESummAta6sg/edit"", ""Sheet1!B:D""), 2, FALSE), ""Not Found"")"),"vilə")</f>
        <v>vilə</v>
      </c>
      <c r="E5212" s="2" t="str">
        <f>IFERROR(__xludf.DUMMYFUNCTION("IFERROR(VLOOKUP(A5212, IMPORTRANGE(""https://docs.google.com/spreadsheets/d/1-3Vjw2Cyy-mry5gbC8ypIR3YVGFfEpyFESummAta6sg/edit"", ""Sheet1!B:D""), 3, FALSE), ""Not Found"")"),"v i l ə ")</f>
        <v>v i l ə </v>
      </c>
    </row>
    <row r="5213">
      <c r="A5213" s="1" t="s">
        <v>5216</v>
      </c>
      <c r="B5213" s="1" t="s">
        <v>5</v>
      </c>
      <c r="C5213" s="2">
        <f>IFERROR(__xludf.DUMMYFUNCTION("IFERROR(VLOOKUP(A5213, IMPORTRANGE(""https://docs.google.com/spreadsheets/d/1AVX9GT0dgogEBStecCXMMQ29tWz3gBrtNB8yIromXbY/edit?gid=741673867"", ""out1g!A:B""), 2, FALSE), 0)"),66.0)</f>
        <v>66</v>
      </c>
      <c r="D5213" s="2" t="str">
        <f>IFERROR(__xludf.DUMMYFUNCTION("IFERROR(VLOOKUP(A5213, IMPORTRANGE(""https://docs.google.com/spreadsheets/d/1-3Vjw2Cyy-mry5gbC8ypIR3YVGFfEpyFESummAta6sg/edit"", ""Sheet1!B:D""), 2, FALSE), ""Not Found"")"),"fɑgi")</f>
        <v>fɑgi</v>
      </c>
      <c r="E5213" s="2" t="str">
        <f>IFERROR(__xludf.DUMMYFUNCTION("IFERROR(VLOOKUP(A5213, IMPORTRANGE(""https://docs.google.com/spreadsheets/d/1-3Vjw2Cyy-mry5gbC8ypIR3YVGFfEpyFESummAta6sg/edit"", ""Sheet1!B:D""), 3, FALSE), ""Not Found"")"),"f ɑ g i ")</f>
        <v>f ɑ g i </v>
      </c>
    </row>
    <row r="5214">
      <c r="A5214" s="1" t="s">
        <v>5217</v>
      </c>
      <c r="B5214" s="1" t="s">
        <v>5</v>
      </c>
      <c r="C5214" s="2">
        <f>IFERROR(__xludf.DUMMYFUNCTION("IFERROR(VLOOKUP(A5214, IMPORTRANGE(""https://docs.google.com/spreadsheets/d/1AVX9GT0dgogEBStecCXMMQ29tWz3gBrtNB8yIromXbY/edit?gid=741673867"", ""out1g!A:B""), 2, FALSE), 0)"),733338.0)</f>
        <v>733338</v>
      </c>
      <c r="D5214" s="2" t="str">
        <f>IFERROR(__xludf.DUMMYFUNCTION("IFERROR(VLOOKUP(A5214, IMPORTRANGE(""https://docs.google.com/spreadsheets/d/1-3Vjw2Cyy-mry5gbC8ypIR3YVGFfEpyFESummAta6sg/edit"", ""Sheet1!B:D""), 2, FALSE), ""Not Found"")"),"ti")</f>
        <v>ti</v>
      </c>
      <c r="E5214" s="2" t="str">
        <f>IFERROR(__xludf.DUMMYFUNCTION("IFERROR(VLOOKUP(A5214, IMPORTRANGE(""https://docs.google.com/spreadsheets/d/1-3Vjw2Cyy-mry5gbC8ypIR3YVGFfEpyFESummAta6sg/edit"", ""Sheet1!B:D""), 3, FALSE), ""Not Found"")"),"t i ")</f>
        <v>t i </v>
      </c>
    </row>
    <row r="5215">
      <c r="A5215" s="1" t="s">
        <v>5218</v>
      </c>
      <c r="B5215" s="1" t="s">
        <v>5</v>
      </c>
      <c r="C5215" s="2">
        <f>IFERROR(__xludf.DUMMYFUNCTION("IFERROR(VLOOKUP(A5215, IMPORTRANGE(""https://docs.google.com/spreadsheets/d/1AVX9GT0dgogEBStecCXMMQ29tWz3gBrtNB8yIromXbY/edit?gid=741673867"", ""out1g!A:B""), 2, FALSE), 0)"),153.0)</f>
        <v>153</v>
      </c>
      <c r="D5215" s="2" t="str">
        <f>IFERROR(__xludf.DUMMYFUNCTION("IFERROR(VLOOKUP(A5215, IMPORTRANGE(""https://docs.google.com/spreadsheets/d/1-3Vjw2Cyy-mry5gbC8ypIR3YVGFfEpyFESummAta6sg/edit"", ""Sheet1!B:D""), 2, FALSE), ""Not Found"")"),"kloʊk")</f>
        <v>kloʊk</v>
      </c>
      <c r="E5215" s="2" t="str">
        <f>IFERROR(__xludf.DUMMYFUNCTION("IFERROR(VLOOKUP(A5215, IMPORTRANGE(""https://docs.google.com/spreadsheets/d/1-3Vjw2Cyy-mry5gbC8ypIR3YVGFfEpyFESummAta6sg/edit"", ""Sheet1!B:D""), 3, FALSE), ""Not Found"")"),"k l o ʊ k ")</f>
        <v>k l o ʊ k </v>
      </c>
    </row>
    <row r="5216">
      <c r="A5216" s="1" t="s">
        <v>5219</v>
      </c>
      <c r="B5216" s="1" t="s">
        <v>5</v>
      </c>
      <c r="C5216" s="2">
        <f>IFERROR(__xludf.DUMMYFUNCTION("IFERROR(VLOOKUP(A5216, IMPORTRANGE(""https://docs.google.com/spreadsheets/d/1AVX9GT0dgogEBStecCXMMQ29tWz3gBrtNB8yIromXbY/edit?gid=741673867"", ""out1g!A:B""), 2, FALSE), 0)"),86.0)</f>
        <v>86</v>
      </c>
      <c r="D5216" s="2" t="str">
        <f>IFERROR(__xludf.DUMMYFUNCTION("IFERROR(VLOOKUP(A5216, IMPORTRANGE(""https://docs.google.com/spreadsheets/d/1-3Vjw2Cyy-mry5gbC8ypIR3YVGFfEpyFESummAta6sg/edit"", ""Sheet1!B:D""), 2, FALSE), ""Not Found"")"),"simən")</f>
        <v>simən</v>
      </c>
      <c r="E5216" s="2" t="str">
        <f>IFERROR(__xludf.DUMMYFUNCTION("IFERROR(VLOOKUP(A5216, IMPORTRANGE(""https://docs.google.com/spreadsheets/d/1-3Vjw2Cyy-mry5gbC8ypIR3YVGFfEpyFESummAta6sg/edit"", ""Sheet1!B:D""), 3, FALSE), ""Not Found"")"),"s i m ə n ")</f>
        <v>s i m ə n </v>
      </c>
    </row>
    <row r="5217">
      <c r="A5217" s="1" t="s">
        <v>5220</v>
      </c>
      <c r="B5217" s="1" t="s">
        <v>5</v>
      </c>
      <c r="C5217" s="2">
        <f>IFERROR(__xludf.DUMMYFUNCTION("IFERROR(VLOOKUP(A5217, IMPORTRANGE(""https://docs.google.com/spreadsheets/d/1AVX9GT0dgogEBStecCXMMQ29tWz3gBrtNB8yIromXbY/edit?gid=741673867"", ""out1g!A:B""), 2, FALSE), 0)"),339.0)</f>
        <v>339</v>
      </c>
      <c r="D5217" s="2" t="str">
        <f>IFERROR(__xludf.DUMMYFUNCTION("IFERROR(VLOOKUP(A5217, IMPORTRANGE(""https://docs.google.com/spreadsheets/d/1-3Vjw2Cyy-mry5gbC8ypIR3YVGFfEpyFESummAta6sg/edit"", ""Sheet1!B:D""), 2, FALSE), ""Not Found"")"),"ərʤ")</f>
        <v>ərʤ</v>
      </c>
      <c r="E5217" s="2" t="str">
        <f>IFERROR(__xludf.DUMMYFUNCTION("IFERROR(VLOOKUP(A5217, IMPORTRANGE(""https://docs.google.com/spreadsheets/d/1-3Vjw2Cyy-mry5gbC8ypIR3YVGFfEpyFESummAta6sg/edit"", ""Sheet1!B:D""), 3, FALSE), ""Not Found"")"),"ə r ʤ ")</f>
        <v>ə r ʤ </v>
      </c>
    </row>
    <row r="5218">
      <c r="A5218" s="1" t="s">
        <v>5221</v>
      </c>
      <c r="B5218" s="1" t="s">
        <v>5</v>
      </c>
      <c r="C5218" s="2">
        <f>IFERROR(__xludf.DUMMYFUNCTION("IFERROR(VLOOKUP(A5218, IMPORTRANGE(""https://docs.google.com/spreadsheets/d/1AVX9GT0dgogEBStecCXMMQ29tWz3gBrtNB8yIromXbY/edit?gid=741673867"", ""out1g!A:B""), 2, FALSE), 0)"),19252.0)</f>
        <v>19252</v>
      </c>
      <c r="D5218" s="2" t="str">
        <f>IFERROR(__xludf.DUMMYFUNCTION("IFERROR(VLOOKUP(A5218, IMPORTRANGE(""https://docs.google.com/spreadsheets/d/1-3Vjw2Cyy-mry5gbC8ypIR3YVGFfEpyFESummAta6sg/edit"", ""Sheet1!B:D""), 2, FALSE), ""Not Found"")"),"mɪnət")</f>
        <v>mɪnət</v>
      </c>
      <c r="E5218" s="2" t="str">
        <f>IFERROR(__xludf.DUMMYFUNCTION("IFERROR(VLOOKUP(A5218, IMPORTRANGE(""https://docs.google.com/spreadsheets/d/1-3Vjw2Cyy-mry5gbC8ypIR3YVGFfEpyFESummAta6sg/edit"", ""Sheet1!B:D""), 3, FALSE), ""Not Found"")"),"m ɪ n ə t ")</f>
        <v>m ɪ n ə t </v>
      </c>
    </row>
    <row r="5219">
      <c r="A5219" s="1" t="s">
        <v>5222</v>
      </c>
      <c r="B5219" s="1" t="s">
        <v>5</v>
      </c>
      <c r="C5219" s="2">
        <f>IFERROR(__xludf.DUMMYFUNCTION("IFERROR(VLOOKUP(A5219, IMPORTRANGE(""https://docs.google.com/spreadsheets/d/1AVX9GT0dgogEBStecCXMMQ29tWz3gBrtNB8yIromXbY/edit?gid=741673867"", ""out1g!A:B""), 2, FALSE), 0)"),101.0)</f>
        <v>101</v>
      </c>
      <c r="D5219" s="2" t="str">
        <f>IFERROR(__xludf.DUMMYFUNCTION("IFERROR(VLOOKUP(A5219, IMPORTRANGE(""https://docs.google.com/spreadsheets/d/1-3Vjw2Cyy-mry5gbC8ypIR3YVGFfEpyFESummAta6sg/edit"", ""Sheet1!B:D""), 2, FALSE), ""Not Found"")"),"min")</f>
        <v>min</v>
      </c>
      <c r="E5219" s="2" t="str">
        <f>IFERROR(__xludf.DUMMYFUNCTION("IFERROR(VLOOKUP(A5219, IMPORTRANGE(""https://docs.google.com/spreadsheets/d/1-3Vjw2Cyy-mry5gbC8ypIR3YVGFfEpyFESummAta6sg/edit"", ""Sheet1!B:D""), 3, FALSE), ""Not Found"")"),"m i n ")</f>
        <v>m i n </v>
      </c>
    </row>
    <row r="5220">
      <c r="A5220" s="1" t="s">
        <v>5223</v>
      </c>
      <c r="B5220" s="1" t="s">
        <v>5</v>
      </c>
      <c r="C5220" s="2">
        <f>IFERROR(__xludf.DUMMYFUNCTION("IFERROR(VLOOKUP(A5220, IMPORTRANGE(""https://docs.google.com/spreadsheets/d/1AVX9GT0dgogEBStecCXMMQ29tWz3gBrtNB8yIromXbY/edit?gid=741673867"", ""out1g!A:B""), 2, FALSE), 0)"),98.0)</f>
        <v>98</v>
      </c>
      <c r="D5220" s="2" t="str">
        <f>IFERROR(__xludf.DUMMYFUNCTION("IFERROR(VLOOKUP(A5220, IMPORTRANGE(""https://docs.google.com/spreadsheets/d/1-3Vjw2Cyy-mry5gbC8ypIR3YVGFfEpyFESummAta6sg/edit"", ""Sheet1!B:D""), 2, FALSE), ""Not Found"")"),"fæŋ")</f>
        <v>fæŋ</v>
      </c>
      <c r="E5220" s="2" t="str">
        <f>IFERROR(__xludf.DUMMYFUNCTION("IFERROR(VLOOKUP(A5220, IMPORTRANGE(""https://docs.google.com/spreadsheets/d/1-3Vjw2Cyy-mry5gbC8ypIR3YVGFfEpyFESummAta6sg/edit"", ""Sheet1!B:D""), 3, FALSE), ""Not Found"")"),"f æ ŋ ")</f>
        <v>f æ ŋ </v>
      </c>
    </row>
    <row r="5221">
      <c r="A5221" s="1" t="s">
        <v>5224</v>
      </c>
      <c r="B5221" s="1" t="s">
        <v>5</v>
      </c>
      <c r="C5221" s="2">
        <f>IFERROR(__xludf.DUMMYFUNCTION("IFERROR(VLOOKUP(A5221, IMPORTRANGE(""https://docs.google.com/spreadsheets/d/1AVX9GT0dgogEBStecCXMMQ29tWz3gBrtNB8yIromXbY/edit?gid=741673867"", ""out1g!A:B""), 2, FALSE), 0)"),72.0)</f>
        <v>72</v>
      </c>
      <c r="D5221" s="2" t="str">
        <f>IFERROR(__xludf.DUMMYFUNCTION("IFERROR(VLOOKUP(A5221, IMPORTRANGE(""https://docs.google.com/spreadsheets/d/1-3Vjw2Cyy-mry5gbC8ypIR3YVGFfEpyFESummAta6sg/edit"", ""Sheet1!B:D""), 2, FALSE), ""Not Found"")"),"sɛn")</f>
        <v>sɛn</v>
      </c>
      <c r="E5221" s="2" t="str">
        <f>IFERROR(__xludf.DUMMYFUNCTION("IFERROR(VLOOKUP(A5221, IMPORTRANGE(""https://docs.google.com/spreadsheets/d/1-3Vjw2Cyy-mry5gbC8ypIR3YVGFfEpyFESummAta6sg/edit"", ""Sheet1!B:D""), 3, FALSE), ""Not Found"")"),"s ɛ n ")</f>
        <v>s ɛ n </v>
      </c>
    </row>
    <row r="5222">
      <c r="A5222" s="1" t="s">
        <v>5225</v>
      </c>
      <c r="B5222" s="1" t="s">
        <v>5</v>
      </c>
      <c r="C5222" s="2">
        <f>IFERROR(__xludf.DUMMYFUNCTION("IFERROR(VLOOKUP(A5222, IMPORTRANGE(""https://docs.google.com/spreadsheets/d/1AVX9GT0dgogEBStecCXMMQ29tWz3gBrtNB8yIromXbY/edit?gid=741673867"", ""out1g!A:B""), 2, FALSE), 0)"),962.0)</f>
        <v>962</v>
      </c>
      <c r="D5222" s="2" t="str">
        <f>IFERROR(__xludf.DUMMYFUNCTION("IFERROR(VLOOKUP(A5222, IMPORTRANGE(""https://docs.google.com/spreadsheets/d/1-3Vjw2Cyy-mry5gbC8ypIR3YVGFfEpyFESummAta6sg/edit"", ""Sheet1!B:D""), 2, FALSE), ""Not Found"")"),"trend")</f>
        <v>trend</v>
      </c>
      <c r="E5222" s="2" t="str">
        <f>IFERROR(__xludf.DUMMYFUNCTION("IFERROR(VLOOKUP(A5222, IMPORTRANGE(""https://docs.google.com/spreadsheets/d/1-3Vjw2Cyy-mry5gbC8ypIR3YVGFfEpyFESummAta6sg/edit"", ""Sheet1!B:D""), 3, FALSE), ""Not Found"")"),"t r e n d ")</f>
        <v>t r e n d </v>
      </c>
    </row>
    <row r="5223">
      <c r="A5223" s="1" t="s">
        <v>5226</v>
      </c>
      <c r="B5223" s="1" t="s">
        <v>5</v>
      </c>
      <c r="C5223" s="2">
        <f>IFERROR(__xludf.DUMMYFUNCTION("IFERROR(VLOOKUP(A5223, IMPORTRANGE(""https://docs.google.com/spreadsheets/d/1AVX9GT0dgogEBStecCXMMQ29tWz3gBrtNB8yIromXbY/edit?gid=741673867"", ""out1g!A:B""), 2, FALSE), 0)"),882.0)</f>
        <v>882</v>
      </c>
      <c r="D5223" s="2" t="str">
        <f>IFERROR(__xludf.DUMMYFUNCTION("IFERROR(VLOOKUP(A5223, IMPORTRANGE(""https://docs.google.com/spreadsheets/d/1-3Vjw2Cyy-mry5gbC8ypIR3YVGFfEpyFESummAta6sg/edit"", ""Sheet1!B:D""), 2, FALSE), ""Not Found"")"),"mɑli")</f>
        <v>mɑli</v>
      </c>
      <c r="E5223" s="2" t="str">
        <f>IFERROR(__xludf.DUMMYFUNCTION("IFERROR(VLOOKUP(A5223, IMPORTRANGE(""https://docs.google.com/spreadsheets/d/1-3Vjw2Cyy-mry5gbC8ypIR3YVGFfEpyFESummAta6sg/edit"", ""Sheet1!B:D""), 3, FALSE), ""Not Found"")"),"m ɑ l i ")</f>
        <v>m ɑ l i </v>
      </c>
    </row>
    <row r="5224">
      <c r="A5224" s="1" t="s">
        <v>5227</v>
      </c>
      <c r="B5224" s="1" t="s">
        <v>5</v>
      </c>
      <c r="C5224" s="2">
        <f>IFERROR(__xludf.DUMMYFUNCTION("IFERROR(VLOOKUP(A5224, IMPORTRANGE(""https://docs.google.com/spreadsheets/d/1AVX9GT0dgogEBStecCXMMQ29tWz3gBrtNB8yIromXbY/edit?gid=741673867"", ""out1g!A:B""), 2, FALSE), 0)"),106.0)</f>
        <v>106</v>
      </c>
      <c r="D5224" s="2" t="str">
        <f>IFERROR(__xludf.DUMMYFUNCTION("IFERROR(VLOOKUP(A5224, IMPORTRANGE(""https://docs.google.com/spreadsheets/d/1-3Vjw2Cyy-mry5gbC8ypIR3YVGFfEpyFESummAta6sg/edit"", ""Sheet1!B:D""), 2, FALSE), ""Not Found"")"),"rənərz")</f>
        <v>rənərz</v>
      </c>
      <c r="E5224" s="2" t="str">
        <f>IFERROR(__xludf.DUMMYFUNCTION("IFERROR(VLOOKUP(A5224, IMPORTRANGE(""https://docs.google.com/spreadsheets/d/1-3Vjw2Cyy-mry5gbC8ypIR3YVGFfEpyFESummAta6sg/edit"", ""Sheet1!B:D""), 3, FALSE), ""Not Found"")"),"r ə n ə r z ")</f>
        <v>r ə n ə r z </v>
      </c>
    </row>
    <row r="5225">
      <c r="A5225" s="1" t="s">
        <v>5228</v>
      </c>
      <c r="B5225" s="1" t="s">
        <v>5</v>
      </c>
      <c r="C5225" s="2">
        <f>IFERROR(__xludf.DUMMYFUNCTION("IFERROR(VLOOKUP(A5225, IMPORTRANGE(""https://docs.google.com/spreadsheets/d/1AVX9GT0dgogEBStecCXMMQ29tWz3gBrtNB8yIromXbY/edit?gid=741673867"", ""out1g!A:B""), 2, FALSE), 0)"),767.0)</f>
        <v>767</v>
      </c>
      <c r="D5225" s="2" t="str">
        <f>IFERROR(__xludf.DUMMYFUNCTION("IFERROR(VLOOKUP(A5225, IMPORTRANGE(""https://docs.google.com/spreadsheets/d/1-3Vjw2Cyy-mry5gbC8ypIR3YVGFfEpyFESummAta6sg/edit"", ""Sheet1!B:D""), 2, FALSE), ""Not Found"")"),"bits")</f>
        <v>bits</v>
      </c>
      <c r="E5225" s="2" t="str">
        <f>IFERROR(__xludf.DUMMYFUNCTION("IFERROR(VLOOKUP(A5225, IMPORTRANGE(""https://docs.google.com/spreadsheets/d/1-3Vjw2Cyy-mry5gbC8ypIR3YVGFfEpyFESummAta6sg/edit"", ""Sheet1!B:D""), 3, FALSE), ""Not Found"")"),"b i t s ")</f>
        <v>b i t s </v>
      </c>
    </row>
    <row r="5226">
      <c r="A5226" s="1" t="s">
        <v>5229</v>
      </c>
      <c r="B5226" s="1" t="s">
        <v>5</v>
      </c>
      <c r="C5226" s="2">
        <f>IFERROR(__xludf.DUMMYFUNCTION("IFERROR(VLOOKUP(A5226, IMPORTRANGE(""https://docs.google.com/spreadsheets/d/1AVX9GT0dgogEBStecCXMMQ29tWz3gBrtNB8yIromXbY/edit?gid=741673867"", ""out1g!A:B""), 2, FALSE), 0)"),161.0)</f>
        <v>161</v>
      </c>
      <c r="D5226" s="2" t="str">
        <f>IFERROR(__xludf.DUMMYFUNCTION("IFERROR(VLOOKUP(A5226, IMPORTRANGE(""https://docs.google.com/spreadsheets/d/1-3Vjw2Cyy-mry5gbC8ypIR3YVGFfEpyFESummAta6sg/edit"", ""Sheet1!B:D""), 2, FALSE), ""Not Found"")"),"pædz")</f>
        <v>pædz</v>
      </c>
      <c r="E5226" s="2" t="str">
        <f>IFERROR(__xludf.DUMMYFUNCTION("IFERROR(VLOOKUP(A5226, IMPORTRANGE(""https://docs.google.com/spreadsheets/d/1-3Vjw2Cyy-mry5gbC8ypIR3YVGFfEpyFESummAta6sg/edit"", ""Sheet1!B:D""), 3, FALSE), ""Not Found"")"),"p æ d z ")</f>
        <v>p æ d z </v>
      </c>
    </row>
    <row r="5227">
      <c r="A5227" s="1" t="s">
        <v>5230</v>
      </c>
      <c r="B5227" s="1" t="s">
        <v>5</v>
      </c>
      <c r="C5227" s="2">
        <f>IFERROR(__xludf.DUMMYFUNCTION("IFERROR(VLOOKUP(A5227, IMPORTRANGE(""https://docs.google.com/spreadsheets/d/1AVX9GT0dgogEBStecCXMMQ29tWz3gBrtNB8yIromXbY/edit?gid=741673867"", ""out1g!A:B""), 2, FALSE), 0)"),123381.0)</f>
        <v>123381</v>
      </c>
      <c r="D5227" s="2" t="str">
        <f>IFERROR(__xludf.DUMMYFUNCTION("IFERROR(VLOOKUP(A5227, IMPORTRANGE(""https://docs.google.com/spreadsheets/d/1-3Vjw2Cyy-mry5gbC8ypIR3YVGFfEpyFESummAta6sg/edit"", ""Sheet1!B:D""), 2, FALSE), ""Not Found"")"),"lɛt")</f>
        <v>lɛt</v>
      </c>
      <c r="E5227" s="2" t="str">
        <f>IFERROR(__xludf.DUMMYFUNCTION("IFERROR(VLOOKUP(A5227, IMPORTRANGE(""https://docs.google.com/spreadsheets/d/1-3Vjw2Cyy-mry5gbC8ypIR3YVGFfEpyFESummAta6sg/edit"", ""Sheet1!B:D""), 3, FALSE), ""Not Found"")"),"l ɛ t ")</f>
        <v>l ɛ t </v>
      </c>
    </row>
    <row r="5228">
      <c r="A5228" s="1" t="s">
        <v>5231</v>
      </c>
      <c r="B5228" s="1" t="s">
        <v>5</v>
      </c>
      <c r="C5228" s="2">
        <f>IFERROR(__xludf.DUMMYFUNCTION("IFERROR(VLOOKUP(A5228, IMPORTRANGE(""https://docs.google.com/spreadsheets/d/1AVX9GT0dgogEBStecCXMMQ29tWz3gBrtNB8yIromXbY/edit?gid=741673867"", ""out1g!A:B""), 2, FALSE), 0)"),71.0)</f>
        <v>71</v>
      </c>
      <c r="D5228" s="2" t="str">
        <f>IFERROR(__xludf.DUMMYFUNCTION("IFERROR(VLOOKUP(A5228, IMPORTRANGE(""https://docs.google.com/spreadsheets/d/1-3Vjw2Cyy-mry5gbC8ypIR3YVGFfEpyFESummAta6sg/edit"", ""Sheet1!B:D""), 2, FALSE), ""Not Found"")"),"ɔf")</f>
        <v>ɔf</v>
      </c>
      <c r="E5228" s="2" t="str">
        <f>IFERROR(__xludf.DUMMYFUNCTION("IFERROR(VLOOKUP(A5228, IMPORTRANGE(""https://docs.google.com/spreadsheets/d/1-3Vjw2Cyy-mry5gbC8ypIR3YVGFfEpyFESummAta6sg/edit"", ""Sheet1!B:D""), 3, FALSE), ""Not Found"")"),"ɔ f ")</f>
        <v>ɔ f </v>
      </c>
    </row>
    <row r="5229">
      <c r="A5229" s="1" t="s">
        <v>5232</v>
      </c>
      <c r="B5229" s="1" t="s">
        <v>5</v>
      </c>
      <c r="C5229" s="2">
        <f>IFERROR(__xludf.DUMMYFUNCTION("IFERROR(VLOOKUP(A5229, IMPORTRANGE(""https://docs.google.com/spreadsheets/d/1AVX9GT0dgogEBStecCXMMQ29tWz3gBrtNB8yIromXbY/edit?gid=741673867"", ""out1g!A:B""), 2, FALSE), 0)"),404.0)</f>
        <v>404</v>
      </c>
      <c r="D5229" s="2" t="str">
        <f>IFERROR(__xludf.DUMMYFUNCTION("IFERROR(VLOOKUP(A5229, IMPORTRANGE(""https://docs.google.com/spreadsheets/d/1-3Vjw2Cyy-mry5gbC8ypIR3YVGFfEpyFESummAta6sg/edit"", ""Sheet1!B:D""), 2, FALSE), ""Not Found"")"),"waɪti")</f>
        <v>waɪti</v>
      </c>
      <c r="E5229" s="2" t="str">
        <f>IFERROR(__xludf.DUMMYFUNCTION("IFERROR(VLOOKUP(A5229, IMPORTRANGE(""https://docs.google.com/spreadsheets/d/1-3Vjw2Cyy-mry5gbC8ypIR3YVGFfEpyFESummAta6sg/edit"", ""Sheet1!B:D""), 3, FALSE), ""Not Found"")"),"w a ɪ t i ")</f>
        <v>w a ɪ t i </v>
      </c>
    </row>
    <row r="5230">
      <c r="A5230" s="1" t="s">
        <v>5233</v>
      </c>
      <c r="B5230" s="1" t="s">
        <v>5</v>
      </c>
      <c r="C5230" s="2">
        <f>IFERROR(__xludf.DUMMYFUNCTION("IFERROR(VLOOKUP(A5230, IMPORTRANGE(""https://docs.google.com/spreadsheets/d/1AVX9GT0dgogEBStecCXMMQ29tWz3gBrtNB8yIromXbY/edit?gid=741673867"", ""out1g!A:B""), 2, FALSE), 0)"),61.0)</f>
        <v>61</v>
      </c>
      <c r="D5230" s="2" t="str">
        <f>IFERROR(__xludf.DUMMYFUNCTION("IFERROR(VLOOKUP(A5230, IMPORTRANGE(""https://docs.google.com/spreadsheets/d/1-3Vjw2Cyy-mry5gbC8ypIR3YVGFfEpyFESummAta6sg/edit"", ""Sheet1!B:D""), 2, FALSE), ""Not Found"")"),"gənd")</f>
        <v>gənd</v>
      </c>
      <c r="E5230" s="2" t="str">
        <f>IFERROR(__xludf.DUMMYFUNCTION("IFERROR(VLOOKUP(A5230, IMPORTRANGE(""https://docs.google.com/spreadsheets/d/1-3Vjw2Cyy-mry5gbC8ypIR3YVGFfEpyFESummAta6sg/edit"", ""Sheet1!B:D""), 3, FALSE), ""Not Found"")"),"g ə n d ")</f>
        <v>g ə n d </v>
      </c>
    </row>
    <row r="5231">
      <c r="A5231" s="1" t="s">
        <v>5234</v>
      </c>
      <c r="B5231" s="1" t="s">
        <v>5</v>
      </c>
      <c r="C5231" s="2">
        <f>IFERROR(__xludf.DUMMYFUNCTION("IFERROR(VLOOKUP(A5231, IMPORTRANGE(""https://docs.google.com/spreadsheets/d/1AVX9GT0dgogEBStecCXMMQ29tWz3gBrtNB8yIromXbY/edit?gid=741673867"", ""out1g!A:B""), 2, FALSE), 0)"),915.0)</f>
        <v>915</v>
      </c>
      <c r="D5231" s="2" t="str">
        <f>IFERROR(__xludf.DUMMYFUNCTION("IFERROR(VLOOKUP(A5231, IMPORTRANGE(""https://docs.google.com/spreadsheets/d/1-3Vjw2Cyy-mry5gbC8ypIR3YVGFfEpyFESummAta6sg/edit"", ""Sheet1!B:D""), 2, FALSE), ""Not Found"")"),"mɪʧ")</f>
        <v>mɪʧ</v>
      </c>
      <c r="E5231" s="2" t="str">
        <f>IFERROR(__xludf.DUMMYFUNCTION("IFERROR(VLOOKUP(A5231, IMPORTRANGE(""https://docs.google.com/spreadsheets/d/1-3Vjw2Cyy-mry5gbC8ypIR3YVGFfEpyFESummAta6sg/edit"", ""Sheet1!B:D""), 3, FALSE), ""Not Found"")"),"m ɪ ʧ ")</f>
        <v>m ɪ ʧ </v>
      </c>
    </row>
    <row r="5232">
      <c r="A5232" s="1" t="s">
        <v>5235</v>
      </c>
      <c r="B5232" s="1" t="s">
        <v>5</v>
      </c>
      <c r="C5232" s="2">
        <f>IFERROR(__xludf.DUMMYFUNCTION("IFERROR(VLOOKUP(A5232, IMPORTRANGE(""https://docs.google.com/spreadsheets/d/1AVX9GT0dgogEBStecCXMMQ29tWz3gBrtNB8yIromXbY/edit?gid=741673867"", ""out1g!A:B""), 2, FALSE), 0)"),1542.0)</f>
        <v>1542</v>
      </c>
      <c r="D5232" s="2" t="str">
        <f>IFERROR(__xludf.DUMMYFUNCTION("IFERROR(VLOOKUP(A5232, IMPORTRANGE(""https://docs.google.com/spreadsheets/d/1-3Vjw2Cyy-mry5gbC8ypIR3YVGFfEpyFESummAta6sg/edit"", ""Sheet1!B:D""), 2, FALSE), ""Not Found"")"),"ʃep")</f>
        <v>ʃep</v>
      </c>
      <c r="E5232" s="2" t="str">
        <f>IFERROR(__xludf.DUMMYFUNCTION("IFERROR(VLOOKUP(A5232, IMPORTRANGE(""https://docs.google.com/spreadsheets/d/1-3Vjw2Cyy-mry5gbC8ypIR3YVGFfEpyFESummAta6sg/edit"", ""Sheet1!B:D""), 3, FALSE), ""Not Found"")"),"ʃ e p ")</f>
        <v>ʃ e p </v>
      </c>
    </row>
    <row r="5233">
      <c r="A5233" s="1" t="s">
        <v>5236</v>
      </c>
      <c r="B5233" s="1" t="s">
        <v>5</v>
      </c>
      <c r="C5233" s="2">
        <f>IFERROR(__xludf.DUMMYFUNCTION("IFERROR(VLOOKUP(A5233, IMPORTRANGE(""https://docs.google.com/spreadsheets/d/1AVX9GT0dgogEBStecCXMMQ29tWz3gBrtNB8yIromXbY/edit?gid=741673867"", ""out1g!A:B""), 2, FALSE), 0)"),108.0)</f>
        <v>108</v>
      </c>
      <c r="D5233" s="2" t="str">
        <f>IFERROR(__xludf.DUMMYFUNCTION("IFERROR(VLOOKUP(A5233, IMPORTRANGE(""https://docs.google.com/spreadsheets/d/1-3Vjw2Cyy-mry5gbC8ypIR3YVGFfEpyFESummAta6sg/edit"", ""Sheet1!B:D""), 2, FALSE), ""Not Found"")"),"aʊlz")</f>
        <v>aʊlz</v>
      </c>
      <c r="E5233" s="2" t="str">
        <f>IFERROR(__xludf.DUMMYFUNCTION("IFERROR(VLOOKUP(A5233, IMPORTRANGE(""https://docs.google.com/spreadsheets/d/1-3Vjw2Cyy-mry5gbC8ypIR3YVGFfEpyFESummAta6sg/edit"", ""Sheet1!B:D""), 3, FALSE), ""Not Found"")"),"a ʊ l z ")</f>
        <v>a ʊ l z </v>
      </c>
    </row>
    <row r="5234">
      <c r="A5234" s="1" t="s">
        <v>5237</v>
      </c>
      <c r="B5234" s="1" t="s">
        <v>5</v>
      </c>
      <c r="C5234" s="2">
        <f>IFERROR(__xludf.DUMMYFUNCTION("IFERROR(VLOOKUP(A5234, IMPORTRANGE(""https://docs.google.com/spreadsheets/d/1AVX9GT0dgogEBStecCXMMQ29tWz3gBrtNB8yIromXbY/edit?gid=741673867"", ""out1g!A:B""), 2, FALSE), 0)"),12985.0)</f>
        <v>12985</v>
      </c>
      <c r="D5234" s="2" t="str">
        <f>IFERROR(__xludf.DUMMYFUNCTION("IFERROR(VLOOKUP(A5234, IMPORTRANGE(""https://docs.google.com/spreadsheets/d/1-3Vjw2Cyy-mry5gbC8ypIR3YVGFfEpyFESummAta6sg/edit"", ""Sheet1!B:D""), 2, FALSE), ""Not Found"")"),"pe")</f>
        <v>pe</v>
      </c>
      <c r="E5234" s="2" t="str">
        <f>IFERROR(__xludf.DUMMYFUNCTION("IFERROR(VLOOKUP(A5234, IMPORTRANGE(""https://docs.google.com/spreadsheets/d/1-3Vjw2Cyy-mry5gbC8ypIR3YVGFfEpyFESummAta6sg/edit"", ""Sheet1!B:D""), 3, FALSE), ""Not Found"")"),"p e ")</f>
        <v>p e </v>
      </c>
    </row>
    <row r="5235">
      <c r="A5235" s="1" t="s">
        <v>5238</v>
      </c>
      <c r="B5235" s="1" t="s">
        <v>5</v>
      </c>
      <c r="C5235" s="2">
        <f>IFERROR(__xludf.DUMMYFUNCTION("IFERROR(VLOOKUP(A5235, IMPORTRANGE(""https://docs.google.com/spreadsheets/d/1AVX9GT0dgogEBStecCXMMQ29tWz3gBrtNB8yIromXbY/edit?gid=741673867"", ""out1g!A:B""), 2, FALSE), 0)"),484.0)</f>
        <v>484</v>
      </c>
      <c r="D5235" s="2" t="str">
        <f>IFERROR(__xludf.DUMMYFUNCTION("IFERROR(VLOOKUP(A5235, IMPORTRANGE(""https://docs.google.com/spreadsheets/d/1-3Vjw2Cyy-mry5gbC8ypIR3YVGFfEpyFESummAta6sg/edit"", ""Sheet1!B:D""), 2, FALSE), ""Not Found"")"),"groʊz")</f>
        <v>groʊz</v>
      </c>
      <c r="E5235" s="2" t="str">
        <f>IFERROR(__xludf.DUMMYFUNCTION("IFERROR(VLOOKUP(A5235, IMPORTRANGE(""https://docs.google.com/spreadsheets/d/1-3Vjw2Cyy-mry5gbC8ypIR3YVGFfEpyFESummAta6sg/edit"", ""Sheet1!B:D""), 3, FALSE), ""Not Found"")"),"g r o ʊ z ")</f>
        <v>g r o ʊ z </v>
      </c>
    </row>
    <row r="5236">
      <c r="A5236" s="1" t="s">
        <v>5239</v>
      </c>
      <c r="B5236" s="1" t="s">
        <v>5</v>
      </c>
      <c r="C5236" s="2">
        <f>IFERROR(__xludf.DUMMYFUNCTION("IFERROR(VLOOKUP(A5236, IMPORTRANGE(""https://docs.google.com/spreadsheets/d/1AVX9GT0dgogEBStecCXMMQ29tWz3gBrtNB8yIromXbY/edit?gid=741673867"", ""out1g!A:B""), 2, FALSE), 0)"),12916.0)</f>
        <v>12916</v>
      </c>
      <c r="D5236" s="2" t="str">
        <f>IFERROR(__xludf.DUMMYFUNCTION("IFERROR(VLOOKUP(A5236, IMPORTRANGE(""https://docs.google.com/spreadsheets/d/1-3Vjw2Cyy-mry5gbC8ypIR3YVGFfEpyFESummAta6sg/edit"", ""Sheet1!B:D""), 2, FALSE), ""Not Found"")"),"iʧ")</f>
        <v>iʧ</v>
      </c>
      <c r="E5236" s="2" t="str">
        <f>IFERROR(__xludf.DUMMYFUNCTION("IFERROR(VLOOKUP(A5236, IMPORTRANGE(""https://docs.google.com/spreadsheets/d/1-3Vjw2Cyy-mry5gbC8ypIR3YVGFfEpyFESummAta6sg/edit"", ""Sheet1!B:D""), 3, FALSE), ""Not Found"")"),"i ʧ ")</f>
        <v>i ʧ </v>
      </c>
    </row>
    <row r="5237">
      <c r="A5237" s="1" t="s">
        <v>5240</v>
      </c>
      <c r="B5237" s="1" t="s">
        <v>5</v>
      </c>
      <c r="C5237" s="2">
        <f>IFERROR(__xludf.DUMMYFUNCTION("IFERROR(VLOOKUP(A5237, IMPORTRANGE(""https://docs.google.com/spreadsheets/d/1AVX9GT0dgogEBStecCXMMQ29tWz3gBrtNB8yIromXbY/edit?gid=741673867"", ""out1g!A:B""), 2, FALSE), 0)"),2108.0)</f>
        <v>2108</v>
      </c>
      <c r="D5237" s="2" t="str">
        <f>IFERROR(__xludf.DUMMYFUNCTION("IFERROR(VLOOKUP(A5237, IMPORTRANGE(""https://docs.google.com/spreadsheets/d/1-3Vjw2Cyy-mry5gbC8ypIR3YVGFfEpyFESummAta6sg/edit"", ""Sheet1!B:D""), 2, FALSE), ""Not Found"")"),"dɛvəl")</f>
        <v>dɛvəl</v>
      </c>
      <c r="E5237" s="2" t="str">
        <f>IFERROR(__xludf.DUMMYFUNCTION("IFERROR(VLOOKUP(A5237, IMPORTRANGE(""https://docs.google.com/spreadsheets/d/1-3Vjw2Cyy-mry5gbC8ypIR3YVGFfEpyFESummAta6sg/edit"", ""Sheet1!B:D""), 3, FALSE), ""Not Found"")"),"d ɛ v ə l ")</f>
        <v>d ɛ v ə l </v>
      </c>
    </row>
    <row r="5238">
      <c r="A5238" s="1" t="s">
        <v>5241</v>
      </c>
      <c r="B5238" s="1" t="s">
        <v>5</v>
      </c>
      <c r="C5238" s="2">
        <f>IFERROR(__xludf.DUMMYFUNCTION("IFERROR(VLOOKUP(A5238, IMPORTRANGE(""https://docs.google.com/spreadsheets/d/1AVX9GT0dgogEBStecCXMMQ29tWz3gBrtNB8yIromXbY/edit?gid=741673867"", ""out1g!A:B""), 2, FALSE), 0)"),156.0)</f>
        <v>156</v>
      </c>
      <c r="D5238" s="2" t="str">
        <f>IFERROR(__xludf.DUMMYFUNCTION("IFERROR(VLOOKUP(A5238, IMPORTRANGE(""https://docs.google.com/spreadsheets/d/1-3Vjw2Cyy-mry5gbC8ypIR3YVGFfEpyFESummAta6sg/edit"", ""Sheet1!B:D""), 2, FALSE), ""Not Found"")"),"fɑksi")</f>
        <v>fɑksi</v>
      </c>
      <c r="E5238" s="2" t="str">
        <f>IFERROR(__xludf.DUMMYFUNCTION("IFERROR(VLOOKUP(A5238, IMPORTRANGE(""https://docs.google.com/spreadsheets/d/1-3Vjw2Cyy-mry5gbC8ypIR3YVGFfEpyFESummAta6sg/edit"", ""Sheet1!B:D""), 3, FALSE), ""Not Found"")"),"f ɑ k s i ")</f>
        <v>f ɑ k s i </v>
      </c>
    </row>
    <row r="5239">
      <c r="A5239" s="1" t="s">
        <v>5242</v>
      </c>
      <c r="B5239" s="1" t="s">
        <v>5</v>
      </c>
      <c r="C5239" s="2">
        <f>IFERROR(__xludf.DUMMYFUNCTION("IFERROR(VLOOKUP(A5239, IMPORTRANGE(""https://docs.google.com/spreadsheets/d/1AVX9GT0dgogEBStecCXMMQ29tWz3gBrtNB8yIromXbY/edit?gid=741673867"", ""out1g!A:B""), 2, FALSE), 0)"),241.0)</f>
        <v>241</v>
      </c>
      <c r="D5239" s="2" t="str">
        <f>IFERROR(__xludf.DUMMYFUNCTION("IFERROR(VLOOKUP(A5239, IMPORTRANGE(""https://docs.google.com/spreadsheets/d/1-3Vjw2Cyy-mry5gbC8ypIR3YVGFfEpyFESummAta6sg/edit"", ""Sheet1!B:D""), 2, FALSE), ""Not Found"")"),"spuki")</f>
        <v>spuki</v>
      </c>
      <c r="E5239" s="2" t="str">
        <f>IFERROR(__xludf.DUMMYFUNCTION("IFERROR(VLOOKUP(A5239, IMPORTRANGE(""https://docs.google.com/spreadsheets/d/1-3Vjw2Cyy-mry5gbC8ypIR3YVGFfEpyFESummAta6sg/edit"", ""Sheet1!B:D""), 3, FALSE), ""Not Found"")"),"s p u k i ")</f>
        <v>s p u k i </v>
      </c>
    </row>
    <row r="5240">
      <c r="A5240" s="1" t="s">
        <v>5243</v>
      </c>
      <c r="B5240" s="1" t="s">
        <v>5</v>
      </c>
      <c r="C5240" s="2">
        <f>IFERROR(__xludf.DUMMYFUNCTION("IFERROR(VLOOKUP(A5240, IMPORTRANGE(""https://docs.google.com/spreadsheets/d/1AVX9GT0dgogEBStecCXMMQ29tWz3gBrtNB8yIromXbY/edit?gid=741673867"", ""out1g!A:B""), 2, FALSE), 0)"),258.0)</f>
        <v>258</v>
      </c>
      <c r="D5240" s="2" t="str">
        <f>IFERROR(__xludf.DUMMYFUNCTION("IFERROR(VLOOKUP(A5240, IMPORTRANGE(""https://docs.google.com/spreadsheets/d/1-3Vjw2Cyy-mry5gbC8ypIR3YVGFfEpyFESummAta6sg/edit"", ""Sheet1!B:D""), 2, FALSE), ""Not Found"")"),"blɪŋk")</f>
        <v>blɪŋk</v>
      </c>
      <c r="E5240" s="2" t="str">
        <f>IFERROR(__xludf.DUMMYFUNCTION("IFERROR(VLOOKUP(A5240, IMPORTRANGE(""https://docs.google.com/spreadsheets/d/1-3Vjw2Cyy-mry5gbC8ypIR3YVGFfEpyFESummAta6sg/edit"", ""Sheet1!B:D""), 3, FALSE), ""Not Found"")"),"b l ɪ ŋ k ")</f>
        <v>b l ɪ ŋ k </v>
      </c>
    </row>
    <row r="5241">
      <c r="A5241" s="1" t="s">
        <v>5244</v>
      </c>
      <c r="B5241" s="1" t="s">
        <v>5</v>
      </c>
      <c r="C5241" s="2">
        <f>IFERROR(__xludf.DUMMYFUNCTION("IFERROR(VLOOKUP(A5241, IMPORTRANGE(""https://docs.google.com/spreadsheets/d/1AVX9GT0dgogEBStecCXMMQ29tWz3gBrtNB8yIromXbY/edit?gid=741673867"", ""out1g!A:B""), 2, FALSE), 0)"),62.0)</f>
        <v>62</v>
      </c>
      <c r="D5241" s="2" t="str">
        <f>IFERROR(__xludf.DUMMYFUNCTION("IFERROR(VLOOKUP(A5241, IMPORTRANGE(""https://docs.google.com/spreadsheets/d/1-3Vjw2Cyy-mry5gbC8ypIR3YVGFfEpyFESummAta6sg/edit"", ""Sheet1!B:D""), 2, FALSE), ""Not Found"")"),"krɪt")</f>
        <v>krɪt</v>
      </c>
      <c r="E5241" s="2" t="str">
        <f>IFERROR(__xludf.DUMMYFUNCTION("IFERROR(VLOOKUP(A5241, IMPORTRANGE(""https://docs.google.com/spreadsheets/d/1-3Vjw2Cyy-mry5gbC8ypIR3YVGFfEpyFESummAta6sg/edit"", ""Sheet1!B:D""), 3, FALSE), ""Not Found"")"),"k r ɪ t ")</f>
        <v>k r ɪ t </v>
      </c>
    </row>
    <row r="5242">
      <c r="A5242" s="1" t="s">
        <v>5245</v>
      </c>
      <c r="B5242" s="1" t="s">
        <v>5</v>
      </c>
      <c r="C5242" s="2">
        <f>IFERROR(__xludf.DUMMYFUNCTION("IFERROR(VLOOKUP(A5242, IMPORTRANGE(""https://docs.google.com/spreadsheets/d/1AVX9GT0dgogEBStecCXMMQ29tWz3gBrtNB8yIromXbY/edit?gid=741673867"", ""out1g!A:B""), 2, FALSE), 0)"),93.0)</f>
        <v>93</v>
      </c>
      <c r="D5242" s="2" t="str">
        <f>IFERROR(__xludf.DUMMYFUNCTION("IFERROR(VLOOKUP(A5242, IMPORTRANGE(""https://docs.google.com/spreadsheets/d/1-3Vjw2Cyy-mry5gbC8ypIR3YVGFfEpyFESummAta6sg/edit"", ""Sheet1!B:D""), 2, FALSE), ""Not Found"")"),"bəzərd")</f>
        <v>bəzərd</v>
      </c>
      <c r="E5242" s="2" t="str">
        <f>IFERROR(__xludf.DUMMYFUNCTION("IFERROR(VLOOKUP(A5242, IMPORTRANGE(""https://docs.google.com/spreadsheets/d/1-3Vjw2Cyy-mry5gbC8ypIR3YVGFfEpyFESummAta6sg/edit"", ""Sheet1!B:D""), 3, FALSE), ""Not Found"")"),"b ə z ə r d ")</f>
        <v>b ə z ə r d </v>
      </c>
    </row>
    <row r="5243">
      <c r="A5243" s="1" t="s">
        <v>5246</v>
      </c>
      <c r="B5243" s="1" t="s">
        <v>5</v>
      </c>
      <c r="C5243" s="2">
        <f>IFERROR(__xludf.DUMMYFUNCTION("IFERROR(VLOOKUP(A5243, IMPORTRANGE(""https://docs.google.com/spreadsheets/d/1AVX9GT0dgogEBStecCXMMQ29tWz3gBrtNB8yIromXbY/edit?gid=741673867"", ""out1g!A:B""), 2, FALSE), 0)"),48.0)</f>
        <v>48</v>
      </c>
      <c r="D5243" s="2" t="str">
        <f>IFERROR(__xludf.DUMMYFUNCTION("IFERROR(VLOOKUP(A5243, IMPORTRANGE(""https://docs.google.com/spreadsheets/d/1-3Vjw2Cyy-mry5gbC8ypIR3YVGFfEpyFESummAta6sg/edit"", ""Sheet1!B:D""), 2, FALSE), ""Not Found"")"),"blɑt")</f>
        <v>blɑt</v>
      </c>
      <c r="E5243" s="2" t="str">
        <f>IFERROR(__xludf.DUMMYFUNCTION("IFERROR(VLOOKUP(A5243, IMPORTRANGE(""https://docs.google.com/spreadsheets/d/1-3Vjw2Cyy-mry5gbC8ypIR3YVGFfEpyFESummAta6sg/edit"", ""Sheet1!B:D""), 3, FALSE), ""Not Found"")"),"b l ɑ t ")</f>
        <v>b l ɑ t </v>
      </c>
    </row>
    <row r="5244">
      <c r="A5244" s="1" t="s">
        <v>5247</v>
      </c>
      <c r="B5244" s="1" t="s">
        <v>5</v>
      </c>
      <c r="C5244" s="2">
        <f>IFERROR(__xludf.DUMMYFUNCTION("IFERROR(VLOOKUP(A5244, IMPORTRANGE(""https://docs.google.com/spreadsheets/d/1AVX9GT0dgogEBStecCXMMQ29tWz3gBrtNB8yIromXbY/edit?gid=741673867"", ""out1g!A:B""), 2, FALSE), 0)"),60.0)</f>
        <v>60</v>
      </c>
      <c r="D5244" s="2" t="str">
        <f>IFERROR(__xludf.DUMMYFUNCTION("IFERROR(VLOOKUP(A5244, IMPORTRANGE(""https://docs.google.com/spreadsheets/d/1-3Vjw2Cyy-mry5gbC8ypIR3YVGFfEpyFESummAta6sg/edit"", ""Sheet1!B:D""), 2, FALSE), ""Not Found"")"),"hilz")</f>
        <v>hilz</v>
      </c>
      <c r="E5244" s="2" t="str">
        <f>IFERROR(__xludf.DUMMYFUNCTION("IFERROR(VLOOKUP(A5244, IMPORTRANGE(""https://docs.google.com/spreadsheets/d/1-3Vjw2Cyy-mry5gbC8ypIR3YVGFfEpyFESummAta6sg/edit"", ""Sheet1!B:D""), 3, FALSE), ""Not Found"")"),"h i l z ")</f>
        <v>h i l z </v>
      </c>
    </row>
    <row r="5245">
      <c r="A5245" s="1" t="s">
        <v>5248</v>
      </c>
      <c r="B5245" s="1" t="s">
        <v>5</v>
      </c>
      <c r="C5245" s="2">
        <f>IFERROR(__xludf.DUMMYFUNCTION("IFERROR(VLOOKUP(A5245, IMPORTRANGE(""https://docs.google.com/spreadsheets/d/1AVX9GT0dgogEBStecCXMMQ29tWz3gBrtNB8yIromXbY/edit?gid=741673867"", ""out1g!A:B""), 2, FALSE), 0)"),11.0)</f>
        <v>11</v>
      </c>
      <c r="D5245" s="2" t="str">
        <f>IFERROR(__xludf.DUMMYFUNCTION("IFERROR(VLOOKUP(A5245, IMPORTRANGE(""https://docs.google.com/spreadsheets/d/1-3Vjw2Cyy-mry5gbC8ypIR3YVGFfEpyFESummAta6sg/edit"", ""Sheet1!B:D""), 2, FALSE), ""Not Found"")"),"wizər")</f>
        <v>wizər</v>
      </c>
      <c r="E5245" s="2" t="str">
        <f>IFERROR(__xludf.DUMMYFUNCTION("IFERROR(VLOOKUP(A5245, IMPORTRANGE(""https://docs.google.com/spreadsheets/d/1-3Vjw2Cyy-mry5gbC8ypIR3YVGFfEpyFESummAta6sg/edit"", ""Sheet1!B:D""), 3, FALSE), ""Not Found"")"),"w i z ə r ")</f>
        <v>w i z ə r </v>
      </c>
    </row>
    <row r="5246">
      <c r="A5246" s="1" t="s">
        <v>5249</v>
      </c>
      <c r="B5246" s="1" t="s">
        <v>5</v>
      </c>
      <c r="C5246" s="2">
        <f>IFERROR(__xludf.DUMMYFUNCTION("IFERROR(VLOOKUP(A5246, IMPORTRANGE(""https://docs.google.com/spreadsheets/d/1AVX9GT0dgogEBStecCXMMQ29tWz3gBrtNB8yIromXbY/edit?gid=741673867"", ""out1g!A:B""), 2, FALSE), 0)"),975.0)</f>
        <v>975</v>
      </c>
      <c r="D5246" s="2" t="str">
        <f>IFERROR(__xludf.DUMMYFUNCTION("IFERROR(VLOOKUP(A5246, IMPORTRANGE(""https://docs.google.com/spreadsheets/d/1-3Vjw2Cyy-mry5gbC8ypIR3YVGFfEpyFESummAta6sg/edit"", ""Sheet1!B:D""), 2, FALSE), ""Not Found"")"),"maʊs")</f>
        <v>maʊs</v>
      </c>
      <c r="E5246" s="2" t="str">
        <f>IFERROR(__xludf.DUMMYFUNCTION("IFERROR(VLOOKUP(A5246, IMPORTRANGE(""https://docs.google.com/spreadsheets/d/1-3Vjw2Cyy-mry5gbC8ypIR3YVGFfEpyFESummAta6sg/edit"", ""Sheet1!B:D""), 3, FALSE), ""Not Found"")"),"m a ʊ s ")</f>
        <v>m a ʊ s </v>
      </c>
    </row>
    <row r="5247">
      <c r="A5247" s="1" t="s">
        <v>5250</v>
      </c>
      <c r="B5247" s="1" t="s">
        <v>5</v>
      </c>
      <c r="C5247" s="2">
        <f>IFERROR(__xludf.DUMMYFUNCTION("IFERROR(VLOOKUP(A5247, IMPORTRANGE(""https://docs.google.com/spreadsheets/d/1AVX9GT0dgogEBStecCXMMQ29tWz3gBrtNB8yIromXbY/edit?gid=741673867"", ""out1g!A:B""), 2, FALSE), 0)"),47.0)</f>
        <v>47</v>
      </c>
      <c r="D5247" s="2" t="str">
        <f>IFERROR(__xludf.DUMMYFUNCTION("IFERROR(VLOOKUP(A5247, IMPORTRANGE(""https://docs.google.com/spreadsheets/d/1-3Vjw2Cyy-mry5gbC8ypIR3YVGFfEpyFESummAta6sg/edit"", ""Sheet1!B:D""), 2, FALSE), ""Not Found"")"),"pɑlək")</f>
        <v>pɑlək</v>
      </c>
      <c r="E5247" s="2" t="str">
        <f>IFERROR(__xludf.DUMMYFUNCTION("IFERROR(VLOOKUP(A5247, IMPORTRANGE(""https://docs.google.com/spreadsheets/d/1-3Vjw2Cyy-mry5gbC8ypIR3YVGFfEpyFESummAta6sg/edit"", ""Sheet1!B:D""), 3, FALSE), ""Not Found"")"),"p ɑ l ə k ")</f>
        <v>p ɑ l ə k </v>
      </c>
    </row>
    <row r="5248">
      <c r="A5248" s="1" t="s">
        <v>5251</v>
      </c>
      <c r="B5248" s="1" t="s">
        <v>5</v>
      </c>
      <c r="C5248" s="2">
        <f>IFERROR(__xludf.DUMMYFUNCTION("IFERROR(VLOOKUP(A5248, IMPORTRANGE(""https://docs.google.com/spreadsheets/d/1AVX9GT0dgogEBStecCXMMQ29tWz3gBrtNB8yIromXbY/edit?gid=741673867"", ""out1g!A:B""), 2, FALSE), 0)"),1832.0)</f>
        <v>1832</v>
      </c>
      <c r="D5248" s="2" t="str">
        <f>IFERROR(__xludf.DUMMYFUNCTION("IFERROR(VLOOKUP(A5248, IMPORTRANGE(""https://docs.google.com/spreadsheets/d/1-3Vjw2Cyy-mry5gbC8ypIR3YVGFfEpyFESummAta6sg/edit"", ""Sheet1!B:D""), 2, FALSE), ""Not Found"")"),"əgrid")</f>
        <v>əgrid</v>
      </c>
      <c r="E5248" s="2" t="str">
        <f>IFERROR(__xludf.DUMMYFUNCTION("IFERROR(VLOOKUP(A5248, IMPORTRANGE(""https://docs.google.com/spreadsheets/d/1-3Vjw2Cyy-mry5gbC8ypIR3YVGFfEpyFESummAta6sg/edit"", ""Sheet1!B:D""), 3, FALSE), ""Not Found"")"),"ə g r i d ")</f>
        <v>ə g r i d </v>
      </c>
    </row>
    <row r="5249">
      <c r="A5249" s="1" t="s">
        <v>5252</v>
      </c>
      <c r="B5249" s="1" t="s">
        <v>5</v>
      </c>
      <c r="C5249" s="2">
        <f>IFERROR(__xludf.DUMMYFUNCTION("IFERROR(VLOOKUP(A5249, IMPORTRANGE(""https://docs.google.com/spreadsheets/d/1AVX9GT0dgogEBStecCXMMQ29tWz3gBrtNB8yIromXbY/edit?gid=741673867"", ""out1g!A:B""), 2, FALSE), 0)"),4394.0)</f>
        <v>4394</v>
      </c>
      <c r="D5249" s="2" t="str">
        <f>IFERROR(__xludf.DUMMYFUNCTION("IFERROR(VLOOKUP(A5249, IMPORTRANGE(""https://docs.google.com/spreadsheets/d/1-3Vjw2Cyy-mry5gbC8ypIR3YVGFfEpyFESummAta6sg/edit"", ""Sheet1!B:D""), 2, FALSE), ""Not Found"")"),"rɑk")</f>
        <v>rɑk</v>
      </c>
      <c r="E5249" s="2" t="str">
        <f>IFERROR(__xludf.DUMMYFUNCTION("IFERROR(VLOOKUP(A5249, IMPORTRANGE(""https://docs.google.com/spreadsheets/d/1-3Vjw2Cyy-mry5gbC8ypIR3YVGFfEpyFESummAta6sg/edit"", ""Sheet1!B:D""), 3, FALSE), ""Not Found"")"),"r ɑ k ")</f>
        <v>r ɑ k </v>
      </c>
    </row>
    <row r="5250">
      <c r="A5250" s="1" t="s">
        <v>5253</v>
      </c>
      <c r="B5250" s="1" t="s">
        <v>5</v>
      </c>
      <c r="C5250" s="2">
        <f>IFERROR(__xludf.DUMMYFUNCTION("IFERROR(VLOOKUP(A5250, IMPORTRANGE(""https://docs.google.com/spreadsheets/d/1AVX9GT0dgogEBStecCXMMQ29tWz3gBrtNB8yIromXbY/edit?gid=741673867"", ""out1g!A:B""), 2, FALSE), 0)"),1595.0)</f>
        <v>1595</v>
      </c>
      <c r="D5250" s="2" t="str">
        <f>IFERROR(__xludf.DUMMYFUNCTION("IFERROR(VLOOKUP(A5250, IMPORTRANGE(""https://docs.google.com/spreadsheets/d/1-3Vjw2Cyy-mry5gbC8ypIR3YVGFfEpyFESummAta6sg/edit"", ""Sheet1!B:D""), 2, FALSE), ""Not Found"")"),"paʊnz")</f>
        <v>paʊnz</v>
      </c>
      <c r="E5250" s="2" t="str">
        <f>IFERROR(__xludf.DUMMYFUNCTION("IFERROR(VLOOKUP(A5250, IMPORTRANGE(""https://docs.google.com/spreadsheets/d/1-3Vjw2Cyy-mry5gbC8ypIR3YVGFfEpyFESummAta6sg/edit"", ""Sheet1!B:D""), 3, FALSE), ""Not Found"")"),"p a ʊ n z ")</f>
        <v>p a ʊ n z </v>
      </c>
    </row>
    <row r="5251">
      <c r="A5251" s="1" t="s">
        <v>5254</v>
      </c>
      <c r="B5251" s="1" t="s">
        <v>5</v>
      </c>
      <c r="C5251" s="2">
        <f>IFERROR(__xludf.DUMMYFUNCTION("IFERROR(VLOOKUP(A5251, IMPORTRANGE(""https://docs.google.com/spreadsheets/d/1AVX9GT0dgogEBStecCXMMQ29tWz3gBrtNB8yIromXbY/edit?gid=741673867"", ""out1g!A:B""), 2, FALSE), 0)"),300.0)</f>
        <v>300</v>
      </c>
      <c r="D5251" s="2" t="str">
        <f>IFERROR(__xludf.DUMMYFUNCTION("IFERROR(VLOOKUP(A5251, IMPORTRANGE(""https://docs.google.com/spreadsheets/d/1-3Vjw2Cyy-mry5gbC8ypIR3YVGFfEpyFESummAta6sg/edit"", ""Sheet1!B:D""), 2, FALSE), ""Not Found"")"),"kɔrts")</f>
        <v>kɔrts</v>
      </c>
      <c r="E5251" s="2" t="str">
        <f>IFERROR(__xludf.DUMMYFUNCTION("IFERROR(VLOOKUP(A5251, IMPORTRANGE(""https://docs.google.com/spreadsheets/d/1-3Vjw2Cyy-mry5gbC8ypIR3YVGFfEpyFESummAta6sg/edit"", ""Sheet1!B:D""), 3, FALSE), ""Not Found"")"),"k ɔ r t s ")</f>
        <v>k ɔ r t s </v>
      </c>
    </row>
    <row r="5252">
      <c r="A5252" s="1" t="s">
        <v>5255</v>
      </c>
      <c r="B5252" s="1" t="s">
        <v>5</v>
      </c>
      <c r="C5252" s="2">
        <f>IFERROR(__xludf.DUMMYFUNCTION("IFERROR(VLOOKUP(A5252, IMPORTRANGE(""https://docs.google.com/spreadsheets/d/1AVX9GT0dgogEBStecCXMMQ29tWz3gBrtNB8yIromXbY/edit?gid=741673867"", ""out1g!A:B""), 2, FALSE), 0)"),53.0)</f>
        <v>53</v>
      </c>
      <c r="D5252" s="2" t="str">
        <f>IFERROR(__xludf.DUMMYFUNCTION("IFERROR(VLOOKUP(A5252, IMPORTRANGE(""https://docs.google.com/spreadsheets/d/1-3Vjw2Cyy-mry5gbC8ypIR3YVGFfEpyFESummAta6sg/edit"", ""Sheet1!B:D""), 2, FALSE), ""Not Found"")"),"vænz")</f>
        <v>vænz</v>
      </c>
      <c r="E5252" s="2" t="str">
        <f>IFERROR(__xludf.DUMMYFUNCTION("IFERROR(VLOOKUP(A5252, IMPORTRANGE(""https://docs.google.com/spreadsheets/d/1-3Vjw2Cyy-mry5gbC8ypIR3YVGFfEpyFESummAta6sg/edit"", ""Sheet1!B:D""), 3, FALSE), ""Not Found"")"),"v æ n z ")</f>
        <v>v æ n z </v>
      </c>
    </row>
    <row r="5253">
      <c r="A5253" s="1" t="s">
        <v>5256</v>
      </c>
      <c r="B5253" s="1" t="s">
        <v>5</v>
      </c>
      <c r="C5253" s="2">
        <f>IFERROR(__xludf.DUMMYFUNCTION("IFERROR(VLOOKUP(A5253, IMPORTRANGE(""https://docs.google.com/spreadsheets/d/1AVX9GT0dgogEBStecCXMMQ29tWz3gBrtNB8yIromXbY/edit?gid=741673867"", ""out1g!A:B""), 2, FALSE), 0)"),1738.0)</f>
        <v>1738</v>
      </c>
      <c r="D5253" s="2" t="str">
        <f>IFERROR(__xludf.DUMMYFUNCTION("IFERROR(VLOOKUP(A5253, IMPORTRANGE(""https://docs.google.com/spreadsheets/d/1-3Vjw2Cyy-mry5gbC8ypIR3YVGFfEpyFESummAta6sg/edit"", ""Sheet1!B:D""), 2, FALSE), ""Not Found"")"),"bɛrid")</f>
        <v>bɛrid</v>
      </c>
      <c r="E5253" s="2" t="str">
        <f>IFERROR(__xludf.DUMMYFUNCTION("IFERROR(VLOOKUP(A5253, IMPORTRANGE(""https://docs.google.com/spreadsheets/d/1-3Vjw2Cyy-mry5gbC8ypIR3YVGFfEpyFESummAta6sg/edit"", ""Sheet1!B:D""), 3, FALSE), ""Not Found"")"),"b ɛ r i d ")</f>
        <v>b ɛ r i d </v>
      </c>
    </row>
    <row r="5254">
      <c r="A5254" s="1" t="s">
        <v>5257</v>
      </c>
      <c r="B5254" s="1" t="s">
        <v>5</v>
      </c>
      <c r="C5254" s="2">
        <f>IFERROR(__xludf.DUMMYFUNCTION("IFERROR(VLOOKUP(A5254, IMPORTRANGE(""https://docs.google.com/spreadsheets/d/1AVX9GT0dgogEBStecCXMMQ29tWz3gBrtNB8yIromXbY/edit?gid=741673867"", ""out1g!A:B""), 2, FALSE), 0)"),126.0)</f>
        <v>126</v>
      </c>
      <c r="D5254" s="2" t="str">
        <f>IFERROR(__xludf.DUMMYFUNCTION("IFERROR(VLOOKUP(A5254, IMPORTRANGE(""https://docs.google.com/spreadsheets/d/1-3Vjw2Cyy-mry5gbC8ypIR3YVGFfEpyFESummAta6sg/edit"", ""Sheet1!B:D""), 2, FALSE), ""Not Found"")"),"sfɪr")</f>
        <v>sfɪr</v>
      </c>
      <c r="E5254" s="2" t="str">
        <f>IFERROR(__xludf.DUMMYFUNCTION("IFERROR(VLOOKUP(A5254, IMPORTRANGE(""https://docs.google.com/spreadsheets/d/1-3Vjw2Cyy-mry5gbC8ypIR3YVGFfEpyFESummAta6sg/edit"", ""Sheet1!B:D""), 3, FALSE), ""Not Found"")"),"s f ɪ r ")</f>
        <v>s f ɪ r </v>
      </c>
    </row>
    <row r="5255">
      <c r="A5255" s="1" t="s">
        <v>5258</v>
      </c>
      <c r="B5255" s="1" t="s">
        <v>5</v>
      </c>
      <c r="C5255" s="2">
        <f>IFERROR(__xludf.DUMMYFUNCTION("IFERROR(VLOOKUP(A5255, IMPORTRANGE(""https://docs.google.com/spreadsheets/d/1AVX9GT0dgogEBStecCXMMQ29tWz3gBrtNB8yIromXbY/edit?gid=741673867"", ""out1g!A:B""), 2, FALSE), 0)"),2365.0)</f>
        <v>2365</v>
      </c>
      <c r="D5255" s="2" t="str">
        <f>IFERROR(__xludf.DUMMYFUNCTION("IFERROR(VLOOKUP(A5255, IMPORTRANGE(""https://docs.google.com/spreadsheets/d/1-3Vjw2Cyy-mry5gbC8ypIR3YVGFfEpyFESummAta6sg/edit"", ""Sheet1!B:D""), 2, FALSE), ""Not Found"")"),"ʃərt")</f>
        <v>ʃərt</v>
      </c>
      <c r="E5255" s="2" t="str">
        <f>IFERROR(__xludf.DUMMYFUNCTION("IFERROR(VLOOKUP(A5255, IMPORTRANGE(""https://docs.google.com/spreadsheets/d/1-3Vjw2Cyy-mry5gbC8ypIR3YVGFfEpyFESummAta6sg/edit"", ""Sheet1!B:D""), 3, FALSE), ""Not Found"")"),"ʃ ə r t ")</f>
        <v>ʃ ə r t </v>
      </c>
    </row>
    <row r="5256">
      <c r="A5256" s="1" t="s">
        <v>5259</v>
      </c>
      <c r="B5256" s="1" t="s">
        <v>5</v>
      </c>
      <c r="C5256" s="2">
        <f>IFERROR(__xludf.DUMMYFUNCTION("IFERROR(VLOOKUP(A5256, IMPORTRANGE(""https://docs.google.com/spreadsheets/d/1AVX9GT0dgogEBStecCXMMQ29tWz3gBrtNB8yIromXbY/edit?gid=741673867"", ""out1g!A:B""), 2, FALSE), 0)"),55.0)</f>
        <v>55</v>
      </c>
      <c r="D5256" s="2" t="str">
        <f>IFERROR(__xludf.DUMMYFUNCTION("IFERROR(VLOOKUP(A5256, IMPORTRANGE(""https://docs.google.com/spreadsheets/d/1-3Vjw2Cyy-mry5gbC8ypIR3YVGFfEpyFESummAta6sg/edit"", ""Sheet1!B:D""), 2, FALSE), ""Not Found"")"),"rɪft")</f>
        <v>rɪft</v>
      </c>
      <c r="E5256" s="2" t="str">
        <f>IFERROR(__xludf.DUMMYFUNCTION("IFERROR(VLOOKUP(A5256, IMPORTRANGE(""https://docs.google.com/spreadsheets/d/1-3Vjw2Cyy-mry5gbC8ypIR3YVGFfEpyFESummAta6sg/edit"", ""Sheet1!B:D""), 3, FALSE), ""Not Found"")"),"r ɪ f t ")</f>
        <v>r ɪ f t </v>
      </c>
    </row>
    <row r="5257">
      <c r="A5257" s="1" t="s">
        <v>5260</v>
      </c>
      <c r="B5257" s="1" t="s">
        <v>5</v>
      </c>
      <c r="C5257" s="2">
        <f>IFERROR(__xludf.DUMMYFUNCTION("IFERROR(VLOOKUP(A5257, IMPORTRANGE(""https://docs.google.com/spreadsheets/d/1AVX9GT0dgogEBStecCXMMQ29tWz3gBrtNB8yIromXbY/edit?gid=741673867"", ""out1g!A:B""), 2, FALSE), 0)"),147.0)</f>
        <v>147</v>
      </c>
      <c r="D5257" s="2" t="str">
        <f>IFERROR(__xludf.DUMMYFUNCTION("IFERROR(VLOOKUP(A5257, IMPORTRANGE(""https://docs.google.com/spreadsheets/d/1-3Vjw2Cyy-mry5gbC8ypIR3YVGFfEpyFESummAta6sg/edit"", ""Sheet1!B:D""), 2, FALSE), ""Not Found"")"),"bən")</f>
        <v>bən</v>
      </c>
      <c r="E5257" s="2" t="str">
        <f>IFERROR(__xludf.DUMMYFUNCTION("IFERROR(VLOOKUP(A5257, IMPORTRANGE(""https://docs.google.com/spreadsheets/d/1-3Vjw2Cyy-mry5gbC8ypIR3YVGFfEpyFESummAta6sg/edit"", ""Sheet1!B:D""), 3, FALSE), ""Not Found"")"),"b ə n ")</f>
        <v>b ə n </v>
      </c>
    </row>
    <row r="5258">
      <c r="A5258" s="1" t="s">
        <v>5261</v>
      </c>
      <c r="B5258" s="1" t="s">
        <v>5</v>
      </c>
      <c r="C5258" s="2">
        <f>IFERROR(__xludf.DUMMYFUNCTION("IFERROR(VLOOKUP(A5258, IMPORTRANGE(""https://docs.google.com/spreadsheets/d/1AVX9GT0dgogEBStecCXMMQ29tWz3gBrtNB8yIromXbY/edit?gid=741673867"", ""out1g!A:B""), 2, FALSE), 0)"),81.0)</f>
        <v>81</v>
      </c>
      <c r="D5258" s="2" t="str">
        <f>IFERROR(__xludf.DUMMYFUNCTION("IFERROR(VLOOKUP(A5258, IMPORTRANGE(""https://docs.google.com/spreadsheets/d/1-3Vjw2Cyy-mry5gbC8ypIR3YVGFfEpyFESummAta6sg/edit"", ""Sheet1!B:D""), 2, FALSE), ""Not Found"")"),"mɪnts")</f>
        <v>mɪnts</v>
      </c>
      <c r="E5258" s="2" t="str">
        <f>IFERROR(__xludf.DUMMYFUNCTION("IFERROR(VLOOKUP(A5258, IMPORTRANGE(""https://docs.google.com/spreadsheets/d/1-3Vjw2Cyy-mry5gbC8ypIR3YVGFfEpyFESummAta6sg/edit"", ""Sheet1!B:D""), 3, FALSE), ""Not Found"")"),"m ɪ n t s ")</f>
        <v>m ɪ n t s </v>
      </c>
    </row>
    <row r="5259">
      <c r="A5259" s="1" t="s">
        <v>5262</v>
      </c>
      <c r="B5259" s="1" t="s">
        <v>5</v>
      </c>
      <c r="C5259" s="2">
        <f>IFERROR(__xludf.DUMMYFUNCTION("IFERROR(VLOOKUP(A5259, IMPORTRANGE(""https://docs.google.com/spreadsheets/d/1AVX9GT0dgogEBStecCXMMQ29tWz3gBrtNB8yIromXbY/edit?gid=741673867"", ""out1g!A:B""), 2, FALSE), 0)"),16352.0)</f>
        <v>16352</v>
      </c>
      <c r="D5259" s="2" t="str">
        <f>IFERROR(__xludf.DUMMYFUNCTION("IFERROR(VLOOKUP(A5259, IMPORTRANGE(""https://docs.google.com/spreadsheets/d/1-3Vjw2Cyy-mry5gbC8ypIR3YVGFfEpyFESummAta6sg/edit"", ""Sheet1!B:D""), 2, FALSE), ""Not Found"")"),"hoʊp")</f>
        <v>hoʊp</v>
      </c>
      <c r="E5259" s="2" t="str">
        <f>IFERROR(__xludf.DUMMYFUNCTION("IFERROR(VLOOKUP(A5259, IMPORTRANGE(""https://docs.google.com/spreadsheets/d/1-3Vjw2Cyy-mry5gbC8ypIR3YVGFfEpyFESummAta6sg/edit"", ""Sheet1!B:D""), 3, FALSE), ""Not Found"")"),"h o ʊ p ")</f>
        <v>h o ʊ p </v>
      </c>
    </row>
    <row r="5260">
      <c r="A5260" s="1" t="s">
        <v>5263</v>
      </c>
      <c r="B5260" s="1" t="s">
        <v>5</v>
      </c>
      <c r="C5260" s="2">
        <f>IFERROR(__xludf.DUMMYFUNCTION("IFERROR(VLOOKUP(A5260, IMPORTRANGE(""https://docs.google.com/spreadsheets/d/1AVX9GT0dgogEBStecCXMMQ29tWz3gBrtNB8yIromXbY/edit?gid=741673867"", ""out1g!A:B""), 2, FALSE), 0)"),90.0)</f>
        <v>90</v>
      </c>
      <c r="D5260" s="2" t="str">
        <f>IFERROR(__xludf.DUMMYFUNCTION("IFERROR(VLOOKUP(A5260, IMPORTRANGE(""https://docs.google.com/spreadsheets/d/1-3Vjw2Cyy-mry5gbC8ypIR3YVGFfEpyFESummAta6sg/edit"", ""Sheet1!B:D""), 2, FALSE), ""Not Found"")"),"kərsɪŋ")</f>
        <v>kərsɪŋ</v>
      </c>
      <c r="E5260" s="2" t="str">
        <f>IFERROR(__xludf.DUMMYFUNCTION("IFERROR(VLOOKUP(A5260, IMPORTRANGE(""https://docs.google.com/spreadsheets/d/1-3Vjw2Cyy-mry5gbC8ypIR3YVGFfEpyFESummAta6sg/edit"", ""Sheet1!B:D""), 3, FALSE), ""Not Found"")"),"k ə r s ɪ ŋ ")</f>
        <v>k ə r s ɪ ŋ </v>
      </c>
    </row>
    <row r="5261">
      <c r="A5261" s="1" t="s">
        <v>5264</v>
      </c>
      <c r="B5261" s="1" t="s">
        <v>5</v>
      </c>
      <c r="C5261" s="2">
        <f>IFERROR(__xludf.DUMMYFUNCTION("IFERROR(VLOOKUP(A5261, IMPORTRANGE(""https://docs.google.com/spreadsheets/d/1AVX9GT0dgogEBStecCXMMQ29tWz3gBrtNB8yIromXbY/edit?gid=741673867"", ""out1g!A:B""), 2, FALSE), 0)"),366.0)</f>
        <v>366</v>
      </c>
      <c r="D5261" s="2" t="str">
        <f>IFERROR(__xludf.DUMMYFUNCTION("IFERROR(VLOOKUP(A5261, IMPORTRANGE(""https://docs.google.com/spreadsheets/d/1-3Vjw2Cyy-mry5gbC8ypIR3YVGFfEpyFESummAta6sg/edit"", ""Sheet1!B:D""), 2, FALSE), ""Not Found"")"),"rɪlaɪ")</f>
        <v>rɪlaɪ</v>
      </c>
      <c r="E5261" s="2" t="str">
        <f>IFERROR(__xludf.DUMMYFUNCTION("IFERROR(VLOOKUP(A5261, IMPORTRANGE(""https://docs.google.com/spreadsheets/d/1-3Vjw2Cyy-mry5gbC8ypIR3YVGFfEpyFESummAta6sg/edit"", ""Sheet1!B:D""), 3, FALSE), ""Not Found"")"),"r ɪ l a ɪ ")</f>
        <v>r ɪ l a ɪ </v>
      </c>
    </row>
    <row r="5262">
      <c r="A5262" s="1" t="s">
        <v>5265</v>
      </c>
      <c r="B5262" s="1" t="s">
        <v>5</v>
      </c>
      <c r="C5262" s="2">
        <f>IFERROR(__xludf.DUMMYFUNCTION("IFERROR(VLOOKUP(A5262, IMPORTRANGE(""https://docs.google.com/spreadsheets/d/1AVX9GT0dgogEBStecCXMMQ29tWz3gBrtNB8yIromXbY/edit?gid=741673867"", ""out1g!A:B""), 2, FALSE), 0)"),499.0)</f>
        <v>499</v>
      </c>
      <c r="D5262" s="2" t="str">
        <f>IFERROR(__xludf.DUMMYFUNCTION("IFERROR(VLOOKUP(A5262, IMPORTRANGE(""https://docs.google.com/spreadsheets/d/1-3Vjw2Cyy-mry5gbC8ypIR3YVGFfEpyFESummAta6sg/edit"", ""Sheet1!B:D""), 2, FALSE), ""Not Found"")"),"roʊst")</f>
        <v>roʊst</v>
      </c>
      <c r="E5262" s="2" t="str">
        <f>IFERROR(__xludf.DUMMYFUNCTION("IFERROR(VLOOKUP(A5262, IMPORTRANGE(""https://docs.google.com/spreadsheets/d/1-3Vjw2Cyy-mry5gbC8ypIR3YVGFfEpyFESummAta6sg/edit"", ""Sheet1!B:D""), 3, FALSE), ""Not Found"")"),"r o ʊ s t ")</f>
        <v>r o ʊ s t </v>
      </c>
    </row>
    <row r="5263">
      <c r="A5263" s="1" t="s">
        <v>5266</v>
      </c>
      <c r="B5263" s="1" t="s">
        <v>5</v>
      </c>
      <c r="C5263" s="2">
        <f>IFERROR(__xludf.DUMMYFUNCTION("IFERROR(VLOOKUP(A5263, IMPORTRANGE(""https://docs.google.com/spreadsheets/d/1AVX9GT0dgogEBStecCXMMQ29tWz3gBrtNB8yIromXbY/edit?gid=741673867"", ""out1g!A:B""), 2, FALSE), 0)"),65.0)</f>
        <v>65</v>
      </c>
      <c r="D5263" s="2" t="str">
        <f>IFERROR(__xludf.DUMMYFUNCTION("IFERROR(VLOOKUP(A5263, IMPORTRANGE(""https://docs.google.com/spreadsheets/d/1-3Vjw2Cyy-mry5gbC8ypIR3YVGFfEpyFESummAta6sg/edit"", ""Sheet1!B:D""), 2, FALSE), ""Not Found"")"),"nɛli")</f>
        <v>nɛli</v>
      </c>
      <c r="E5263" s="2" t="str">
        <f>IFERROR(__xludf.DUMMYFUNCTION("IFERROR(VLOOKUP(A5263, IMPORTRANGE(""https://docs.google.com/spreadsheets/d/1-3Vjw2Cyy-mry5gbC8ypIR3YVGFfEpyFESummAta6sg/edit"", ""Sheet1!B:D""), 3, FALSE), ""Not Found"")"),"n ɛ l i ")</f>
        <v>n ɛ l i </v>
      </c>
    </row>
    <row r="5264">
      <c r="A5264" s="1" t="s">
        <v>5267</v>
      </c>
      <c r="B5264" s="1" t="s">
        <v>5</v>
      </c>
      <c r="C5264" s="2">
        <f>IFERROR(__xludf.DUMMYFUNCTION("IFERROR(VLOOKUP(A5264, IMPORTRANGE(""https://docs.google.com/spreadsheets/d/1AVX9GT0dgogEBStecCXMMQ29tWz3gBrtNB8yIromXbY/edit?gid=741673867"", ""out1g!A:B""), 2, FALSE), 0)"),351650.0)</f>
        <v>351650</v>
      </c>
      <c r="D5264" s="2" t="str">
        <f>IFERROR(__xludf.DUMMYFUNCTION("IFERROR(VLOOKUP(A5264, IMPORTRANGE(""https://docs.google.com/spreadsheets/d/1-3Vjw2Cyy-mry5gbC8ypIR3YVGFfEpyFESummAta6sg/edit"", ""Sheet1!B:D""), 2, FALSE), ""Not Found"")"),"fər")</f>
        <v>fər</v>
      </c>
      <c r="E5264" s="2" t="str">
        <f>IFERROR(__xludf.DUMMYFUNCTION("IFERROR(VLOOKUP(A5264, IMPORTRANGE(""https://docs.google.com/spreadsheets/d/1-3Vjw2Cyy-mry5gbC8ypIR3YVGFfEpyFESummAta6sg/edit"", ""Sheet1!B:D""), 3, FALSE), ""Not Found"")"),"f ə r ")</f>
        <v>f ə r </v>
      </c>
    </row>
    <row r="5265">
      <c r="A5265" s="1" t="s">
        <v>5268</v>
      </c>
      <c r="B5265" s="1" t="s">
        <v>5</v>
      </c>
      <c r="C5265" s="2">
        <f>IFERROR(__xludf.DUMMYFUNCTION("IFERROR(VLOOKUP(A5265, IMPORTRANGE(""https://docs.google.com/spreadsheets/d/1AVX9GT0dgogEBStecCXMMQ29tWz3gBrtNB8yIromXbY/edit?gid=741673867"", ""out1g!A:B""), 2, FALSE), 0)"),610.0)</f>
        <v>610</v>
      </c>
      <c r="D5265" s="2" t="str">
        <f>IFERROR(__xludf.DUMMYFUNCTION("IFERROR(VLOOKUP(A5265, IMPORTRANGE(""https://docs.google.com/spreadsheets/d/1-3Vjw2Cyy-mry5gbC8ypIR3YVGFfEpyFESummAta6sg/edit"", ""Sheet1!B:D""), 2, FALSE), ""Not Found"")"),"lɔg")</f>
        <v>lɔg</v>
      </c>
      <c r="E5265" s="2" t="str">
        <f>IFERROR(__xludf.DUMMYFUNCTION("IFERROR(VLOOKUP(A5265, IMPORTRANGE(""https://docs.google.com/spreadsheets/d/1-3Vjw2Cyy-mry5gbC8ypIR3YVGFfEpyFESummAta6sg/edit"", ""Sheet1!B:D""), 3, FALSE), ""Not Found"")"),"l ɔ g ")</f>
        <v>l ɔ g </v>
      </c>
    </row>
    <row r="5266">
      <c r="A5266" s="1" t="s">
        <v>5269</v>
      </c>
      <c r="B5266" s="1" t="s">
        <v>5</v>
      </c>
      <c r="C5266" s="2">
        <f>IFERROR(__xludf.DUMMYFUNCTION("IFERROR(VLOOKUP(A5266, IMPORTRANGE(""https://docs.google.com/spreadsheets/d/1AVX9GT0dgogEBStecCXMMQ29tWz3gBrtNB8yIromXbY/edit?gid=741673867"", ""out1g!A:B""), 2, FALSE), 0)"),192.0)</f>
        <v>192</v>
      </c>
      <c r="D5266" s="2" t="str">
        <f>IFERROR(__xludf.DUMMYFUNCTION("IFERROR(VLOOKUP(A5266, IMPORTRANGE(""https://docs.google.com/spreadsheets/d/1-3Vjw2Cyy-mry5gbC8ypIR3YVGFfEpyFESummAta6sg/edit"", ""Sheet1!B:D""), 2, FALSE), ""Not Found"")"),"ərɛstɪŋ")</f>
        <v>ərɛstɪŋ</v>
      </c>
      <c r="E5266" s="2" t="str">
        <f>IFERROR(__xludf.DUMMYFUNCTION("IFERROR(VLOOKUP(A5266, IMPORTRANGE(""https://docs.google.com/spreadsheets/d/1-3Vjw2Cyy-mry5gbC8ypIR3YVGFfEpyFESummAta6sg/edit"", ""Sheet1!B:D""), 3, FALSE), ""Not Found"")"),"ə r ɛ s t ɪ ŋ ")</f>
        <v>ə r ɛ s t ɪ ŋ </v>
      </c>
    </row>
    <row r="5267">
      <c r="A5267" s="1" t="s">
        <v>5270</v>
      </c>
      <c r="B5267" s="1" t="s">
        <v>5</v>
      </c>
      <c r="C5267" s="2">
        <f>IFERROR(__xludf.DUMMYFUNCTION("IFERROR(VLOOKUP(A5267, IMPORTRANGE(""https://docs.google.com/spreadsheets/d/1AVX9GT0dgogEBStecCXMMQ29tWz3gBrtNB8yIromXbY/edit?gid=741673867"", ""out1g!A:B""), 2, FALSE), 0)"),102320.0)</f>
        <v>102320</v>
      </c>
      <c r="D5267" s="2" t="str">
        <f>IFERROR(__xludf.DUMMYFUNCTION("IFERROR(VLOOKUP(A5267, IMPORTRANGE(""https://docs.google.com/spreadsheets/d/1-3Vjw2Cyy-mry5gbC8ypIR3YVGFfEpyFESummAta6sg/edit"", ""Sheet1!B:D""), 2, FALSE), ""Not Found"")"),"oʊke")</f>
        <v>oʊke</v>
      </c>
      <c r="E5267" s="2" t="str">
        <f>IFERROR(__xludf.DUMMYFUNCTION("IFERROR(VLOOKUP(A5267, IMPORTRANGE(""https://docs.google.com/spreadsheets/d/1-3Vjw2Cyy-mry5gbC8ypIR3YVGFfEpyFESummAta6sg/edit"", ""Sheet1!B:D""), 3, FALSE), ""Not Found"")"),"o ʊ k e ")</f>
        <v>o ʊ k e </v>
      </c>
    </row>
    <row r="5268">
      <c r="A5268" s="1" t="s">
        <v>5271</v>
      </c>
      <c r="B5268" s="1" t="s">
        <v>5</v>
      </c>
      <c r="C5268" s="2">
        <f>IFERROR(__xludf.DUMMYFUNCTION("IFERROR(VLOOKUP(A5268, IMPORTRANGE(""https://docs.google.com/spreadsheets/d/1AVX9GT0dgogEBStecCXMMQ29tWz3gBrtNB8yIromXbY/edit?gid=741673867"", ""out1g!A:B""), 2, FALSE), 0)"),47.0)</f>
        <v>47</v>
      </c>
      <c r="D5268" s="2" t="str">
        <f>IFERROR(__xludf.DUMMYFUNCTION("IFERROR(VLOOKUP(A5268, IMPORTRANGE(""https://docs.google.com/spreadsheets/d/1-3Vjw2Cyy-mry5gbC8ypIR3YVGFfEpyFESummAta6sg/edit"", ""Sheet1!B:D""), 2, FALSE), ""Not Found"")"),"klivz")</f>
        <v>klivz</v>
      </c>
      <c r="E5268" s="2" t="str">
        <f>IFERROR(__xludf.DUMMYFUNCTION("IFERROR(VLOOKUP(A5268, IMPORTRANGE(""https://docs.google.com/spreadsheets/d/1-3Vjw2Cyy-mry5gbC8ypIR3YVGFfEpyFESummAta6sg/edit"", ""Sheet1!B:D""), 3, FALSE), ""Not Found"")"),"k l i v z ")</f>
        <v>k l i v z </v>
      </c>
    </row>
    <row r="5269">
      <c r="A5269" s="1" t="s">
        <v>5272</v>
      </c>
      <c r="B5269" s="1" t="s">
        <v>5</v>
      </c>
      <c r="C5269" s="2">
        <f>IFERROR(__xludf.DUMMYFUNCTION("IFERROR(VLOOKUP(A5269, IMPORTRANGE(""https://docs.google.com/spreadsheets/d/1AVX9GT0dgogEBStecCXMMQ29tWz3gBrtNB8yIromXbY/edit?gid=741673867"", ""out1g!A:B""), 2, FALSE), 0)"),638.0)</f>
        <v>638</v>
      </c>
      <c r="D5269" s="2" t="str">
        <f>IFERROR(__xludf.DUMMYFUNCTION("IFERROR(VLOOKUP(A5269, IMPORTRANGE(""https://docs.google.com/spreadsheets/d/1-3Vjw2Cyy-mry5gbC8ypIR3YVGFfEpyFESummAta6sg/edit"", ""Sheet1!B:D""), 2, FALSE), ""Not Found"")"),"plets")</f>
        <v>plets</v>
      </c>
      <c r="E5269" s="2" t="str">
        <f>IFERROR(__xludf.DUMMYFUNCTION("IFERROR(VLOOKUP(A5269, IMPORTRANGE(""https://docs.google.com/spreadsheets/d/1-3Vjw2Cyy-mry5gbC8ypIR3YVGFfEpyFESummAta6sg/edit"", ""Sheet1!B:D""), 3, FALSE), ""Not Found"")"),"p l e t s ")</f>
        <v>p l e t s </v>
      </c>
    </row>
    <row r="5270">
      <c r="A5270" s="1" t="s">
        <v>5273</v>
      </c>
      <c r="B5270" s="1" t="s">
        <v>5</v>
      </c>
      <c r="C5270" s="2">
        <f>IFERROR(__xludf.DUMMYFUNCTION("IFERROR(VLOOKUP(A5270, IMPORTRANGE(""https://docs.google.com/spreadsheets/d/1AVX9GT0dgogEBStecCXMMQ29tWz3gBrtNB8yIromXbY/edit?gid=741673867"", ""out1g!A:B""), 2, FALSE), 0)"),6311.0)</f>
        <v>6311</v>
      </c>
      <c r="D5270" s="2" t="str">
        <f>IFERROR(__xludf.DUMMYFUNCTION("IFERROR(VLOOKUP(A5270, IMPORTRANGE(""https://docs.google.com/spreadsheets/d/1-3Vjw2Cyy-mry5gbC8ypIR3YVGFfEpyFESummAta6sg/edit"", ""Sheet1!B:D""), 2, FALSE), ""Not Found"")"),"kɔlɪŋ")</f>
        <v>kɔlɪŋ</v>
      </c>
      <c r="E5270" s="2" t="str">
        <f>IFERROR(__xludf.DUMMYFUNCTION("IFERROR(VLOOKUP(A5270, IMPORTRANGE(""https://docs.google.com/spreadsheets/d/1-3Vjw2Cyy-mry5gbC8ypIR3YVGFfEpyFESummAta6sg/edit"", ""Sheet1!B:D""), 3, FALSE), ""Not Found"")"),"k ɔ l ɪ ŋ ")</f>
        <v>k ɔ l ɪ ŋ </v>
      </c>
    </row>
    <row r="5271">
      <c r="A5271" s="1" t="s">
        <v>5274</v>
      </c>
      <c r="B5271" s="1" t="s">
        <v>5</v>
      </c>
      <c r="C5271" s="2">
        <f>IFERROR(__xludf.DUMMYFUNCTION("IFERROR(VLOOKUP(A5271, IMPORTRANGE(""https://docs.google.com/spreadsheets/d/1AVX9GT0dgogEBStecCXMMQ29tWz3gBrtNB8yIromXbY/edit?gid=741673867"", ""out1g!A:B""), 2, FALSE), 0)"),80.0)</f>
        <v>80</v>
      </c>
      <c r="D5271" s="2" t="str">
        <f>IFERROR(__xludf.DUMMYFUNCTION("IFERROR(VLOOKUP(A5271, IMPORTRANGE(""https://docs.google.com/spreadsheets/d/1-3Vjw2Cyy-mry5gbC8ypIR3YVGFfEpyFESummAta6sg/edit"", ""Sheet1!B:D""), 2, FALSE), ""Not Found"")"),"mɪsti")</f>
        <v>mɪsti</v>
      </c>
      <c r="E5271" s="2" t="str">
        <f>IFERROR(__xludf.DUMMYFUNCTION("IFERROR(VLOOKUP(A5271, IMPORTRANGE(""https://docs.google.com/spreadsheets/d/1-3Vjw2Cyy-mry5gbC8ypIR3YVGFfEpyFESummAta6sg/edit"", ""Sheet1!B:D""), 3, FALSE), ""Not Found"")"),"m ɪ s t i ")</f>
        <v>m ɪ s t i </v>
      </c>
    </row>
    <row r="5272">
      <c r="A5272" s="1" t="s">
        <v>5275</v>
      </c>
      <c r="B5272" s="1" t="s">
        <v>5</v>
      </c>
      <c r="C5272" s="2">
        <f>IFERROR(__xludf.DUMMYFUNCTION("IFERROR(VLOOKUP(A5272, IMPORTRANGE(""https://docs.google.com/spreadsheets/d/1AVX9GT0dgogEBStecCXMMQ29tWz3gBrtNB8yIromXbY/edit?gid=741673867"", ""out1g!A:B""), 2, FALSE), 0)"),481.0)</f>
        <v>481</v>
      </c>
      <c r="D5272" s="2" t="str">
        <f>IFERROR(__xludf.DUMMYFUNCTION("IFERROR(VLOOKUP(A5272, IMPORTRANGE(""https://docs.google.com/spreadsheets/d/1-3Vjw2Cyy-mry5gbC8ypIR3YVGFfEpyFESummAta6sg/edit"", ""Sheet1!B:D""), 2, FALSE), ""Not Found"")"),"mɔskaʊ")</f>
        <v>mɔskaʊ</v>
      </c>
      <c r="E5272" s="2" t="str">
        <f>IFERROR(__xludf.DUMMYFUNCTION("IFERROR(VLOOKUP(A5272, IMPORTRANGE(""https://docs.google.com/spreadsheets/d/1-3Vjw2Cyy-mry5gbC8ypIR3YVGFfEpyFESummAta6sg/edit"", ""Sheet1!B:D""), 3, FALSE), ""Not Found"")"),"m ɔ s k a ʊ ")</f>
        <v>m ɔ s k a ʊ </v>
      </c>
    </row>
    <row r="5273">
      <c r="A5273" s="1" t="s">
        <v>5276</v>
      </c>
      <c r="B5273" s="1" t="s">
        <v>5</v>
      </c>
      <c r="C5273" s="2">
        <f>IFERROR(__xludf.DUMMYFUNCTION("IFERROR(VLOOKUP(A5273, IMPORTRANGE(""https://docs.google.com/spreadsheets/d/1AVX9GT0dgogEBStecCXMMQ29tWz3gBrtNB8yIromXbY/edit?gid=741673867"", ""out1g!A:B""), 2, FALSE), 0)"),501.0)</f>
        <v>501</v>
      </c>
      <c r="D5273" s="2" t="str">
        <f>IFERROR(__xludf.DUMMYFUNCTION("IFERROR(VLOOKUP(A5273, IMPORTRANGE(""https://docs.google.com/spreadsheets/d/1-3Vjw2Cyy-mry5gbC8ypIR3YVGFfEpyFESummAta6sg/edit"", ""Sheet1!B:D""), 2, FALSE), ""Not Found"")"),"hɛroʊən")</f>
        <v>hɛroʊən</v>
      </c>
      <c r="E5273" s="2" t="str">
        <f>IFERROR(__xludf.DUMMYFUNCTION("IFERROR(VLOOKUP(A5273, IMPORTRANGE(""https://docs.google.com/spreadsheets/d/1-3Vjw2Cyy-mry5gbC8ypIR3YVGFfEpyFESummAta6sg/edit"", ""Sheet1!B:D""), 3, FALSE), ""Not Found"")"),"h ɛ r o ʊ ə n ")</f>
        <v>h ɛ r o ʊ ə n </v>
      </c>
    </row>
    <row r="5274">
      <c r="A5274" s="1" t="s">
        <v>5277</v>
      </c>
      <c r="B5274" s="1" t="s">
        <v>5</v>
      </c>
      <c r="C5274" s="2">
        <f>IFERROR(__xludf.DUMMYFUNCTION("IFERROR(VLOOKUP(A5274, IMPORTRANGE(""https://docs.google.com/spreadsheets/d/1AVX9GT0dgogEBStecCXMMQ29tWz3gBrtNB8yIromXbY/edit?gid=741673867"", ""out1g!A:B""), 2, FALSE), 0)"),66.0)</f>
        <v>66</v>
      </c>
      <c r="D5274" s="2" t="str">
        <f>IFERROR(__xludf.DUMMYFUNCTION("IFERROR(VLOOKUP(A5274, IMPORTRANGE(""https://docs.google.com/spreadsheets/d/1-3Vjw2Cyy-mry5gbC8ypIR3YVGFfEpyFESummAta6sg/edit"", ""Sheet1!B:D""), 2, FALSE), ""Not Found"")"),"tərbən")</f>
        <v>tərbən</v>
      </c>
      <c r="E5274" s="2" t="str">
        <f>IFERROR(__xludf.DUMMYFUNCTION("IFERROR(VLOOKUP(A5274, IMPORTRANGE(""https://docs.google.com/spreadsheets/d/1-3Vjw2Cyy-mry5gbC8ypIR3YVGFfEpyFESummAta6sg/edit"", ""Sheet1!B:D""), 3, FALSE), ""Not Found"")"),"t ə r b ə n ")</f>
        <v>t ə r b ə n </v>
      </c>
    </row>
    <row r="5275">
      <c r="A5275" s="1" t="s">
        <v>5278</v>
      </c>
      <c r="B5275" s="1" t="s">
        <v>5</v>
      </c>
      <c r="C5275" s="2">
        <f>IFERROR(__xludf.DUMMYFUNCTION("IFERROR(VLOOKUP(A5275, IMPORTRANGE(""https://docs.google.com/spreadsheets/d/1AVX9GT0dgogEBStecCXMMQ29tWz3gBrtNB8yIromXbY/edit?gid=741673867"", ""out1g!A:B""), 2, FALSE), 0)"),360.0)</f>
        <v>360</v>
      </c>
      <c r="D5275" s="2" t="str">
        <f>IFERROR(__xludf.DUMMYFUNCTION("IFERROR(VLOOKUP(A5275, IMPORTRANGE(""https://docs.google.com/spreadsheets/d/1-3Vjw2Cyy-mry5gbC8ypIR3YVGFfEpyFESummAta6sg/edit"", ""Sheet1!B:D""), 2, FALSE), ""Not Found"")"),"ɑhɑ")</f>
        <v>ɑhɑ</v>
      </c>
      <c r="E5275" s="2" t="str">
        <f>IFERROR(__xludf.DUMMYFUNCTION("IFERROR(VLOOKUP(A5275, IMPORTRANGE(""https://docs.google.com/spreadsheets/d/1-3Vjw2Cyy-mry5gbC8ypIR3YVGFfEpyFESummAta6sg/edit"", ""Sheet1!B:D""), 3, FALSE), ""Not Found"")"),"ɑ h ɑ ")</f>
        <v>ɑ h ɑ </v>
      </c>
    </row>
    <row r="5276">
      <c r="A5276" s="1" t="s">
        <v>5279</v>
      </c>
      <c r="B5276" s="1" t="s">
        <v>5</v>
      </c>
      <c r="C5276" s="2">
        <f>IFERROR(__xludf.DUMMYFUNCTION("IFERROR(VLOOKUP(A5276, IMPORTRANGE(""https://docs.google.com/spreadsheets/d/1AVX9GT0dgogEBStecCXMMQ29tWz3gBrtNB8yIromXbY/edit?gid=741673867"", ""out1g!A:B""), 2, FALSE), 0)"),6416.0)</f>
        <v>6416</v>
      </c>
      <c r="D5276" s="2" t="str">
        <f>IFERROR(__xludf.DUMMYFUNCTION("IFERROR(VLOOKUP(A5276, IMPORTRANGE(""https://docs.google.com/spreadsheets/d/1-3Vjw2Cyy-mry5gbC8ypIR3YVGFfEpyFESummAta6sg/edit"", ""Sheet1!B:D""), 2, FALSE), ""Not Found"")"),"səpoʊz")</f>
        <v>səpoʊz</v>
      </c>
      <c r="E5276" s="2" t="str">
        <f>IFERROR(__xludf.DUMMYFUNCTION("IFERROR(VLOOKUP(A5276, IMPORTRANGE(""https://docs.google.com/spreadsheets/d/1-3Vjw2Cyy-mry5gbC8ypIR3YVGFfEpyFESummAta6sg/edit"", ""Sheet1!B:D""), 3, FALSE), ""Not Found"")"),"s ə p o ʊ z ")</f>
        <v>s ə p o ʊ z </v>
      </c>
    </row>
    <row r="5277">
      <c r="A5277" s="1" t="s">
        <v>5280</v>
      </c>
      <c r="B5277" s="1" t="s">
        <v>5</v>
      </c>
      <c r="C5277" s="2">
        <f>IFERROR(__xludf.DUMMYFUNCTION("IFERROR(VLOOKUP(A5277, IMPORTRANGE(""https://docs.google.com/spreadsheets/d/1AVX9GT0dgogEBStecCXMMQ29tWz3gBrtNB8yIromXbY/edit?gid=741673867"", ""out1g!A:B""), 2, FALSE), 0)"),46977.0)</f>
        <v>46977</v>
      </c>
      <c r="D5277" s="2" t="str">
        <f>IFERROR(__xludf.DUMMYFUNCTION("IFERROR(VLOOKUP(A5277, IMPORTRANGE(""https://docs.google.com/spreadsheets/d/1-3Vjw2Cyy-mry5gbC8ypIR3YVGFfEpyFESummAta6sg/edit"", ""Sheet1!B:D""), 2, FALSE), ""Not Found"")"),"hɛlp")</f>
        <v>hɛlp</v>
      </c>
      <c r="E5277" s="2" t="str">
        <f>IFERROR(__xludf.DUMMYFUNCTION("IFERROR(VLOOKUP(A5277, IMPORTRANGE(""https://docs.google.com/spreadsheets/d/1-3Vjw2Cyy-mry5gbC8ypIR3YVGFfEpyFESummAta6sg/edit"", ""Sheet1!B:D""), 3, FALSE), ""Not Found"")"),"h ɛ l p ")</f>
        <v>h ɛ l p </v>
      </c>
    </row>
    <row r="5278">
      <c r="A5278" s="1" t="s">
        <v>5281</v>
      </c>
      <c r="B5278" s="1" t="s">
        <v>5</v>
      </c>
      <c r="C5278" s="2">
        <f>IFERROR(__xludf.DUMMYFUNCTION("IFERROR(VLOOKUP(A5278, IMPORTRANGE(""https://docs.google.com/spreadsheets/d/1AVX9GT0dgogEBStecCXMMQ29tWz3gBrtNB8yIromXbY/edit?gid=741673867"", ""out1g!A:B""), 2, FALSE), 0)"),92.0)</f>
        <v>92</v>
      </c>
      <c r="D5278" s="2" t="str">
        <f>IFERROR(__xludf.DUMMYFUNCTION("IFERROR(VLOOKUP(A5278, IMPORTRANGE(""https://docs.google.com/spreadsheets/d/1-3Vjw2Cyy-mry5gbC8ypIR3YVGFfEpyFESummAta6sg/edit"", ""Sheet1!B:D""), 2, FALSE), ""Not Found"")"),"proʊn")</f>
        <v>proʊn</v>
      </c>
      <c r="E5278" s="2" t="str">
        <f>IFERROR(__xludf.DUMMYFUNCTION("IFERROR(VLOOKUP(A5278, IMPORTRANGE(""https://docs.google.com/spreadsheets/d/1-3Vjw2Cyy-mry5gbC8ypIR3YVGFfEpyFESummAta6sg/edit"", ""Sheet1!B:D""), 3, FALSE), ""Not Found"")"),"p r o ʊ n ")</f>
        <v>p r o ʊ n </v>
      </c>
    </row>
    <row r="5279">
      <c r="A5279" s="1" t="s">
        <v>5282</v>
      </c>
      <c r="B5279" s="1" t="s">
        <v>5</v>
      </c>
      <c r="C5279" s="2">
        <f>IFERROR(__xludf.DUMMYFUNCTION("IFERROR(VLOOKUP(A5279, IMPORTRANGE(""https://docs.google.com/spreadsheets/d/1AVX9GT0dgogEBStecCXMMQ29tWz3gBrtNB8yIromXbY/edit?gid=741673867"", ""out1g!A:B""), 2, FALSE), 0)"),1335.0)</f>
        <v>1335</v>
      </c>
      <c r="D5279" s="2" t="str">
        <f>IFERROR(__xludf.DUMMYFUNCTION("IFERROR(VLOOKUP(A5279, IMPORTRANGE(""https://docs.google.com/spreadsheets/d/1-3Vjw2Cyy-mry5gbC8ypIR3YVGFfEpyFESummAta6sg/edit"", ""Sheet1!B:D""), 2, FALSE), ""Not Found"")"),"sɔrd")</f>
        <v>sɔrd</v>
      </c>
      <c r="E5279" s="2" t="str">
        <f>IFERROR(__xludf.DUMMYFUNCTION("IFERROR(VLOOKUP(A5279, IMPORTRANGE(""https://docs.google.com/spreadsheets/d/1-3Vjw2Cyy-mry5gbC8ypIR3YVGFfEpyFESummAta6sg/edit"", ""Sheet1!B:D""), 3, FALSE), ""Not Found"")"),"s ɔ r d ")</f>
        <v>s ɔ r d </v>
      </c>
    </row>
    <row r="5280">
      <c r="A5280" s="1" t="s">
        <v>5283</v>
      </c>
      <c r="B5280" s="1" t="s">
        <v>5</v>
      </c>
      <c r="C5280" s="2">
        <f>IFERROR(__xludf.DUMMYFUNCTION("IFERROR(VLOOKUP(A5280, IMPORTRANGE(""https://docs.google.com/spreadsheets/d/1AVX9GT0dgogEBStecCXMMQ29tWz3gBrtNB8yIromXbY/edit?gid=741673867"", ""out1g!A:B""), 2, FALSE), 0)"),382.0)</f>
        <v>382</v>
      </c>
      <c r="D5280" s="2" t="str">
        <f>IFERROR(__xludf.DUMMYFUNCTION("IFERROR(VLOOKUP(A5280, IMPORTRANGE(""https://docs.google.com/spreadsheets/d/1-3Vjw2Cyy-mry5gbC8ypIR3YVGFfEpyFESummAta6sg/edit"", ""Sheet1!B:D""), 2, FALSE), ""Not Found"")"),"ʧɪli")</f>
        <v>ʧɪli</v>
      </c>
      <c r="E5280" s="2" t="str">
        <f>IFERROR(__xludf.DUMMYFUNCTION("IFERROR(VLOOKUP(A5280, IMPORTRANGE(""https://docs.google.com/spreadsheets/d/1-3Vjw2Cyy-mry5gbC8ypIR3YVGFfEpyFESummAta6sg/edit"", ""Sheet1!B:D""), 3, FALSE), ""Not Found"")"),"ʧ ɪ l i ")</f>
        <v>ʧ ɪ l i </v>
      </c>
    </row>
    <row r="5281">
      <c r="A5281" s="1" t="s">
        <v>5284</v>
      </c>
      <c r="B5281" s="1" t="s">
        <v>5</v>
      </c>
      <c r="C5281" s="2">
        <f>IFERROR(__xludf.DUMMYFUNCTION("IFERROR(VLOOKUP(A5281, IMPORTRANGE(""https://docs.google.com/spreadsheets/d/1AVX9GT0dgogEBStecCXMMQ29tWz3gBrtNB8yIromXbY/edit?gid=741673867"", ""out1g!A:B""), 2, FALSE), 0)"),548.0)</f>
        <v>548</v>
      </c>
      <c r="D5281" s="2" t="str">
        <f>IFERROR(__xludf.DUMMYFUNCTION("IFERROR(VLOOKUP(A5281, IMPORTRANGE(""https://docs.google.com/spreadsheets/d/1-3Vjw2Cyy-mry5gbC8ypIR3YVGFfEpyFESummAta6sg/edit"", ""Sheet1!B:D""), 2, FALSE), ""Not Found"")"),"bɪrz")</f>
        <v>bɪrz</v>
      </c>
      <c r="E5281" s="2" t="str">
        <f>IFERROR(__xludf.DUMMYFUNCTION("IFERROR(VLOOKUP(A5281, IMPORTRANGE(""https://docs.google.com/spreadsheets/d/1-3Vjw2Cyy-mry5gbC8ypIR3YVGFfEpyFESummAta6sg/edit"", ""Sheet1!B:D""), 3, FALSE), ""Not Found"")"),"b ɪ r z ")</f>
        <v>b ɪ r z </v>
      </c>
    </row>
    <row r="5282">
      <c r="A5282" s="1" t="s">
        <v>5285</v>
      </c>
      <c r="B5282" s="1" t="s">
        <v>5</v>
      </c>
      <c r="C5282" s="2">
        <f>IFERROR(__xludf.DUMMYFUNCTION("IFERROR(VLOOKUP(A5282, IMPORTRANGE(""https://docs.google.com/spreadsheets/d/1AVX9GT0dgogEBStecCXMMQ29tWz3gBrtNB8yIromXbY/edit?gid=741673867"", ""out1g!A:B""), 2, FALSE), 0)"),6904.0)</f>
        <v>6904</v>
      </c>
      <c r="D5282" s="2" t="str">
        <f>IFERROR(__xludf.DUMMYFUNCTION("IFERROR(VLOOKUP(A5282, IMPORTRANGE(""https://docs.google.com/spreadsheets/d/1-3Vjw2Cyy-mry5gbC8ypIR3YVGFfEpyFESummAta6sg/edit"", ""Sheet1!B:D""), 2, FALSE), ""Not Found"")"),"raɪd")</f>
        <v>raɪd</v>
      </c>
      <c r="E5282" s="2" t="str">
        <f>IFERROR(__xludf.DUMMYFUNCTION("IFERROR(VLOOKUP(A5282, IMPORTRANGE(""https://docs.google.com/spreadsheets/d/1-3Vjw2Cyy-mry5gbC8ypIR3YVGFfEpyFESummAta6sg/edit"", ""Sheet1!B:D""), 3, FALSE), ""Not Found"")"),"r a ɪ d ")</f>
        <v>r a ɪ d </v>
      </c>
    </row>
    <row r="5283">
      <c r="A5283" s="1" t="s">
        <v>5286</v>
      </c>
      <c r="B5283" s="1" t="s">
        <v>5</v>
      </c>
      <c r="C5283" s="2">
        <f>IFERROR(__xludf.DUMMYFUNCTION("IFERROR(VLOOKUP(A5283, IMPORTRANGE(""https://docs.google.com/spreadsheets/d/1AVX9GT0dgogEBStecCXMMQ29tWz3gBrtNB8yIromXbY/edit?gid=741673867"", ""out1g!A:B""), 2, FALSE), 0)"),102.0)</f>
        <v>102</v>
      </c>
      <c r="D5283" s="2" t="str">
        <f>IFERROR(__xludf.DUMMYFUNCTION("IFERROR(VLOOKUP(A5283, IMPORTRANGE(""https://docs.google.com/spreadsheets/d/1-3Vjw2Cyy-mry5gbC8ypIR3YVGFfEpyFESummAta6sg/edit"", ""Sheet1!B:D""), 2, FALSE), ""Not Found"")"),"kɑt")</f>
        <v>kɑt</v>
      </c>
      <c r="E5283" s="2" t="str">
        <f>IFERROR(__xludf.DUMMYFUNCTION("IFERROR(VLOOKUP(A5283, IMPORTRANGE(""https://docs.google.com/spreadsheets/d/1-3Vjw2Cyy-mry5gbC8ypIR3YVGFfEpyFESummAta6sg/edit"", ""Sheet1!B:D""), 3, FALSE), ""Not Found"")"),"k ɑ t ")</f>
        <v>k ɑ t </v>
      </c>
    </row>
    <row r="5284">
      <c r="A5284" s="1" t="s">
        <v>5287</v>
      </c>
      <c r="B5284" s="1" t="s">
        <v>5</v>
      </c>
      <c r="C5284" s="2">
        <f>IFERROR(__xludf.DUMMYFUNCTION("IFERROR(VLOOKUP(A5284, IMPORTRANGE(""https://docs.google.com/spreadsheets/d/1AVX9GT0dgogEBStecCXMMQ29tWz3gBrtNB8yIromXbY/edit?gid=741673867"", ""out1g!A:B""), 2, FALSE), 0)"),238.0)</f>
        <v>238</v>
      </c>
      <c r="D5284" s="2" t="str">
        <f>IFERROR(__xludf.DUMMYFUNCTION("IFERROR(VLOOKUP(A5284, IMPORTRANGE(""https://docs.google.com/spreadsheets/d/1-3Vjw2Cyy-mry5gbC8ypIR3YVGFfEpyFESummAta6sg/edit"", ""Sheet1!B:D""), 2, FALSE), ""Not Found"")"),"θəmz")</f>
        <v>θəmz</v>
      </c>
      <c r="E5284" s="2" t="str">
        <f>IFERROR(__xludf.DUMMYFUNCTION("IFERROR(VLOOKUP(A5284, IMPORTRANGE(""https://docs.google.com/spreadsheets/d/1-3Vjw2Cyy-mry5gbC8ypIR3YVGFfEpyFESummAta6sg/edit"", ""Sheet1!B:D""), 3, FALSE), ""Not Found"")"),"θ ə m z ")</f>
        <v>θ ə m z </v>
      </c>
    </row>
    <row r="5285">
      <c r="A5285" s="1" t="s">
        <v>5288</v>
      </c>
      <c r="B5285" s="1" t="s">
        <v>5</v>
      </c>
      <c r="C5285" s="2">
        <f>IFERROR(__xludf.DUMMYFUNCTION("IFERROR(VLOOKUP(A5285, IMPORTRANGE(""https://docs.google.com/spreadsheets/d/1AVX9GT0dgogEBStecCXMMQ29tWz3gBrtNB8yIromXbY/edit?gid=741673867"", ""out1g!A:B""), 2, FALSE), 0)"),1211.0)</f>
        <v>1211</v>
      </c>
      <c r="D5285" s="2" t="str">
        <f>IFERROR(__xludf.DUMMYFUNCTION("IFERROR(VLOOKUP(A5285, IMPORTRANGE(""https://docs.google.com/spreadsheets/d/1-3Vjw2Cyy-mry5gbC8ypIR3YVGFfEpyFESummAta6sg/edit"", ""Sheet1!B:D""), 2, FALSE), ""Not Found"")"),"gəts")</f>
        <v>gəts</v>
      </c>
      <c r="E5285" s="2" t="str">
        <f>IFERROR(__xludf.DUMMYFUNCTION("IFERROR(VLOOKUP(A5285, IMPORTRANGE(""https://docs.google.com/spreadsheets/d/1-3Vjw2Cyy-mry5gbC8ypIR3YVGFfEpyFESummAta6sg/edit"", ""Sheet1!B:D""), 3, FALSE), ""Not Found"")"),"g ə t s ")</f>
        <v>g ə t s </v>
      </c>
    </row>
    <row r="5286">
      <c r="A5286" s="1" t="s">
        <v>5289</v>
      </c>
      <c r="B5286" s="1" t="s">
        <v>5</v>
      </c>
      <c r="C5286" s="2">
        <f>IFERROR(__xludf.DUMMYFUNCTION("IFERROR(VLOOKUP(A5286, IMPORTRANGE(""https://docs.google.com/spreadsheets/d/1AVX9GT0dgogEBStecCXMMQ29tWz3gBrtNB8yIromXbY/edit?gid=741673867"", ""out1g!A:B""), 2, FALSE), 0)"),13.0)</f>
        <v>13</v>
      </c>
      <c r="D5286" s="2" t="str">
        <f>IFERROR(__xludf.DUMMYFUNCTION("IFERROR(VLOOKUP(A5286, IMPORTRANGE(""https://docs.google.com/spreadsheets/d/1-3Vjw2Cyy-mry5gbC8ypIR3YVGFfEpyFESummAta6sg/edit"", ""Sheet1!B:D""), 2, FALSE), ""Not Found"")"),"hipt")</f>
        <v>hipt</v>
      </c>
      <c r="E5286" s="2" t="str">
        <f>IFERROR(__xludf.DUMMYFUNCTION("IFERROR(VLOOKUP(A5286, IMPORTRANGE(""https://docs.google.com/spreadsheets/d/1-3Vjw2Cyy-mry5gbC8ypIR3YVGFfEpyFESummAta6sg/edit"", ""Sheet1!B:D""), 3, FALSE), ""Not Found"")"),"h i p t ")</f>
        <v>h i p t </v>
      </c>
    </row>
    <row r="5287">
      <c r="A5287" s="1" t="s">
        <v>5290</v>
      </c>
      <c r="B5287" s="1" t="s">
        <v>5</v>
      </c>
      <c r="C5287" s="2">
        <f>IFERROR(__xludf.DUMMYFUNCTION("IFERROR(VLOOKUP(A5287, IMPORTRANGE(""https://docs.google.com/spreadsheets/d/1AVX9GT0dgogEBStecCXMMQ29tWz3gBrtNB8yIromXbY/edit?gid=741673867"", ""out1g!A:B""), 2, FALSE), 0)"),26.0)</f>
        <v>26</v>
      </c>
      <c r="D5287" s="2" t="str">
        <f>IFERROR(__xludf.DUMMYFUNCTION("IFERROR(VLOOKUP(A5287, IMPORTRANGE(""https://docs.google.com/spreadsheets/d/1-3Vjw2Cyy-mry5gbC8ypIR3YVGFfEpyFESummAta6sg/edit"", ""Sheet1!B:D""), 2, FALSE), ""Not Found"")"),"dɪkrid")</f>
        <v>dɪkrid</v>
      </c>
      <c r="E5287" s="2" t="str">
        <f>IFERROR(__xludf.DUMMYFUNCTION("IFERROR(VLOOKUP(A5287, IMPORTRANGE(""https://docs.google.com/spreadsheets/d/1-3Vjw2Cyy-mry5gbC8ypIR3YVGFfEpyFESummAta6sg/edit"", ""Sheet1!B:D""), 3, FALSE), ""Not Found"")"),"d ɪ k r i d ")</f>
        <v>d ɪ k r i d </v>
      </c>
    </row>
    <row r="5288">
      <c r="A5288" s="1" t="s">
        <v>5291</v>
      </c>
      <c r="B5288" s="1" t="s">
        <v>5</v>
      </c>
      <c r="C5288" s="2">
        <f>IFERROR(__xludf.DUMMYFUNCTION("IFERROR(VLOOKUP(A5288, IMPORTRANGE(""https://docs.google.com/spreadsheets/d/1AVX9GT0dgogEBStecCXMMQ29tWz3gBrtNB8yIromXbY/edit?gid=741673867"", ""out1g!A:B""), 2, FALSE), 0)"),75.0)</f>
        <v>75</v>
      </c>
      <c r="D5288" s="2" t="str">
        <f>IFERROR(__xludf.DUMMYFUNCTION("IFERROR(VLOOKUP(A5288, IMPORTRANGE(""https://docs.google.com/spreadsheets/d/1-3Vjw2Cyy-mry5gbC8ypIR3YVGFfEpyFESummAta6sg/edit"", ""Sheet1!B:D""), 2, FALSE), ""Not Found"")"),"daʊri")</f>
        <v>daʊri</v>
      </c>
      <c r="E5288" s="2" t="str">
        <f>IFERROR(__xludf.DUMMYFUNCTION("IFERROR(VLOOKUP(A5288, IMPORTRANGE(""https://docs.google.com/spreadsheets/d/1-3Vjw2Cyy-mry5gbC8ypIR3YVGFfEpyFESummAta6sg/edit"", ""Sheet1!B:D""), 3, FALSE), ""Not Found"")"),"d a ʊ r i ")</f>
        <v>d a ʊ r i </v>
      </c>
    </row>
    <row r="5289">
      <c r="A5289" s="1" t="s">
        <v>5292</v>
      </c>
      <c r="B5289" s="1" t="s">
        <v>5</v>
      </c>
      <c r="C5289" s="2">
        <f>IFERROR(__xludf.DUMMYFUNCTION("IFERROR(VLOOKUP(A5289, IMPORTRANGE(""https://docs.google.com/spreadsheets/d/1AVX9GT0dgogEBStecCXMMQ29tWz3gBrtNB8yIromXbY/edit?gid=741673867"", ""out1g!A:B""), 2, FALSE), 0)"),150.0)</f>
        <v>150</v>
      </c>
      <c r="D5289" s="2" t="str">
        <f>IFERROR(__xludf.DUMMYFUNCTION("IFERROR(VLOOKUP(A5289, IMPORTRANGE(""https://docs.google.com/spreadsheets/d/1-3Vjw2Cyy-mry5gbC8ypIR3YVGFfEpyFESummAta6sg/edit"", ""Sheet1!B:D""), 2, FALSE), ""Not Found"")"),"lez")</f>
        <v>lez</v>
      </c>
      <c r="E5289" s="2" t="str">
        <f>IFERROR(__xludf.DUMMYFUNCTION("IFERROR(VLOOKUP(A5289, IMPORTRANGE(""https://docs.google.com/spreadsheets/d/1-3Vjw2Cyy-mry5gbC8ypIR3YVGFfEpyFESummAta6sg/edit"", ""Sheet1!B:D""), 3, FALSE), ""Not Found"")"),"l e z ")</f>
        <v>l e z </v>
      </c>
    </row>
    <row r="5290">
      <c r="A5290" s="1" t="s">
        <v>5293</v>
      </c>
      <c r="B5290" s="1" t="s">
        <v>5</v>
      </c>
      <c r="C5290" s="2">
        <f>IFERROR(__xludf.DUMMYFUNCTION("IFERROR(VLOOKUP(A5290, IMPORTRANGE(""https://docs.google.com/spreadsheets/d/1AVX9GT0dgogEBStecCXMMQ29tWz3gBrtNB8yIromXbY/edit?gid=741673867"", ""out1g!A:B""), 2, FALSE), 0)"),1856.0)</f>
        <v>1856</v>
      </c>
      <c r="D5290" s="2" t="str">
        <f>IFERROR(__xludf.DUMMYFUNCTION("IFERROR(VLOOKUP(A5290, IMPORTRANGE(""https://docs.google.com/spreadsheets/d/1-3Vjw2Cyy-mry5gbC8ypIR3YVGFfEpyFESummAta6sg/edit"", ""Sheet1!B:D""), 2, FALSE), ""Not Found"")"),"smɪθ")</f>
        <v>smɪθ</v>
      </c>
      <c r="E5290" s="2" t="str">
        <f>IFERROR(__xludf.DUMMYFUNCTION("IFERROR(VLOOKUP(A5290, IMPORTRANGE(""https://docs.google.com/spreadsheets/d/1-3Vjw2Cyy-mry5gbC8ypIR3YVGFfEpyFESummAta6sg/edit"", ""Sheet1!B:D""), 3, FALSE), ""Not Found"")"),"s m ɪ θ ")</f>
        <v>s m ɪ θ </v>
      </c>
    </row>
    <row r="5291">
      <c r="A5291" s="1" t="s">
        <v>5294</v>
      </c>
      <c r="B5291" s="1" t="s">
        <v>5</v>
      </c>
      <c r="C5291" s="2">
        <f>IFERROR(__xludf.DUMMYFUNCTION("IFERROR(VLOOKUP(A5291, IMPORTRANGE(""https://docs.google.com/spreadsheets/d/1AVX9GT0dgogEBStecCXMMQ29tWz3gBrtNB8yIromXbY/edit?gid=741673867"", ""out1g!A:B""), 2, FALSE), 0)"),60.0)</f>
        <v>60</v>
      </c>
      <c r="D5291" s="2" t="str">
        <f>IFERROR(__xludf.DUMMYFUNCTION("IFERROR(VLOOKUP(A5291, IMPORTRANGE(""https://docs.google.com/spreadsheets/d/1-3Vjw2Cyy-mry5gbC8ypIR3YVGFfEpyFESummAta6sg/edit"", ""Sheet1!B:D""), 2, FALSE), ""Not Found"")"),"sɔrz")</f>
        <v>sɔrz</v>
      </c>
      <c r="E5291" s="2" t="str">
        <f>IFERROR(__xludf.DUMMYFUNCTION("IFERROR(VLOOKUP(A5291, IMPORTRANGE(""https://docs.google.com/spreadsheets/d/1-3Vjw2Cyy-mry5gbC8ypIR3YVGFfEpyFESummAta6sg/edit"", ""Sheet1!B:D""), 3, FALSE), ""Not Found"")"),"s ɔ r z ")</f>
        <v>s ɔ r z </v>
      </c>
    </row>
    <row r="5292">
      <c r="A5292" s="1" t="s">
        <v>5295</v>
      </c>
      <c r="B5292" s="1" t="s">
        <v>5</v>
      </c>
      <c r="C5292" s="2">
        <f>IFERROR(__xludf.DUMMYFUNCTION("IFERROR(VLOOKUP(A5292, IMPORTRANGE(""https://docs.google.com/spreadsheets/d/1AVX9GT0dgogEBStecCXMMQ29tWz3gBrtNB8yIromXbY/edit?gid=741673867"", ""out1g!A:B""), 2, FALSE), 0)"),47.0)</f>
        <v>47</v>
      </c>
      <c r="D5292" s="2" t="str">
        <f>IFERROR(__xludf.DUMMYFUNCTION("IFERROR(VLOOKUP(A5292, IMPORTRANGE(""https://docs.google.com/spreadsheets/d/1-3Vjw2Cyy-mry5gbC8ypIR3YVGFfEpyFESummAta6sg/edit"", ""Sheet1!B:D""), 2, FALSE), ""Not Found"")"),"sæs")</f>
        <v>sæs</v>
      </c>
      <c r="E5292" s="2" t="str">
        <f>IFERROR(__xludf.DUMMYFUNCTION("IFERROR(VLOOKUP(A5292, IMPORTRANGE(""https://docs.google.com/spreadsheets/d/1-3Vjw2Cyy-mry5gbC8ypIR3YVGFfEpyFESummAta6sg/edit"", ""Sheet1!B:D""), 3, FALSE), ""Not Found"")"),"s æ s ")</f>
        <v>s æ s </v>
      </c>
    </row>
    <row r="5293">
      <c r="A5293" s="1" t="s">
        <v>5296</v>
      </c>
      <c r="B5293" s="1" t="s">
        <v>5</v>
      </c>
      <c r="C5293" s="2">
        <f>IFERROR(__xludf.DUMMYFUNCTION("IFERROR(VLOOKUP(A5293, IMPORTRANGE(""https://docs.google.com/spreadsheets/d/1AVX9GT0dgogEBStecCXMMQ29tWz3gBrtNB8yIromXbY/edit?gid=741673867"", ""out1g!A:B""), 2, FALSE), 0)"),2228.0)</f>
        <v>2228</v>
      </c>
      <c r="D5293" s="2" t="str">
        <f>IFERROR(__xludf.DUMMYFUNCTION("IFERROR(VLOOKUP(A5293, IMPORTRANGE(""https://docs.google.com/spreadsheets/d/1-3Vjw2Cyy-mry5gbC8ypIR3YVGFfEpyFESummAta6sg/edit"", ""Sheet1!B:D""), 2, FALSE), ""Not Found"")"),"tɛd")</f>
        <v>tɛd</v>
      </c>
      <c r="E5293" s="2" t="str">
        <f>IFERROR(__xludf.DUMMYFUNCTION("IFERROR(VLOOKUP(A5293, IMPORTRANGE(""https://docs.google.com/spreadsheets/d/1-3Vjw2Cyy-mry5gbC8ypIR3YVGFfEpyFESummAta6sg/edit"", ""Sheet1!B:D""), 3, FALSE), ""Not Found"")"),"t ɛ d ")</f>
        <v>t ɛ d </v>
      </c>
    </row>
    <row r="5294">
      <c r="A5294" s="1" t="s">
        <v>5297</v>
      </c>
      <c r="B5294" s="1" t="s">
        <v>5</v>
      </c>
      <c r="C5294" s="2">
        <f>IFERROR(__xludf.DUMMYFUNCTION("IFERROR(VLOOKUP(A5294, IMPORTRANGE(""https://docs.google.com/spreadsheets/d/1AVX9GT0dgogEBStecCXMMQ29tWz3gBrtNB8yIromXbY/edit?gid=741673867"", ""out1g!A:B""), 2, FALSE), 0)"),139.0)</f>
        <v>139</v>
      </c>
      <c r="D5294" s="2" t="str">
        <f>IFERROR(__xludf.DUMMYFUNCTION("IFERROR(VLOOKUP(A5294, IMPORTRANGE(""https://docs.google.com/spreadsheets/d/1-3Vjw2Cyy-mry5gbC8ypIR3YVGFfEpyFESummAta6sg/edit"", ""Sheet1!B:D""), 2, FALSE), ""Not Found"")"),"hɔks")</f>
        <v>hɔks</v>
      </c>
      <c r="E5294" s="2" t="str">
        <f>IFERROR(__xludf.DUMMYFUNCTION("IFERROR(VLOOKUP(A5294, IMPORTRANGE(""https://docs.google.com/spreadsheets/d/1-3Vjw2Cyy-mry5gbC8ypIR3YVGFfEpyFESummAta6sg/edit"", ""Sheet1!B:D""), 3, FALSE), ""Not Found"")"),"h ɔ k s ")</f>
        <v>h ɔ k s </v>
      </c>
    </row>
    <row r="5295">
      <c r="A5295" s="1" t="s">
        <v>5298</v>
      </c>
      <c r="B5295" s="1" t="s">
        <v>5</v>
      </c>
      <c r="C5295" s="2">
        <f>IFERROR(__xludf.DUMMYFUNCTION("IFERROR(VLOOKUP(A5295, IMPORTRANGE(""https://docs.google.com/spreadsheets/d/1AVX9GT0dgogEBStecCXMMQ29tWz3gBrtNB8yIromXbY/edit?gid=741673867"", ""out1g!A:B""), 2, FALSE), 0)"),48.0)</f>
        <v>48</v>
      </c>
      <c r="D5295" s="2" t="str">
        <f>IFERROR(__xludf.DUMMYFUNCTION("IFERROR(VLOOKUP(A5295, IMPORTRANGE(""https://docs.google.com/spreadsheets/d/1-3Vjw2Cyy-mry5gbC8ypIR3YVGFfEpyFESummAta6sg/edit"", ""Sheet1!B:D""), 2, FALSE), ""Not Found"")"),"twɑ")</f>
        <v>twɑ</v>
      </c>
      <c r="E5295" s="2" t="str">
        <f>IFERROR(__xludf.DUMMYFUNCTION("IFERROR(VLOOKUP(A5295, IMPORTRANGE(""https://docs.google.com/spreadsheets/d/1-3Vjw2Cyy-mry5gbC8ypIR3YVGFfEpyFESummAta6sg/edit"", ""Sheet1!B:D""), 3, FALSE), ""Not Found"")"),"t w ɑ ")</f>
        <v>t w ɑ </v>
      </c>
    </row>
    <row r="5296">
      <c r="A5296" s="1" t="s">
        <v>5299</v>
      </c>
      <c r="B5296" s="1" t="s">
        <v>5</v>
      </c>
      <c r="C5296" s="2">
        <f>IFERROR(__xludf.DUMMYFUNCTION("IFERROR(VLOOKUP(A5296, IMPORTRANGE(""https://docs.google.com/spreadsheets/d/1AVX9GT0dgogEBStecCXMMQ29tWz3gBrtNB8yIromXbY/edit?gid=741673867"", ""out1g!A:B""), 2, FALSE), 0)"),133.0)</f>
        <v>133</v>
      </c>
      <c r="D5296" s="2" t="str">
        <f>IFERROR(__xludf.DUMMYFUNCTION("IFERROR(VLOOKUP(A5296, IMPORTRANGE(""https://docs.google.com/spreadsheets/d/1-3Vjw2Cyy-mry5gbC8ypIR3YVGFfEpyFESummAta6sg/edit"", ""Sheet1!B:D""), 2, FALSE), ""Not Found"")"),"switər")</f>
        <v>switər</v>
      </c>
      <c r="E5296" s="2" t="str">
        <f>IFERROR(__xludf.DUMMYFUNCTION("IFERROR(VLOOKUP(A5296, IMPORTRANGE(""https://docs.google.com/spreadsheets/d/1-3Vjw2Cyy-mry5gbC8ypIR3YVGFfEpyFESummAta6sg/edit"", ""Sheet1!B:D""), 3, FALSE), ""Not Found"")"),"s w i t ə r ")</f>
        <v>s w i t ə r </v>
      </c>
    </row>
    <row r="5297">
      <c r="A5297" s="1" t="s">
        <v>5300</v>
      </c>
      <c r="B5297" s="1" t="s">
        <v>5</v>
      </c>
      <c r="C5297" s="2">
        <f>IFERROR(__xludf.DUMMYFUNCTION("IFERROR(VLOOKUP(A5297, IMPORTRANGE(""https://docs.google.com/spreadsheets/d/1AVX9GT0dgogEBStecCXMMQ29tWz3gBrtNB8yIromXbY/edit?gid=741673867"", ""out1g!A:B""), 2, FALSE), 0)"),12.0)</f>
        <v>12</v>
      </c>
      <c r="D5297" s="2" t="str">
        <f>IFERROR(__xludf.DUMMYFUNCTION("IFERROR(VLOOKUP(A5297, IMPORTRANGE(""https://docs.google.com/spreadsheets/d/1-3Vjw2Cyy-mry5gbC8ypIR3YVGFfEpyFESummAta6sg/edit"", ""Sheet1!B:D""), 2, FALSE), ""Not Found"")"),"fezd")</f>
        <v>fezd</v>
      </c>
      <c r="E5297" s="2" t="str">
        <f>IFERROR(__xludf.DUMMYFUNCTION("IFERROR(VLOOKUP(A5297, IMPORTRANGE(""https://docs.google.com/spreadsheets/d/1-3Vjw2Cyy-mry5gbC8ypIR3YVGFfEpyFESummAta6sg/edit"", ""Sheet1!B:D""), 3, FALSE), ""Not Found"")"),"f e z d ")</f>
        <v>f e z d </v>
      </c>
    </row>
    <row r="5298">
      <c r="A5298" s="1" t="s">
        <v>5301</v>
      </c>
      <c r="B5298" s="1" t="s">
        <v>5</v>
      </c>
      <c r="C5298" s="2">
        <f>IFERROR(__xludf.DUMMYFUNCTION("IFERROR(VLOOKUP(A5298, IMPORTRANGE(""https://docs.google.com/spreadsheets/d/1AVX9GT0dgogEBStecCXMMQ29tWz3gBrtNB8yIromXbY/edit?gid=741673867"", ""out1g!A:B""), 2, FALSE), 0)"),3068.0)</f>
        <v>3068</v>
      </c>
      <c r="D5298" s="2" t="str">
        <f>IFERROR(__xludf.DUMMYFUNCTION("IFERROR(VLOOKUP(A5298, IMPORTRANGE(""https://docs.google.com/spreadsheets/d/1-3Vjw2Cyy-mry5gbC8ypIR3YVGFfEpyFESummAta6sg/edit"", ""Sheet1!B:D""), 2, FALSE), ""Not Found"")"),"lɑts")</f>
        <v>lɑts</v>
      </c>
      <c r="E5298" s="2" t="str">
        <f>IFERROR(__xludf.DUMMYFUNCTION("IFERROR(VLOOKUP(A5298, IMPORTRANGE(""https://docs.google.com/spreadsheets/d/1-3Vjw2Cyy-mry5gbC8ypIR3YVGFfEpyFESummAta6sg/edit"", ""Sheet1!B:D""), 3, FALSE), ""Not Found"")"),"l ɑ t s ")</f>
        <v>l ɑ t s </v>
      </c>
    </row>
    <row r="5299">
      <c r="A5299" s="1" t="s">
        <v>5302</v>
      </c>
      <c r="B5299" s="1" t="s">
        <v>5</v>
      </c>
      <c r="C5299" s="2">
        <f>IFERROR(__xludf.DUMMYFUNCTION("IFERROR(VLOOKUP(A5299, IMPORTRANGE(""https://docs.google.com/spreadsheets/d/1AVX9GT0dgogEBStecCXMMQ29tWz3gBrtNB8yIromXbY/edit?gid=741673867"", ""out1g!A:B""), 2, FALSE), 0)"),223.0)</f>
        <v>223</v>
      </c>
      <c r="D5299" s="2" t="str">
        <f>IFERROR(__xludf.DUMMYFUNCTION("IFERROR(VLOOKUP(A5299, IMPORTRANGE(""https://docs.google.com/spreadsheets/d/1-3Vjw2Cyy-mry5gbC8ypIR3YVGFfEpyFESummAta6sg/edit"", ""Sheet1!B:D""), 2, FALSE), ""Not Found"")"),"rɑkɪŋ")</f>
        <v>rɑkɪŋ</v>
      </c>
      <c r="E5299" s="2" t="str">
        <f>IFERROR(__xludf.DUMMYFUNCTION("IFERROR(VLOOKUP(A5299, IMPORTRANGE(""https://docs.google.com/spreadsheets/d/1-3Vjw2Cyy-mry5gbC8ypIR3YVGFfEpyFESummAta6sg/edit"", ""Sheet1!B:D""), 3, FALSE), ""Not Found"")"),"r ɑ k ɪ ŋ ")</f>
        <v>r ɑ k ɪ ŋ </v>
      </c>
    </row>
    <row r="5300">
      <c r="A5300" s="1" t="s">
        <v>5303</v>
      </c>
      <c r="B5300" s="1" t="s">
        <v>5</v>
      </c>
      <c r="C5300" s="2">
        <f>IFERROR(__xludf.DUMMYFUNCTION("IFERROR(VLOOKUP(A5300, IMPORTRANGE(""https://docs.google.com/spreadsheets/d/1AVX9GT0dgogEBStecCXMMQ29tWz3gBrtNB8yIromXbY/edit?gid=741673867"", ""out1g!A:B""), 2, FALSE), 0)"),285.0)</f>
        <v>285</v>
      </c>
      <c r="D5300" s="2" t="str">
        <f>IFERROR(__xludf.DUMMYFUNCTION("IFERROR(VLOOKUP(A5300, IMPORTRANGE(""https://docs.google.com/spreadsheets/d/1-3Vjw2Cyy-mry5gbC8ypIR3YVGFfEpyFESummAta6sg/edit"", ""Sheet1!B:D""), 2, FALSE), ""Not Found"")"),"rəbɪʃ")</f>
        <v>rəbɪʃ</v>
      </c>
      <c r="E5300" s="2" t="str">
        <f>IFERROR(__xludf.DUMMYFUNCTION("IFERROR(VLOOKUP(A5300, IMPORTRANGE(""https://docs.google.com/spreadsheets/d/1-3Vjw2Cyy-mry5gbC8ypIR3YVGFfEpyFESummAta6sg/edit"", ""Sheet1!B:D""), 3, FALSE), ""Not Found"")"),"r ə b ɪ ʃ ")</f>
        <v>r ə b ɪ ʃ </v>
      </c>
    </row>
    <row r="5301">
      <c r="A5301" s="1" t="s">
        <v>5304</v>
      </c>
      <c r="B5301" s="1" t="s">
        <v>5</v>
      </c>
      <c r="C5301" s="2">
        <f>IFERROR(__xludf.DUMMYFUNCTION("IFERROR(VLOOKUP(A5301, IMPORTRANGE(""https://docs.google.com/spreadsheets/d/1AVX9GT0dgogEBStecCXMMQ29tWz3gBrtNB8yIromXbY/edit?gid=741673867"", ""out1g!A:B""), 2, FALSE), 0)"),204.0)</f>
        <v>204</v>
      </c>
      <c r="D5301" s="2" t="str">
        <f>IFERROR(__xludf.DUMMYFUNCTION("IFERROR(VLOOKUP(A5301, IMPORTRANGE(""https://docs.google.com/spreadsheets/d/1-3Vjw2Cyy-mry5gbC8ypIR3YVGFfEpyFESummAta6sg/edit"", ""Sheet1!B:D""), 2, FALSE), ""Not Found"")"),"grep")</f>
        <v>grep</v>
      </c>
      <c r="E5301" s="2" t="str">
        <f>IFERROR(__xludf.DUMMYFUNCTION("IFERROR(VLOOKUP(A5301, IMPORTRANGE(""https://docs.google.com/spreadsheets/d/1-3Vjw2Cyy-mry5gbC8ypIR3YVGFfEpyFESummAta6sg/edit"", ""Sheet1!B:D""), 3, FALSE), ""Not Found"")"),"g r e p ")</f>
        <v>g r e p </v>
      </c>
    </row>
    <row r="5302">
      <c r="A5302" s="1" t="s">
        <v>5305</v>
      </c>
      <c r="B5302" s="1" t="s">
        <v>5</v>
      </c>
      <c r="C5302" s="2">
        <f>IFERROR(__xludf.DUMMYFUNCTION("IFERROR(VLOOKUP(A5302, IMPORTRANGE(""https://docs.google.com/spreadsheets/d/1AVX9GT0dgogEBStecCXMMQ29tWz3gBrtNB8yIromXbY/edit?gid=741673867"", ""out1g!A:B""), 2, FALSE), 0)"),72.0)</f>
        <v>72</v>
      </c>
      <c r="D5302" s="2" t="str">
        <f>IFERROR(__xludf.DUMMYFUNCTION("IFERROR(VLOOKUP(A5302, IMPORTRANGE(""https://docs.google.com/spreadsheets/d/1-3Vjw2Cyy-mry5gbC8ypIR3YVGFfEpyFESummAta6sg/edit"", ""Sheet1!B:D""), 2, FALSE), ""Not Found"")"),"rəmp")</f>
        <v>rəmp</v>
      </c>
      <c r="E5302" s="2" t="str">
        <f>IFERROR(__xludf.DUMMYFUNCTION("IFERROR(VLOOKUP(A5302, IMPORTRANGE(""https://docs.google.com/spreadsheets/d/1-3Vjw2Cyy-mry5gbC8ypIR3YVGFfEpyFESummAta6sg/edit"", ""Sheet1!B:D""), 3, FALSE), ""Not Found"")"),"r ə m p ")</f>
        <v>r ə m p </v>
      </c>
    </row>
    <row r="5303">
      <c r="A5303" s="1" t="s">
        <v>5306</v>
      </c>
      <c r="B5303" s="1" t="s">
        <v>5</v>
      </c>
      <c r="C5303" s="2">
        <f>IFERROR(__xludf.DUMMYFUNCTION("IFERROR(VLOOKUP(A5303, IMPORTRANGE(""https://docs.google.com/spreadsheets/d/1AVX9GT0dgogEBStecCXMMQ29tWz3gBrtNB8yIromXbY/edit?gid=741673867"", ""out1g!A:B""), 2, FALSE), 0)"),206.0)</f>
        <v>206</v>
      </c>
      <c r="D5303" s="2" t="str">
        <f>IFERROR(__xludf.DUMMYFUNCTION("IFERROR(VLOOKUP(A5303, IMPORTRANGE(""https://docs.google.com/spreadsheets/d/1-3Vjw2Cyy-mry5gbC8ypIR3YVGFfEpyFESummAta6sg/edit"", ""Sheet1!B:D""), 2, FALSE), ""Not Found"")"),"vərsəz")</f>
        <v>vərsəz</v>
      </c>
      <c r="E5303" s="2" t="str">
        <f>IFERROR(__xludf.DUMMYFUNCTION("IFERROR(VLOOKUP(A5303, IMPORTRANGE(""https://docs.google.com/spreadsheets/d/1-3Vjw2Cyy-mry5gbC8ypIR3YVGFfEpyFESummAta6sg/edit"", ""Sheet1!B:D""), 3, FALSE), ""Not Found"")"),"v ə r s ə z ")</f>
        <v>v ə r s ə z </v>
      </c>
    </row>
    <row r="5304">
      <c r="A5304" s="1" t="s">
        <v>5307</v>
      </c>
      <c r="B5304" s="1" t="s">
        <v>5</v>
      </c>
      <c r="C5304" s="2">
        <f>IFERROR(__xludf.DUMMYFUNCTION("IFERROR(VLOOKUP(A5304, IMPORTRANGE(""https://docs.google.com/spreadsheets/d/1AVX9GT0dgogEBStecCXMMQ29tWz3gBrtNB8yIromXbY/edit?gid=741673867"", ""out1g!A:B""), 2, FALSE), 0)"),4408.0)</f>
        <v>4408</v>
      </c>
      <c r="D5304" s="2" t="str">
        <f>IFERROR(__xludf.DUMMYFUNCTION("IFERROR(VLOOKUP(A5304, IMPORTRANGE(""https://docs.google.com/spreadsheets/d/1-3Vjw2Cyy-mry5gbC8ypIR3YVGFfEpyFESummAta6sg/edit"", ""Sheet1!B:D""), 2, FALSE), ""Not Found"")"),"strenʤ")</f>
        <v>strenʤ</v>
      </c>
      <c r="E5304" s="2" t="str">
        <f>IFERROR(__xludf.DUMMYFUNCTION("IFERROR(VLOOKUP(A5304, IMPORTRANGE(""https://docs.google.com/spreadsheets/d/1-3Vjw2Cyy-mry5gbC8ypIR3YVGFfEpyFESummAta6sg/edit"", ""Sheet1!B:D""), 3, FALSE), ""Not Found"")"),"s t r e n ʤ ")</f>
        <v>s t r e n ʤ </v>
      </c>
    </row>
    <row r="5305">
      <c r="A5305" s="1" t="s">
        <v>5308</v>
      </c>
      <c r="B5305" s="1" t="s">
        <v>5</v>
      </c>
      <c r="C5305" s="2">
        <f>IFERROR(__xludf.DUMMYFUNCTION("IFERROR(VLOOKUP(A5305, IMPORTRANGE(""https://docs.google.com/spreadsheets/d/1AVX9GT0dgogEBStecCXMMQ29tWz3gBrtNB8yIromXbY/edit?gid=741673867"", ""out1g!A:B""), 2, FALSE), 0)"),553.0)</f>
        <v>553</v>
      </c>
      <c r="D5305" s="2" t="str">
        <f>IFERROR(__xludf.DUMMYFUNCTION("IFERROR(VLOOKUP(A5305, IMPORTRANGE(""https://docs.google.com/spreadsheets/d/1-3Vjw2Cyy-mry5gbC8ypIR3YVGFfEpyFESummAta6sg/edit"", ""Sheet1!B:D""), 2, FALSE), ""Not Found"")"),"tɔrn")</f>
        <v>tɔrn</v>
      </c>
      <c r="E5305" s="2" t="str">
        <f>IFERROR(__xludf.DUMMYFUNCTION("IFERROR(VLOOKUP(A5305, IMPORTRANGE(""https://docs.google.com/spreadsheets/d/1-3Vjw2Cyy-mry5gbC8ypIR3YVGFfEpyFESummAta6sg/edit"", ""Sheet1!B:D""), 3, FALSE), ""Not Found"")"),"t ɔ r n ")</f>
        <v>t ɔ r n </v>
      </c>
    </row>
    <row r="5306">
      <c r="A5306" s="1" t="s">
        <v>5309</v>
      </c>
      <c r="B5306" s="1" t="s">
        <v>5</v>
      </c>
      <c r="C5306" s="2">
        <f>IFERROR(__xludf.DUMMYFUNCTION("IFERROR(VLOOKUP(A5306, IMPORTRANGE(""https://docs.google.com/spreadsheets/d/1AVX9GT0dgogEBStecCXMMQ29tWz3gBrtNB8yIromXbY/edit?gid=741673867"", ""out1g!A:B""), 2, FALSE), 0)"),2169.0)</f>
        <v>2169</v>
      </c>
      <c r="D5306" s="2" t="str">
        <f>IFERROR(__xludf.DUMMYFUNCTION("IFERROR(VLOOKUP(A5306, IMPORTRANGE(""https://docs.google.com/spreadsheets/d/1-3Vjw2Cyy-mry5gbC8ypIR3YVGFfEpyFESummAta6sg/edit"", ""Sheet1!B:D""), 2, FALSE), ""Not Found"")"),"frɛd")</f>
        <v>frɛd</v>
      </c>
      <c r="E5306" s="2" t="str">
        <f>IFERROR(__xludf.DUMMYFUNCTION("IFERROR(VLOOKUP(A5306, IMPORTRANGE(""https://docs.google.com/spreadsheets/d/1-3Vjw2Cyy-mry5gbC8ypIR3YVGFfEpyFESummAta6sg/edit"", ""Sheet1!B:D""), 3, FALSE), ""Not Found"")"),"f r ɛ d ")</f>
        <v>f r ɛ d </v>
      </c>
    </row>
    <row r="5307">
      <c r="A5307" s="1" t="s">
        <v>5310</v>
      </c>
      <c r="B5307" s="1" t="s">
        <v>5</v>
      </c>
      <c r="C5307" s="2">
        <f>IFERROR(__xludf.DUMMYFUNCTION("IFERROR(VLOOKUP(A5307, IMPORTRANGE(""https://docs.google.com/spreadsheets/d/1AVX9GT0dgogEBStecCXMMQ29tWz3gBrtNB8yIromXbY/edit?gid=741673867"", ""out1g!A:B""), 2, FALSE), 0)"),2425.0)</f>
        <v>2425</v>
      </c>
      <c r="D5307" s="2" t="str">
        <f>IFERROR(__xludf.DUMMYFUNCTION("IFERROR(VLOOKUP(A5307, IMPORTRANGE(""https://docs.google.com/spreadsheets/d/1-3Vjw2Cyy-mry5gbC8ypIR3YVGFfEpyFESummAta6sg/edit"", ""Sheet1!B:D""), 2, FALSE), ""Not Found"")"),"ʃoʊd")</f>
        <v>ʃoʊd</v>
      </c>
      <c r="E5307" s="2" t="str">
        <f>IFERROR(__xludf.DUMMYFUNCTION("IFERROR(VLOOKUP(A5307, IMPORTRANGE(""https://docs.google.com/spreadsheets/d/1-3Vjw2Cyy-mry5gbC8ypIR3YVGFfEpyFESummAta6sg/edit"", ""Sheet1!B:D""), 3, FALSE), ""Not Found"")"),"ʃ o ʊ d ")</f>
        <v>ʃ o ʊ d </v>
      </c>
    </row>
    <row r="5308">
      <c r="A5308" s="1" t="s">
        <v>5311</v>
      </c>
      <c r="B5308" s="1" t="s">
        <v>5</v>
      </c>
      <c r="C5308" s="2">
        <f>IFERROR(__xludf.DUMMYFUNCTION("IFERROR(VLOOKUP(A5308, IMPORTRANGE(""https://docs.google.com/spreadsheets/d/1AVX9GT0dgogEBStecCXMMQ29tWz3gBrtNB8yIromXbY/edit?gid=741673867"", ""out1g!A:B""), 2, FALSE), 0)"),207.0)</f>
        <v>207</v>
      </c>
      <c r="D5308" s="2" t="str">
        <f>IFERROR(__xludf.DUMMYFUNCTION("IFERROR(VLOOKUP(A5308, IMPORTRANGE(""https://docs.google.com/spreadsheets/d/1-3Vjw2Cyy-mry5gbC8ypIR3YVGFfEpyFESummAta6sg/edit"", ""Sheet1!B:D""), 2, FALSE), ""Not Found"")"),"kɔrə")</f>
        <v>kɔrə</v>
      </c>
      <c r="E5308" s="2" t="str">
        <f>IFERROR(__xludf.DUMMYFUNCTION("IFERROR(VLOOKUP(A5308, IMPORTRANGE(""https://docs.google.com/spreadsheets/d/1-3Vjw2Cyy-mry5gbC8ypIR3YVGFfEpyFESummAta6sg/edit"", ""Sheet1!B:D""), 3, FALSE), ""Not Found"")"),"k ɔ r ə ")</f>
        <v>k ɔ r ə </v>
      </c>
    </row>
    <row r="5309">
      <c r="A5309" s="1" t="s">
        <v>5312</v>
      </c>
      <c r="B5309" s="1" t="s">
        <v>5</v>
      </c>
      <c r="C5309" s="2">
        <f>IFERROR(__xludf.DUMMYFUNCTION("IFERROR(VLOOKUP(A5309, IMPORTRANGE(""https://docs.google.com/spreadsheets/d/1AVX9GT0dgogEBStecCXMMQ29tWz3gBrtNB8yIromXbY/edit?gid=741673867"", ""out1g!A:B""), 2, FALSE), 0)"),86.0)</f>
        <v>86</v>
      </c>
      <c r="D5309" s="2" t="str">
        <f>IFERROR(__xludf.DUMMYFUNCTION("IFERROR(VLOOKUP(A5309, IMPORTRANGE(""https://docs.google.com/spreadsheets/d/1-3Vjw2Cyy-mry5gbC8ypIR3YVGFfEpyFESummAta6sg/edit"", ""Sheet1!B:D""), 2, FALSE), ""Not Found"")"),"flæn")</f>
        <v>flæn</v>
      </c>
      <c r="E5309" s="2" t="str">
        <f>IFERROR(__xludf.DUMMYFUNCTION("IFERROR(VLOOKUP(A5309, IMPORTRANGE(""https://docs.google.com/spreadsheets/d/1-3Vjw2Cyy-mry5gbC8ypIR3YVGFfEpyFESummAta6sg/edit"", ""Sheet1!B:D""), 3, FALSE), ""Not Found"")"),"f l æ n ")</f>
        <v>f l æ n </v>
      </c>
    </row>
    <row r="5310">
      <c r="A5310" s="1" t="s">
        <v>5313</v>
      </c>
      <c r="B5310" s="1" t="s">
        <v>5</v>
      </c>
      <c r="C5310" s="2">
        <f>IFERROR(__xludf.DUMMYFUNCTION("IFERROR(VLOOKUP(A5310, IMPORTRANGE(""https://docs.google.com/spreadsheets/d/1AVX9GT0dgogEBStecCXMMQ29tWz3gBrtNB8yIromXbY/edit?gid=741673867"", ""out1g!A:B""), 2, FALSE), 0)"),372.0)</f>
        <v>372</v>
      </c>
      <c r="D5310" s="2" t="str">
        <f>IFERROR(__xludf.DUMMYFUNCTION("IFERROR(VLOOKUP(A5310, IMPORTRANGE(""https://docs.google.com/spreadsheets/d/1-3Vjw2Cyy-mry5gbC8ypIR3YVGFfEpyFESummAta6sg/edit"", ""Sheet1!B:D""), 2, FALSE), ""Not Found"")"),"klɪrz")</f>
        <v>klɪrz</v>
      </c>
      <c r="E5310" s="2" t="str">
        <f>IFERROR(__xludf.DUMMYFUNCTION("IFERROR(VLOOKUP(A5310, IMPORTRANGE(""https://docs.google.com/spreadsheets/d/1-3Vjw2Cyy-mry5gbC8ypIR3YVGFfEpyFESummAta6sg/edit"", ""Sheet1!B:D""), 3, FALSE), ""Not Found"")"),"k l ɪ r z ")</f>
        <v>k l ɪ r z </v>
      </c>
    </row>
    <row r="5311">
      <c r="A5311" s="1" t="s">
        <v>5314</v>
      </c>
      <c r="B5311" s="1" t="s">
        <v>5</v>
      </c>
      <c r="C5311" s="2">
        <f>IFERROR(__xludf.DUMMYFUNCTION("IFERROR(VLOOKUP(A5311, IMPORTRANGE(""https://docs.google.com/spreadsheets/d/1AVX9GT0dgogEBStecCXMMQ29tWz3gBrtNB8yIromXbY/edit?gid=741673867"", ""out1g!A:B""), 2, FALSE), 0)"),92.0)</f>
        <v>92</v>
      </c>
      <c r="D5311" s="2" t="str">
        <f>IFERROR(__xludf.DUMMYFUNCTION("IFERROR(VLOOKUP(A5311, IMPORTRANGE(""https://docs.google.com/spreadsheets/d/1-3Vjw2Cyy-mry5gbC8ypIR3YVGFfEpyFESummAta6sg/edit"", ""Sheet1!B:D""), 2, FALSE), ""Not Found"")"),"bɛrər")</f>
        <v>bɛrər</v>
      </c>
      <c r="E5311" s="2" t="str">
        <f>IFERROR(__xludf.DUMMYFUNCTION("IFERROR(VLOOKUP(A5311, IMPORTRANGE(""https://docs.google.com/spreadsheets/d/1-3Vjw2Cyy-mry5gbC8ypIR3YVGFfEpyFESummAta6sg/edit"", ""Sheet1!B:D""), 3, FALSE), ""Not Found"")"),"b ɛ r ə r ")</f>
        <v>b ɛ r ə r </v>
      </c>
    </row>
    <row r="5312">
      <c r="A5312" s="1" t="s">
        <v>5315</v>
      </c>
      <c r="B5312" s="1" t="s">
        <v>5</v>
      </c>
      <c r="C5312" s="2">
        <f>IFERROR(__xludf.DUMMYFUNCTION("IFERROR(VLOOKUP(A5312, IMPORTRANGE(""https://docs.google.com/spreadsheets/d/1AVX9GT0dgogEBStecCXMMQ29tWz3gBrtNB8yIromXbY/edit?gid=741673867"", ""out1g!A:B""), 2, FALSE), 0)"),163.0)</f>
        <v>163</v>
      </c>
      <c r="D5312" s="2" t="str">
        <f>IFERROR(__xludf.DUMMYFUNCTION("IFERROR(VLOOKUP(A5312, IMPORTRANGE(""https://docs.google.com/spreadsheets/d/1-3Vjw2Cyy-mry5gbC8ypIR3YVGFfEpyFESummAta6sg/edit"", ""Sheet1!B:D""), 2, FALSE), ""Not Found"")"),"fərn")</f>
        <v>fərn</v>
      </c>
      <c r="E5312" s="2" t="str">
        <f>IFERROR(__xludf.DUMMYFUNCTION("IFERROR(VLOOKUP(A5312, IMPORTRANGE(""https://docs.google.com/spreadsheets/d/1-3Vjw2Cyy-mry5gbC8ypIR3YVGFfEpyFESummAta6sg/edit"", ""Sheet1!B:D""), 3, FALSE), ""Not Found"")"),"f ə r n ")</f>
        <v>f ə r n </v>
      </c>
    </row>
    <row r="5313">
      <c r="A5313" s="1" t="s">
        <v>5316</v>
      </c>
      <c r="B5313" s="1" t="s">
        <v>5</v>
      </c>
      <c r="C5313" s="2">
        <f>IFERROR(__xludf.DUMMYFUNCTION("IFERROR(VLOOKUP(A5313, IMPORTRANGE(""https://docs.google.com/spreadsheets/d/1AVX9GT0dgogEBStecCXMMQ29tWz3gBrtNB8yIromXbY/edit?gid=741673867"", ""out1g!A:B""), 2, FALSE), 0)"),55.0)</f>
        <v>55</v>
      </c>
      <c r="D5313" s="2" t="str">
        <f>IFERROR(__xludf.DUMMYFUNCTION("IFERROR(VLOOKUP(A5313, IMPORTRANGE(""https://docs.google.com/spreadsheets/d/1-3Vjw2Cyy-mry5gbC8ypIR3YVGFfEpyFESummAta6sg/edit"", ""Sheet1!B:D""), 2, FALSE), ""Not Found"")"),"ʤi")</f>
        <v>ʤi</v>
      </c>
      <c r="E5313" s="2" t="str">
        <f>IFERROR(__xludf.DUMMYFUNCTION("IFERROR(VLOOKUP(A5313, IMPORTRANGE(""https://docs.google.com/spreadsheets/d/1-3Vjw2Cyy-mry5gbC8ypIR3YVGFfEpyFESummAta6sg/edit"", ""Sheet1!B:D""), 3, FALSE), ""Not Found"")"),"ʤ i ")</f>
        <v>ʤ i </v>
      </c>
    </row>
    <row r="5314">
      <c r="A5314" s="1" t="s">
        <v>5317</v>
      </c>
      <c r="B5314" s="1" t="s">
        <v>5</v>
      </c>
      <c r="C5314" s="2">
        <f>IFERROR(__xludf.DUMMYFUNCTION("IFERROR(VLOOKUP(A5314, IMPORTRANGE(""https://docs.google.com/spreadsheets/d/1AVX9GT0dgogEBStecCXMMQ29tWz3gBrtNB8yIromXbY/edit?gid=741673867"", ""out1g!A:B""), 2, FALSE), 0)"),327.0)</f>
        <v>327</v>
      </c>
      <c r="D5314" s="2" t="str">
        <f>IFERROR(__xludf.DUMMYFUNCTION("IFERROR(VLOOKUP(A5314, IMPORTRANGE(""https://docs.google.com/spreadsheets/d/1-3Vjw2Cyy-mry5gbC8ypIR3YVGFfEpyFESummAta6sg/edit"", ""Sheet1!B:D""), 2, FALSE), ""Not Found"")"),"ʤɪnʤər")</f>
        <v>ʤɪnʤər</v>
      </c>
      <c r="E5314" s="2" t="str">
        <f>IFERROR(__xludf.DUMMYFUNCTION("IFERROR(VLOOKUP(A5314, IMPORTRANGE(""https://docs.google.com/spreadsheets/d/1-3Vjw2Cyy-mry5gbC8ypIR3YVGFfEpyFESummAta6sg/edit"", ""Sheet1!B:D""), 3, FALSE), ""Not Found"")"),"ʤ ɪ n ʤ ə r ")</f>
        <v>ʤ ɪ n ʤ ə r </v>
      </c>
    </row>
    <row r="5315">
      <c r="A5315" s="1" t="s">
        <v>5318</v>
      </c>
      <c r="B5315" s="1" t="s">
        <v>5</v>
      </c>
      <c r="C5315" s="2">
        <f>IFERROR(__xludf.DUMMYFUNCTION("IFERROR(VLOOKUP(A5315, IMPORTRANGE(""https://docs.google.com/spreadsheets/d/1AVX9GT0dgogEBStecCXMMQ29tWz3gBrtNB8yIromXbY/edit?gid=741673867"", ""out1g!A:B""), 2, FALSE), 0)"),12296.0)</f>
        <v>12296</v>
      </c>
      <c r="D5315" s="2" t="str">
        <f>IFERROR(__xludf.DUMMYFUNCTION("IFERROR(VLOOKUP(A5315, IMPORTRANGE(""https://docs.google.com/spreadsheets/d/1-3Vjw2Cyy-mry5gbC8ypIR3YVGFfEpyFESummAta6sg/edit"", ""Sheet1!B:D""), 2, FALSE), ""Not Found"")"),"meks")</f>
        <v>meks</v>
      </c>
      <c r="E5315" s="2" t="str">
        <f>IFERROR(__xludf.DUMMYFUNCTION("IFERROR(VLOOKUP(A5315, IMPORTRANGE(""https://docs.google.com/spreadsheets/d/1-3Vjw2Cyy-mry5gbC8ypIR3YVGFfEpyFESummAta6sg/edit"", ""Sheet1!B:D""), 3, FALSE), ""Not Found"")"),"m e k s ")</f>
        <v>m e k s </v>
      </c>
    </row>
    <row r="5316">
      <c r="A5316" s="1" t="s">
        <v>5319</v>
      </c>
      <c r="B5316" s="1" t="s">
        <v>5</v>
      </c>
      <c r="C5316" s="2">
        <f>IFERROR(__xludf.DUMMYFUNCTION("IFERROR(VLOOKUP(A5316, IMPORTRANGE(""https://docs.google.com/spreadsheets/d/1AVX9GT0dgogEBStecCXMMQ29tWz3gBrtNB8yIromXbY/edit?gid=741673867"", ""out1g!A:B""), 2, FALSE), 0)"),56.0)</f>
        <v>56</v>
      </c>
      <c r="D5316" s="2" t="str">
        <f>IFERROR(__xludf.DUMMYFUNCTION("IFERROR(VLOOKUP(A5316, IMPORTRANGE(""https://docs.google.com/spreadsheets/d/1-3Vjw2Cyy-mry5gbC8ypIR3YVGFfEpyFESummAta6sg/edit"", ""Sheet1!B:D""), 2, FALSE), ""Not Found"")"),"dɑkt")</f>
        <v>dɑkt</v>
      </c>
      <c r="E5316" s="2" t="str">
        <f>IFERROR(__xludf.DUMMYFUNCTION("IFERROR(VLOOKUP(A5316, IMPORTRANGE(""https://docs.google.com/spreadsheets/d/1-3Vjw2Cyy-mry5gbC8ypIR3YVGFfEpyFESummAta6sg/edit"", ""Sheet1!B:D""), 3, FALSE), ""Not Found"")"),"d ɑ k t ")</f>
        <v>d ɑ k t </v>
      </c>
    </row>
    <row r="5317">
      <c r="A5317" s="1" t="s">
        <v>5320</v>
      </c>
      <c r="B5317" s="1" t="s">
        <v>5</v>
      </c>
      <c r="C5317" s="2">
        <f>IFERROR(__xludf.DUMMYFUNCTION("IFERROR(VLOOKUP(A5317, IMPORTRANGE(""https://docs.google.com/spreadsheets/d/1AVX9GT0dgogEBStecCXMMQ29tWz3gBrtNB8yIromXbY/edit?gid=741673867"", ""out1g!A:B""), 2, FALSE), 0)"),8503.0)</f>
        <v>8503</v>
      </c>
      <c r="D5317" s="2" t="str">
        <f>IFERROR(__xludf.DUMMYFUNCTION("IFERROR(VLOOKUP(A5317, IMPORTRANGE(""https://docs.google.com/spreadsheets/d/1-3Vjw2Cyy-mry5gbC8ypIR3YVGFfEpyFESummAta6sg/edit"", ""Sheet1!B:D""), 2, FALSE), ""Not Found"")"),"tɪl")</f>
        <v>tɪl</v>
      </c>
      <c r="E5317" s="2" t="str">
        <f>IFERROR(__xludf.DUMMYFUNCTION("IFERROR(VLOOKUP(A5317, IMPORTRANGE(""https://docs.google.com/spreadsheets/d/1-3Vjw2Cyy-mry5gbC8ypIR3YVGFfEpyFESummAta6sg/edit"", ""Sheet1!B:D""), 3, FALSE), ""Not Found"")"),"t ɪ l ")</f>
        <v>t ɪ l </v>
      </c>
    </row>
    <row r="5318">
      <c r="A5318" s="1" t="s">
        <v>5321</v>
      </c>
      <c r="B5318" s="1" t="s">
        <v>5</v>
      </c>
      <c r="C5318" s="2">
        <f>IFERROR(__xludf.DUMMYFUNCTION("IFERROR(VLOOKUP(A5318, IMPORTRANGE(""https://docs.google.com/spreadsheets/d/1AVX9GT0dgogEBStecCXMMQ29tWz3gBrtNB8yIromXbY/edit?gid=741673867"", ""out1g!A:B""), 2, FALSE), 0)"),120.0)</f>
        <v>120</v>
      </c>
      <c r="D5318" s="2" t="str">
        <f>IFERROR(__xludf.DUMMYFUNCTION("IFERROR(VLOOKUP(A5318, IMPORTRANGE(""https://docs.google.com/spreadsheets/d/1-3Vjw2Cyy-mry5gbC8ypIR3YVGFfEpyFESummAta6sg/edit"", ""Sheet1!B:D""), 2, FALSE), ""Not Found"")"),"skwɛrd")</f>
        <v>skwɛrd</v>
      </c>
      <c r="E5318" s="2" t="str">
        <f>IFERROR(__xludf.DUMMYFUNCTION("IFERROR(VLOOKUP(A5318, IMPORTRANGE(""https://docs.google.com/spreadsheets/d/1-3Vjw2Cyy-mry5gbC8ypIR3YVGFfEpyFESummAta6sg/edit"", ""Sheet1!B:D""), 3, FALSE), ""Not Found"")"),"s k w ɛ r d ")</f>
        <v>s k w ɛ r d </v>
      </c>
    </row>
    <row r="5319">
      <c r="A5319" s="1" t="s">
        <v>5322</v>
      </c>
      <c r="B5319" s="1" t="s">
        <v>5</v>
      </c>
      <c r="C5319" s="2">
        <f>IFERROR(__xludf.DUMMYFUNCTION("IFERROR(VLOOKUP(A5319, IMPORTRANGE(""https://docs.google.com/spreadsheets/d/1AVX9GT0dgogEBStecCXMMQ29tWz3gBrtNB8yIromXbY/edit?gid=741673867"", ""out1g!A:B""), 2, FALSE), 0)"),1337.0)</f>
        <v>1337</v>
      </c>
      <c r="D5319" s="2" t="str">
        <f>IFERROR(__xludf.DUMMYFUNCTION("IFERROR(VLOOKUP(A5319, IMPORTRANGE(""https://docs.google.com/spreadsheets/d/1-3Vjw2Cyy-mry5gbC8ypIR3YVGFfEpyFESummAta6sg/edit"", ""Sheet1!B:D""), 2, FALSE), ""Not Found"")"),"flæt")</f>
        <v>flæt</v>
      </c>
      <c r="E5319" s="2" t="str">
        <f>IFERROR(__xludf.DUMMYFUNCTION("IFERROR(VLOOKUP(A5319, IMPORTRANGE(""https://docs.google.com/spreadsheets/d/1-3Vjw2Cyy-mry5gbC8ypIR3YVGFfEpyFESummAta6sg/edit"", ""Sheet1!B:D""), 3, FALSE), ""Not Found"")"),"f l æ t ")</f>
        <v>f l æ t </v>
      </c>
    </row>
    <row r="5320">
      <c r="A5320" s="1" t="s">
        <v>5323</v>
      </c>
      <c r="B5320" s="1" t="s">
        <v>5</v>
      </c>
      <c r="C5320" s="2">
        <f>IFERROR(__xludf.DUMMYFUNCTION("IFERROR(VLOOKUP(A5320, IMPORTRANGE(""https://docs.google.com/spreadsheets/d/1AVX9GT0dgogEBStecCXMMQ29tWz3gBrtNB8yIromXbY/edit?gid=741673867"", ""out1g!A:B""), 2, FALSE), 0)"),57.0)</f>
        <v>57</v>
      </c>
      <c r="D5320" s="2" t="str">
        <f>IFERROR(__xludf.DUMMYFUNCTION("IFERROR(VLOOKUP(A5320, IMPORTRANGE(""https://docs.google.com/spreadsheets/d/1-3Vjw2Cyy-mry5gbC8ypIR3YVGFfEpyFESummAta6sg/edit"", ""Sheet1!B:D""), 2, FALSE), ""Not Found"")"),"kɑmɪŋ")</f>
        <v>kɑmɪŋ</v>
      </c>
      <c r="E5320" s="2" t="str">
        <f>IFERROR(__xludf.DUMMYFUNCTION("IFERROR(VLOOKUP(A5320, IMPORTRANGE(""https://docs.google.com/spreadsheets/d/1-3Vjw2Cyy-mry5gbC8ypIR3YVGFfEpyFESummAta6sg/edit"", ""Sheet1!B:D""), 3, FALSE), ""Not Found"")"),"k ɑ m ɪ ŋ ")</f>
        <v>k ɑ m ɪ ŋ </v>
      </c>
    </row>
    <row r="5321">
      <c r="A5321" s="1" t="s">
        <v>5324</v>
      </c>
      <c r="B5321" s="1" t="s">
        <v>5</v>
      </c>
      <c r="C5321" s="2">
        <f>IFERROR(__xludf.DUMMYFUNCTION("IFERROR(VLOOKUP(A5321, IMPORTRANGE(""https://docs.google.com/spreadsheets/d/1AVX9GT0dgogEBStecCXMMQ29tWz3gBrtNB8yIromXbY/edit?gid=741673867"", ""out1g!A:B""), 2, FALSE), 0)"),1433.0)</f>
        <v>1433</v>
      </c>
      <c r="D5321" s="2" t="str">
        <f>IFERROR(__xludf.DUMMYFUNCTION("IFERROR(VLOOKUP(A5321, IMPORTRANGE(""https://docs.google.com/spreadsheets/d/1-3Vjw2Cyy-mry5gbC8ypIR3YVGFfEpyFESummAta6sg/edit"", ""Sheet1!B:D""), 2, FALSE), ""Not Found"")"),"nɑ")</f>
        <v>nɑ</v>
      </c>
      <c r="E5321" s="2" t="str">
        <f>IFERROR(__xludf.DUMMYFUNCTION("IFERROR(VLOOKUP(A5321, IMPORTRANGE(""https://docs.google.com/spreadsheets/d/1-3Vjw2Cyy-mry5gbC8ypIR3YVGFfEpyFESummAta6sg/edit"", ""Sheet1!B:D""), 3, FALSE), ""Not Found"")"),"n ɑ ")</f>
        <v>n ɑ </v>
      </c>
    </row>
    <row r="5322">
      <c r="A5322" s="1" t="s">
        <v>5325</v>
      </c>
      <c r="B5322" s="1" t="s">
        <v>5</v>
      </c>
      <c r="C5322" s="2">
        <f>IFERROR(__xludf.DUMMYFUNCTION("IFERROR(VLOOKUP(A5322, IMPORTRANGE(""https://docs.google.com/spreadsheets/d/1AVX9GT0dgogEBStecCXMMQ29tWz3gBrtNB8yIromXbY/edit?gid=741673867"", ""out1g!A:B""), 2, FALSE), 0)"),863.0)</f>
        <v>863</v>
      </c>
      <c r="D5322" s="2" t="str">
        <f>IFERROR(__xludf.DUMMYFUNCTION("IFERROR(VLOOKUP(A5322, IMPORTRANGE(""https://docs.google.com/spreadsheets/d/1-3Vjw2Cyy-mry5gbC8ypIR3YVGFfEpyFESummAta6sg/edit"", ""Sheet1!B:D""), 2, FALSE), ""Not Found"")"),"sɪŋk")</f>
        <v>sɪŋk</v>
      </c>
      <c r="E5322" s="2" t="str">
        <f>IFERROR(__xludf.DUMMYFUNCTION("IFERROR(VLOOKUP(A5322, IMPORTRANGE(""https://docs.google.com/spreadsheets/d/1-3Vjw2Cyy-mry5gbC8ypIR3YVGFfEpyFESummAta6sg/edit"", ""Sheet1!B:D""), 3, FALSE), ""Not Found"")"),"s ɪ ŋ k ")</f>
        <v>s ɪ ŋ k </v>
      </c>
    </row>
    <row r="5323">
      <c r="A5323" s="1" t="s">
        <v>5326</v>
      </c>
      <c r="B5323" s="1" t="s">
        <v>5</v>
      </c>
      <c r="C5323" s="2">
        <f>IFERROR(__xludf.DUMMYFUNCTION("IFERROR(VLOOKUP(A5323, IMPORTRANGE(""https://docs.google.com/spreadsheets/d/1AVX9GT0dgogEBStecCXMMQ29tWz3gBrtNB8yIromXbY/edit?gid=741673867"", ""out1g!A:B""), 2, FALSE), 0)"),193.0)</f>
        <v>193</v>
      </c>
      <c r="D5323" s="2" t="str">
        <f>IFERROR(__xludf.DUMMYFUNCTION("IFERROR(VLOOKUP(A5323, IMPORTRANGE(""https://docs.google.com/spreadsheets/d/1-3Vjw2Cyy-mry5gbC8ypIR3YVGFfEpyFESummAta6sg/edit"", ""Sheet1!B:D""), 2, FALSE), ""Not Found"")"),"bənz")</f>
        <v>bənz</v>
      </c>
      <c r="E5323" s="2" t="str">
        <f>IFERROR(__xludf.DUMMYFUNCTION("IFERROR(VLOOKUP(A5323, IMPORTRANGE(""https://docs.google.com/spreadsheets/d/1-3Vjw2Cyy-mry5gbC8ypIR3YVGFfEpyFESummAta6sg/edit"", ""Sheet1!B:D""), 3, FALSE), ""Not Found"")"),"b ə n z ")</f>
        <v>b ə n z </v>
      </c>
    </row>
    <row r="5324">
      <c r="A5324" s="1" t="s">
        <v>5327</v>
      </c>
      <c r="B5324" s="1" t="s">
        <v>5</v>
      </c>
      <c r="C5324" s="2">
        <f>IFERROR(__xludf.DUMMYFUNCTION("IFERROR(VLOOKUP(A5324, IMPORTRANGE(""https://docs.google.com/spreadsheets/d/1AVX9GT0dgogEBStecCXMMQ29tWz3gBrtNB8yIromXbY/edit?gid=741673867"", ""out1g!A:B""), 2, FALSE), 0)"),2048.0)</f>
        <v>2048</v>
      </c>
      <c r="D5324" s="2" t="str">
        <f>IFERROR(__xludf.DUMMYFUNCTION("IFERROR(VLOOKUP(A5324, IMPORTRANGE(""https://docs.google.com/spreadsheets/d/1-3Vjw2Cyy-mry5gbC8ypIR3YVGFfEpyFESummAta6sg/edit"", ""Sheet1!B:D""), 2, FALSE), ""Not Found"")"),"bɔlz")</f>
        <v>bɔlz</v>
      </c>
      <c r="E5324" s="2" t="str">
        <f>IFERROR(__xludf.DUMMYFUNCTION("IFERROR(VLOOKUP(A5324, IMPORTRANGE(""https://docs.google.com/spreadsheets/d/1-3Vjw2Cyy-mry5gbC8ypIR3YVGFfEpyFESummAta6sg/edit"", ""Sheet1!B:D""), 3, FALSE), ""Not Found"")"),"b ɔ l z ")</f>
        <v>b ɔ l z </v>
      </c>
    </row>
    <row r="5325">
      <c r="A5325" s="1" t="s">
        <v>5328</v>
      </c>
      <c r="B5325" s="1" t="s">
        <v>5</v>
      </c>
      <c r="C5325" s="2">
        <f>IFERROR(__xludf.DUMMYFUNCTION("IFERROR(VLOOKUP(A5325, IMPORTRANGE(""https://docs.google.com/spreadsheets/d/1AVX9GT0dgogEBStecCXMMQ29tWz3gBrtNB8yIromXbY/edit?gid=741673867"", ""out1g!A:B""), 2, FALSE), 0)"),47.0)</f>
        <v>47</v>
      </c>
      <c r="D5325" s="2" t="str">
        <f>IFERROR(__xludf.DUMMYFUNCTION("IFERROR(VLOOKUP(A5325, IMPORTRANGE(""https://docs.google.com/spreadsheets/d/1-3Vjw2Cyy-mry5gbC8ypIR3YVGFfEpyFESummAta6sg/edit"", ""Sheet1!B:D""), 2, FALSE), ""Not Found"")"),"kwɪns")</f>
        <v>kwɪns</v>
      </c>
      <c r="E5325" s="2" t="str">
        <f>IFERROR(__xludf.DUMMYFUNCTION("IFERROR(VLOOKUP(A5325, IMPORTRANGE(""https://docs.google.com/spreadsheets/d/1-3Vjw2Cyy-mry5gbC8ypIR3YVGFfEpyFESummAta6sg/edit"", ""Sheet1!B:D""), 3, FALSE), ""Not Found"")"),"k w ɪ n s ")</f>
        <v>k w ɪ n s </v>
      </c>
    </row>
    <row r="5326">
      <c r="A5326" s="1" t="s">
        <v>5329</v>
      </c>
      <c r="B5326" s="1" t="s">
        <v>5</v>
      </c>
      <c r="C5326" s="2">
        <f>IFERROR(__xludf.DUMMYFUNCTION("IFERROR(VLOOKUP(A5326, IMPORTRANGE(""https://docs.google.com/spreadsheets/d/1AVX9GT0dgogEBStecCXMMQ29tWz3gBrtNB8yIromXbY/edit?gid=741673867"", ""out1g!A:B""), 2, FALSE), 0)"),608.0)</f>
        <v>608</v>
      </c>
      <c r="D5326" s="2" t="str">
        <f>IFERROR(__xludf.DUMMYFUNCTION("IFERROR(VLOOKUP(A5326, IMPORTRANGE(""https://docs.google.com/spreadsheets/d/1-3Vjw2Cyy-mry5gbC8ypIR3YVGFfEpyFESummAta6sg/edit"", ""Sheet1!B:D""), 2, FALSE), ""Not Found"")"),"pæm")</f>
        <v>pæm</v>
      </c>
      <c r="E5326" s="2" t="str">
        <f>IFERROR(__xludf.DUMMYFUNCTION("IFERROR(VLOOKUP(A5326, IMPORTRANGE(""https://docs.google.com/spreadsheets/d/1-3Vjw2Cyy-mry5gbC8ypIR3YVGFfEpyFESummAta6sg/edit"", ""Sheet1!B:D""), 3, FALSE), ""Not Found"")"),"p æ m ")</f>
        <v>p æ m </v>
      </c>
    </row>
    <row r="5327">
      <c r="A5327" s="1" t="s">
        <v>5330</v>
      </c>
      <c r="B5327" s="1" t="s">
        <v>5</v>
      </c>
      <c r="C5327" s="2">
        <f>IFERROR(__xludf.DUMMYFUNCTION("IFERROR(VLOOKUP(A5327, IMPORTRANGE(""https://docs.google.com/spreadsheets/d/1AVX9GT0dgogEBStecCXMMQ29tWz3gBrtNB8yIromXbY/edit?gid=741673867"", ""out1g!A:B""), 2, FALSE), 0)"),1447.0)</f>
        <v>1447</v>
      </c>
      <c r="D5327" s="2" t="str">
        <f>IFERROR(__xludf.DUMMYFUNCTION("IFERROR(VLOOKUP(A5327, IMPORTRANGE(""https://docs.google.com/spreadsheets/d/1-3Vjw2Cyy-mry5gbC8ypIR3YVGFfEpyFESummAta6sg/edit"", ""Sheet1!B:D""), 2, FALSE), ""Not Found"")"),"ʃɑts")</f>
        <v>ʃɑts</v>
      </c>
      <c r="E5327" s="2" t="str">
        <f>IFERROR(__xludf.DUMMYFUNCTION("IFERROR(VLOOKUP(A5327, IMPORTRANGE(""https://docs.google.com/spreadsheets/d/1-3Vjw2Cyy-mry5gbC8ypIR3YVGFfEpyFESummAta6sg/edit"", ""Sheet1!B:D""), 3, FALSE), ""Not Found"")"),"ʃ ɑ t s ")</f>
        <v>ʃ ɑ t s </v>
      </c>
    </row>
    <row r="5328">
      <c r="A5328" s="1" t="s">
        <v>5331</v>
      </c>
      <c r="B5328" s="1" t="s">
        <v>5</v>
      </c>
      <c r="C5328" s="2">
        <f>IFERROR(__xludf.DUMMYFUNCTION("IFERROR(VLOOKUP(A5328, IMPORTRANGE(""https://docs.google.com/spreadsheets/d/1AVX9GT0dgogEBStecCXMMQ29tWz3gBrtNB8yIromXbY/edit?gid=741673867"", ""out1g!A:B""), 2, FALSE), 0)"),279.0)</f>
        <v>279</v>
      </c>
      <c r="D5328" s="2" t="str">
        <f>IFERROR(__xludf.DUMMYFUNCTION("IFERROR(VLOOKUP(A5328, IMPORTRANGE(""https://docs.google.com/spreadsheets/d/1-3Vjw2Cyy-mry5gbC8ypIR3YVGFfEpyFESummAta6sg/edit"", ""Sheet1!B:D""), 2, FALSE), ""Not Found"")"),"wɔlts")</f>
        <v>wɔlts</v>
      </c>
      <c r="E5328" s="2" t="str">
        <f>IFERROR(__xludf.DUMMYFUNCTION("IFERROR(VLOOKUP(A5328, IMPORTRANGE(""https://docs.google.com/spreadsheets/d/1-3Vjw2Cyy-mry5gbC8ypIR3YVGFfEpyFESummAta6sg/edit"", ""Sheet1!B:D""), 3, FALSE), ""Not Found"")"),"w ɔ l t s ")</f>
        <v>w ɔ l t s </v>
      </c>
    </row>
    <row r="5329">
      <c r="A5329" s="1" t="s">
        <v>5332</v>
      </c>
      <c r="B5329" s="1" t="s">
        <v>5</v>
      </c>
      <c r="C5329" s="2">
        <f>IFERROR(__xludf.DUMMYFUNCTION("IFERROR(VLOOKUP(A5329, IMPORTRANGE(""https://docs.google.com/spreadsheets/d/1AVX9GT0dgogEBStecCXMMQ29tWz3gBrtNB8yIromXbY/edit?gid=741673867"", ""out1g!A:B""), 2, FALSE), 0)"),200.0)</f>
        <v>200</v>
      </c>
      <c r="D5329" s="2" t="str">
        <f>IFERROR(__xludf.DUMMYFUNCTION("IFERROR(VLOOKUP(A5329, IMPORTRANGE(""https://docs.google.com/spreadsheets/d/1-3Vjw2Cyy-mry5gbC8ypIR3YVGFfEpyFESummAta6sg/edit"", ""Sheet1!B:D""), 2, FALSE), ""Not Found"")"),"rɔɪəlti")</f>
        <v>rɔɪəlti</v>
      </c>
      <c r="E5329" s="2" t="str">
        <f>IFERROR(__xludf.DUMMYFUNCTION("IFERROR(VLOOKUP(A5329, IMPORTRANGE(""https://docs.google.com/spreadsheets/d/1-3Vjw2Cyy-mry5gbC8ypIR3YVGFfEpyFESummAta6sg/edit"", ""Sheet1!B:D""), 3, FALSE), ""Not Found"")"),"r ɔ ɪ ə l t i ")</f>
        <v>r ɔ ɪ ə l t i </v>
      </c>
    </row>
    <row r="5330">
      <c r="A5330" s="1" t="s">
        <v>5333</v>
      </c>
      <c r="B5330" s="1" t="s">
        <v>5</v>
      </c>
      <c r="C5330" s="2">
        <f>IFERROR(__xludf.DUMMYFUNCTION("IFERROR(VLOOKUP(A5330, IMPORTRANGE(""https://docs.google.com/spreadsheets/d/1AVX9GT0dgogEBStecCXMMQ29tWz3gBrtNB8yIromXbY/edit?gid=741673867"", ""out1g!A:B""), 2, FALSE), 0)"),487.0)</f>
        <v>487</v>
      </c>
      <c r="D5330" s="2" t="str">
        <f>IFERROR(__xludf.DUMMYFUNCTION("IFERROR(VLOOKUP(A5330, IMPORTRANGE(""https://docs.google.com/spreadsheets/d/1-3Vjw2Cyy-mry5gbC8ypIR3YVGFfEpyFESummAta6sg/edit"", ""Sheet1!B:D""), 2, FALSE), ""Not Found"")"),"ɛnvi")</f>
        <v>ɛnvi</v>
      </c>
      <c r="E5330" s="2" t="str">
        <f>IFERROR(__xludf.DUMMYFUNCTION("IFERROR(VLOOKUP(A5330, IMPORTRANGE(""https://docs.google.com/spreadsheets/d/1-3Vjw2Cyy-mry5gbC8ypIR3YVGFfEpyFESummAta6sg/edit"", ""Sheet1!B:D""), 3, FALSE), ""Not Found"")"),"ɛ n v i ")</f>
        <v>ɛ n v i </v>
      </c>
    </row>
    <row r="5331">
      <c r="A5331" s="1" t="s">
        <v>5334</v>
      </c>
      <c r="B5331" s="1" t="s">
        <v>5</v>
      </c>
      <c r="C5331" s="2">
        <f>IFERROR(__xludf.DUMMYFUNCTION("IFERROR(VLOOKUP(A5331, IMPORTRANGE(""https://docs.google.com/spreadsheets/d/1AVX9GT0dgogEBStecCXMMQ29tWz3gBrtNB8yIromXbY/edit?gid=741673867"", ""out1g!A:B""), 2, FALSE), 0)"),66.0)</f>
        <v>66</v>
      </c>
      <c r="D5331" s="2" t="str">
        <f>IFERROR(__xludf.DUMMYFUNCTION("IFERROR(VLOOKUP(A5331, IMPORTRANGE(""https://docs.google.com/spreadsheets/d/1-3Vjw2Cyy-mry5gbC8ypIR3YVGFfEpyFESummAta6sg/edit"", ""Sheet1!B:D""), 2, FALSE), ""Not Found"")"),"riks")</f>
        <v>riks</v>
      </c>
      <c r="E5331" s="2" t="str">
        <f>IFERROR(__xludf.DUMMYFUNCTION("IFERROR(VLOOKUP(A5331, IMPORTRANGE(""https://docs.google.com/spreadsheets/d/1-3Vjw2Cyy-mry5gbC8ypIR3YVGFfEpyFESummAta6sg/edit"", ""Sheet1!B:D""), 3, FALSE), ""Not Found"")"),"r i k s ")</f>
        <v>r i k s </v>
      </c>
    </row>
    <row r="5332">
      <c r="A5332" s="1" t="s">
        <v>5335</v>
      </c>
      <c r="B5332" s="1" t="s">
        <v>5</v>
      </c>
      <c r="C5332" s="2">
        <f>IFERROR(__xludf.DUMMYFUNCTION("IFERROR(VLOOKUP(A5332, IMPORTRANGE(""https://docs.google.com/spreadsheets/d/1AVX9GT0dgogEBStecCXMMQ29tWz3gBrtNB8yIromXbY/edit?gid=741673867"", ""out1g!A:B""), 2, FALSE), 0)"),79.0)</f>
        <v>79</v>
      </c>
      <c r="D5332" s="2" t="str">
        <f>IFERROR(__xludf.DUMMYFUNCTION("IFERROR(VLOOKUP(A5332, IMPORTRANGE(""https://docs.google.com/spreadsheets/d/1-3Vjw2Cyy-mry5gbC8ypIR3YVGFfEpyFESummAta6sg/edit"", ""Sheet1!B:D""), 2, FALSE), ""Not Found"")"),"hɑg")</f>
        <v>hɑg</v>
      </c>
      <c r="E5332" s="2" t="str">
        <f>IFERROR(__xludf.DUMMYFUNCTION("IFERROR(VLOOKUP(A5332, IMPORTRANGE(""https://docs.google.com/spreadsheets/d/1-3Vjw2Cyy-mry5gbC8ypIR3YVGFfEpyFESummAta6sg/edit"", ""Sheet1!B:D""), 3, FALSE), ""Not Found"")"),"h ɑ g ")</f>
        <v>h ɑ g </v>
      </c>
    </row>
    <row r="5333">
      <c r="A5333" s="1" t="s">
        <v>5336</v>
      </c>
      <c r="B5333" s="1" t="s">
        <v>5</v>
      </c>
      <c r="C5333" s="2">
        <f>IFERROR(__xludf.DUMMYFUNCTION("IFERROR(VLOOKUP(A5333, IMPORTRANGE(""https://docs.google.com/spreadsheets/d/1AVX9GT0dgogEBStecCXMMQ29tWz3gBrtNB8yIromXbY/edit?gid=741673867"", ""out1g!A:B""), 2, FALSE), 0)"),103.0)</f>
        <v>103</v>
      </c>
      <c r="D5333" s="2" t="str">
        <f>IFERROR(__xludf.DUMMYFUNCTION("IFERROR(VLOOKUP(A5333, IMPORTRANGE(""https://docs.google.com/spreadsheets/d/1-3Vjw2Cyy-mry5gbC8ypIR3YVGFfEpyFESummAta6sg/edit"", ""Sheet1!B:D""), 2, FALSE), ""Not Found"")"),"krɑk")</f>
        <v>krɑk</v>
      </c>
      <c r="E5333" s="2" t="str">
        <f>IFERROR(__xludf.DUMMYFUNCTION("IFERROR(VLOOKUP(A5333, IMPORTRANGE(""https://docs.google.com/spreadsheets/d/1-3Vjw2Cyy-mry5gbC8ypIR3YVGFfEpyFESummAta6sg/edit"", ""Sheet1!B:D""), 3, FALSE), ""Not Found"")"),"k r ɑ k ")</f>
        <v>k r ɑ k </v>
      </c>
    </row>
    <row r="5334">
      <c r="A5334" s="1" t="s">
        <v>5337</v>
      </c>
      <c r="B5334" s="1" t="s">
        <v>5</v>
      </c>
      <c r="C5334" s="2">
        <f>IFERROR(__xludf.DUMMYFUNCTION("IFERROR(VLOOKUP(A5334, IMPORTRANGE(""https://docs.google.com/spreadsheets/d/1AVX9GT0dgogEBStecCXMMQ29tWz3gBrtNB8yIromXbY/edit?gid=741673867"", ""out1g!A:B""), 2, FALSE), 0)"),31.0)</f>
        <v>31</v>
      </c>
      <c r="D5334" s="2" t="str">
        <f>IFERROR(__xludf.DUMMYFUNCTION("IFERROR(VLOOKUP(A5334, IMPORTRANGE(""https://docs.google.com/spreadsheets/d/1-3Vjw2Cyy-mry5gbC8ypIR3YVGFfEpyFESummAta6sg/edit"", ""Sheet1!B:D""), 2, FALSE), ""Not Found"")"),"tɛmz")</f>
        <v>tɛmz</v>
      </c>
      <c r="E5334" s="2" t="str">
        <f>IFERROR(__xludf.DUMMYFUNCTION("IFERROR(VLOOKUP(A5334, IMPORTRANGE(""https://docs.google.com/spreadsheets/d/1-3Vjw2Cyy-mry5gbC8ypIR3YVGFfEpyFESummAta6sg/edit"", ""Sheet1!B:D""), 3, FALSE), ""Not Found"")"),"t ɛ m z ")</f>
        <v>t ɛ m z </v>
      </c>
    </row>
    <row r="5335">
      <c r="A5335" s="1" t="s">
        <v>5338</v>
      </c>
      <c r="B5335" s="1" t="s">
        <v>5</v>
      </c>
      <c r="C5335" s="2">
        <f>IFERROR(__xludf.DUMMYFUNCTION("IFERROR(VLOOKUP(A5335, IMPORTRANGE(""https://docs.google.com/spreadsheets/d/1AVX9GT0dgogEBStecCXMMQ29tWz3gBrtNB8yIromXbY/edit?gid=741673867"", ""out1g!A:B""), 2, FALSE), 0)"),238.0)</f>
        <v>238</v>
      </c>
      <c r="D5335" s="2" t="str">
        <f>IFERROR(__xludf.DUMMYFUNCTION("IFERROR(VLOOKUP(A5335, IMPORTRANGE(""https://docs.google.com/spreadsheets/d/1-3Vjw2Cyy-mry5gbC8ypIR3YVGFfEpyFESummAta6sg/edit"", ""Sheet1!B:D""), 2, FALSE), ""Not Found"")"),"hɑtər")</f>
        <v>hɑtər</v>
      </c>
      <c r="E5335" s="2" t="str">
        <f>IFERROR(__xludf.DUMMYFUNCTION("IFERROR(VLOOKUP(A5335, IMPORTRANGE(""https://docs.google.com/spreadsheets/d/1-3Vjw2Cyy-mry5gbC8ypIR3YVGFfEpyFESummAta6sg/edit"", ""Sheet1!B:D""), 3, FALSE), ""Not Found"")"),"h ɑ t ə r ")</f>
        <v>h ɑ t ə r </v>
      </c>
    </row>
    <row r="5336">
      <c r="A5336" s="1" t="s">
        <v>5339</v>
      </c>
      <c r="B5336" s="1" t="s">
        <v>5</v>
      </c>
      <c r="C5336" s="2">
        <f>IFERROR(__xludf.DUMMYFUNCTION("IFERROR(VLOOKUP(A5336, IMPORTRANGE(""https://docs.google.com/spreadsheets/d/1AVX9GT0dgogEBStecCXMMQ29tWz3gBrtNB8yIromXbY/edit?gid=741673867"", ""out1g!A:B""), 2, FALSE), 0)"),86.0)</f>
        <v>86</v>
      </c>
      <c r="D5336" s="2" t="str">
        <f>IFERROR(__xludf.DUMMYFUNCTION("IFERROR(VLOOKUP(A5336, IMPORTRANGE(""https://docs.google.com/spreadsheets/d/1-3Vjw2Cyy-mry5gbC8ypIR3YVGFfEpyFESummAta6sg/edit"", ""Sheet1!B:D""), 2, FALSE), ""Not Found"")"),"lɑrd")</f>
        <v>lɑrd</v>
      </c>
      <c r="E5336" s="2" t="str">
        <f>IFERROR(__xludf.DUMMYFUNCTION("IFERROR(VLOOKUP(A5336, IMPORTRANGE(""https://docs.google.com/spreadsheets/d/1-3Vjw2Cyy-mry5gbC8ypIR3YVGFfEpyFESummAta6sg/edit"", ""Sheet1!B:D""), 3, FALSE), ""Not Found"")"),"l ɑ r d ")</f>
        <v>l ɑ r d </v>
      </c>
    </row>
    <row r="5337">
      <c r="A5337" s="1" t="s">
        <v>5340</v>
      </c>
      <c r="B5337" s="1" t="s">
        <v>5</v>
      </c>
      <c r="C5337" s="2">
        <f>IFERROR(__xludf.DUMMYFUNCTION("IFERROR(VLOOKUP(A5337, IMPORTRANGE(""https://docs.google.com/spreadsheets/d/1AVX9GT0dgogEBStecCXMMQ29tWz3gBrtNB8yIromXbY/edit?gid=741673867"", ""out1g!A:B""), 2, FALSE), 0)"),369.0)</f>
        <v>369</v>
      </c>
      <c r="D5337" s="2" t="str">
        <f>IFERROR(__xludf.DUMMYFUNCTION("IFERROR(VLOOKUP(A5337, IMPORTRANGE(""https://docs.google.com/spreadsheets/d/1-3Vjw2Cyy-mry5gbC8ypIR3YVGFfEpyFESummAta6sg/edit"", ""Sheet1!B:D""), 2, FALSE), ""Not Found"")"),"dɔrm")</f>
        <v>dɔrm</v>
      </c>
      <c r="E5337" s="2" t="str">
        <f>IFERROR(__xludf.DUMMYFUNCTION("IFERROR(VLOOKUP(A5337, IMPORTRANGE(""https://docs.google.com/spreadsheets/d/1-3Vjw2Cyy-mry5gbC8ypIR3YVGFfEpyFESummAta6sg/edit"", ""Sheet1!B:D""), 3, FALSE), ""Not Found"")"),"d ɔ r m ")</f>
        <v>d ɔ r m </v>
      </c>
    </row>
    <row r="5338">
      <c r="A5338" s="1" t="s">
        <v>5341</v>
      </c>
      <c r="B5338" s="1" t="s">
        <v>5</v>
      </c>
      <c r="C5338" s="2">
        <f>IFERROR(__xludf.DUMMYFUNCTION("IFERROR(VLOOKUP(A5338, IMPORTRANGE(""https://docs.google.com/spreadsheets/d/1AVX9GT0dgogEBStecCXMMQ29tWz3gBrtNB8yIromXbY/edit?gid=741673867"", ""out1g!A:B""), 2, FALSE), 0)"),1216.0)</f>
        <v>1216</v>
      </c>
      <c r="D5338" s="2" t="str">
        <f>IFERROR(__xludf.DUMMYFUNCTION("IFERROR(VLOOKUP(A5338, IMPORTRANGE(""https://docs.google.com/spreadsheets/d/1-3Vjw2Cyy-mry5gbC8ypIR3YVGFfEpyFESummAta6sg/edit"", ""Sheet1!B:D""), 2, FALSE), ""Not Found"")"),"dəst")</f>
        <v>dəst</v>
      </c>
      <c r="E5338" s="2" t="str">
        <f>IFERROR(__xludf.DUMMYFUNCTION("IFERROR(VLOOKUP(A5338, IMPORTRANGE(""https://docs.google.com/spreadsheets/d/1-3Vjw2Cyy-mry5gbC8ypIR3YVGFfEpyFESummAta6sg/edit"", ""Sheet1!B:D""), 3, FALSE), ""Not Found"")"),"d ə s t ")</f>
        <v>d ə s t </v>
      </c>
    </row>
    <row r="5339">
      <c r="A5339" s="1" t="s">
        <v>5342</v>
      </c>
      <c r="B5339" s="1" t="s">
        <v>5</v>
      </c>
      <c r="C5339" s="2">
        <f>IFERROR(__xludf.DUMMYFUNCTION("IFERROR(VLOOKUP(A5339, IMPORTRANGE(""https://docs.google.com/spreadsheets/d/1AVX9GT0dgogEBStecCXMMQ29tWz3gBrtNB8yIromXbY/edit?gid=741673867"", ""out1g!A:B""), 2, FALSE), 0)"),3518.0)</f>
        <v>3518</v>
      </c>
      <c r="D5339" s="2" t="str">
        <f>IFERROR(__xludf.DUMMYFUNCTION("IFERROR(VLOOKUP(A5339, IMPORTRANGE(""https://docs.google.com/spreadsheets/d/1-3Vjw2Cyy-mry5gbC8ypIR3YVGFfEpyFESummAta6sg/edit"", ""Sheet1!B:D""), 2, FALSE), ""Not Found"")"),"lɑ")</f>
        <v>lɑ</v>
      </c>
      <c r="E5339" s="2" t="str">
        <f>IFERROR(__xludf.DUMMYFUNCTION("IFERROR(VLOOKUP(A5339, IMPORTRANGE(""https://docs.google.com/spreadsheets/d/1-3Vjw2Cyy-mry5gbC8ypIR3YVGFfEpyFESummAta6sg/edit"", ""Sheet1!B:D""), 3, FALSE), ""Not Found"")"),"l ɑ ")</f>
        <v>l ɑ </v>
      </c>
    </row>
    <row r="5340">
      <c r="A5340" s="1" t="s">
        <v>5343</v>
      </c>
      <c r="B5340" s="1" t="s">
        <v>5</v>
      </c>
      <c r="C5340" s="2">
        <f>IFERROR(__xludf.DUMMYFUNCTION("IFERROR(VLOOKUP(A5340, IMPORTRANGE(""https://docs.google.com/spreadsheets/d/1AVX9GT0dgogEBStecCXMMQ29tWz3gBrtNB8yIromXbY/edit?gid=741673867"", ""out1g!A:B""), 2, FALSE), 0)"),100.0)</f>
        <v>100</v>
      </c>
      <c r="D5340" s="2" t="str">
        <f>IFERROR(__xludf.DUMMYFUNCTION("IFERROR(VLOOKUP(A5340, IMPORTRANGE(""https://docs.google.com/spreadsheets/d/1-3Vjw2Cyy-mry5gbC8ypIR3YVGFfEpyFESummAta6sg/edit"", ""Sheet1!B:D""), 2, FALSE), ""Not Found"")"),"pletoʊ")</f>
        <v>pletoʊ</v>
      </c>
      <c r="E5340" s="2" t="str">
        <f>IFERROR(__xludf.DUMMYFUNCTION("IFERROR(VLOOKUP(A5340, IMPORTRANGE(""https://docs.google.com/spreadsheets/d/1-3Vjw2Cyy-mry5gbC8ypIR3YVGFfEpyFESummAta6sg/edit"", ""Sheet1!B:D""), 3, FALSE), ""Not Found"")"),"p l e t o ʊ ")</f>
        <v>p l e t o ʊ </v>
      </c>
    </row>
    <row r="5341">
      <c r="A5341" s="1" t="s">
        <v>5344</v>
      </c>
      <c r="B5341" s="1" t="s">
        <v>5</v>
      </c>
      <c r="C5341" s="2">
        <f>IFERROR(__xludf.DUMMYFUNCTION("IFERROR(VLOOKUP(A5341, IMPORTRANGE(""https://docs.google.com/spreadsheets/d/1AVX9GT0dgogEBStecCXMMQ29tWz3gBrtNB8yIromXbY/edit?gid=741673867"", ""out1g!A:B""), 2, FALSE), 0)"),23419.0)</f>
        <v>23419</v>
      </c>
      <c r="D5341" s="2" t="str">
        <f>IFERROR(__xludf.DUMMYFUNCTION("IFERROR(VLOOKUP(A5341, IMPORTRANGE(""https://docs.google.com/spreadsheets/d/1-3Vjw2Cyy-mry5gbC8ypIR3YVGFfEpyFESummAta6sg/edit"", ""Sheet1!B:D""), 2, FALSE), ""Not Found"")"),"oʊn")</f>
        <v>oʊn</v>
      </c>
      <c r="E5341" s="2" t="str">
        <f>IFERROR(__xludf.DUMMYFUNCTION("IFERROR(VLOOKUP(A5341, IMPORTRANGE(""https://docs.google.com/spreadsheets/d/1-3Vjw2Cyy-mry5gbC8ypIR3YVGFfEpyFESummAta6sg/edit"", ""Sheet1!B:D""), 3, FALSE), ""Not Found"")"),"o ʊ n ")</f>
        <v>o ʊ n </v>
      </c>
    </row>
    <row r="5342">
      <c r="A5342" s="1" t="s">
        <v>5345</v>
      </c>
      <c r="B5342" s="1" t="s">
        <v>5</v>
      </c>
      <c r="C5342" s="2">
        <f>IFERROR(__xludf.DUMMYFUNCTION("IFERROR(VLOOKUP(A5342, IMPORTRANGE(""https://docs.google.com/spreadsheets/d/1AVX9GT0dgogEBStecCXMMQ29tWz3gBrtNB8yIromXbY/edit?gid=741673867"", ""out1g!A:B""), 2, FALSE), 0)"),142.0)</f>
        <v>142</v>
      </c>
      <c r="D5342" s="2" t="str">
        <f>IFERROR(__xludf.DUMMYFUNCTION("IFERROR(VLOOKUP(A5342, IMPORTRANGE(""https://docs.google.com/spreadsheets/d/1-3Vjw2Cyy-mry5gbC8ypIR3YVGFfEpyFESummAta6sg/edit"", ""Sheet1!B:D""), 2, FALSE), ""Not Found"")"),"floʊz")</f>
        <v>floʊz</v>
      </c>
      <c r="E5342" s="2" t="str">
        <f>IFERROR(__xludf.DUMMYFUNCTION("IFERROR(VLOOKUP(A5342, IMPORTRANGE(""https://docs.google.com/spreadsheets/d/1-3Vjw2Cyy-mry5gbC8ypIR3YVGFfEpyFESummAta6sg/edit"", ""Sheet1!B:D""), 3, FALSE), ""Not Found"")"),"f l o ʊ z ")</f>
        <v>f l o ʊ z </v>
      </c>
    </row>
    <row r="5343">
      <c r="A5343" s="1" t="s">
        <v>5346</v>
      </c>
      <c r="B5343" s="1" t="s">
        <v>5</v>
      </c>
      <c r="C5343" s="2">
        <f>IFERROR(__xludf.DUMMYFUNCTION("IFERROR(VLOOKUP(A5343, IMPORTRANGE(""https://docs.google.com/spreadsheets/d/1AVX9GT0dgogEBStecCXMMQ29tWz3gBrtNB8yIromXbY/edit?gid=741673867"", ""out1g!A:B""), 2, FALSE), 0)"),1620.0)</f>
        <v>1620</v>
      </c>
      <c r="D5343" s="2" t="str">
        <f>IFERROR(__xludf.DUMMYFUNCTION("IFERROR(VLOOKUP(A5343, IMPORTRANGE(""https://docs.google.com/spreadsheets/d/1-3Vjw2Cyy-mry5gbC8ypIR3YVGFfEpyFESummAta6sg/edit"", ""Sheet1!B:D""), 2, FALSE), ""Not Found"")"),"skwɛr")</f>
        <v>skwɛr</v>
      </c>
      <c r="E5343" s="2" t="str">
        <f>IFERROR(__xludf.DUMMYFUNCTION("IFERROR(VLOOKUP(A5343, IMPORTRANGE(""https://docs.google.com/spreadsheets/d/1-3Vjw2Cyy-mry5gbC8ypIR3YVGFfEpyFESummAta6sg/edit"", ""Sheet1!B:D""), 3, FALSE), ""Not Found"")"),"s k w ɛ r ")</f>
        <v>s k w ɛ r </v>
      </c>
    </row>
    <row r="5344">
      <c r="A5344" s="1" t="s">
        <v>5347</v>
      </c>
      <c r="B5344" s="1" t="s">
        <v>5</v>
      </c>
      <c r="C5344" s="2">
        <f>IFERROR(__xludf.DUMMYFUNCTION("IFERROR(VLOOKUP(A5344, IMPORTRANGE(""https://docs.google.com/spreadsheets/d/1AVX9GT0dgogEBStecCXMMQ29tWz3gBrtNB8yIromXbY/edit?gid=741673867"", ""out1g!A:B""), 2, FALSE), 0)"),42379.0)</f>
        <v>42379</v>
      </c>
      <c r="D5344" s="2" t="str">
        <f>IFERROR(__xludf.DUMMYFUNCTION("IFERROR(VLOOKUP(A5344, IMPORTRANGE(""https://docs.google.com/spreadsheets/d/1-3Vjw2Cyy-mry5gbC8ypIR3YVGFfEpyFESummAta6sg/edit"", ""Sheet1!B:D""), 2, FALSE), ""Not Found"")"),"faɪnd")</f>
        <v>faɪnd</v>
      </c>
      <c r="E5344" s="2" t="str">
        <f>IFERROR(__xludf.DUMMYFUNCTION("IFERROR(VLOOKUP(A5344, IMPORTRANGE(""https://docs.google.com/spreadsheets/d/1-3Vjw2Cyy-mry5gbC8ypIR3YVGFfEpyFESummAta6sg/edit"", ""Sheet1!B:D""), 3, FALSE), ""Not Found"")"),"f a ɪ n d ")</f>
        <v>f a ɪ n d </v>
      </c>
    </row>
    <row r="5345">
      <c r="A5345" s="1" t="s">
        <v>5348</v>
      </c>
      <c r="B5345" s="1" t="s">
        <v>5</v>
      </c>
      <c r="C5345" s="2">
        <f>IFERROR(__xludf.DUMMYFUNCTION("IFERROR(VLOOKUP(A5345, IMPORTRANGE(""https://docs.google.com/spreadsheets/d/1AVX9GT0dgogEBStecCXMMQ29tWz3gBrtNB8yIromXbY/edit?gid=741673867"", ""out1g!A:B""), 2, FALSE), 0)"),529.0)</f>
        <v>529</v>
      </c>
      <c r="D5345" s="2" t="str">
        <f>IFERROR(__xludf.DUMMYFUNCTION("IFERROR(VLOOKUP(A5345, IMPORTRANGE(""https://docs.google.com/spreadsheets/d/1-3Vjw2Cyy-mry5gbC8ypIR3YVGFfEpyFESummAta6sg/edit"", ""Sheet1!B:D""), 2, FALSE), ""Not Found"")"),"frikt")</f>
        <v>frikt</v>
      </c>
      <c r="E5345" s="2" t="str">
        <f>IFERROR(__xludf.DUMMYFUNCTION("IFERROR(VLOOKUP(A5345, IMPORTRANGE(""https://docs.google.com/spreadsheets/d/1-3Vjw2Cyy-mry5gbC8ypIR3YVGFfEpyFESummAta6sg/edit"", ""Sheet1!B:D""), 3, FALSE), ""Not Found"")"),"f r i k t ")</f>
        <v>f r i k t </v>
      </c>
    </row>
    <row r="5346">
      <c r="A5346" s="1" t="s">
        <v>5349</v>
      </c>
      <c r="B5346" s="1" t="s">
        <v>5</v>
      </c>
      <c r="C5346" s="2">
        <f>IFERROR(__xludf.DUMMYFUNCTION("IFERROR(VLOOKUP(A5346, IMPORTRANGE(""https://docs.google.com/spreadsheets/d/1AVX9GT0dgogEBStecCXMMQ29tWz3gBrtNB8yIromXbY/edit?gid=741673867"", ""out1g!A:B""), 2, FALSE), 0)"),188.0)</f>
        <v>188</v>
      </c>
      <c r="D5346" s="2" t="str">
        <f>IFERROR(__xludf.DUMMYFUNCTION("IFERROR(VLOOKUP(A5346, IMPORTRANGE(""https://docs.google.com/spreadsheets/d/1-3Vjw2Cyy-mry5gbC8ypIR3YVGFfEpyFESummAta6sg/edit"", ""Sheet1!B:D""), 2, FALSE), ""Not Found"")"),"ɔp")</f>
        <v>ɔp</v>
      </c>
      <c r="E5346" s="2" t="str">
        <f>IFERROR(__xludf.DUMMYFUNCTION("IFERROR(VLOOKUP(A5346, IMPORTRANGE(""https://docs.google.com/spreadsheets/d/1-3Vjw2Cyy-mry5gbC8ypIR3YVGFfEpyFESummAta6sg/edit"", ""Sheet1!B:D""), 3, FALSE), ""Not Found"")"),"ɔ p ")</f>
        <v>ɔ p </v>
      </c>
    </row>
    <row r="5347">
      <c r="A5347" s="1" t="s">
        <v>5350</v>
      </c>
      <c r="B5347" s="1" t="s">
        <v>5</v>
      </c>
      <c r="C5347" s="2">
        <f>IFERROR(__xludf.DUMMYFUNCTION("IFERROR(VLOOKUP(A5347, IMPORTRANGE(""https://docs.google.com/spreadsheets/d/1AVX9GT0dgogEBStecCXMMQ29tWz3gBrtNB8yIromXbY/edit?gid=741673867"", ""out1g!A:B""), 2, FALSE), 0)"),55.0)</f>
        <v>55</v>
      </c>
      <c r="D5347" s="2" t="str">
        <f>IFERROR(__xludf.DUMMYFUNCTION("IFERROR(VLOOKUP(A5347, IMPORTRANGE(""https://docs.google.com/spreadsheets/d/1-3Vjw2Cyy-mry5gbC8ypIR3YVGFfEpyFESummAta6sg/edit"", ""Sheet1!B:D""), 2, FALSE), ""Not Found"")"),"tɔrə")</f>
        <v>tɔrə</v>
      </c>
      <c r="E5347" s="2" t="str">
        <f>IFERROR(__xludf.DUMMYFUNCTION("IFERROR(VLOOKUP(A5347, IMPORTRANGE(""https://docs.google.com/spreadsheets/d/1-3Vjw2Cyy-mry5gbC8ypIR3YVGFfEpyFESummAta6sg/edit"", ""Sheet1!B:D""), 3, FALSE), ""Not Found"")"),"t ɔ r ə ")</f>
        <v>t ɔ r ə </v>
      </c>
    </row>
    <row r="5348">
      <c r="A5348" s="1" t="s">
        <v>5351</v>
      </c>
      <c r="B5348" s="1" t="s">
        <v>5</v>
      </c>
      <c r="C5348" s="2">
        <f>IFERROR(__xludf.DUMMYFUNCTION("IFERROR(VLOOKUP(A5348, IMPORTRANGE(""https://docs.google.com/spreadsheets/d/1AVX9GT0dgogEBStecCXMMQ29tWz3gBrtNB8yIromXbY/edit?gid=741673867"", ""out1g!A:B""), 2, FALSE), 0)"),168.0)</f>
        <v>168</v>
      </c>
      <c r="D5348" s="2" t="str">
        <f>IFERROR(__xludf.DUMMYFUNCTION("IFERROR(VLOOKUP(A5348, IMPORTRANGE(""https://docs.google.com/spreadsheets/d/1-3Vjw2Cyy-mry5gbC8ypIR3YVGFfEpyFESummAta6sg/edit"", ""Sheet1!B:D""), 2, FALSE), ""Not Found"")"),"pɪŋ")</f>
        <v>pɪŋ</v>
      </c>
      <c r="E5348" s="2" t="str">
        <f>IFERROR(__xludf.DUMMYFUNCTION("IFERROR(VLOOKUP(A5348, IMPORTRANGE(""https://docs.google.com/spreadsheets/d/1-3Vjw2Cyy-mry5gbC8ypIR3YVGFfEpyFESummAta6sg/edit"", ""Sheet1!B:D""), 3, FALSE), ""Not Found"")"),"p ɪ ŋ ")</f>
        <v>p ɪ ŋ </v>
      </c>
    </row>
    <row r="5349">
      <c r="A5349" s="1" t="s">
        <v>5352</v>
      </c>
      <c r="B5349" s="1" t="s">
        <v>5</v>
      </c>
      <c r="C5349" s="2">
        <f>IFERROR(__xludf.DUMMYFUNCTION("IFERROR(VLOOKUP(A5349, IMPORTRANGE(""https://docs.google.com/spreadsheets/d/1AVX9GT0dgogEBStecCXMMQ29tWz3gBrtNB8yIromXbY/edit?gid=741673867"", ""out1g!A:B""), 2, FALSE), 0)"),686.0)</f>
        <v>686</v>
      </c>
      <c r="D5349" s="2" t="str">
        <f>IFERROR(__xludf.DUMMYFUNCTION("IFERROR(VLOOKUP(A5349, IMPORTRANGE(""https://docs.google.com/spreadsheets/d/1-3Vjw2Cyy-mry5gbC8ypIR3YVGFfEpyFESummAta6sg/edit"", ""Sheet1!B:D""), 2, FALSE), ""Not Found"")"),"stim")</f>
        <v>stim</v>
      </c>
      <c r="E5349" s="2" t="str">
        <f>IFERROR(__xludf.DUMMYFUNCTION("IFERROR(VLOOKUP(A5349, IMPORTRANGE(""https://docs.google.com/spreadsheets/d/1-3Vjw2Cyy-mry5gbC8ypIR3YVGFfEpyFESummAta6sg/edit"", ""Sheet1!B:D""), 3, FALSE), ""Not Found"")"),"s t i m ")</f>
        <v>s t i m </v>
      </c>
    </row>
    <row r="5350">
      <c r="A5350" s="1" t="s">
        <v>5353</v>
      </c>
      <c r="B5350" s="1" t="s">
        <v>5</v>
      </c>
      <c r="C5350" s="2">
        <f>IFERROR(__xludf.DUMMYFUNCTION("IFERROR(VLOOKUP(A5350, IMPORTRANGE(""https://docs.google.com/spreadsheets/d/1AVX9GT0dgogEBStecCXMMQ29tWz3gBrtNB8yIromXbY/edit?gid=741673867"", ""out1g!A:B""), 2, FALSE), 0)"),467.0)</f>
        <v>467</v>
      </c>
      <c r="D5350" s="2" t="str">
        <f>IFERROR(__xludf.DUMMYFUNCTION("IFERROR(VLOOKUP(A5350, IMPORTRANGE(""https://docs.google.com/spreadsheets/d/1-3Vjw2Cyy-mry5gbC8ypIR3YVGFfEpyFESummAta6sg/edit"", ""Sheet1!B:D""), 2, FALSE), ""Not Found"")"),"fɪrz")</f>
        <v>fɪrz</v>
      </c>
      <c r="E5350" s="2" t="str">
        <f>IFERROR(__xludf.DUMMYFUNCTION("IFERROR(VLOOKUP(A5350, IMPORTRANGE(""https://docs.google.com/spreadsheets/d/1-3Vjw2Cyy-mry5gbC8ypIR3YVGFfEpyFESummAta6sg/edit"", ""Sheet1!B:D""), 3, FALSE), ""Not Found"")"),"f ɪ r z ")</f>
        <v>f ɪ r z </v>
      </c>
    </row>
    <row r="5351">
      <c r="A5351" s="1" t="s">
        <v>5354</v>
      </c>
      <c r="B5351" s="1" t="s">
        <v>5</v>
      </c>
      <c r="C5351" s="2">
        <f>IFERROR(__xludf.DUMMYFUNCTION("IFERROR(VLOOKUP(A5351, IMPORTRANGE(""https://docs.google.com/spreadsheets/d/1AVX9GT0dgogEBStecCXMMQ29tWz3gBrtNB8yIromXbY/edit?gid=741673867"", ""out1g!A:B""), 2, FALSE), 0)"),58.0)</f>
        <v>58</v>
      </c>
      <c r="D5351" s="2" t="str">
        <f>IFERROR(__xludf.DUMMYFUNCTION("IFERROR(VLOOKUP(A5351, IMPORTRANGE(""https://docs.google.com/spreadsheets/d/1-3Vjw2Cyy-mry5gbC8ypIR3YVGFfEpyFESummAta6sg/edit"", ""Sheet1!B:D""), 2, FALSE), ""Not Found"")"),"hərtfəl")</f>
        <v>hərtfəl</v>
      </c>
      <c r="E5351" s="2" t="str">
        <f>IFERROR(__xludf.DUMMYFUNCTION("IFERROR(VLOOKUP(A5351, IMPORTRANGE(""https://docs.google.com/spreadsheets/d/1-3Vjw2Cyy-mry5gbC8ypIR3YVGFfEpyFESummAta6sg/edit"", ""Sheet1!B:D""), 3, FALSE), ""Not Found"")"),"h ə r t f ə l ")</f>
        <v>h ə r t f ə l </v>
      </c>
    </row>
    <row r="5352">
      <c r="A5352" s="1" t="s">
        <v>5355</v>
      </c>
      <c r="B5352" s="1" t="s">
        <v>5</v>
      </c>
      <c r="C5352" s="2">
        <f>IFERROR(__xludf.DUMMYFUNCTION("IFERROR(VLOOKUP(A5352, IMPORTRANGE(""https://docs.google.com/spreadsheets/d/1AVX9GT0dgogEBStecCXMMQ29tWz3gBrtNB8yIromXbY/edit?gid=741673867"", ""out1g!A:B""), 2, FALSE), 0)"),257.0)</f>
        <v>257</v>
      </c>
      <c r="D5352" s="2" t="str">
        <f>IFERROR(__xludf.DUMMYFUNCTION("IFERROR(VLOOKUP(A5352, IMPORTRANGE(""https://docs.google.com/spreadsheets/d/1-3Vjw2Cyy-mry5gbC8ypIR3YVGFfEpyFESummAta6sg/edit"", ""Sheet1!B:D""), 2, FALSE), ""Not Found"")"),"rɪzaɪn")</f>
        <v>rɪzaɪn</v>
      </c>
      <c r="E5352" s="2" t="str">
        <f>IFERROR(__xludf.DUMMYFUNCTION("IFERROR(VLOOKUP(A5352, IMPORTRANGE(""https://docs.google.com/spreadsheets/d/1-3Vjw2Cyy-mry5gbC8ypIR3YVGFfEpyFESummAta6sg/edit"", ""Sheet1!B:D""), 3, FALSE), ""Not Found"")"),"r ɪ z a ɪ n ")</f>
        <v>r ɪ z a ɪ n </v>
      </c>
    </row>
    <row r="5353">
      <c r="A5353" s="1" t="s">
        <v>5356</v>
      </c>
      <c r="B5353" s="1" t="s">
        <v>5</v>
      </c>
      <c r="C5353" s="2">
        <f>IFERROR(__xludf.DUMMYFUNCTION("IFERROR(VLOOKUP(A5353, IMPORTRANGE(""https://docs.google.com/spreadsheets/d/1AVX9GT0dgogEBStecCXMMQ29tWz3gBrtNB8yIromXbY/edit?gid=741673867"", ""out1g!A:B""), 2, FALSE), 0)"),4854.0)</f>
        <v>4854</v>
      </c>
      <c r="D5353" s="2" t="str">
        <f>IFERROR(__xludf.DUMMYFUNCTION("IFERROR(VLOOKUP(A5353, IMPORTRANGE(""https://docs.google.com/spreadsheets/d/1-3Vjw2Cyy-mry5gbC8ypIR3YVGFfEpyFESummAta6sg/edit"", ""Sheet1!B:D""), 2, FALSE), ""Not Found"")"),"mənθ")</f>
        <v>mənθ</v>
      </c>
      <c r="E5353" s="2" t="str">
        <f>IFERROR(__xludf.DUMMYFUNCTION("IFERROR(VLOOKUP(A5353, IMPORTRANGE(""https://docs.google.com/spreadsheets/d/1-3Vjw2Cyy-mry5gbC8ypIR3YVGFfEpyFESummAta6sg/edit"", ""Sheet1!B:D""), 3, FALSE), ""Not Found"")"),"m ə n θ ")</f>
        <v>m ə n θ </v>
      </c>
    </row>
    <row r="5354">
      <c r="A5354" s="1" t="s">
        <v>5357</v>
      </c>
      <c r="B5354" s="1" t="s">
        <v>5</v>
      </c>
      <c r="C5354" s="2">
        <f>IFERROR(__xludf.DUMMYFUNCTION("IFERROR(VLOOKUP(A5354, IMPORTRANGE(""https://docs.google.com/spreadsheets/d/1AVX9GT0dgogEBStecCXMMQ29tWz3gBrtNB8yIromXbY/edit?gid=741673867"", ""out1g!A:B""), 2, FALSE), 0)"),21325.0)</f>
        <v>21325</v>
      </c>
      <c r="D5354" s="2" t="str">
        <f>IFERROR(__xludf.DUMMYFUNCTION("IFERROR(VLOOKUP(A5354, IMPORTRANGE(""https://docs.google.com/spreadsheets/d/1-3Vjw2Cyy-mry5gbC8ypIR3YVGFfEpyFESummAta6sg/edit"", ""Sheet1!B:D""), 2, FALSE), ""Not Found"")"),"muv")</f>
        <v>muv</v>
      </c>
      <c r="E5354" s="2" t="str">
        <f>IFERROR(__xludf.DUMMYFUNCTION("IFERROR(VLOOKUP(A5354, IMPORTRANGE(""https://docs.google.com/spreadsheets/d/1-3Vjw2Cyy-mry5gbC8ypIR3YVGFfEpyFESummAta6sg/edit"", ""Sheet1!B:D""), 3, FALSE), ""Not Found"")"),"m u v ")</f>
        <v>m u v </v>
      </c>
    </row>
    <row r="5355">
      <c r="A5355" s="1" t="s">
        <v>5358</v>
      </c>
      <c r="B5355" s="1" t="s">
        <v>5</v>
      </c>
      <c r="C5355" s="2">
        <f>IFERROR(__xludf.DUMMYFUNCTION("IFERROR(VLOOKUP(A5355, IMPORTRANGE(""https://docs.google.com/spreadsheets/d/1AVX9GT0dgogEBStecCXMMQ29tWz3gBrtNB8yIromXbY/edit?gid=741673867"", ""out1g!A:B""), 2, FALSE), 0)"),628.0)</f>
        <v>628</v>
      </c>
      <c r="D5355" s="2" t="str">
        <f>IFERROR(__xludf.DUMMYFUNCTION("IFERROR(VLOOKUP(A5355, IMPORTRANGE(""https://docs.google.com/spreadsheets/d/1-3Vjw2Cyy-mry5gbC8ypIR3YVGFfEpyFESummAta6sg/edit"", ""Sheet1!B:D""), 2, FALSE), ""Not Found"")"),"gʊdz")</f>
        <v>gʊdz</v>
      </c>
      <c r="E5355" s="2" t="str">
        <f>IFERROR(__xludf.DUMMYFUNCTION("IFERROR(VLOOKUP(A5355, IMPORTRANGE(""https://docs.google.com/spreadsheets/d/1-3Vjw2Cyy-mry5gbC8ypIR3YVGFfEpyFESummAta6sg/edit"", ""Sheet1!B:D""), 3, FALSE), ""Not Found"")"),"g ʊ d z ")</f>
        <v>g ʊ d z </v>
      </c>
    </row>
    <row r="5356">
      <c r="A5356" s="1" t="s">
        <v>5359</v>
      </c>
      <c r="B5356" s="1" t="s">
        <v>5</v>
      </c>
      <c r="C5356" s="2">
        <f>IFERROR(__xludf.DUMMYFUNCTION("IFERROR(VLOOKUP(A5356, IMPORTRANGE(""https://docs.google.com/spreadsheets/d/1AVX9GT0dgogEBStecCXMMQ29tWz3gBrtNB8yIromXbY/edit?gid=741673867"", ""out1g!A:B""), 2, FALSE), 0)"),581.0)</f>
        <v>581</v>
      </c>
      <c r="D5356" s="2" t="str">
        <f>IFERROR(__xludf.DUMMYFUNCTION("IFERROR(VLOOKUP(A5356, IMPORTRANGE(""https://docs.google.com/spreadsheets/d/1-3Vjw2Cyy-mry5gbC8ypIR3YVGFfEpyFESummAta6sg/edit"", ""Sheet1!B:D""), 2, FALSE), ""Not Found"")"),"pɪloʊ")</f>
        <v>pɪloʊ</v>
      </c>
      <c r="E5356" s="2" t="str">
        <f>IFERROR(__xludf.DUMMYFUNCTION("IFERROR(VLOOKUP(A5356, IMPORTRANGE(""https://docs.google.com/spreadsheets/d/1-3Vjw2Cyy-mry5gbC8ypIR3YVGFfEpyFESummAta6sg/edit"", ""Sheet1!B:D""), 3, FALSE), ""Not Found"")"),"p ɪ l o ʊ ")</f>
        <v>p ɪ l o ʊ </v>
      </c>
    </row>
    <row r="5357">
      <c r="A5357" s="1" t="s">
        <v>5360</v>
      </c>
      <c r="B5357" s="1" t="s">
        <v>5</v>
      </c>
      <c r="C5357" s="2">
        <f>IFERROR(__xludf.DUMMYFUNCTION("IFERROR(VLOOKUP(A5357, IMPORTRANGE(""https://docs.google.com/spreadsheets/d/1AVX9GT0dgogEBStecCXMMQ29tWz3gBrtNB8yIromXbY/edit?gid=741673867"", ""out1g!A:B""), 2, FALSE), 0)"),13330.0)</f>
        <v>13330</v>
      </c>
      <c r="D5357" s="2" t="str">
        <f>IFERROR(__xludf.DUMMYFUNCTION("IFERROR(VLOOKUP(A5357, IMPORTRANGE(""https://docs.google.com/spreadsheets/d/1-3Vjw2Cyy-mry5gbC8ypIR3YVGFfEpyFESummAta6sg/edit"", ""Sheet1!B:D""), 2, FALSE), ""Not Found"")"),"dil")</f>
        <v>dil</v>
      </c>
      <c r="E5357" s="2" t="str">
        <f>IFERROR(__xludf.DUMMYFUNCTION("IFERROR(VLOOKUP(A5357, IMPORTRANGE(""https://docs.google.com/spreadsheets/d/1-3Vjw2Cyy-mry5gbC8ypIR3YVGFfEpyFESummAta6sg/edit"", ""Sheet1!B:D""), 3, FALSE), ""Not Found"")"),"d i l ")</f>
        <v>d i l </v>
      </c>
    </row>
    <row r="5358">
      <c r="A5358" s="1" t="s">
        <v>5361</v>
      </c>
      <c r="B5358" s="1" t="s">
        <v>5</v>
      </c>
      <c r="C5358" s="2">
        <f>IFERROR(__xludf.DUMMYFUNCTION("IFERROR(VLOOKUP(A5358, IMPORTRANGE(""https://docs.google.com/spreadsheets/d/1AVX9GT0dgogEBStecCXMMQ29tWz3gBrtNB8yIromXbY/edit?gid=741673867"", ""out1g!A:B""), 2, FALSE), 0)"),418.0)</f>
        <v>418</v>
      </c>
      <c r="D5358" s="2" t="str">
        <f>IFERROR(__xludf.DUMMYFUNCTION("IFERROR(VLOOKUP(A5358, IMPORTRANGE(""https://docs.google.com/spreadsheets/d/1-3Vjw2Cyy-mry5gbC8ypIR3YVGFfEpyFESummAta6sg/edit"", ""Sheet1!B:D""), 2, FALSE), ""Not Found"")"),"strɪŋz")</f>
        <v>strɪŋz</v>
      </c>
      <c r="E5358" s="2" t="str">
        <f>IFERROR(__xludf.DUMMYFUNCTION("IFERROR(VLOOKUP(A5358, IMPORTRANGE(""https://docs.google.com/spreadsheets/d/1-3Vjw2Cyy-mry5gbC8ypIR3YVGFfEpyFESummAta6sg/edit"", ""Sheet1!B:D""), 3, FALSE), ""Not Found"")"),"s t r ɪ ŋ z ")</f>
        <v>s t r ɪ ŋ z </v>
      </c>
    </row>
    <row r="5359">
      <c r="A5359" s="1" t="s">
        <v>5362</v>
      </c>
      <c r="B5359" s="1" t="s">
        <v>5</v>
      </c>
      <c r="C5359" s="2">
        <f>IFERROR(__xludf.DUMMYFUNCTION("IFERROR(VLOOKUP(A5359, IMPORTRANGE(""https://docs.google.com/spreadsheets/d/1AVX9GT0dgogEBStecCXMMQ29tWz3gBrtNB8yIromXbY/edit?gid=741673867"", ""out1g!A:B""), 2, FALSE), 0)"),64.0)</f>
        <v>64</v>
      </c>
      <c r="D5359" s="2" t="str">
        <f>IFERROR(__xludf.DUMMYFUNCTION("IFERROR(VLOOKUP(A5359, IMPORTRANGE(""https://docs.google.com/spreadsheets/d/1-3Vjw2Cyy-mry5gbC8ypIR3YVGFfEpyFESummAta6sg/edit"", ""Sheet1!B:D""), 2, FALSE), ""Not Found"")"),"pesɪŋ")</f>
        <v>pesɪŋ</v>
      </c>
      <c r="E5359" s="2" t="str">
        <f>IFERROR(__xludf.DUMMYFUNCTION("IFERROR(VLOOKUP(A5359, IMPORTRANGE(""https://docs.google.com/spreadsheets/d/1-3Vjw2Cyy-mry5gbC8ypIR3YVGFfEpyFESummAta6sg/edit"", ""Sheet1!B:D""), 3, FALSE), ""Not Found"")"),"p e s ɪ ŋ ")</f>
        <v>p e s ɪ ŋ </v>
      </c>
    </row>
    <row r="5360">
      <c r="A5360" s="1" t="s">
        <v>5363</v>
      </c>
      <c r="B5360" s="1" t="s">
        <v>5</v>
      </c>
      <c r="C5360" s="2">
        <f>IFERROR(__xludf.DUMMYFUNCTION("IFERROR(VLOOKUP(A5360, IMPORTRANGE(""https://docs.google.com/spreadsheets/d/1AVX9GT0dgogEBStecCXMMQ29tWz3gBrtNB8yIromXbY/edit?gid=741673867"", ""out1g!A:B""), 2, FALSE), 0)"),100.0)</f>
        <v>100</v>
      </c>
      <c r="D5360" s="2" t="str">
        <f>IFERROR(__xludf.DUMMYFUNCTION("IFERROR(VLOOKUP(A5360, IMPORTRANGE(""https://docs.google.com/spreadsheets/d/1-3Vjw2Cyy-mry5gbC8ypIR3YVGFfEpyFESummAta6sg/edit"", ""Sheet1!B:D""), 2, FALSE), ""Not Found"")"),"doʊm")</f>
        <v>doʊm</v>
      </c>
      <c r="E5360" s="2" t="str">
        <f>IFERROR(__xludf.DUMMYFUNCTION("IFERROR(VLOOKUP(A5360, IMPORTRANGE(""https://docs.google.com/spreadsheets/d/1-3Vjw2Cyy-mry5gbC8ypIR3YVGFfEpyFESummAta6sg/edit"", ""Sheet1!B:D""), 3, FALSE), ""Not Found"")"),"d o ʊ m ")</f>
        <v>d o ʊ m </v>
      </c>
    </row>
    <row r="5361">
      <c r="A5361" s="1" t="s">
        <v>5364</v>
      </c>
      <c r="B5361" s="1" t="s">
        <v>5</v>
      </c>
      <c r="C5361" s="2">
        <f>IFERROR(__xludf.DUMMYFUNCTION("IFERROR(VLOOKUP(A5361, IMPORTRANGE(""https://docs.google.com/spreadsheets/d/1AVX9GT0dgogEBStecCXMMQ29tWz3gBrtNB8yIromXbY/edit?gid=741673867"", ""out1g!A:B""), 2, FALSE), 0)"),86.0)</f>
        <v>86</v>
      </c>
      <c r="D5361" s="2" t="str">
        <f>IFERROR(__xludf.DUMMYFUNCTION("IFERROR(VLOOKUP(A5361, IMPORTRANGE(""https://docs.google.com/spreadsheets/d/1-3Vjw2Cyy-mry5gbC8ypIR3YVGFfEpyFESummAta6sg/edit"", ""Sheet1!B:D""), 2, FALSE), ""Not Found"")"),"pɑti")</f>
        <v>pɑti</v>
      </c>
      <c r="E5361" s="2" t="str">
        <f>IFERROR(__xludf.DUMMYFUNCTION("IFERROR(VLOOKUP(A5361, IMPORTRANGE(""https://docs.google.com/spreadsheets/d/1-3Vjw2Cyy-mry5gbC8ypIR3YVGFfEpyFESummAta6sg/edit"", ""Sheet1!B:D""), 3, FALSE), ""Not Found"")"),"p ɑ t i ")</f>
        <v>p ɑ t i </v>
      </c>
    </row>
    <row r="5362">
      <c r="A5362" s="1" t="s">
        <v>5365</v>
      </c>
      <c r="B5362" s="1" t="s">
        <v>5</v>
      </c>
      <c r="C5362" s="2">
        <f>IFERROR(__xludf.DUMMYFUNCTION("IFERROR(VLOOKUP(A5362, IMPORTRANGE(""https://docs.google.com/spreadsheets/d/1AVX9GT0dgogEBStecCXMMQ29tWz3gBrtNB8yIromXbY/edit?gid=741673867"", ""out1g!A:B""), 2, FALSE), 0)"),47.0)</f>
        <v>47</v>
      </c>
      <c r="D5362" s="2" t="str">
        <f>IFERROR(__xludf.DUMMYFUNCTION("IFERROR(VLOOKUP(A5362, IMPORTRANGE(""https://docs.google.com/spreadsheets/d/1-3Vjw2Cyy-mry5gbC8ypIR3YVGFfEpyFESummAta6sg/edit"", ""Sheet1!B:D""), 2, FALSE), ""Not Found"")"),"pipər")</f>
        <v>pipər</v>
      </c>
      <c r="E5362" s="2" t="str">
        <f>IFERROR(__xludf.DUMMYFUNCTION("IFERROR(VLOOKUP(A5362, IMPORTRANGE(""https://docs.google.com/spreadsheets/d/1-3Vjw2Cyy-mry5gbC8ypIR3YVGFfEpyFESummAta6sg/edit"", ""Sheet1!B:D""), 3, FALSE), ""Not Found"")"),"p i p ə r ")</f>
        <v>p i p ə r </v>
      </c>
    </row>
    <row r="5363">
      <c r="A5363" s="1" t="s">
        <v>5366</v>
      </c>
      <c r="B5363" s="1" t="s">
        <v>5</v>
      </c>
      <c r="C5363" s="2">
        <f>IFERROR(__xludf.DUMMYFUNCTION("IFERROR(VLOOKUP(A5363, IMPORTRANGE(""https://docs.google.com/spreadsheets/d/1AVX9GT0dgogEBStecCXMMQ29tWz3gBrtNB8yIromXbY/edit?gid=741673867"", ""out1g!A:B""), 2, FALSE), 0)"),73.0)</f>
        <v>73</v>
      </c>
      <c r="D5363" s="2" t="str">
        <f>IFERROR(__xludf.DUMMYFUNCTION("IFERROR(VLOOKUP(A5363, IMPORTRANGE(""https://docs.google.com/spreadsheets/d/1-3Vjw2Cyy-mry5gbC8ypIR3YVGFfEpyFESummAta6sg/edit"", ""Sheet1!B:D""), 2, FALSE), ""Not Found"")"),"wɑsp")</f>
        <v>wɑsp</v>
      </c>
      <c r="E5363" s="2" t="str">
        <f>IFERROR(__xludf.DUMMYFUNCTION("IFERROR(VLOOKUP(A5363, IMPORTRANGE(""https://docs.google.com/spreadsheets/d/1-3Vjw2Cyy-mry5gbC8ypIR3YVGFfEpyFESummAta6sg/edit"", ""Sheet1!B:D""), 3, FALSE), ""Not Found"")"),"w ɑ s p ")</f>
        <v>w ɑ s p </v>
      </c>
    </row>
    <row r="5364">
      <c r="A5364" s="1" t="s">
        <v>5367</v>
      </c>
      <c r="B5364" s="1" t="s">
        <v>5</v>
      </c>
      <c r="C5364" s="2">
        <f>IFERROR(__xludf.DUMMYFUNCTION("IFERROR(VLOOKUP(A5364, IMPORTRANGE(""https://docs.google.com/spreadsheets/d/1AVX9GT0dgogEBStecCXMMQ29tWz3gBrtNB8yIromXbY/edit?gid=741673867"", ""out1g!A:B""), 2, FALSE), 0)"),86.0)</f>
        <v>86</v>
      </c>
      <c r="D5364" s="2" t="str">
        <f>IFERROR(__xludf.DUMMYFUNCTION("IFERROR(VLOOKUP(A5364, IMPORTRANGE(""https://docs.google.com/spreadsheets/d/1-3Vjw2Cyy-mry5gbC8ypIR3YVGFfEpyFESummAta6sg/edit"", ""Sheet1!B:D""), 2, FALSE), ""Not Found"")"),"həre")</f>
        <v>həre</v>
      </c>
      <c r="E5364" s="2" t="str">
        <f>IFERROR(__xludf.DUMMYFUNCTION("IFERROR(VLOOKUP(A5364, IMPORTRANGE(""https://docs.google.com/spreadsheets/d/1-3Vjw2Cyy-mry5gbC8ypIR3YVGFfEpyFESummAta6sg/edit"", ""Sheet1!B:D""), 3, FALSE), ""Not Found"")"),"h ə r e ")</f>
        <v>h ə r e </v>
      </c>
    </row>
    <row r="5365">
      <c r="A5365" s="1" t="s">
        <v>5368</v>
      </c>
      <c r="B5365" s="1" t="s">
        <v>5</v>
      </c>
      <c r="C5365" s="2">
        <f>IFERROR(__xludf.DUMMYFUNCTION("IFERROR(VLOOKUP(A5365, IMPORTRANGE(""https://docs.google.com/spreadsheets/d/1AVX9GT0dgogEBStecCXMMQ29tWz3gBrtNB8yIromXbY/edit?gid=741673867"", ""out1g!A:B""), 2, FALSE), 0)"),67.0)</f>
        <v>67</v>
      </c>
      <c r="D5365" s="2" t="str">
        <f>IFERROR(__xludf.DUMMYFUNCTION("IFERROR(VLOOKUP(A5365, IMPORTRANGE(""https://docs.google.com/spreadsheets/d/1-3Vjw2Cyy-mry5gbC8ypIR3YVGFfEpyFESummAta6sg/edit"", ""Sheet1!B:D""), 2, FALSE), ""Not Found"")"),"ʤub")</f>
        <v>ʤub</v>
      </c>
      <c r="E5365" s="2" t="str">
        <f>IFERROR(__xludf.DUMMYFUNCTION("IFERROR(VLOOKUP(A5365, IMPORTRANGE(""https://docs.google.com/spreadsheets/d/1-3Vjw2Cyy-mry5gbC8ypIR3YVGFfEpyFESummAta6sg/edit"", ""Sheet1!B:D""), 3, FALSE), ""Not Found"")"),"ʤ u b ")</f>
        <v>ʤ u b </v>
      </c>
    </row>
    <row r="5366">
      <c r="A5366" s="1" t="s">
        <v>5369</v>
      </c>
      <c r="B5366" s="1" t="s">
        <v>5</v>
      </c>
      <c r="C5366" s="2">
        <f>IFERROR(__xludf.DUMMYFUNCTION("IFERROR(VLOOKUP(A5366, IMPORTRANGE(""https://docs.google.com/spreadsheets/d/1AVX9GT0dgogEBStecCXMMQ29tWz3gBrtNB8yIromXbY/edit?gid=741673867"", ""out1g!A:B""), 2, FALSE), 0)"),142.0)</f>
        <v>142</v>
      </c>
      <c r="D5366" s="2" t="str">
        <f>IFERROR(__xludf.DUMMYFUNCTION("IFERROR(VLOOKUP(A5366, IMPORTRANGE(""https://docs.google.com/spreadsheets/d/1-3Vjw2Cyy-mry5gbC8ypIR3YVGFfEpyFESummAta6sg/edit"", ""Sheet1!B:D""), 2, FALSE), ""Not Found"")"),"kæt")</f>
        <v>kæt</v>
      </c>
      <c r="E5366" s="2" t="str">
        <f>IFERROR(__xludf.DUMMYFUNCTION("IFERROR(VLOOKUP(A5366, IMPORTRANGE(""https://docs.google.com/spreadsheets/d/1-3Vjw2Cyy-mry5gbC8ypIR3YVGFfEpyFESummAta6sg/edit"", ""Sheet1!B:D""), 3, FALSE), ""Not Found"")"),"k æ t ")</f>
        <v>k æ t </v>
      </c>
    </row>
    <row r="5367">
      <c r="A5367" s="1" t="s">
        <v>5370</v>
      </c>
      <c r="B5367" s="1" t="s">
        <v>5</v>
      </c>
      <c r="C5367" s="2">
        <f>IFERROR(__xludf.DUMMYFUNCTION("IFERROR(VLOOKUP(A5367, IMPORTRANGE(""https://docs.google.com/spreadsheets/d/1AVX9GT0dgogEBStecCXMMQ29tWz3gBrtNB8yIromXbY/edit?gid=741673867"", ""out1g!A:B""), 2, FALSE), 0)"),2937.0)</f>
        <v>2937</v>
      </c>
      <c r="D5367" s="2" t="str">
        <f>IFERROR(__xludf.DUMMYFUNCTION("IFERROR(VLOOKUP(A5367, IMPORTRANGE(""https://docs.google.com/spreadsheets/d/1-3Vjw2Cyy-mry5gbC8ypIR3YVGFfEpyFESummAta6sg/edit"", ""Sheet1!B:D""), 2, FALSE), ""Not Found"")"),"fɪt")</f>
        <v>fɪt</v>
      </c>
      <c r="E5367" s="2" t="str">
        <f>IFERROR(__xludf.DUMMYFUNCTION("IFERROR(VLOOKUP(A5367, IMPORTRANGE(""https://docs.google.com/spreadsheets/d/1-3Vjw2Cyy-mry5gbC8ypIR3YVGFfEpyFESummAta6sg/edit"", ""Sheet1!B:D""), 3, FALSE), ""Not Found"")"),"f ɪ t ")</f>
        <v>f ɪ t </v>
      </c>
    </row>
    <row r="5368">
      <c r="A5368" s="1" t="s">
        <v>5371</v>
      </c>
      <c r="B5368" s="1" t="s">
        <v>5</v>
      </c>
      <c r="C5368" s="2">
        <f>IFERROR(__xludf.DUMMYFUNCTION("IFERROR(VLOOKUP(A5368, IMPORTRANGE(""https://docs.google.com/spreadsheets/d/1AVX9GT0dgogEBStecCXMMQ29tWz3gBrtNB8yIromXbY/edit?gid=741673867"", ""out1g!A:B""), 2, FALSE), 0)"),195.0)</f>
        <v>195</v>
      </c>
      <c r="D5368" s="2" t="str">
        <f>IFERROR(__xludf.DUMMYFUNCTION("IFERROR(VLOOKUP(A5368, IMPORTRANGE(""https://docs.google.com/spreadsheets/d/1-3Vjw2Cyy-mry5gbC8ypIR3YVGFfEpyFESummAta6sg/edit"", ""Sheet1!B:D""), 2, FALSE), ""Not Found"")"),"tunz")</f>
        <v>tunz</v>
      </c>
      <c r="E5368" s="2" t="str">
        <f>IFERROR(__xludf.DUMMYFUNCTION("IFERROR(VLOOKUP(A5368, IMPORTRANGE(""https://docs.google.com/spreadsheets/d/1-3Vjw2Cyy-mry5gbC8ypIR3YVGFfEpyFESummAta6sg/edit"", ""Sheet1!B:D""), 3, FALSE), ""Not Found"")"),"t u n z ")</f>
        <v>t u n z </v>
      </c>
    </row>
    <row r="5369">
      <c r="A5369" s="1" t="s">
        <v>5372</v>
      </c>
      <c r="B5369" s="1" t="s">
        <v>5</v>
      </c>
      <c r="C5369" s="2">
        <f>IFERROR(__xludf.DUMMYFUNCTION("IFERROR(VLOOKUP(A5369, IMPORTRANGE(""https://docs.google.com/spreadsheets/d/1AVX9GT0dgogEBStecCXMMQ29tWz3gBrtNB8yIromXbY/edit?gid=741673867"", ""out1g!A:B""), 2, FALSE), 0)"),1604.0)</f>
        <v>1604</v>
      </c>
      <c r="D5369" s="2" t="str">
        <f>IFERROR(__xludf.DUMMYFUNCTION("IFERROR(VLOOKUP(A5369, IMPORTRANGE(""https://docs.google.com/spreadsheets/d/1-3Vjw2Cyy-mry5gbC8ypIR3YVGFfEpyFESummAta6sg/edit"", ""Sheet1!B:D""), 2, FALSE), ""Not Found"")"),"mæt")</f>
        <v>mæt</v>
      </c>
      <c r="E5369" s="2" t="str">
        <f>IFERROR(__xludf.DUMMYFUNCTION("IFERROR(VLOOKUP(A5369, IMPORTRANGE(""https://docs.google.com/spreadsheets/d/1-3Vjw2Cyy-mry5gbC8ypIR3YVGFfEpyFESummAta6sg/edit"", ""Sheet1!B:D""), 3, FALSE), ""Not Found"")"),"m æ t ")</f>
        <v>m æ t </v>
      </c>
    </row>
    <row r="5370">
      <c r="A5370" s="1" t="s">
        <v>5373</v>
      </c>
      <c r="B5370" s="1" t="s">
        <v>5</v>
      </c>
      <c r="C5370" s="2">
        <f>IFERROR(__xludf.DUMMYFUNCTION("IFERROR(VLOOKUP(A5370, IMPORTRANGE(""https://docs.google.com/spreadsheets/d/1AVX9GT0dgogEBStecCXMMQ29tWz3gBrtNB8yIromXbY/edit?gid=741673867"", ""out1g!A:B""), 2, FALSE), 0)"),371.0)</f>
        <v>371</v>
      </c>
      <c r="D5370" s="2" t="str">
        <f>IFERROR(__xludf.DUMMYFUNCTION("IFERROR(VLOOKUP(A5370, IMPORTRANGE(""https://docs.google.com/spreadsheets/d/1-3Vjw2Cyy-mry5gbC8ypIR3YVGFfEpyFESummAta6sg/edit"", ""Sheet1!B:D""), 2, FALSE), ""Not Found"")"),"ʤæmd")</f>
        <v>ʤæmd</v>
      </c>
      <c r="E5370" s="2" t="str">
        <f>IFERROR(__xludf.DUMMYFUNCTION("IFERROR(VLOOKUP(A5370, IMPORTRANGE(""https://docs.google.com/spreadsheets/d/1-3Vjw2Cyy-mry5gbC8ypIR3YVGFfEpyFESummAta6sg/edit"", ""Sheet1!B:D""), 3, FALSE), ""Not Found"")"),"ʤ æ m d ")</f>
        <v>ʤ æ m d </v>
      </c>
    </row>
    <row r="5371">
      <c r="A5371" s="1" t="s">
        <v>5374</v>
      </c>
      <c r="B5371" s="1" t="s">
        <v>5</v>
      </c>
      <c r="C5371" s="2">
        <f>IFERROR(__xludf.DUMMYFUNCTION("IFERROR(VLOOKUP(A5371, IMPORTRANGE(""https://docs.google.com/spreadsheets/d/1AVX9GT0dgogEBStecCXMMQ29tWz3gBrtNB8yIromXbY/edit?gid=741673867"", ""out1g!A:B""), 2, FALSE), 0)"),138.0)</f>
        <v>138</v>
      </c>
      <c r="D5371" s="2" t="str">
        <f>IFERROR(__xludf.DUMMYFUNCTION("IFERROR(VLOOKUP(A5371, IMPORTRANGE(""https://docs.google.com/spreadsheets/d/1-3Vjw2Cyy-mry5gbC8ypIR3YVGFfEpyFESummAta6sg/edit"", ""Sheet1!B:D""), 2, FALSE), ""Not Found"")"),"əsaɪn")</f>
        <v>əsaɪn</v>
      </c>
      <c r="E5371" s="2" t="str">
        <f>IFERROR(__xludf.DUMMYFUNCTION("IFERROR(VLOOKUP(A5371, IMPORTRANGE(""https://docs.google.com/spreadsheets/d/1-3Vjw2Cyy-mry5gbC8ypIR3YVGFfEpyFESummAta6sg/edit"", ""Sheet1!B:D""), 3, FALSE), ""Not Found"")"),"ə s a ɪ n ")</f>
        <v>ə s a ɪ n </v>
      </c>
    </row>
    <row r="5372">
      <c r="A5372" s="1" t="s">
        <v>5375</v>
      </c>
      <c r="B5372" s="1" t="s">
        <v>5</v>
      </c>
      <c r="C5372" s="2">
        <f>IFERROR(__xludf.DUMMYFUNCTION("IFERROR(VLOOKUP(A5372, IMPORTRANGE(""https://docs.google.com/spreadsheets/d/1AVX9GT0dgogEBStecCXMMQ29tWz3gBrtNB8yIromXbY/edit?gid=741673867"", ""out1g!A:B""), 2, FALSE), 0)"),424.0)</f>
        <v>424</v>
      </c>
      <c r="D5372" s="2" t="str">
        <f>IFERROR(__xludf.DUMMYFUNCTION("IFERROR(VLOOKUP(A5372, IMPORTRANGE(""https://docs.google.com/spreadsheets/d/1-3Vjw2Cyy-mry5gbC8ypIR3YVGFfEpyFESummAta6sg/edit"", ""Sheet1!B:D""), 2, FALSE), ""Not Found"")"),"ʤɑr")</f>
        <v>ʤɑr</v>
      </c>
      <c r="E5372" s="2" t="str">
        <f>IFERROR(__xludf.DUMMYFUNCTION("IFERROR(VLOOKUP(A5372, IMPORTRANGE(""https://docs.google.com/spreadsheets/d/1-3Vjw2Cyy-mry5gbC8ypIR3YVGFfEpyFESummAta6sg/edit"", ""Sheet1!B:D""), 3, FALSE), ""Not Found"")"),"ʤ ɑ r ")</f>
        <v>ʤ ɑ r </v>
      </c>
    </row>
    <row r="5373">
      <c r="A5373" s="1" t="s">
        <v>5376</v>
      </c>
      <c r="B5373" s="1" t="s">
        <v>5</v>
      </c>
      <c r="C5373" s="2">
        <f>IFERROR(__xludf.DUMMYFUNCTION("IFERROR(VLOOKUP(A5373, IMPORTRANGE(""https://docs.google.com/spreadsheets/d/1AVX9GT0dgogEBStecCXMMQ29tWz3gBrtNB8yIromXbY/edit?gid=741673867"", ""out1g!A:B""), 2, FALSE), 0)"),483.0)</f>
        <v>483</v>
      </c>
      <c r="D5373" s="2" t="str">
        <f>IFERROR(__xludf.DUMMYFUNCTION("IFERROR(VLOOKUP(A5373, IMPORTRANGE(""https://docs.google.com/spreadsheets/d/1-3Vjw2Cyy-mry5gbC8ypIR3YVGFfEpyFESummAta6sg/edit"", ""Sheet1!B:D""), 2, FALSE), ""Not Found"")"),"ʧɑrt")</f>
        <v>ʧɑrt</v>
      </c>
      <c r="E5373" s="2" t="str">
        <f>IFERROR(__xludf.DUMMYFUNCTION("IFERROR(VLOOKUP(A5373, IMPORTRANGE(""https://docs.google.com/spreadsheets/d/1-3Vjw2Cyy-mry5gbC8ypIR3YVGFfEpyFESummAta6sg/edit"", ""Sheet1!B:D""), 3, FALSE), ""Not Found"")"),"ʧ ɑ r t ")</f>
        <v>ʧ ɑ r t </v>
      </c>
    </row>
    <row r="5374">
      <c r="A5374" s="1" t="s">
        <v>5377</v>
      </c>
      <c r="B5374" s="1" t="s">
        <v>5</v>
      </c>
      <c r="C5374" s="2">
        <f>IFERROR(__xludf.DUMMYFUNCTION("IFERROR(VLOOKUP(A5374, IMPORTRANGE(""https://docs.google.com/spreadsheets/d/1AVX9GT0dgogEBStecCXMMQ29tWz3gBrtNB8yIromXbY/edit?gid=741673867"", ""out1g!A:B""), 2, FALSE), 0)"),218.0)</f>
        <v>218</v>
      </c>
      <c r="D5374" s="2" t="str">
        <f>IFERROR(__xludf.DUMMYFUNCTION("IFERROR(VLOOKUP(A5374, IMPORTRANGE(""https://docs.google.com/spreadsheets/d/1-3Vjw2Cyy-mry5gbC8ypIR3YVGFfEpyFESummAta6sg/edit"", ""Sheet1!B:D""), 2, FALSE), ""Not Found"")"),"tərf")</f>
        <v>tərf</v>
      </c>
      <c r="E5374" s="2" t="str">
        <f>IFERROR(__xludf.DUMMYFUNCTION("IFERROR(VLOOKUP(A5374, IMPORTRANGE(""https://docs.google.com/spreadsheets/d/1-3Vjw2Cyy-mry5gbC8ypIR3YVGFfEpyFESummAta6sg/edit"", ""Sheet1!B:D""), 3, FALSE), ""Not Found"")"),"t ə r f ")</f>
        <v>t ə r f </v>
      </c>
    </row>
    <row r="5375">
      <c r="A5375" s="1" t="s">
        <v>5378</v>
      </c>
      <c r="B5375" s="1" t="s">
        <v>5</v>
      </c>
      <c r="C5375" s="2">
        <f>IFERROR(__xludf.DUMMYFUNCTION("IFERROR(VLOOKUP(A5375, IMPORTRANGE(""https://docs.google.com/spreadsheets/d/1AVX9GT0dgogEBStecCXMMQ29tWz3gBrtNB8yIromXbY/edit?gid=741673867"", ""out1g!A:B""), 2, FALSE), 0)"),116.0)</f>
        <v>116</v>
      </c>
      <c r="D5375" s="2" t="str">
        <f>IFERROR(__xludf.DUMMYFUNCTION("IFERROR(VLOOKUP(A5375, IMPORTRANGE(""https://docs.google.com/spreadsheets/d/1-3Vjw2Cyy-mry5gbC8ypIR3YVGFfEpyFESummAta6sg/edit"", ""Sheet1!B:D""), 2, FALSE), ""Not Found"")"),"mɪʤəts")</f>
        <v>mɪʤəts</v>
      </c>
      <c r="E5375" s="2" t="str">
        <f>IFERROR(__xludf.DUMMYFUNCTION("IFERROR(VLOOKUP(A5375, IMPORTRANGE(""https://docs.google.com/spreadsheets/d/1-3Vjw2Cyy-mry5gbC8ypIR3YVGFfEpyFESummAta6sg/edit"", ""Sheet1!B:D""), 3, FALSE), ""Not Found"")"),"m ɪ ʤ ə t s ")</f>
        <v>m ɪ ʤ ə t s </v>
      </c>
    </row>
    <row r="5376">
      <c r="A5376" s="1" t="s">
        <v>5379</v>
      </c>
      <c r="B5376" s="1" t="s">
        <v>5</v>
      </c>
      <c r="C5376" s="2">
        <f>IFERROR(__xludf.DUMMYFUNCTION("IFERROR(VLOOKUP(A5376, IMPORTRANGE(""https://docs.google.com/spreadsheets/d/1AVX9GT0dgogEBStecCXMMQ29tWz3gBrtNB8yIromXbY/edit?gid=741673867"", ""out1g!A:B""), 2, FALSE), 0)"),290.0)</f>
        <v>290</v>
      </c>
      <c r="D5376" s="2" t="str">
        <f>IFERROR(__xludf.DUMMYFUNCTION("IFERROR(VLOOKUP(A5376, IMPORTRANGE(""https://docs.google.com/spreadsheets/d/1-3Vjw2Cyy-mry5gbC8ypIR3YVGFfEpyFESummAta6sg/edit"", ""Sheet1!B:D""), 2, FALSE), ""Not Found"")"),"pɛts")</f>
        <v>pɛts</v>
      </c>
      <c r="E5376" s="2" t="str">
        <f>IFERROR(__xludf.DUMMYFUNCTION("IFERROR(VLOOKUP(A5376, IMPORTRANGE(""https://docs.google.com/spreadsheets/d/1-3Vjw2Cyy-mry5gbC8ypIR3YVGFfEpyFESummAta6sg/edit"", ""Sheet1!B:D""), 3, FALSE), ""Not Found"")"),"p ɛ t s ")</f>
        <v>p ɛ t s </v>
      </c>
    </row>
    <row r="5377">
      <c r="A5377" s="1" t="s">
        <v>5380</v>
      </c>
      <c r="B5377" s="1" t="s">
        <v>5</v>
      </c>
      <c r="C5377" s="2">
        <f>IFERROR(__xludf.DUMMYFUNCTION("IFERROR(VLOOKUP(A5377, IMPORTRANGE(""https://docs.google.com/spreadsheets/d/1AVX9GT0dgogEBStecCXMMQ29tWz3gBrtNB8yIromXbY/edit?gid=741673867"", ""out1g!A:B""), 2, FALSE), 0)"),326.0)</f>
        <v>326</v>
      </c>
      <c r="D5377" s="2" t="str">
        <f>IFERROR(__xludf.DUMMYFUNCTION("IFERROR(VLOOKUP(A5377, IMPORTRANGE(""https://docs.google.com/spreadsheets/d/1-3Vjw2Cyy-mry5gbC8ypIR3YVGFfEpyFESummAta6sg/edit"", ""Sheet1!B:D""), 2, FALSE), ""Not Found"")"),"ləkəli")</f>
        <v>ləkəli</v>
      </c>
      <c r="E5377" s="2" t="str">
        <f>IFERROR(__xludf.DUMMYFUNCTION("IFERROR(VLOOKUP(A5377, IMPORTRANGE(""https://docs.google.com/spreadsheets/d/1-3Vjw2Cyy-mry5gbC8ypIR3YVGFfEpyFESummAta6sg/edit"", ""Sheet1!B:D""), 3, FALSE), ""Not Found"")"),"l ə k ə l i ")</f>
        <v>l ə k ə l i </v>
      </c>
    </row>
    <row r="5378">
      <c r="A5378" s="1" t="s">
        <v>5381</v>
      </c>
      <c r="B5378" s="1" t="s">
        <v>5</v>
      </c>
      <c r="C5378" s="2">
        <f>IFERROR(__xludf.DUMMYFUNCTION("IFERROR(VLOOKUP(A5378, IMPORTRANGE(""https://docs.google.com/spreadsheets/d/1AVX9GT0dgogEBStecCXMMQ29tWz3gBrtNB8yIromXbY/edit?gid=741673867"", ""out1g!A:B""), 2, FALSE), 0)"),70.0)</f>
        <v>70</v>
      </c>
      <c r="D5378" s="2" t="str">
        <f>IFERROR(__xludf.DUMMYFUNCTION("IFERROR(VLOOKUP(A5378, IMPORTRANGE(""https://docs.google.com/spreadsheets/d/1-3Vjw2Cyy-mry5gbC8ypIR3YVGFfEpyFESummAta6sg/edit"", ""Sheet1!B:D""), 2, FALSE), ""Not Found"")"),"smət")</f>
        <v>smət</v>
      </c>
      <c r="E5378" s="2" t="str">
        <f>IFERROR(__xludf.DUMMYFUNCTION("IFERROR(VLOOKUP(A5378, IMPORTRANGE(""https://docs.google.com/spreadsheets/d/1-3Vjw2Cyy-mry5gbC8ypIR3YVGFfEpyFESummAta6sg/edit"", ""Sheet1!B:D""), 3, FALSE), ""Not Found"")"),"s m ə t ")</f>
        <v>s m ə t </v>
      </c>
    </row>
    <row r="5379">
      <c r="A5379" s="1" t="s">
        <v>5382</v>
      </c>
      <c r="B5379" s="1" t="s">
        <v>5</v>
      </c>
      <c r="C5379" s="2">
        <f>IFERROR(__xludf.DUMMYFUNCTION("IFERROR(VLOOKUP(A5379, IMPORTRANGE(""https://docs.google.com/spreadsheets/d/1AVX9GT0dgogEBStecCXMMQ29tWz3gBrtNB8yIromXbY/edit?gid=741673867"", ""out1g!A:B""), 2, FALSE), 0)"),98.0)</f>
        <v>98</v>
      </c>
      <c r="D5379" s="2" t="str">
        <f>IFERROR(__xludf.DUMMYFUNCTION("IFERROR(VLOOKUP(A5379, IMPORTRANGE(""https://docs.google.com/spreadsheets/d/1-3Vjw2Cyy-mry5gbC8ypIR3YVGFfEpyFESummAta6sg/edit"", ""Sheet1!B:D""), 2, FALSE), ""Not Found"")"),"spɪnz")</f>
        <v>spɪnz</v>
      </c>
      <c r="E5379" s="2" t="str">
        <f>IFERROR(__xludf.DUMMYFUNCTION("IFERROR(VLOOKUP(A5379, IMPORTRANGE(""https://docs.google.com/spreadsheets/d/1-3Vjw2Cyy-mry5gbC8ypIR3YVGFfEpyFESummAta6sg/edit"", ""Sheet1!B:D""), 3, FALSE), ""Not Found"")"),"s p ɪ n z ")</f>
        <v>s p ɪ n z </v>
      </c>
    </row>
    <row r="5380">
      <c r="A5380" s="1" t="s">
        <v>5383</v>
      </c>
      <c r="B5380" s="1" t="s">
        <v>5</v>
      </c>
      <c r="C5380" s="2">
        <f>IFERROR(__xludf.DUMMYFUNCTION("IFERROR(VLOOKUP(A5380, IMPORTRANGE(""https://docs.google.com/spreadsheets/d/1AVX9GT0dgogEBStecCXMMQ29tWz3gBrtNB8yIromXbY/edit?gid=741673867"", ""out1g!A:B""), 2, FALSE), 0)"),91.0)</f>
        <v>91</v>
      </c>
      <c r="D5380" s="2" t="str">
        <f>IFERROR(__xludf.DUMMYFUNCTION("IFERROR(VLOOKUP(A5380, IMPORTRANGE(""https://docs.google.com/spreadsheets/d/1-3Vjw2Cyy-mry5gbC8ypIR3YVGFfEpyFESummAta6sg/edit"", ""Sheet1!B:D""), 2, FALSE), ""Not Found"")"),"gæloʊz")</f>
        <v>gæloʊz</v>
      </c>
      <c r="E5380" s="2" t="str">
        <f>IFERROR(__xludf.DUMMYFUNCTION("IFERROR(VLOOKUP(A5380, IMPORTRANGE(""https://docs.google.com/spreadsheets/d/1-3Vjw2Cyy-mry5gbC8ypIR3YVGFfEpyFESummAta6sg/edit"", ""Sheet1!B:D""), 3, FALSE), ""Not Found"")"),"g æ l o ʊ z ")</f>
        <v>g æ l o ʊ z </v>
      </c>
    </row>
    <row r="5381">
      <c r="A5381" s="1" t="s">
        <v>5384</v>
      </c>
      <c r="B5381" s="1" t="s">
        <v>5</v>
      </c>
      <c r="C5381" s="2">
        <f>IFERROR(__xludf.DUMMYFUNCTION("IFERROR(VLOOKUP(A5381, IMPORTRANGE(""https://docs.google.com/spreadsheets/d/1AVX9GT0dgogEBStecCXMMQ29tWz3gBrtNB8yIromXbY/edit?gid=741673867"", ""out1g!A:B""), 2, FALSE), 0)"),67.0)</f>
        <v>67</v>
      </c>
      <c r="D5381" s="2" t="str">
        <f>IFERROR(__xludf.DUMMYFUNCTION("IFERROR(VLOOKUP(A5381, IMPORTRANGE(""https://docs.google.com/spreadsheets/d/1-3Vjw2Cyy-mry5gbC8ypIR3YVGFfEpyFESummAta6sg/edit"", ""Sheet1!B:D""), 2, FALSE), ""Not Found"")"),"boʊlər")</f>
        <v>boʊlər</v>
      </c>
      <c r="E5381" s="2" t="str">
        <f>IFERROR(__xludf.DUMMYFUNCTION("IFERROR(VLOOKUP(A5381, IMPORTRANGE(""https://docs.google.com/spreadsheets/d/1-3Vjw2Cyy-mry5gbC8ypIR3YVGFfEpyFESummAta6sg/edit"", ""Sheet1!B:D""), 3, FALSE), ""Not Found"")"),"b o ʊ l ə r ")</f>
        <v>b o ʊ l ə r </v>
      </c>
    </row>
    <row r="5382">
      <c r="A5382" s="1" t="s">
        <v>5385</v>
      </c>
      <c r="B5382" s="1" t="s">
        <v>5</v>
      </c>
      <c r="C5382" s="2">
        <f>IFERROR(__xludf.DUMMYFUNCTION("IFERROR(VLOOKUP(A5382, IMPORTRANGE(""https://docs.google.com/spreadsheets/d/1AVX9GT0dgogEBStecCXMMQ29tWz3gBrtNB8yIromXbY/edit?gid=741673867"", ""out1g!A:B""), 2, FALSE), 0)"),266.0)</f>
        <v>266</v>
      </c>
      <c r="D5382" s="2" t="str">
        <f>IFERROR(__xludf.DUMMYFUNCTION("IFERROR(VLOOKUP(A5382, IMPORTRANGE(""https://docs.google.com/spreadsheets/d/1-3Vjw2Cyy-mry5gbC8ypIR3YVGFfEpyFESummAta6sg/edit"", ""Sheet1!B:D""), 2, FALSE), ""Not Found"")"),"renz")</f>
        <v>renz</v>
      </c>
      <c r="E5382" s="2" t="str">
        <f>IFERROR(__xludf.DUMMYFUNCTION("IFERROR(VLOOKUP(A5382, IMPORTRANGE(""https://docs.google.com/spreadsheets/d/1-3Vjw2Cyy-mry5gbC8ypIR3YVGFfEpyFESummAta6sg/edit"", ""Sheet1!B:D""), 3, FALSE), ""Not Found"")"),"r e n z ")</f>
        <v>r e n z </v>
      </c>
    </row>
    <row r="5383">
      <c r="A5383" s="1" t="s">
        <v>5386</v>
      </c>
      <c r="B5383" s="1" t="s">
        <v>5</v>
      </c>
      <c r="C5383" s="2">
        <f>IFERROR(__xludf.DUMMYFUNCTION("IFERROR(VLOOKUP(A5383, IMPORTRANGE(""https://docs.google.com/spreadsheets/d/1AVX9GT0dgogEBStecCXMMQ29tWz3gBrtNB8yIromXbY/edit?gid=741673867"", ""out1g!A:B""), 2, FALSE), 0)"),67.0)</f>
        <v>67</v>
      </c>
      <c r="D5383" s="2" t="str">
        <f>IFERROR(__xludf.DUMMYFUNCTION("IFERROR(VLOOKUP(A5383, IMPORTRANGE(""https://docs.google.com/spreadsheets/d/1-3Vjw2Cyy-mry5gbC8ypIR3YVGFfEpyFESummAta6sg/edit"", ""Sheet1!B:D""), 2, FALSE), ""Not Found"")"),"ɪloʊp")</f>
        <v>ɪloʊp</v>
      </c>
      <c r="E5383" s="2" t="str">
        <f>IFERROR(__xludf.DUMMYFUNCTION("IFERROR(VLOOKUP(A5383, IMPORTRANGE(""https://docs.google.com/spreadsheets/d/1-3Vjw2Cyy-mry5gbC8ypIR3YVGFfEpyFESummAta6sg/edit"", ""Sheet1!B:D""), 3, FALSE), ""Not Found"")"),"ɪ l o ʊ p ")</f>
        <v>ɪ l o ʊ p </v>
      </c>
    </row>
    <row r="5384">
      <c r="A5384" s="1" t="s">
        <v>5387</v>
      </c>
      <c r="B5384" s="1" t="s">
        <v>5</v>
      </c>
      <c r="C5384" s="2">
        <f>IFERROR(__xludf.DUMMYFUNCTION("IFERROR(VLOOKUP(A5384, IMPORTRANGE(""https://docs.google.com/spreadsheets/d/1AVX9GT0dgogEBStecCXMMQ29tWz3gBrtNB8yIromXbY/edit?gid=741673867"", ""out1g!A:B""), 2, FALSE), 0)"),21.0)</f>
        <v>21</v>
      </c>
      <c r="D5384" s="2" t="str">
        <f>IFERROR(__xludf.DUMMYFUNCTION("IFERROR(VLOOKUP(A5384, IMPORTRANGE(""https://docs.google.com/spreadsheets/d/1-3Vjw2Cyy-mry5gbC8ypIR3YVGFfEpyFESummAta6sg/edit"", ""Sheet1!B:D""), 2, FALSE), ""Not Found"")"),"bɑn")</f>
        <v>bɑn</v>
      </c>
      <c r="E5384" s="2" t="str">
        <f>IFERROR(__xludf.DUMMYFUNCTION("IFERROR(VLOOKUP(A5384, IMPORTRANGE(""https://docs.google.com/spreadsheets/d/1-3Vjw2Cyy-mry5gbC8ypIR3YVGFfEpyFESummAta6sg/edit"", ""Sheet1!B:D""), 3, FALSE), ""Not Found"")"),"b ɑ n ")</f>
        <v>b ɑ n </v>
      </c>
    </row>
    <row r="5385">
      <c r="A5385" s="1" t="s">
        <v>5388</v>
      </c>
      <c r="B5385" s="1" t="s">
        <v>5</v>
      </c>
      <c r="C5385" s="2">
        <f>IFERROR(__xludf.DUMMYFUNCTION("IFERROR(VLOOKUP(A5385, IMPORTRANGE(""https://docs.google.com/spreadsheets/d/1AVX9GT0dgogEBStecCXMMQ29tWz3gBrtNB8yIromXbY/edit?gid=741673867"", ""out1g!A:B""), 2, FALSE), 0)"),709.0)</f>
        <v>709</v>
      </c>
      <c r="D5385" s="2" t="str">
        <f>IFERROR(__xludf.DUMMYFUNCTION("IFERROR(VLOOKUP(A5385, IMPORTRANGE(""https://docs.google.com/spreadsheets/d/1-3Vjw2Cyy-mry5gbC8ypIR3YVGFfEpyFESummAta6sg/edit"", ""Sheet1!B:D""), 2, FALSE), ""Not Found"")"),"dɑrn")</f>
        <v>dɑrn</v>
      </c>
      <c r="E5385" s="2" t="str">
        <f>IFERROR(__xludf.DUMMYFUNCTION("IFERROR(VLOOKUP(A5385, IMPORTRANGE(""https://docs.google.com/spreadsheets/d/1-3Vjw2Cyy-mry5gbC8ypIR3YVGFfEpyFESummAta6sg/edit"", ""Sheet1!B:D""), 3, FALSE), ""Not Found"")"),"d ɑ r n ")</f>
        <v>d ɑ r n </v>
      </c>
    </row>
    <row r="5386">
      <c r="A5386" s="1" t="s">
        <v>5389</v>
      </c>
      <c r="B5386" s="1" t="s">
        <v>5</v>
      </c>
      <c r="C5386" s="2">
        <f>IFERROR(__xludf.DUMMYFUNCTION("IFERROR(VLOOKUP(A5386, IMPORTRANGE(""https://docs.google.com/spreadsheets/d/1AVX9GT0dgogEBStecCXMMQ29tWz3gBrtNB8yIromXbY/edit?gid=741673867"", ""out1g!A:B""), 2, FALSE), 0)"),75.0)</f>
        <v>75</v>
      </c>
      <c r="D5386" s="2" t="str">
        <f>IFERROR(__xludf.DUMMYFUNCTION("IFERROR(VLOOKUP(A5386, IMPORTRANGE(""https://docs.google.com/spreadsheets/d/1-3Vjw2Cyy-mry5gbC8ypIR3YVGFfEpyFESummAta6sg/edit"", ""Sheet1!B:D""), 2, FALSE), ""Not Found"")"),"bɛrən")</f>
        <v>bɛrən</v>
      </c>
      <c r="E5386" s="2" t="str">
        <f>IFERROR(__xludf.DUMMYFUNCTION("IFERROR(VLOOKUP(A5386, IMPORTRANGE(""https://docs.google.com/spreadsheets/d/1-3Vjw2Cyy-mry5gbC8ypIR3YVGFfEpyFESummAta6sg/edit"", ""Sheet1!B:D""), 3, FALSE), ""Not Found"")"),"b ɛ r ə n ")</f>
        <v>b ɛ r ə n </v>
      </c>
    </row>
    <row r="5387">
      <c r="A5387" s="1" t="s">
        <v>5390</v>
      </c>
      <c r="B5387" s="1" t="s">
        <v>5</v>
      </c>
      <c r="C5387" s="2">
        <f>IFERROR(__xludf.DUMMYFUNCTION("IFERROR(VLOOKUP(A5387, IMPORTRANGE(""https://docs.google.com/spreadsheets/d/1AVX9GT0dgogEBStecCXMMQ29tWz3gBrtNB8yIromXbY/edit?gid=741673867"", ""out1g!A:B""), 2, FALSE), 0)"),160.0)</f>
        <v>160</v>
      </c>
      <c r="D5387" s="2" t="str">
        <f>IFERROR(__xludf.DUMMYFUNCTION("IFERROR(VLOOKUP(A5387, IMPORTRANGE(""https://docs.google.com/spreadsheets/d/1-3Vjw2Cyy-mry5gbC8ypIR3YVGFfEpyFESummAta6sg/edit"", ""Sheet1!B:D""), 2, FALSE), ""Not Found"")"),"təʧi")</f>
        <v>təʧi</v>
      </c>
      <c r="E5387" s="2" t="str">
        <f>IFERROR(__xludf.DUMMYFUNCTION("IFERROR(VLOOKUP(A5387, IMPORTRANGE(""https://docs.google.com/spreadsheets/d/1-3Vjw2Cyy-mry5gbC8ypIR3YVGFfEpyFESummAta6sg/edit"", ""Sheet1!B:D""), 3, FALSE), ""Not Found"")"),"t ə ʧ i ")</f>
        <v>t ə ʧ i </v>
      </c>
    </row>
    <row r="5388">
      <c r="A5388" s="1" t="s">
        <v>5391</v>
      </c>
      <c r="B5388" s="1" t="s">
        <v>5</v>
      </c>
      <c r="C5388" s="2">
        <f>IFERROR(__xludf.DUMMYFUNCTION("IFERROR(VLOOKUP(A5388, IMPORTRANGE(""https://docs.google.com/spreadsheets/d/1AVX9GT0dgogEBStecCXMMQ29tWz3gBrtNB8yIromXbY/edit?gid=741673867"", ""out1g!A:B""), 2, FALSE), 0)"),110.0)</f>
        <v>110</v>
      </c>
      <c r="D5388" s="2" t="str">
        <f>IFERROR(__xludf.DUMMYFUNCTION("IFERROR(VLOOKUP(A5388, IMPORTRANGE(""https://docs.google.com/spreadsheets/d/1-3Vjw2Cyy-mry5gbC8ypIR3YVGFfEpyFESummAta6sg/edit"", ""Sheet1!B:D""), 2, FALSE), ""Not Found"")"),"fremz")</f>
        <v>fremz</v>
      </c>
      <c r="E5388" s="2" t="str">
        <f>IFERROR(__xludf.DUMMYFUNCTION("IFERROR(VLOOKUP(A5388, IMPORTRANGE(""https://docs.google.com/spreadsheets/d/1-3Vjw2Cyy-mry5gbC8ypIR3YVGFfEpyFESummAta6sg/edit"", ""Sheet1!B:D""), 3, FALSE), ""Not Found"")"),"f r e m z ")</f>
        <v>f r e m z </v>
      </c>
    </row>
    <row r="5389">
      <c r="A5389" s="1" t="s">
        <v>5392</v>
      </c>
      <c r="B5389" s="1" t="s">
        <v>5</v>
      </c>
      <c r="C5389" s="2">
        <f>IFERROR(__xludf.DUMMYFUNCTION("IFERROR(VLOOKUP(A5389, IMPORTRANGE(""https://docs.google.com/spreadsheets/d/1AVX9GT0dgogEBStecCXMMQ29tWz3gBrtNB8yIromXbY/edit?gid=741673867"", ""out1g!A:B""), 2, FALSE), 0)"),636.0)</f>
        <v>636</v>
      </c>
      <c r="D5389" s="2" t="str">
        <f>IFERROR(__xludf.DUMMYFUNCTION("IFERROR(VLOOKUP(A5389, IMPORTRANGE(""https://docs.google.com/spreadsheets/d/1-3Vjw2Cyy-mry5gbC8ypIR3YVGFfEpyFESummAta6sg/edit"", ""Sheet1!B:D""), 2, FALSE), ""Not Found"")"),"ʃits")</f>
        <v>ʃits</v>
      </c>
      <c r="E5389" s="2" t="str">
        <f>IFERROR(__xludf.DUMMYFUNCTION("IFERROR(VLOOKUP(A5389, IMPORTRANGE(""https://docs.google.com/spreadsheets/d/1-3Vjw2Cyy-mry5gbC8ypIR3YVGFfEpyFESummAta6sg/edit"", ""Sheet1!B:D""), 3, FALSE), ""Not Found"")"),"ʃ i t s ")</f>
        <v>ʃ i t s </v>
      </c>
    </row>
    <row r="5390">
      <c r="A5390" s="1" t="s">
        <v>5</v>
      </c>
      <c r="B5390" s="1" t="s">
        <v>5</v>
      </c>
      <c r="C5390" s="2">
        <f>IFERROR(__xludf.DUMMYFUNCTION("IFERROR(VLOOKUP(A5390, IMPORTRANGE(""https://docs.google.com/spreadsheets/d/1AVX9GT0dgogEBStecCXMMQ29tWz3gBrtNB8yIromXbY/edit?gid=741673867"", ""out1g!A:B""), 2, FALSE), 0)"),498444.0)</f>
        <v>498444</v>
      </c>
      <c r="D5390" s="2" t="str">
        <f>IFERROR(__xludf.DUMMYFUNCTION("IFERROR(VLOOKUP(A5390, IMPORTRANGE(""https://docs.google.com/spreadsheets/d/1-3Vjw2Cyy-mry5gbC8ypIR3YVGFfEpyFESummAta6sg/edit"", ""Sheet1!B:D""), 2, FALSE), ""Not Found"")"),"ɪn")</f>
        <v>ɪn</v>
      </c>
      <c r="E5390" s="2" t="str">
        <f>IFERROR(__xludf.DUMMYFUNCTION("IFERROR(VLOOKUP(A5390, IMPORTRANGE(""https://docs.google.com/spreadsheets/d/1-3Vjw2Cyy-mry5gbC8ypIR3YVGFfEpyFESummAta6sg/edit"", ""Sheet1!B:D""), 3, FALSE), ""Not Found"")"),"ɪ n ")</f>
        <v>ɪ n </v>
      </c>
    </row>
    <row r="5391">
      <c r="A5391" s="1" t="s">
        <v>5393</v>
      </c>
      <c r="B5391" s="1" t="s">
        <v>5</v>
      </c>
      <c r="C5391" s="2">
        <f>IFERROR(__xludf.DUMMYFUNCTION("IFERROR(VLOOKUP(A5391, IMPORTRANGE(""https://docs.google.com/spreadsheets/d/1AVX9GT0dgogEBStecCXMMQ29tWz3gBrtNB8yIromXbY/edit?gid=741673867"", ""out1g!A:B""), 2, FALSE), 0)"),290.0)</f>
        <v>290</v>
      </c>
      <c r="D5391" s="2" t="str">
        <f>IFERROR(__xludf.DUMMYFUNCTION("IFERROR(VLOOKUP(A5391, IMPORTRANGE(""https://docs.google.com/spreadsheets/d/1-3Vjw2Cyy-mry5gbC8ypIR3YVGFfEpyFESummAta6sg/edit"", ""Sheet1!B:D""), 2, FALSE), ""Not Found"")"),"ətrækt")</f>
        <v>ətrækt</v>
      </c>
      <c r="E5391" s="2" t="str">
        <f>IFERROR(__xludf.DUMMYFUNCTION("IFERROR(VLOOKUP(A5391, IMPORTRANGE(""https://docs.google.com/spreadsheets/d/1-3Vjw2Cyy-mry5gbC8ypIR3YVGFfEpyFESummAta6sg/edit"", ""Sheet1!B:D""), 3, FALSE), ""Not Found"")"),"ə t r æ k t ")</f>
        <v>ə t r æ k t </v>
      </c>
    </row>
    <row r="5392">
      <c r="A5392" s="1" t="s">
        <v>5394</v>
      </c>
      <c r="B5392" s="1" t="s">
        <v>5</v>
      </c>
      <c r="C5392" s="2">
        <f>IFERROR(__xludf.DUMMYFUNCTION("IFERROR(VLOOKUP(A5392, IMPORTRANGE(""https://docs.google.com/spreadsheets/d/1AVX9GT0dgogEBStecCXMMQ29tWz3gBrtNB8yIromXbY/edit?gid=741673867"", ""out1g!A:B""), 2, FALSE), 0)"),3561.0)</f>
        <v>3561</v>
      </c>
      <c r="D5392" s="2" t="str">
        <f>IFERROR(__xludf.DUMMYFUNCTION("IFERROR(VLOOKUP(A5392, IMPORTRANGE(""https://docs.google.com/spreadsheets/d/1-3Vjw2Cyy-mry5gbC8ypIR3YVGFfEpyFESummAta6sg/edit"", ""Sheet1!B:D""), 2, FALSE), ""Not Found"")"),"ʤəmp")</f>
        <v>ʤəmp</v>
      </c>
      <c r="E5392" s="2" t="str">
        <f>IFERROR(__xludf.DUMMYFUNCTION("IFERROR(VLOOKUP(A5392, IMPORTRANGE(""https://docs.google.com/spreadsheets/d/1-3Vjw2Cyy-mry5gbC8ypIR3YVGFfEpyFESummAta6sg/edit"", ""Sheet1!B:D""), 3, FALSE), ""Not Found"")"),"ʤ ə m p ")</f>
        <v>ʤ ə m p </v>
      </c>
    </row>
    <row r="5393">
      <c r="A5393" s="1" t="s">
        <v>5395</v>
      </c>
      <c r="B5393" s="1" t="s">
        <v>5</v>
      </c>
      <c r="C5393" s="2">
        <f>IFERROR(__xludf.DUMMYFUNCTION("IFERROR(VLOOKUP(A5393, IMPORTRANGE(""https://docs.google.com/spreadsheets/d/1AVX9GT0dgogEBStecCXMMQ29tWz3gBrtNB8yIromXbY/edit?gid=741673867"", ""out1g!A:B""), 2, FALSE), 0)"),68.0)</f>
        <v>68</v>
      </c>
      <c r="D5393" s="2" t="str">
        <f>IFERROR(__xludf.DUMMYFUNCTION("IFERROR(VLOOKUP(A5393, IMPORTRANGE(""https://docs.google.com/spreadsheets/d/1-3Vjw2Cyy-mry5gbC8ypIR3YVGFfEpyFESummAta6sg/edit"", ""Sheet1!B:D""), 2, FALSE), ""Not Found"")"),"stæts")</f>
        <v>stæts</v>
      </c>
      <c r="E5393" s="2" t="str">
        <f>IFERROR(__xludf.DUMMYFUNCTION("IFERROR(VLOOKUP(A5393, IMPORTRANGE(""https://docs.google.com/spreadsheets/d/1-3Vjw2Cyy-mry5gbC8ypIR3YVGFfEpyFESummAta6sg/edit"", ""Sheet1!B:D""), 3, FALSE), ""Not Found"")"),"s t æ t s ")</f>
        <v>s t æ t s </v>
      </c>
    </row>
    <row r="5394">
      <c r="A5394" s="1" t="s">
        <v>5396</v>
      </c>
      <c r="B5394" s="1" t="s">
        <v>5</v>
      </c>
      <c r="C5394" s="2">
        <f>IFERROR(__xludf.DUMMYFUNCTION("IFERROR(VLOOKUP(A5394, IMPORTRANGE(""https://docs.google.com/spreadsheets/d/1AVX9GT0dgogEBStecCXMMQ29tWz3gBrtNB8yIromXbY/edit?gid=741673867"", ""out1g!A:B""), 2, FALSE), 0)"),1853.0)</f>
        <v>1853</v>
      </c>
      <c r="D5394" s="2" t="str">
        <f>IFERROR(__xludf.DUMMYFUNCTION("IFERROR(VLOOKUP(A5394, IMPORTRANGE(""https://docs.google.com/spreadsheets/d/1-3Vjw2Cyy-mry5gbC8ypIR3YVGFfEpyFESummAta6sg/edit"", ""Sheet1!B:D""), 2, FALSE), ""Not Found"")"),"fek")</f>
        <v>fek</v>
      </c>
      <c r="E5394" s="2" t="str">
        <f>IFERROR(__xludf.DUMMYFUNCTION("IFERROR(VLOOKUP(A5394, IMPORTRANGE(""https://docs.google.com/spreadsheets/d/1-3Vjw2Cyy-mry5gbC8ypIR3YVGFfEpyFESummAta6sg/edit"", ""Sheet1!B:D""), 3, FALSE), ""Not Found"")"),"f e k ")</f>
        <v>f e k </v>
      </c>
    </row>
    <row r="5395">
      <c r="A5395" s="1" t="s">
        <v>5397</v>
      </c>
      <c r="B5395" s="1" t="s">
        <v>5</v>
      </c>
      <c r="C5395" s="2">
        <f>IFERROR(__xludf.DUMMYFUNCTION("IFERROR(VLOOKUP(A5395, IMPORTRANGE(""https://docs.google.com/spreadsheets/d/1AVX9GT0dgogEBStecCXMMQ29tWz3gBrtNB8yIromXbY/edit?gid=741673867"", ""out1g!A:B""), 2, FALSE), 0)"),55.0)</f>
        <v>55</v>
      </c>
      <c r="D5395" s="2" t="str">
        <f>IFERROR(__xludf.DUMMYFUNCTION("IFERROR(VLOOKUP(A5395, IMPORTRANGE(""https://docs.google.com/spreadsheets/d/1-3Vjw2Cyy-mry5gbC8ypIR3YVGFfEpyFESummAta6sg/edit"", ""Sheet1!B:D""), 2, FALSE), ""Not Found"")"),"pi")</f>
        <v>pi</v>
      </c>
      <c r="E5395" s="2" t="str">
        <f>IFERROR(__xludf.DUMMYFUNCTION("IFERROR(VLOOKUP(A5395, IMPORTRANGE(""https://docs.google.com/spreadsheets/d/1-3Vjw2Cyy-mry5gbC8ypIR3YVGFfEpyFESummAta6sg/edit"", ""Sheet1!B:D""), 3, FALSE), ""Not Found"")"),"p i ")</f>
        <v>p i </v>
      </c>
    </row>
    <row r="5396">
      <c r="A5396" s="1" t="s">
        <v>5398</v>
      </c>
      <c r="B5396" s="1" t="s">
        <v>5</v>
      </c>
      <c r="C5396" s="2">
        <f>IFERROR(__xludf.DUMMYFUNCTION("IFERROR(VLOOKUP(A5396, IMPORTRANGE(""https://docs.google.com/spreadsheets/d/1AVX9GT0dgogEBStecCXMMQ29tWz3gBrtNB8yIromXbY/edit?gid=741673867"", ""out1g!A:B""), 2, FALSE), 0)"),1660.0)</f>
        <v>1660</v>
      </c>
      <c r="D5396" s="2" t="str">
        <f>IFERROR(__xludf.DUMMYFUNCTION("IFERROR(VLOOKUP(A5396, IMPORTRANGE(""https://docs.google.com/spreadsheets/d/1-3Vjw2Cyy-mry5gbC8ypIR3YVGFfEpyFESummAta6sg/edit"", ""Sheet1!B:D""), 2, FALSE), ""Not Found"")"),"grænt")</f>
        <v>grænt</v>
      </c>
      <c r="E5396" s="2" t="str">
        <f>IFERROR(__xludf.DUMMYFUNCTION("IFERROR(VLOOKUP(A5396, IMPORTRANGE(""https://docs.google.com/spreadsheets/d/1-3Vjw2Cyy-mry5gbC8ypIR3YVGFfEpyFESummAta6sg/edit"", ""Sheet1!B:D""), 3, FALSE), ""Not Found"")"),"g r æ n t ")</f>
        <v>g r æ n t </v>
      </c>
    </row>
    <row r="5397">
      <c r="A5397" s="1" t="s">
        <v>5399</v>
      </c>
      <c r="B5397" s="1" t="s">
        <v>5</v>
      </c>
      <c r="C5397" s="2">
        <f>IFERROR(__xludf.DUMMYFUNCTION("IFERROR(VLOOKUP(A5397, IMPORTRANGE(""https://docs.google.com/spreadsheets/d/1AVX9GT0dgogEBStecCXMMQ29tWz3gBrtNB8yIromXbY/edit?gid=741673867"", ""out1g!A:B""), 2, FALSE), 0)"),13140.0)</f>
        <v>13140</v>
      </c>
      <c r="D5397" s="2" t="str">
        <f>IFERROR(__xludf.DUMMYFUNCTION("IFERROR(VLOOKUP(A5397, IMPORTRANGE(""https://docs.google.com/spreadsheets/d/1-3Vjw2Cyy-mry5gbC8ypIR3YVGFfEpyFESummAta6sg/edit"", ""Sheet1!B:D""), 2, FALSE), ""Not Found"")"),"sun")</f>
        <v>sun</v>
      </c>
      <c r="E5397" s="2" t="str">
        <f>IFERROR(__xludf.DUMMYFUNCTION("IFERROR(VLOOKUP(A5397, IMPORTRANGE(""https://docs.google.com/spreadsheets/d/1-3Vjw2Cyy-mry5gbC8ypIR3YVGFfEpyFESummAta6sg/edit"", ""Sheet1!B:D""), 3, FALSE), ""Not Found"")"),"s u n ")</f>
        <v>s u n </v>
      </c>
    </row>
    <row r="5398">
      <c r="A5398" s="1" t="s">
        <v>5400</v>
      </c>
      <c r="B5398" s="1" t="s">
        <v>5</v>
      </c>
      <c r="C5398" s="2">
        <f>IFERROR(__xludf.DUMMYFUNCTION("IFERROR(VLOOKUP(A5398, IMPORTRANGE(""https://docs.google.com/spreadsheets/d/1AVX9GT0dgogEBStecCXMMQ29tWz3gBrtNB8yIromXbY/edit?gid=741673867"", ""out1g!A:B""), 2, FALSE), 0)"),16.0)</f>
        <v>16</v>
      </c>
      <c r="D5398" s="2" t="str">
        <f>IFERROR(__xludf.DUMMYFUNCTION("IFERROR(VLOOKUP(A5398, IMPORTRANGE(""https://docs.google.com/spreadsheets/d/1-3Vjw2Cyy-mry5gbC8ypIR3YVGFfEpyFESummAta6sg/edit"", ""Sheet1!B:D""), 2, FALSE), ""Not Found"")"),"skeli")</f>
        <v>skeli</v>
      </c>
      <c r="E5398" s="2" t="str">
        <f>IFERROR(__xludf.DUMMYFUNCTION("IFERROR(VLOOKUP(A5398, IMPORTRANGE(""https://docs.google.com/spreadsheets/d/1-3Vjw2Cyy-mry5gbC8ypIR3YVGFfEpyFESummAta6sg/edit"", ""Sheet1!B:D""), 3, FALSE), ""Not Found"")"),"s k e l i ")</f>
        <v>s k e l i </v>
      </c>
    </row>
    <row r="5399">
      <c r="A5399" s="1" t="s">
        <v>5401</v>
      </c>
      <c r="B5399" s="1" t="s">
        <v>5</v>
      </c>
      <c r="C5399" s="2">
        <f>IFERROR(__xludf.DUMMYFUNCTION("IFERROR(VLOOKUP(A5399, IMPORTRANGE(""https://docs.google.com/spreadsheets/d/1AVX9GT0dgogEBStecCXMMQ29tWz3gBrtNB8yIromXbY/edit?gid=741673867"", ""out1g!A:B""), 2, FALSE), 0)"),327.0)</f>
        <v>327</v>
      </c>
      <c r="D5399" s="2" t="str">
        <f>IFERROR(__xludf.DUMMYFUNCTION("IFERROR(VLOOKUP(A5399, IMPORTRANGE(""https://docs.google.com/spreadsheets/d/1-3Vjw2Cyy-mry5gbC8ypIR3YVGFfEpyFESummAta6sg/edit"", ""Sheet1!B:D""), 2, FALSE), ""Not Found"")"),"klɪk")</f>
        <v>klɪk</v>
      </c>
      <c r="E5399" s="2" t="str">
        <f>IFERROR(__xludf.DUMMYFUNCTION("IFERROR(VLOOKUP(A5399, IMPORTRANGE(""https://docs.google.com/spreadsheets/d/1-3Vjw2Cyy-mry5gbC8ypIR3YVGFfEpyFESummAta6sg/edit"", ""Sheet1!B:D""), 3, FALSE), ""Not Found"")"),"k l ɪ k ")</f>
        <v>k l ɪ k </v>
      </c>
    </row>
    <row r="5400">
      <c r="A5400" s="1" t="s">
        <v>5402</v>
      </c>
      <c r="B5400" s="1" t="s">
        <v>5</v>
      </c>
      <c r="C5400" s="2">
        <f>IFERROR(__xludf.DUMMYFUNCTION("IFERROR(VLOOKUP(A5400, IMPORTRANGE(""https://docs.google.com/spreadsheets/d/1AVX9GT0dgogEBStecCXMMQ29tWz3gBrtNB8yIromXbY/edit?gid=741673867"", ""out1g!A:B""), 2, FALSE), 0)"),136.0)</f>
        <v>136</v>
      </c>
      <c r="D5400" s="2" t="str">
        <f>IFERROR(__xludf.DUMMYFUNCTION("IFERROR(VLOOKUP(A5400, IMPORTRANGE(""https://docs.google.com/spreadsheets/d/1-3Vjw2Cyy-mry5gbC8ypIR3YVGFfEpyFESummAta6sg/edit"", ""Sheet1!B:D""), 2, FALSE), ""Not Found"")"),"kaɪroʊ")</f>
        <v>kaɪroʊ</v>
      </c>
      <c r="E5400" s="2" t="str">
        <f>IFERROR(__xludf.DUMMYFUNCTION("IFERROR(VLOOKUP(A5400, IMPORTRANGE(""https://docs.google.com/spreadsheets/d/1-3Vjw2Cyy-mry5gbC8ypIR3YVGFfEpyFESummAta6sg/edit"", ""Sheet1!B:D""), 3, FALSE), ""Not Found"")"),"k a ɪ r o ʊ ")</f>
        <v>k a ɪ r o ʊ </v>
      </c>
    </row>
    <row r="5401">
      <c r="A5401" s="1" t="s">
        <v>5403</v>
      </c>
      <c r="B5401" s="1" t="s">
        <v>5</v>
      </c>
      <c r="C5401" s="2">
        <f>IFERROR(__xludf.DUMMYFUNCTION("IFERROR(VLOOKUP(A5401, IMPORTRANGE(""https://docs.google.com/spreadsheets/d/1AVX9GT0dgogEBStecCXMMQ29tWz3gBrtNB8yIromXbY/edit?gid=741673867"", ""out1g!A:B""), 2, FALSE), 0)"),4017.0)</f>
        <v>4017</v>
      </c>
      <c r="D5401" s="2" t="str">
        <f>IFERROR(__xludf.DUMMYFUNCTION("IFERROR(VLOOKUP(A5401, IMPORTRANGE(""https://docs.google.com/spreadsheets/d/1-3Vjw2Cyy-mry5gbC8ypIR3YVGFfEpyFESummAta6sg/edit"", ""Sheet1!B:D""), 2, FALSE), ""Not Found"")"),"laɪkt")</f>
        <v>laɪkt</v>
      </c>
      <c r="E5401" s="2" t="str">
        <f>IFERROR(__xludf.DUMMYFUNCTION("IFERROR(VLOOKUP(A5401, IMPORTRANGE(""https://docs.google.com/spreadsheets/d/1-3Vjw2Cyy-mry5gbC8ypIR3YVGFfEpyFESummAta6sg/edit"", ""Sheet1!B:D""), 3, FALSE), ""Not Found"")"),"l a ɪ k t ")</f>
        <v>l a ɪ k t </v>
      </c>
    </row>
    <row r="5402">
      <c r="A5402" s="1" t="s">
        <v>5404</v>
      </c>
      <c r="B5402" s="1" t="s">
        <v>5</v>
      </c>
      <c r="C5402" s="2">
        <f>IFERROR(__xludf.DUMMYFUNCTION("IFERROR(VLOOKUP(A5402, IMPORTRANGE(""https://docs.google.com/spreadsheets/d/1AVX9GT0dgogEBStecCXMMQ29tWz3gBrtNB8yIromXbY/edit?gid=741673867"", ""out1g!A:B""), 2, FALSE), 0)"),108.0)</f>
        <v>108</v>
      </c>
      <c r="D5402" s="2" t="str">
        <f>IFERROR(__xludf.DUMMYFUNCTION("IFERROR(VLOOKUP(A5402, IMPORTRANGE(""https://docs.google.com/spreadsheets/d/1-3Vjw2Cyy-mry5gbC8ypIR3YVGFfEpyFESummAta6sg/edit"", ""Sheet1!B:D""), 2, FALSE), ""Not Found"")"),"juz")</f>
        <v>juz</v>
      </c>
      <c r="E5402" s="2" t="str">
        <f>IFERROR(__xludf.DUMMYFUNCTION("IFERROR(VLOOKUP(A5402, IMPORTRANGE(""https://docs.google.com/spreadsheets/d/1-3Vjw2Cyy-mry5gbC8ypIR3YVGFfEpyFESummAta6sg/edit"", ""Sheet1!B:D""), 3, FALSE), ""Not Found"")"),"j u z ")</f>
        <v>j u z </v>
      </c>
    </row>
    <row r="5403">
      <c r="A5403" s="1" t="s">
        <v>5405</v>
      </c>
      <c r="B5403" s="1" t="s">
        <v>5</v>
      </c>
      <c r="C5403" s="2">
        <f>IFERROR(__xludf.DUMMYFUNCTION("IFERROR(VLOOKUP(A5403, IMPORTRANGE(""https://docs.google.com/spreadsheets/d/1AVX9GT0dgogEBStecCXMMQ29tWz3gBrtNB8yIromXbY/edit?gid=741673867"", ""out1g!A:B""), 2, FALSE), 0)"),28.0)</f>
        <v>28</v>
      </c>
      <c r="D5403" s="2" t="str">
        <f>IFERROR(__xludf.DUMMYFUNCTION("IFERROR(VLOOKUP(A5403, IMPORTRANGE(""https://docs.google.com/spreadsheets/d/1-3Vjw2Cyy-mry5gbC8ypIR3YVGFfEpyFESummAta6sg/edit"", ""Sheet1!B:D""), 2, FALSE), ""Not Found"")"),"brel")</f>
        <v>brel</v>
      </c>
      <c r="E5403" s="2" t="str">
        <f>IFERROR(__xludf.DUMMYFUNCTION("IFERROR(VLOOKUP(A5403, IMPORTRANGE(""https://docs.google.com/spreadsheets/d/1-3Vjw2Cyy-mry5gbC8ypIR3YVGFfEpyFESummAta6sg/edit"", ""Sheet1!B:D""), 3, FALSE), ""Not Found"")"),"b r e l ")</f>
        <v>b r e l </v>
      </c>
    </row>
    <row r="5404">
      <c r="A5404" s="1" t="s">
        <v>5406</v>
      </c>
      <c r="B5404" s="1" t="s">
        <v>5</v>
      </c>
      <c r="C5404" s="2">
        <f>IFERROR(__xludf.DUMMYFUNCTION("IFERROR(VLOOKUP(A5404, IMPORTRANGE(""https://docs.google.com/spreadsheets/d/1AVX9GT0dgogEBStecCXMMQ29tWz3gBrtNB8yIromXbY/edit?gid=741673867"", ""out1g!A:B""), 2, FALSE), 0)"),116.0)</f>
        <v>116</v>
      </c>
      <c r="D5404" s="2" t="str">
        <f>IFERROR(__xludf.DUMMYFUNCTION("IFERROR(VLOOKUP(A5404, IMPORTRANGE(""https://docs.google.com/spreadsheets/d/1-3Vjw2Cyy-mry5gbC8ypIR3YVGFfEpyFESummAta6sg/edit"", ""Sheet1!B:D""), 2, FALSE), ""Not Found"")"),"bərgər")</f>
        <v>bərgər</v>
      </c>
      <c r="E5404" s="2" t="str">
        <f>IFERROR(__xludf.DUMMYFUNCTION("IFERROR(VLOOKUP(A5404, IMPORTRANGE(""https://docs.google.com/spreadsheets/d/1-3Vjw2Cyy-mry5gbC8ypIR3YVGFfEpyFESummAta6sg/edit"", ""Sheet1!B:D""), 3, FALSE), ""Not Found"")"),"b ə r g ə r ")</f>
        <v>b ə r g ə r </v>
      </c>
    </row>
    <row r="5405">
      <c r="A5405" s="1" t="s">
        <v>5407</v>
      </c>
      <c r="B5405" s="1" t="s">
        <v>5</v>
      </c>
      <c r="C5405" s="2">
        <f>IFERROR(__xludf.DUMMYFUNCTION("IFERROR(VLOOKUP(A5405, IMPORTRANGE(""https://docs.google.com/spreadsheets/d/1AVX9GT0dgogEBStecCXMMQ29tWz3gBrtNB8yIromXbY/edit?gid=741673867"", ""out1g!A:B""), 2, FALSE), 0)"),68.0)</f>
        <v>68</v>
      </c>
      <c r="D5405" s="2" t="str">
        <f>IFERROR(__xludf.DUMMYFUNCTION("IFERROR(VLOOKUP(A5405, IMPORTRANGE(""https://docs.google.com/spreadsheets/d/1-3Vjw2Cyy-mry5gbC8ypIR3YVGFfEpyFESummAta6sg/edit"", ""Sheet1!B:D""), 2, FALSE), ""Not Found"")"),"ʤərli")</f>
        <v>ʤərli</v>
      </c>
      <c r="E5405" s="2" t="str">
        <f>IFERROR(__xludf.DUMMYFUNCTION("IFERROR(VLOOKUP(A5405, IMPORTRANGE(""https://docs.google.com/spreadsheets/d/1-3Vjw2Cyy-mry5gbC8ypIR3YVGFfEpyFESummAta6sg/edit"", ""Sheet1!B:D""), 3, FALSE), ""Not Found"")"),"ʤ ə r l i ")</f>
        <v>ʤ ə r l i </v>
      </c>
    </row>
    <row r="5406">
      <c r="A5406" s="1" t="s">
        <v>5408</v>
      </c>
      <c r="B5406" s="1" t="s">
        <v>5</v>
      </c>
      <c r="C5406" s="2">
        <f>IFERROR(__xludf.DUMMYFUNCTION("IFERROR(VLOOKUP(A5406, IMPORTRANGE(""https://docs.google.com/spreadsheets/d/1AVX9GT0dgogEBStecCXMMQ29tWz3gBrtNB8yIromXbY/edit?gid=741673867"", ""out1g!A:B""), 2, FALSE), 0)"),68.0)</f>
        <v>68</v>
      </c>
      <c r="D5406" s="2" t="str">
        <f>IFERROR(__xludf.DUMMYFUNCTION("IFERROR(VLOOKUP(A5406, IMPORTRANGE(""https://docs.google.com/spreadsheets/d/1-3Vjw2Cyy-mry5gbC8ypIR3YVGFfEpyFESummAta6sg/edit"", ""Sheet1!B:D""), 2, FALSE), ""Not Found"")"),"sist")</f>
        <v>sist</v>
      </c>
      <c r="E5406" s="2" t="str">
        <f>IFERROR(__xludf.DUMMYFUNCTION("IFERROR(VLOOKUP(A5406, IMPORTRANGE(""https://docs.google.com/spreadsheets/d/1-3Vjw2Cyy-mry5gbC8ypIR3YVGFfEpyFESummAta6sg/edit"", ""Sheet1!B:D""), 3, FALSE), ""Not Found"")"),"s i s t ")</f>
        <v>s i s t </v>
      </c>
    </row>
    <row r="5407">
      <c r="A5407" s="1" t="s">
        <v>5409</v>
      </c>
      <c r="B5407" s="1" t="s">
        <v>5</v>
      </c>
      <c r="C5407" s="2">
        <f>IFERROR(__xludf.DUMMYFUNCTION("IFERROR(VLOOKUP(A5407, IMPORTRANGE(""https://docs.google.com/spreadsheets/d/1AVX9GT0dgogEBStecCXMMQ29tWz3gBrtNB8yIromXbY/edit?gid=741673867"", ""out1g!A:B""), 2, FALSE), 0)"),75.0)</f>
        <v>75</v>
      </c>
      <c r="D5407" s="2" t="str">
        <f>IFERROR(__xludf.DUMMYFUNCTION("IFERROR(VLOOKUP(A5407, IMPORTRANGE(""https://docs.google.com/spreadsheets/d/1-3Vjw2Cyy-mry5gbC8ypIR3YVGFfEpyFESummAta6sg/edit"", ""Sheet1!B:D""), 2, FALSE), ""Not Found"")"),"mələr")</f>
        <v>mələr</v>
      </c>
      <c r="E5407" s="2" t="str">
        <f>IFERROR(__xludf.DUMMYFUNCTION("IFERROR(VLOOKUP(A5407, IMPORTRANGE(""https://docs.google.com/spreadsheets/d/1-3Vjw2Cyy-mry5gbC8ypIR3YVGFfEpyFESummAta6sg/edit"", ""Sheet1!B:D""), 3, FALSE), ""Not Found"")"),"m ə l ə r ")</f>
        <v>m ə l ə r </v>
      </c>
    </row>
    <row r="5408">
      <c r="A5408" s="1" t="s">
        <v>5410</v>
      </c>
      <c r="B5408" s="1" t="s">
        <v>5</v>
      </c>
      <c r="C5408" s="2">
        <f>IFERROR(__xludf.DUMMYFUNCTION("IFERROR(VLOOKUP(A5408, IMPORTRANGE(""https://docs.google.com/spreadsheets/d/1AVX9GT0dgogEBStecCXMMQ29tWz3gBrtNB8yIromXbY/edit?gid=741673867"", ""out1g!A:B""), 2, FALSE), 0)"),1889.0)</f>
        <v>1889</v>
      </c>
      <c r="D5408" s="2" t="str">
        <f>IFERROR(__xludf.DUMMYFUNCTION("IFERROR(VLOOKUP(A5408, IMPORTRANGE(""https://docs.google.com/spreadsheets/d/1-3Vjw2Cyy-mry5gbC8ypIR3YVGFfEpyFESummAta6sg/edit"", ""Sheet1!B:D""), 2, FALSE), ""Not Found"")"),"ɛmɪli")</f>
        <v>ɛmɪli</v>
      </c>
      <c r="E5408" s="2" t="str">
        <f>IFERROR(__xludf.DUMMYFUNCTION("IFERROR(VLOOKUP(A5408, IMPORTRANGE(""https://docs.google.com/spreadsheets/d/1-3Vjw2Cyy-mry5gbC8ypIR3YVGFfEpyFESummAta6sg/edit"", ""Sheet1!B:D""), 3, FALSE), ""Not Found"")"),"ɛ m ɪ l i ")</f>
        <v>ɛ m ɪ l i </v>
      </c>
    </row>
    <row r="5409">
      <c r="A5409" s="1" t="s">
        <v>5411</v>
      </c>
      <c r="B5409" s="1" t="s">
        <v>5</v>
      </c>
      <c r="C5409" s="2">
        <f>IFERROR(__xludf.DUMMYFUNCTION("IFERROR(VLOOKUP(A5409, IMPORTRANGE(""https://docs.google.com/spreadsheets/d/1AVX9GT0dgogEBStecCXMMQ29tWz3gBrtNB8yIromXbY/edit?gid=741673867"", ""out1g!A:B""), 2, FALSE), 0)"),1343.0)</f>
        <v>1343</v>
      </c>
      <c r="D5409" s="2" t="str">
        <f>IFERROR(__xludf.DUMMYFUNCTION("IFERROR(VLOOKUP(A5409, IMPORTRANGE(""https://docs.google.com/spreadsheets/d/1-3Vjw2Cyy-mry5gbC8ypIR3YVGFfEpyFESummAta6sg/edit"", ""Sheet1!B:D""), 2, FALSE), ""Not Found"")"),"roʊ")</f>
        <v>roʊ</v>
      </c>
      <c r="E5409" s="2" t="str">
        <f>IFERROR(__xludf.DUMMYFUNCTION("IFERROR(VLOOKUP(A5409, IMPORTRANGE(""https://docs.google.com/spreadsheets/d/1-3Vjw2Cyy-mry5gbC8ypIR3YVGFfEpyFESummAta6sg/edit"", ""Sheet1!B:D""), 3, FALSE), ""Not Found"")"),"r o ʊ ")</f>
        <v>r o ʊ </v>
      </c>
    </row>
    <row r="5410">
      <c r="A5410" s="1" t="s">
        <v>5412</v>
      </c>
      <c r="B5410" s="1" t="s">
        <v>5</v>
      </c>
      <c r="C5410" s="2">
        <f>IFERROR(__xludf.DUMMYFUNCTION("IFERROR(VLOOKUP(A5410, IMPORTRANGE(""https://docs.google.com/spreadsheets/d/1AVX9GT0dgogEBStecCXMMQ29tWz3gBrtNB8yIromXbY/edit?gid=741673867"", ""out1g!A:B""), 2, FALSE), 0)"),66.0)</f>
        <v>66</v>
      </c>
      <c r="D5410" s="2" t="str">
        <f>IFERROR(__xludf.DUMMYFUNCTION("IFERROR(VLOOKUP(A5410, IMPORTRANGE(""https://docs.google.com/spreadsheets/d/1-3Vjw2Cyy-mry5gbC8ypIR3YVGFfEpyFESummAta6sg/edit"", ""Sheet1!B:D""), 2, FALSE), ""Not Found"")"),"moʊkə")</f>
        <v>moʊkə</v>
      </c>
      <c r="E5410" s="2" t="str">
        <f>IFERROR(__xludf.DUMMYFUNCTION("IFERROR(VLOOKUP(A5410, IMPORTRANGE(""https://docs.google.com/spreadsheets/d/1-3Vjw2Cyy-mry5gbC8ypIR3YVGFfEpyFESummAta6sg/edit"", ""Sheet1!B:D""), 3, FALSE), ""Not Found"")"),"m o ʊ k ə ")</f>
        <v>m o ʊ k ə </v>
      </c>
    </row>
    <row r="5411">
      <c r="A5411" s="1" t="s">
        <v>5413</v>
      </c>
      <c r="B5411" s="1" t="s">
        <v>5</v>
      </c>
      <c r="C5411" s="2">
        <f>IFERROR(__xludf.DUMMYFUNCTION("IFERROR(VLOOKUP(A5411, IMPORTRANGE(""https://docs.google.com/spreadsheets/d/1AVX9GT0dgogEBStecCXMMQ29tWz3gBrtNB8yIromXbY/edit?gid=741673867"", ""out1g!A:B""), 2, FALSE), 0)"),497.0)</f>
        <v>497</v>
      </c>
      <c r="D5411" s="2" t="str">
        <f>IFERROR(__xludf.DUMMYFUNCTION("IFERROR(VLOOKUP(A5411, IMPORTRANGE(""https://docs.google.com/spreadsheets/d/1-3Vjw2Cyy-mry5gbC8ypIR3YVGFfEpyFESummAta6sg/edit"", ""Sheet1!B:D""), 2, FALSE), ""Not Found"")"),"gət")</f>
        <v>gət</v>
      </c>
      <c r="E5411" s="2" t="str">
        <f>IFERROR(__xludf.DUMMYFUNCTION("IFERROR(VLOOKUP(A5411, IMPORTRANGE(""https://docs.google.com/spreadsheets/d/1-3Vjw2Cyy-mry5gbC8ypIR3YVGFfEpyFESummAta6sg/edit"", ""Sheet1!B:D""), 3, FALSE), ""Not Found"")"),"g ə t ")</f>
        <v>g ə t </v>
      </c>
    </row>
    <row r="5412">
      <c r="A5412" s="1" t="s">
        <v>5414</v>
      </c>
      <c r="B5412" s="1" t="s">
        <v>5</v>
      </c>
      <c r="C5412" s="2">
        <f>IFERROR(__xludf.DUMMYFUNCTION("IFERROR(VLOOKUP(A5412, IMPORTRANGE(""https://docs.google.com/spreadsheets/d/1AVX9GT0dgogEBStecCXMMQ29tWz3gBrtNB8yIromXbY/edit?gid=741673867"", ""out1g!A:B""), 2, FALSE), 0)"),177.0)</f>
        <v>177</v>
      </c>
      <c r="D5412" s="2" t="str">
        <f>IFERROR(__xludf.DUMMYFUNCTION("IFERROR(VLOOKUP(A5412, IMPORTRANGE(""https://docs.google.com/spreadsheets/d/1-3Vjw2Cyy-mry5gbC8ypIR3YVGFfEpyFESummAta6sg/edit"", ""Sheet1!B:D""), 2, FALSE), ""Not Found"")"),"bebz")</f>
        <v>bebz</v>
      </c>
      <c r="E5412" s="2" t="str">
        <f>IFERROR(__xludf.DUMMYFUNCTION("IFERROR(VLOOKUP(A5412, IMPORTRANGE(""https://docs.google.com/spreadsheets/d/1-3Vjw2Cyy-mry5gbC8ypIR3YVGFfEpyFESummAta6sg/edit"", ""Sheet1!B:D""), 3, FALSE), ""Not Found"")"),"b e b z ")</f>
        <v>b e b z </v>
      </c>
    </row>
    <row r="5413">
      <c r="A5413" s="1" t="s">
        <v>5415</v>
      </c>
      <c r="B5413" s="1" t="s">
        <v>5</v>
      </c>
      <c r="C5413" s="2">
        <f>IFERROR(__xludf.DUMMYFUNCTION("IFERROR(VLOOKUP(A5413, IMPORTRANGE(""https://docs.google.com/spreadsheets/d/1AVX9GT0dgogEBStecCXMMQ29tWz3gBrtNB8yIromXbY/edit?gid=741673867"", ""out1g!A:B""), 2, FALSE), 0)"),232.0)</f>
        <v>232</v>
      </c>
      <c r="D5413" s="2" t="str">
        <f>IFERROR(__xludf.DUMMYFUNCTION("IFERROR(VLOOKUP(A5413, IMPORTRANGE(""https://docs.google.com/spreadsheets/d/1-3Vjw2Cyy-mry5gbC8ypIR3YVGFfEpyFESummAta6sg/edit"", ""Sheet1!B:D""), 2, FALSE), ""Not Found"")"),"faɪlɪŋ")</f>
        <v>faɪlɪŋ</v>
      </c>
      <c r="E5413" s="2" t="str">
        <f>IFERROR(__xludf.DUMMYFUNCTION("IFERROR(VLOOKUP(A5413, IMPORTRANGE(""https://docs.google.com/spreadsheets/d/1-3Vjw2Cyy-mry5gbC8ypIR3YVGFfEpyFESummAta6sg/edit"", ""Sheet1!B:D""), 3, FALSE), ""Not Found"")"),"f a ɪ l ɪ ŋ ")</f>
        <v>f a ɪ l ɪ ŋ </v>
      </c>
    </row>
    <row r="5414">
      <c r="A5414" s="1" t="s">
        <v>5416</v>
      </c>
      <c r="B5414" s="1" t="s">
        <v>5</v>
      </c>
      <c r="C5414" s="2">
        <f>IFERROR(__xludf.DUMMYFUNCTION("IFERROR(VLOOKUP(A5414, IMPORTRANGE(""https://docs.google.com/spreadsheets/d/1AVX9GT0dgogEBStecCXMMQ29tWz3gBrtNB8yIromXbY/edit?gid=741673867"", ""out1g!A:B""), 2, FALSE), 0)"),315.0)</f>
        <v>315</v>
      </c>
      <c r="D5414" s="2" t="str">
        <f>IFERROR(__xludf.DUMMYFUNCTION("IFERROR(VLOOKUP(A5414, IMPORTRANGE(""https://docs.google.com/spreadsheets/d/1-3Vjw2Cyy-mry5gbC8ypIR3YVGFfEpyFESummAta6sg/edit"", ""Sheet1!B:D""), 2, FALSE), ""Not Found"")"),"ɛst")</f>
        <v>ɛst</v>
      </c>
      <c r="E5414" s="2" t="str">
        <f>IFERROR(__xludf.DUMMYFUNCTION("IFERROR(VLOOKUP(A5414, IMPORTRANGE(""https://docs.google.com/spreadsheets/d/1-3Vjw2Cyy-mry5gbC8ypIR3YVGFfEpyFESummAta6sg/edit"", ""Sheet1!B:D""), 3, FALSE), ""Not Found"")"),"ɛ s t ")</f>
        <v>ɛ s t </v>
      </c>
    </row>
    <row r="5415">
      <c r="A5415" s="1" t="s">
        <v>5417</v>
      </c>
      <c r="B5415" s="1" t="s">
        <v>5</v>
      </c>
      <c r="C5415" s="2">
        <f>IFERROR(__xludf.DUMMYFUNCTION("IFERROR(VLOOKUP(A5415, IMPORTRANGE(""https://docs.google.com/spreadsheets/d/1AVX9GT0dgogEBStecCXMMQ29tWz3gBrtNB8yIromXbY/edit?gid=741673867"", ""out1g!A:B""), 2, FALSE), 0)"),810.0)</f>
        <v>810</v>
      </c>
      <c r="D5415" s="2" t="str">
        <f>IFERROR(__xludf.DUMMYFUNCTION("IFERROR(VLOOKUP(A5415, IMPORTRANGE(""https://docs.google.com/spreadsheets/d/1-3Vjw2Cyy-mry5gbC8ypIR3YVGFfEpyFESummAta6sg/edit"", ""Sheet1!B:D""), 2, FALSE), ""Not Found"")"),"fɛd")</f>
        <v>fɛd</v>
      </c>
      <c r="E5415" s="2" t="str">
        <f>IFERROR(__xludf.DUMMYFUNCTION("IFERROR(VLOOKUP(A5415, IMPORTRANGE(""https://docs.google.com/spreadsheets/d/1-3Vjw2Cyy-mry5gbC8ypIR3YVGFfEpyFESummAta6sg/edit"", ""Sheet1!B:D""), 3, FALSE), ""Not Found"")"),"f ɛ d ")</f>
        <v>f ɛ d </v>
      </c>
    </row>
    <row r="5416">
      <c r="A5416" s="1" t="s">
        <v>5418</v>
      </c>
      <c r="B5416" s="1" t="s">
        <v>5</v>
      </c>
      <c r="C5416" s="2">
        <f>IFERROR(__xludf.DUMMYFUNCTION("IFERROR(VLOOKUP(A5416, IMPORTRANGE(""https://docs.google.com/spreadsheets/d/1AVX9GT0dgogEBStecCXMMQ29tWz3gBrtNB8yIromXbY/edit?gid=741673867"", ""out1g!A:B""), 2, FALSE), 0)"),2881.0)</f>
        <v>2881</v>
      </c>
      <c r="D5416" s="2" t="str">
        <f>IFERROR(__xludf.DUMMYFUNCTION("IFERROR(VLOOKUP(A5416, IMPORTRANGE(""https://docs.google.com/spreadsheets/d/1-3Vjw2Cyy-mry5gbC8ypIR3YVGFfEpyFESummAta6sg/edit"", ""Sheet1!B:D""), 2, FALSE), ""Not Found"")"),"kwɪkli")</f>
        <v>kwɪkli</v>
      </c>
      <c r="E5416" s="2" t="str">
        <f>IFERROR(__xludf.DUMMYFUNCTION("IFERROR(VLOOKUP(A5416, IMPORTRANGE(""https://docs.google.com/spreadsheets/d/1-3Vjw2Cyy-mry5gbC8ypIR3YVGFfEpyFESummAta6sg/edit"", ""Sheet1!B:D""), 3, FALSE), ""Not Found"")"),"k w ɪ k l i ")</f>
        <v>k w ɪ k l i </v>
      </c>
    </row>
    <row r="5417">
      <c r="A5417" s="1" t="s">
        <v>5419</v>
      </c>
      <c r="B5417" s="1" t="s">
        <v>5</v>
      </c>
      <c r="C5417" s="2">
        <f>IFERROR(__xludf.DUMMYFUNCTION("IFERROR(VLOOKUP(A5417, IMPORTRANGE(""https://docs.google.com/spreadsheets/d/1AVX9GT0dgogEBStecCXMMQ29tWz3gBrtNB8yIromXbY/edit?gid=741673867"", ""out1g!A:B""), 2, FALSE), 0)"),196.0)</f>
        <v>196</v>
      </c>
      <c r="D5417" s="2" t="str">
        <f>IFERROR(__xludf.DUMMYFUNCTION("IFERROR(VLOOKUP(A5417, IMPORTRANGE(""https://docs.google.com/spreadsheets/d/1-3Vjw2Cyy-mry5gbC8ypIR3YVGFfEpyFESummAta6sg/edit"", ""Sheet1!B:D""), 2, FALSE), ""Not Found"")"),"swɑt")</f>
        <v>swɑt</v>
      </c>
      <c r="E5417" s="2" t="str">
        <f>IFERROR(__xludf.DUMMYFUNCTION("IFERROR(VLOOKUP(A5417, IMPORTRANGE(""https://docs.google.com/spreadsheets/d/1-3Vjw2Cyy-mry5gbC8ypIR3YVGFfEpyFESummAta6sg/edit"", ""Sheet1!B:D""), 3, FALSE), ""Not Found"")"),"s w ɑ t ")</f>
        <v>s w ɑ t </v>
      </c>
    </row>
    <row r="5418">
      <c r="A5418" s="1" t="s">
        <v>5420</v>
      </c>
      <c r="B5418" s="1" t="s">
        <v>5</v>
      </c>
      <c r="C5418" s="2">
        <f>IFERROR(__xludf.DUMMYFUNCTION("IFERROR(VLOOKUP(A5418, IMPORTRANGE(""https://docs.google.com/spreadsheets/d/1AVX9GT0dgogEBStecCXMMQ29tWz3gBrtNB8yIromXbY/edit?gid=741673867"", ""out1g!A:B""), 2, FALSE), 0)"),326.0)</f>
        <v>326</v>
      </c>
      <c r="D5418" s="2" t="str">
        <f>IFERROR(__xludf.DUMMYFUNCTION("IFERROR(VLOOKUP(A5418, IMPORTRANGE(""https://docs.google.com/spreadsheets/d/1-3Vjw2Cyy-mry5gbC8ypIR3YVGFfEpyFESummAta6sg/edit"", ""Sheet1!B:D""), 2, FALSE), ""Not Found"")"),"tɛk")</f>
        <v>tɛk</v>
      </c>
      <c r="E5418" s="2" t="str">
        <f>IFERROR(__xludf.DUMMYFUNCTION("IFERROR(VLOOKUP(A5418, IMPORTRANGE(""https://docs.google.com/spreadsheets/d/1-3Vjw2Cyy-mry5gbC8ypIR3YVGFfEpyFESummAta6sg/edit"", ""Sheet1!B:D""), 3, FALSE), ""Not Found"")"),"t ɛ k ")</f>
        <v>t ɛ k </v>
      </c>
    </row>
    <row r="5419">
      <c r="A5419" s="1" t="s">
        <v>5421</v>
      </c>
      <c r="B5419" s="1" t="s">
        <v>5</v>
      </c>
      <c r="C5419" s="2">
        <f>IFERROR(__xludf.DUMMYFUNCTION("IFERROR(VLOOKUP(A5419, IMPORTRANGE(""https://docs.google.com/spreadsheets/d/1AVX9GT0dgogEBStecCXMMQ29tWz3gBrtNB8yIromXbY/edit?gid=741673867"", ""out1g!A:B""), 2, FALSE), 0)"),248.0)</f>
        <v>248</v>
      </c>
      <c r="D5419" s="2" t="str">
        <f>IFERROR(__xludf.DUMMYFUNCTION("IFERROR(VLOOKUP(A5419, IMPORTRANGE(""https://docs.google.com/spreadsheets/d/1-3Vjw2Cyy-mry5gbC8ypIR3YVGFfEpyFESummAta6sg/edit"", ""Sheet1!B:D""), 2, FALSE), ""Not Found"")"),"kɑrloʊ")</f>
        <v>kɑrloʊ</v>
      </c>
      <c r="E5419" s="2" t="str">
        <f>IFERROR(__xludf.DUMMYFUNCTION("IFERROR(VLOOKUP(A5419, IMPORTRANGE(""https://docs.google.com/spreadsheets/d/1-3Vjw2Cyy-mry5gbC8ypIR3YVGFfEpyFESummAta6sg/edit"", ""Sheet1!B:D""), 3, FALSE), ""Not Found"")"),"k ɑ r l o ʊ ")</f>
        <v>k ɑ r l o ʊ </v>
      </c>
    </row>
    <row r="5420">
      <c r="A5420" s="1" t="s">
        <v>5422</v>
      </c>
      <c r="B5420" s="1" t="s">
        <v>5</v>
      </c>
      <c r="C5420" s="2">
        <f>IFERROR(__xludf.DUMMYFUNCTION("IFERROR(VLOOKUP(A5420, IMPORTRANGE(""https://docs.google.com/spreadsheets/d/1AVX9GT0dgogEBStecCXMMQ29tWz3gBrtNB8yIromXbY/edit?gid=741673867"", ""out1g!A:B""), 2, FALSE), 0)"),138.0)</f>
        <v>138</v>
      </c>
      <c r="D5420" s="2" t="str">
        <f>IFERROR(__xludf.DUMMYFUNCTION("IFERROR(VLOOKUP(A5420, IMPORTRANGE(""https://docs.google.com/spreadsheets/d/1-3Vjw2Cyy-mry5gbC8ypIR3YVGFfEpyFESummAta6sg/edit"", ""Sheet1!B:D""), 2, FALSE), ""Not Found"")"),"wərɪŋ")</f>
        <v>wərɪŋ</v>
      </c>
      <c r="E5420" s="2" t="str">
        <f>IFERROR(__xludf.DUMMYFUNCTION("IFERROR(VLOOKUP(A5420, IMPORTRANGE(""https://docs.google.com/spreadsheets/d/1-3Vjw2Cyy-mry5gbC8ypIR3YVGFfEpyFESummAta6sg/edit"", ""Sheet1!B:D""), 3, FALSE), ""Not Found"")"),"w ə r ɪ ŋ ")</f>
        <v>w ə r ɪ ŋ </v>
      </c>
    </row>
    <row r="5421">
      <c r="A5421" s="1" t="s">
        <v>5423</v>
      </c>
      <c r="B5421" s="1" t="s">
        <v>5</v>
      </c>
      <c r="C5421" s="2">
        <f>IFERROR(__xludf.DUMMYFUNCTION("IFERROR(VLOOKUP(A5421, IMPORTRANGE(""https://docs.google.com/spreadsheets/d/1AVX9GT0dgogEBStecCXMMQ29tWz3gBrtNB8yIromXbY/edit?gid=741673867"", ""out1g!A:B""), 2, FALSE), 0)"),168.0)</f>
        <v>168</v>
      </c>
      <c r="D5421" s="2" t="str">
        <f>IFERROR(__xludf.DUMMYFUNCTION("IFERROR(VLOOKUP(A5421, IMPORTRANGE(""https://docs.google.com/spreadsheets/d/1-3Vjw2Cyy-mry5gbC8ypIR3YVGFfEpyFESummAta6sg/edit"", ""Sheet1!B:D""), 2, FALSE), ""Not Found"")"),"kəriər")</f>
        <v>kəriər</v>
      </c>
      <c r="E5421" s="2" t="str">
        <f>IFERROR(__xludf.DUMMYFUNCTION("IFERROR(VLOOKUP(A5421, IMPORTRANGE(""https://docs.google.com/spreadsheets/d/1-3Vjw2Cyy-mry5gbC8ypIR3YVGFfEpyFESummAta6sg/edit"", ""Sheet1!B:D""), 3, FALSE), ""Not Found"")"),"k ə r i ə r ")</f>
        <v>k ə r i ə r </v>
      </c>
    </row>
    <row r="5422">
      <c r="A5422" s="1" t="s">
        <v>5424</v>
      </c>
      <c r="B5422" s="1" t="s">
        <v>5</v>
      </c>
      <c r="C5422" s="2">
        <f>IFERROR(__xludf.DUMMYFUNCTION("IFERROR(VLOOKUP(A5422, IMPORTRANGE(""https://docs.google.com/spreadsheets/d/1AVX9GT0dgogEBStecCXMMQ29tWz3gBrtNB8yIromXbY/edit?gid=741673867"", ""out1g!A:B""), 2, FALSE), 0)"),383.0)</f>
        <v>383</v>
      </c>
      <c r="D5422" s="2" t="str">
        <f>IFERROR(__xludf.DUMMYFUNCTION("IFERROR(VLOOKUP(A5422, IMPORTRANGE(""https://docs.google.com/spreadsheets/d/1-3Vjw2Cyy-mry5gbC8ypIR3YVGFfEpyFESummAta6sg/edit"", ""Sheet1!B:D""), 2, FALSE), ""Not Found"")"),"jɑ")</f>
        <v>jɑ</v>
      </c>
      <c r="E5422" s="2" t="str">
        <f>IFERROR(__xludf.DUMMYFUNCTION("IFERROR(VLOOKUP(A5422, IMPORTRANGE(""https://docs.google.com/spreadsheets/d/1-3Vjw2Cyy-mry5gbC8ypIR3YVGFfEpyFESummAta6sg/edit"", ""Sheet1!B:D""), 3, FALSE), ""Not Found"")"),"j ɑ ")</f>
        <v>j ɑ </v>
      </c>
    </row>
    <row r="5423">
      <c r="A5423" s="1" t="s">
        <v>5425</v>
      </c>
      <c r="B5423" s="1" t="s">
        <v>5</v>
      </c>
      <c r="C5423" s="2">
        <f>IFERROR(__xludf.DUMMYFUNCTION("IFERROR(VLOOKUP(A5423, IMPORTRANGE(""https://docs.google.com/spreadsheets/d/1AVX9GT0dgogEBStecCXMMQ29tWz3gBrtNB8yIromXbY/edit?gid=741673867"", ""out1g!A:B""), 2, FALSE), 0)"),393.0)</f>
        <v>393</v>
      </c>
      <c r="D5423" s="2" t="str">
        <f>IFERROR(__xludf.DUMMYFUNCTION("IFERROR(VLOOKUP(A5423, IMPORTRANGE(""https://docs.google.com/spreadsheets/d/1-3Vjw2Cyy-mry5gbC8ypIR3YVGFfEpyFESummAta6sg/edit"", ""Sheet1!B:D""), 2, FALSE), ""Not Found"")"),"ʃæft")</f>
        <v>ʃæft</v>
      </c>
      <c r="E5423" s="2" t="str">
        <f>IFERROR(__xludf.DUMMYFUNCTION("IFERROR(VLOOKUP(A5423, IMPORTRANGE(""https://docs.google.com/spreadsheets/d/1-3Vjw2Cyy-mry5gbC8ypIR3YVGFfEpyFESummAta6sg/edit"", ""Sheet1!B:D""), 3, FALSE), ""Not Found"")"),"ʃ æ f t ")</f>
        <v>ʃ æ f t </v>
      </c>
    </row>
    <row r="5424">
      <c r="A5424" s="1" t="s">
        <v>5426</v>
      </c>
      <c r="B5424" s="1" t="s">
        <v>5</v>
      </c>
      <c r="C5424" s="2">
        <f>IFERROR(__xludf.DUMMYFUNCTION("IFERROR(VLOOKUP(A5424, IMPORTRANGE(""https://docs.google.com/spreadsheets/d/1AVX9GT0dgogEBStecCXMMQ29tWz3gBrtNB8yIromXbY/edit?gid=741673867"", ""out1g!A:B""), 2, FALSE), 0)"),198.0)</f>
        <v>198</v>
      </c>
      <c r="D5424" s="2" t="str">
        <f>IFERROR(__xludf.DUMMYFUNCTION("IFERROR(VLOOKUP(A5424, IMPORTRANGE(""https://docs.google.com/spreadsheets/d/1-3Vjw2Cyy-mry5gbC8ypIR3YVGFfEpyFESummAta6sg/edit"", ""Sheet1!B:D""), 2, FALSE), ""Not Found"")"),"bɑrʤ")</f>
        <v>bɑrʤ</v>
      </c>
      <c r="E5424" s="2" t="str">
        <f>IFERROR(__xludf.DUMMYFUNCTION("IFERROR(VLOOKUP(A5424, IMPORTRANGE(""https://docs.google.com/spreadsheets/d/1-3Vjw2Cyy-mry5gbC8ypIR3YVGFfEpyFESummAta6sg/edit"", ""Sheet1!B:D""), 3, FALSE), ""Not Found"")"),"b ɑ r ʤ ")</f>
        <v>b ɑ r ʤ </v>
      </c>
    </row>
    <row r="5425">
      <c r="A5425" s="1" t="s">
        <v>5427</v>
      </c>
      <c r="B5425" s="1" t="s">
        <v>5</v>
      </c>
      <c r="C5425" s="2">
        <f>IFERROR(__xludf.DUMMYFUNCTION("IFERROR(VLOOKUP(A5425, IMPORTRANGE(""https://docs.google.com/spreadsheets/d/1AVX9GT0dgogEBStecCXMMQ29tWz3gBrtNB8yIromXbY/edit?gid=741673867"", ""out1g!A:B""), 2, FALSE), 0)"),1270.0)</f>
        <v>1270</v>
      </c>
      <c r="D5425" s="2" t="str">
        <f>IFERROR(__xludf.DUMMYFUNCTION("IFERROR(VLOOKUP(A5425, IMPORTRANGE(""https://docs.google.com/spreadsheets/d/1-3Vjw2Cyy-mry5gbC8ypIR3YVGFfEpyFESummAta6sg/edit"", ""Sheet1!B:D""), 2, FALSE), ""Not Found"")"),"daɪz")</f>
        <v>daɪz</v>
      </c>
      <c r="E5425" s="2" t="str">
        <f>IFERROR(__xludf.DUMMYFUNCTION("IFERROR(VLOOKUP(A5425, IMPORTRANGE(""https://docs.google.com/spreadsheets/d/1-3Vjw2Cyy-mry5gbC8ypIR3YVGFfEpyFESummAta6sg/edit"", ""Sheet1!B:D""), 3, FALSE), ""Not Found"")"),"d a ɪ z ")</f>
        <v>d a ɪ z </v>
      </c>
    </row>
    <row r="5426">
      <c r="A5426" s="1" t="s">
        <v>5428</v>
      </c>
      <c r="B5426" s="1" t="s">
        <v>5</v>
      </c>
      <c r="C5426" s="2">
        <f>IFERROR(__xludf.DUMMYFUNCTION("IFERROR(VLOOKUP(A5426, IMPORTRANGE(""https://docs.google.com/spreadsheets/d/1AVX9GT0dgogEBStecCXMMQ29tWz3gBrtNB8yIromXbY/edit?gid=741673867"", ""out1g!A:B""), 2, FALSE), 0)"),380.0)</f>
        <v>380</v>
      </c>
      <c r="D5426" s="2" t="str">
        <f>IFERROR(__xludf.DUMMYFUNCTION("IFERROR(VLOOKUP(A5426, IMPORTRANGE(""https://docs.google.com/spreadsheets/d/1-3Vjw2Cyy-mry5gbC8ypIR3YVGFfEpyFESummAta6sg/edit"", ""Sheet1!B:D""), 2, FALSE), ""Not Found"")"),"ʧɛs")</f>
        <v>ʧɛs</v>
      </c>
      <c r="E5426" s="2" t="str">
        <f>IFERROR(__xludf.DUMMYFUNCTION("IFERROR(VLOOKUP(A5426, IMPORTRANGE(""https://docs.google.com/spreadsheets/d/1-3Vjw2Cyy-mry5gbC8ypIR3YVGFfEpyFESummAta6sg/edit"", ""Sheet1!B:D""), 3, FALSE), ""Not Found"")"),"ʧ ɛ s ")</f>
        <v>ʧ ɛ s </v>
      </c>
    </row>
    <row r="5427">
      <c r="A5427" s="1" t="s">
        <v>5429</v>
      </c>
      <c r="B5427" s="1" t="s">
        <v>5</v>
      </c>
      <c r="C5427" s="2">
        <f>IFERROR(__xludf.DUMMYFUNCTION("IFERROR(VLOOKUP(A5427, IMPORTRANGE(""https://docs.google.com/spreadsheets/d/1AVX9GT0dgogEBStecCXMMQ29tWz3gBrtNB8yIromXbY/edit?gid=741673867"", ""out1g!A:B""), 2, FALSE), 0)"),216.0)</f>
        <v>216</v>
      </c>
      <c r="D5427" s="2" t="str">
        <f>IFERROR(__xludf.DUMMYFUNCTION("IFERROR(VLOOKUP(A5427, IMPORTRANGE(""https://docs.google.com/spreadsheets/d/1-3Vjw2Cyy-mry5gbC8ypIR3YVGFfEpyFESummAta6sg/edit"", ""Sheet1!B:D""), 2, FALSE), ""Not Found"")"),"vizə")</f>
        <v>vizə</v>
      </c>
      <c r="E5427" s="2" t="str">
        <f>IFERROR(__xludf.DUMMYFUNCTION("IFERROR(VLOOKUP(A5427, IMPORTRANGE(""https://docs.google.com/spreadsheets/d/1-3Vjw2Cyy-mry5gbC8ypIR3YVGFfEpyFESummAta6sg/edit"", ""Sheet1!B:D""), 3, FALSE), ""Not Found"")"),"v i z ə ")</f>
        <v>v i z ə </v>
      </c>
    </row>
    <row r="5428">
      <c r="A5428" s="1" t="s">
        <v>5430</v>
      </c>
      <c r="B5428" s="1" t="s">
        <v>5</v>
      </c>
      <c r="C5428" s="2">
        <f>IFERROR(__xludf.DUMMYFUNCTION("IFERROR(VLOOKUP(A5428, IMPORTRANGE(""https://docs.google.com/spreadsheets/d/1AVX9GT0dgogEBStecCXMMQ29tWz3gBrtNB8yIromXbY/edit?gid=741673867"", ""out1g!A:B""), 2, FALSE), 0)"),94.0)</f>
        <v>94</v>
      </c>
      <c r="D5428" s="2" t="str">
        <f>IFERROR(__xludf.DUMMYFUNCTION("IFERROR(VLOOKUP(A5428, IMPORTRANGE(""https://docs.google.com/spreadsheets/d/1-3Vjw2Cyy-mry5gbC8ypIR3YVGFfEpyFESummAta6sg/edit"", ""Sheet1!B:D""), 2, FALSE), ""Not Found"")"),"wɑn")</f>
        <v>wɑn</v>
      </c>
      <c r="E5428" s="2" t="str">
        <f>IFERROR(__xludf.DUMMYFUNCTION("IFERROR(VLOOKUP(A5428, IMPORTRANGE(""https://docs.google.com/spreadsheets/d/1-3Vjw2Cyy-mry5gbC8ypIR3YVGFfEpyFESummAta6sg/edit"", ""Sheet1!B:D""), 3, FALSE), ""Not Found"")"),"w ɑ n ")</f>
        <v>w ɑ n </v>
      </c>
    </row>
    <row r="5429">
      <c r="A5429" s="1" t="s">
        <v>5431</v>
      </c>
      <c r="B5429" s="1" t="s">
        <v>5</v>
      </c>
      <c r="C5429" s="2">
        <f>IFERROR(__xludf.DUMMYFUNCTION("IFERROR(VLOOKUP(A5429, IMPORTRANGE(""https://docs.google.com/spreadsheets/d/1AVX9GT0dgogEBStecCXMMQ29tWz3gBrtNB8yIromXbY/edit?gid=741673867"", ""out1g!A:B""), 2, FALSE), 0)"),19.0)</f>
        <v>19</v>
      </c>
      <c r="D5429" s="2" t="str">
        <f>IFERROR(__xludf.DUMMYFUNCTION("IFERROR(VLOOKUP(A5429, IMPORTRANGE(""https://docs.google.com/spreadsheets/d/1-3Vjw2Cyy-mry5gbC8ypIR3YVGFfEpyFESummAta6sg/edit"", ""Sheet1!B:D""), 2, FALSE), ""Not Found"")"),"θɪnz")</f>
        <v>θɪnz</v>
      </c>
      <c r="E5429" s="2" t="str">
        <f>IFERROR(__xludf.DUMMYFUNCTION("IFERROR(VLOOKUP(A5429, IMPORTRANGE(""https://docs.google.com/spreadsheets/d/1-3Vjw2Cyy-mry5gbC8ypIR3YVGFfEpyFESummAta6sg/edit"", ""Sheet1!B:D""), 3, FALSE), ""Not Found"")"),"θ ɪ n z ")</f>
        <v>θ ɪ n z </v>
      </c>
    </row>
    <row r="5430">
      <c r="A5430" s="1" t="s">
        <v>5432</v>
      </c>
      <c r="B5430" s="1" t="s">
        <v>5</v>
      </c>
      <c r="C5430" s="2">
        <f>IFERROR(__xludf.DUMMYFUNCTION("IFERROR(VLOOKUP(A5430, IMPORTRANGE(""https://docs.google.com/spreadsheets/d/1AVX9GT0dgogEBStecCXMMQ29tWz3gBrtNB8yIromXbY/edit?gid=741673867"", ""out1g!A:B""), 2, FALSE), 0)"),358.0)</f>
        <v>358</v>
      </c>
      <c r="D5430" s="2" t="str">
        <f>IFERROR(__xludf.DUMMYFUNCTION("IFERROR(VLOOKUP(A5430, IMPORTRANGE(""https://docs.google.com/spreadsheets/d/1-3Vjw2Cyy-mry5gbC8ypIR3YVGFfEpyFESummAta6sg/edit"", ""Sheet1!B:D""), 2, FALSE), ""Not Found"")"),"stɪŋ")</f>
        <v>stɪŋ</v>
      </c>
      <c r="E5430" s="2" t="str">
        <f>IFERROR(__xludf.DUMMYFUNCTION("IFERROR(VLOOKUP(A5430, IMPORTRANGE(""https://docs.google.com/spreadsheets/d/1-3Vjw2Cyy-mry5gbC8ypIR3YVGFfEpyFESummAta6sg/edit"", ""Sheet1!B:D""), 3, FALSE), ""Not Found"")"),"s t ɪ ŋ ")</f>
        <v>s t ɪ ŋ </v>
      </c>
    </row>
    <row r="5431">
      <c r="A5431" s="1" t="s">
        <v>5433</v>
      </c>
      <c r="B5431" s="1" t="s">
        <v>5</v>
      </c>
      <c r="C5431" s="2">
        <f>IFERROR(__xludf.DUMMYFUNCTION("IFERROR(VLOOKUP(A5431, IMPORTRANGE(""https://docs.google.com/spreadsheets/d/1AVX9GT0dgogEBStecCXMMQ29tWz3gBrtNB8yIromXbY/edit?gid=741673867"", ""out1g!A:B""), 2, FALSE), 0)"),110.0)</f>
        <v>110</v>
      </c>
      <c r="D5431" s="2" t="str">
        <f>IFERROR(__xludf.DUMMYFUNCTION("IFERROR(VLOOKUP(A5431, IMPORTRANGE(""https://docs.google.com/spreadsheets/d/1-3Vjw2Cyy-mry5gbC8ypIR3YVGFfEpyFESummAta6sg/edit"", ""Sheet1!B:D""), 2, FALSE), ""Not Found"")"),"vaɪ")</f>
        <v>vaɪ</v>
      </c>
      <c r="E5431" s="2" t="str">
        <f>IFERROR(__xludf.DUMMYFUNCTION("IFERROR(VLOOKUP(A5431, IMPORTRANGE(""https://docs.google.com/spreadsheets/d/1-3Vjw2Cyy-mry5gbC8ypIR3YVGFfEpyFESummAta6sg/edit"", ""Sheet1!B:D""), 3, FALSE), ""Not Found"")"),"v a ɪ ")</f>
        <v>v a ɪ </v>
      </c>
    </row>
    <row r="5432">
      <c r="A5432" s="1" t="s">
        <v>5434</v>
      </c>
      <c r="B5432" s="1" t="s">
        <v>5</v>
      </c>
      <c r="C5432" s="2">
        <f>IFERROR(__xludf.DUMMYFUNCTION("IFERROR(VLOOKUP(A5432, IMPORTRANGE(""https://docs.google.com/spreadsheets/d/1AVX9GT0dgogEBStecCXMMQ29tWz3gBrtNB8yIromXbY/edit?gid=741673867"", ""out1g!A:B""), 2, FALSE), 0)"),54.0)</f>
        <v>54</v>
      </c>
      <c r="D5432" s="2" t="str">
        <f>IFERROR(__xludf.DUMMYFUNCTION("IFERROR(VLOOKUP(A5432, IMPORTRANGE(""https://docs.google.com/spreadsheets/d/1-3Vjw2Cyy-mry5gbC8ypIR3YVGFfEpyFESummAta6sg/edit"", ""Sheet1!B:D""), 2, FALSE), ""Not Found"")"),"luni")</f>
        <v>luni</v>
      </c>
      <c r="E5432" s="2" t="str">
        <f>IFERROR(__xludf.DUMMYFUNCTION("IFERROR(VLOOKUP(A5432, IMPORTRANGE(""https://docs.google.com/spreadsheets/d/1-3Vjw2Cyy-mry5gbC8ypIR3YVGFfEpyFESummAta6sg/edit"", ""Sheet1!B:D""), 3, FALSE), ""Not Found"")"),"l u n i ")</f>
        <v>l u n i </v>
      </c>
    </row>
    <row r="5433">
      <c r="A5433" s="1" t="s">
        <v>5435</v>
      </c>
      <c r="B5433" s="1" t="s">
        <v>5</v>
      </c>
      <c r="C5433" s="2">
        <f>IFERROR(__xludf.DUMMYFUNCTION("IFERROR(VLOOKUP(A5433, IMPORTRANGE(""https://docs.google.com/spreadsheets/d/1AVX9GT0dgogEBStecCXMMQ29tWz3gBrtNB8yIromXbY/edit?gid=741673867"", ""out1g!A:B""), 2, FALSE), 0)"),1010.0)</f>
        <v>1010</v>
      </c>
      <c r="D5433" s="2" t="str">
        <f>IFERROR(__xludf.DUMMYFUNCTION("IFERROR(VLOOKUP(A5433, IMPORTRANGE(""https://docs.google.com/spreadsheets/d/1-3Vjw2Cyy-mry5gbC8ypIR3YVGFfEpyFESummAta6sg/edit"", ""Sheet1!B:D""), 2, FALSE), ""Not Found"")"),"klɑrk")</f>
        <v>klɑrk</v>
      </c>
      <c r="E5433" s="2" t="str">
        <f>IFERROR(__xludf.DUMMYFUNCTION("IFERROR(VLOOKUP(A5433, IMPORTRANGE(""https://docs.google.com/spreadsheets/d/1-3Vjw2Cyy-mry5gbC8ypIR3YVGFfEpyFESummAta6sg/edit"", ""Sheet1!B:D""), 3, FALSE), ""Not Found"")"),"k l ɑ r k ")</f>
        <v>k l ɑ r k </v>
      </c>
    </row>
    <row r="5434">
      <c r="A5434" s="1" t="s">
        <v>5436</v>
      </c>
      <c r="B5434" s="1" t="s">
        <v>5</v>
      </c>
      <c r="C5434" s="2">
        <f>IFERROR(__xludf.DUMMYFUNCTION("IFERROR(VLOOKUP(A5434, IMPORTRANGE(""https://docs.google.com/spreadsheets/d/1AVX9GT0dgogEBStecCXMMQ29tWz3gBrtNB8yIromXbY/edit?gid=741673867"", ""out1g!A:B""), 2, FALSE), 0)"),384.0)</f>
        <v>384</v>
      </c>
      <c r="D5434" s="2" t="str">
        <f>IFERROR(__xludf.DUMMYFUNCTION("IFERROR(VLOOKUP(A5434, IMPORTRANGE(""https://docs.google.com/spreadsheets/d/1-3Vjw2Cyy-mry5gbC8ypIR3YVGFfEpyFESummAta6sg/edit"", ""Sheet1!B:D""), 2, FALSE), ""Not Found"")"),"sevɪŋz")</f>
        <v>sevɪŋz</v>
      </c>
      <c r="E5434" s="2" t="str">
        <f>IFERROR(__xludf.DUMMYFUNCTION("IFERROR(VLOOKUP(A5434, IMPORTRANGE(""https://docs.google.com/spreadsheets/d/1-3Vjw2Cyy-mry5gbC8ypIR3YVGFfEpyFESummAta6sg/edit"", ""Sheet1!B:D""), 3, FALSE), ""Not Found"")"),"s e v ɪ ŋ z ")</f>
        <v>s e v ɪ ŋ z </v>
      </c>
    </row>
    <row r="5435">
      <c r="A5435" s="1" t="s">
        <v>5437</v>
      </c>
      <c r="B5435" s="1" t="s">
        <v>5</v>
      </c>
      <c r="C5435" s="2">
        <f>IFERROR(__xludf.DUMMYFUNCTION("IFERROR(VLOOKUP(A5435, IMPORTRANGE(""https://docs.google.com/spreadsheets/d/1AVX9GT0dgogEBStecCXMMQ29tWz3gBrtNB8yIromXbY/edit?gid=741673867"", ""out1g!A:B""), 2, FALSE), 0)"),531.0)</f>
        <v>531</v>
      </c>
      <c r="D5435" s="2" t="str">
        <f>IFERROR(__xludf.DUMMYFUNCTION("IFERROR(VLOOKUP(A5435, IMPORTRANGE(""https://docs.google.com/spreadsheets/d/1-3Vjw2Cyy-mry5gbC8ypIR3YVGFfEpyFESummAta6sg/edit"", ""Sheet1!B:D""), 2, FALSE), ""Not Found"")"),"bʊkt")</f>
        <v>bʊkt</v>
      </c>
      <c r="E5435" s="2" t="str">
        <f>IFERROR(__xludf.DUMMYFUNCTION("IFERROR(VLOOKUP(A5435, IMPORTRANGE(""https://docs.google.com/spreadsheets/d/1-3Vjw2Cyy-mry5gbC8ypIR3YVGFfEpyFESummAta6sg/edit"", ""Sheet1!B:D""), 3, FALSE), ""Not Found"")"),"b ʊ k t ")</f>
        <v>b ʊ k t </v>
      </c>
    </row>
    <row r="5436">
      <c r="A5436" s="1" t="s">
        <v>5438</v>
      </c>
      <c r="B5436" s="1" t="s">
        <v>5</v>
      </c>
      <c r="C5436" s="2">
        <f>IFERROR(__xludf.DUMMYFUNCTION("IFERROR(VLOOKUP(A5436, IMPORTRANGE(""https://docs.google.com/spreadsheets/d/1AVX9GT0dgogEBStecCXMMQ29tWz3gBrtNB8yIromXbY/edit?gid=741673867"", ""out1g!A:B""), 2, FALSE), 0)"),591.0)</f>
        <v>591</v>
      </c>
      <c r="D5436" s="2" t="str">
        <f>IFERROR(__xludf.DUMMYFUNCTION("IFERROR(VLOOKUP(A5436, IMPORTRANGE(""https://docs.google.com/spreadsheets/d/1-3Vjw2Cyy-mry5gbC8ypIR3YVGFfEpyFESummAta6sg/edit"", ""Sheet1!B:D""), 2, FALSE), ""Not Found"")"),"plɑt")</f>
        <v>plɑt</v>
      </c>
      <c r="E5436" s="2" t="str">
        <f>IFERROR(__xludf.DUMMYFUNCTION("IFERROR(VLOOKUP(A5436, IMPORTRANGE(""https://docs.google.com/spreadsheets/d/1-3Vjw2Cyy-mry5gbC8ypIR3YVGFfEpyFESummAta6sg/edit"", ""Sheet1!B:D""), 3, FALSE), ""Not Found"")"),"p l ɑ t ")</f>
        <v>p l ɑ t </v>
      </c>
    </row>
    <row r="5437">
      <c r="A5437" s="1" t="s">
        <v>5439</v>
      </c>
      <c r="B5437" s="1" t="s">
        <v>5</v>
      </c>
      <c r="C5437" s="2">
        <f>IFERROR(__xludf.DUMMYFUNCTION("IFERROR(VLOOKUP(A5437, IMPORTRANGE(""https://docs.google.com/spreadsheets/d/1AVX9GT0dgogEBStecCXMMQ29tWz3gBrtNB8yIromXbY/edit?gid=741673867"", ""out1g!A:B""), 2, FALSE), 0)"),747.0)</f>
        <v>747</v>
      </c>
      <c r="D5437" s="2" t="str">
        <f>IFERROR(__xludf.DUMMYFUNCTION("IFERROR(VLOOKUP(A5437, IMPORTRANGE(""https://docs.google.com/spreadsheets/d/1-3Vjw2Cyy-mry5gbC8ypIR3YVGFfEpyFESummAta6sg/edit"", ""Sheet1!B:D""), 2, FALSE), ""Not Found"")"),"ɛrən")</f>
        <v>ɛrən</v>
      </c>
      <c r="E5437" s="2" t="str">
        <f>IFERROR(__xludf.DUMMYFUNCTION("IFERROR(VLOOKUP(A5437, IMPORTRANGE(""https://docs.google.com/spreadsheets/d/1-3Vjw2Cyy-mry5gbC8ypIR3YVGFfEpyFESummAta6sg/edit"", ""Sheet1!B:D""), 3, FALSE), ""Not Found"")"),"ɛ r ə n ")</f>
        <v>ɛ r ə n </v>
      </c>
    </row>
    <row r="5438">
      <c r="A5438" s="1" t="s">
        <v>5440</v>
      </c>
      <c r="B5438" s="1" t="s">
        <v>5</v>
      </c>
      <c r="C5438" s="2">
        <f>IFERROR(__xludf.DUMMYFUNCTION("IFERROR(VLOOKUP(A5438, IMPORTRANGE(""https://docs.google.com/spreadsheets/d/1AVX9GT0dgogEBStecCXMMQ29tWz3gBrtNB8yIromXbY/edit?gid=741673867"", ""out1g!A:B""), 2, FALSE), 0)"),48.0)</f>
        <v>48</v>
      </c>
      <c r="D5438" s="2" t="str">
        <f>IFERROR(__xludf.DUMMYFUNCTION("IFERROR(VLOOKUP(A5438, IMPORTRANGE(""https://docs.google.com/spreadsheets/d/1-3Vjw2Cyy-mry5gbC8ypIR3YVGFfEpyFESummAta6sg/edit"", ""Sheet1!B:D""), 2, FALSE), ""Not Found"")"),"blɪstər")</f>
        <v>blɪstər</v>
      </c>
      <c r="E5438" s="2" t="str">
        <f>IFERROR(__xludf.DUMMYFUNCTION("IFERROR(VLOOKUP(A5438, IMPORTRANGE(""https://docs.google.com/spreadsheets/d/1-3Vjw2Cyy-mry5gbC8ypIR3YVGFfEpyFESummAta6sg/edit"", ""Sheet1!B:D""), 3, FALSE), ""Not Found"")"),"b l ɪ s t ə r ")</f>
        <v>b l ɪ s t ə r </v>
      </c>
    </row>
    <row r="5439">
      <c r="A5439" s="1" t="s">
        <v>5441</v>
      </c>
      <c r="B5439" s="1" t="s">
        <v>5</v>
      </c>
      <c r="C5439" s="2">
        <f>IFERROR(__xludf.DUMMYFUNCTION("IFERROR(VLOOKUP(A5439, IMPORTRANGE(""https://docs.google.com/spreadsheets/d/1AVX9GT0dgogEBStecCXMMQ29tWz3gBrtNB8yIromXbY/edit?gid=741673867"", ""out1g!A:B""), 2, FALSE), 0)"),647.0)</f>
        <v>647</v>
      </c>
      <c r="D5439" s="2" t="str">
        <f>IFERROR(__xludf.DUMMYFUNCTION("IFERROR(VLOOKUP(A5439, IMPORTRANGE(""https://docs.google.com/spreadsheets/d/1-3Vjw2Cyy-mry5gbC8ypIR3YVGFfEpyFESummAta6sg/edit"", ""Sheet1!B:D""), 2, FALSE), ""Not Found"")"),"təb")</f>
        <v>təb</v>
      </c>
      <c r="E5439" s="2" t="str">
        <f>IFERROR(__xludf.DUMMYFUNCTION("IFERROR(VLOOKUP(A5439, IMPORTRANGE(""https://docs.google.com/spreadsheets/d/1-3Vjw2Cyy-mry5gbC8ypIR3YVGFfEpyFESummAta6sg/edit"", ""Sheet1!B:D""), 3, FALSE), ""Not Found"")"),"t ə b ")</f>
        <v>t ə b </v>
      </c>
    </row>
    <row r="5440">
      <c r="A5440" s="1" t="s">
        <v>5442</v>
      </c>
      <c r="B5440" s="1" t="s">
        <v>5</v>
      </c>
      <c r="C5440" s="2">
        <f>IFERROR(__xludf.DUMMYFUNCTION("IFERROR(VLOOKUP(A5440, IMPORTRANGE(""https://docs.google.com/spreadsheets/d/1AVX9GT0dgogEBStecCXMMQ29tWz3gBrtNB8yIromXbY/edit?gid=741673867"", ""out1g!A:B""), 2, FALSE), 0)"),1183.0)</f>
        <v>1183</v>
      </c>
      <c r="D5440" s="2" t="str">
        <f>IFERROR(__xludf.DUMMYFUNCTION("IFERROR(VLOOKUP(A5440, IMPORTRANGE(""https://docs.google.com/spreadsheets/d/1-3Vjw2Cyy-mry5gbC8ypIR3YVGFfEpyFESummAta6sg/edit"", ""Sheet1!B:D""), 2, FALSE), ""Not Found"")"),"die")</f>
        <v>die</v>
      </c>
      <c r="E5440" s="2" t="str">
        <f>IFERROR(__xludf.DUMMYFUNCTION("IFERROR(VLOOKUP(A5440, IMPORTRANGE(""https://docs.google.com/spreadsheets/d/1-3Vjw2Cyy-mry5gbC8ypIR3YVGFfEpyFESummAta6sg/edit"", ""Sheet1!B:D""), 3, FALSE), ""Not Found"")"),"d i e ")</f>
        <v>d i e </v>
      </c>
    </row>
    <row r="5441">
      <c r="A5441" s="1" t="s">
        <v>5443</v>
      </c>
      <c r="B5441" s="1" t="s">
        <v>5</v>
      </c>
      <c r="C5441" s="2">
        <f>IFERROR(__xludf.DUMMYFUNCTION("IFERROR(VLOOKUP(A5441, IMPORTRANGE(""https://docs.google.com/spreadsheets/d/1AVX9GT0dgogEBStecCXMMQ29tWz3gBrtNB8yIromXbY/edit?gid=741673867"", ""out1g!A:B""), 2, FALSE), 0)"),51.0)</f>
        <v>51</v>
      </c>
      <c r="D5441" s="2" t="str">
        <f>IFERROR(__xludf.DUMMYFUNCTION("IFERROR(VLOOKUP(A5441, IMPORTRANGE(""https://docs.google.com/spreadsheets/d/1-3Vjw2Cyy-mry5gbC8ypIR3YVGFfEpyFESummAta6sg/edit"", ""Sheet1!B:D""), 2, FALSE), ""Not Found"")"),"fetfəl")</f>
        <v>fetfəl</v>
      </c>
      <c r="E5441" s="2" t="str">
        <f>IFERROR(__xludf.DUMMYFUNCTION("IFERROR(VLOOKUP(A5441, IMPORTRANGE(""https://docs.google.com/spreadsheets/d/1-3Vjw2Cyy-mry5gbC8ypIR3YVGFfEpyFESummAta6sg/edit"", ""Sheet1!B:D""), 3, FALSE), ""Not Found"")"),"f e t f ə l ")</f>
        <v>f e t f ə l </v>
      </c>
    </row>
    <row r="5442">
      <c r="A5442" s="1" t="s">
        <v>5444</v>
      </c>
      <c r="B5442" s="1" t="s">
        <v>5</v>
      </c>
      <c r="C5442" s="2">
        <f>IFERROR(__xludf.DUMMYFUNCTION("IFERROR(VLOOKUP(A5442, IMPORTRANGE(""https://docs.google.com/spreadsheets/d/1AVX9GT0dgogEBStecCXMMQ29tWz3gBrtNB8yIromXbY/edit?gid=741673867"", ""out1g!A:B""), 2, FALSE), 0)"),274.0)</f>
        <v>274</v>
      </c>
      <c r="D5442" s="2" t="str">
        <f>IFERROR(__xludf.DUMMYFUNCTION("IFERROR(VLOOKUP(A5442, IMPORTRANGE(""https://docs.google.com/spreadsheets/d/1-3Vjw2Cyy-mry5gbC8ypIR3YVGFfEpyFESummAta6sg/edit"", ""Sheet1!B:D""), 2, FALSE), ""Not Found"")"),"mɑk")</f>
        <v>mɑk</v>
      </c>
      <c r="E5442" s="2" t="str">
        <f>IFERROR(__xludf.DUMMYFUNCTION("IFERROR(VLOOKUP(A5442, IMPORTRANGE(""https://docs.google.com/spreadsheets/d/1-3Vjw2Cyy-mry5gbC8ypIR3YVGFfEpyFESummAta6sg/edit"", ""Sheet1!B:D""), 3, FALSE), ""Not Found"")"),"m ɑ k ")</f>
        <v>m ɑ k </v>
      </c>
    </row>
    <row r="5443">
      <c r="A5443" s="1" t="s">
        <v>5445</v>
      </c>
      <c r="B5443" s="1" t="s">
        <v>5</v>
      </c>
      <c r="C5443" s="2">
        <f>IFERROR(__xludf.DUMMYFUNCTION("IFERROR(VLOOKUP(A5443, IMPORTRANGE(""https://docs.google.com/spreadsheets/d/1AVX9GT0dgogEBStecCXMMQ29tWz3gBrtNB8yIromXbY/edit?gid=741673867"", ""out1g!A:B""), 2, FALSE), 0)"),547.0)</f>
        <v>547</v>
      </c>
      <c r="D5443" s="2" t="str">
        <f>IFERROR(__xludf.DUMMYFUNCTION("IFERROR(VLOOKUP(A5443, IMPORTRANGE(""https://docs.google.com/spreadsheets/d/1-3Vjw2Cyy-mry5gbC8ypIR3YVGFfEpyFESummAta6sg/edit"", ""Sheet1!B:D""), 2, FALSE), ""Not Found"")"),"rɑd")</f>
        <v>rɑd</v>
      </c>
      <c r="E5443" s="2" t="str">
        <f>IFERROR(__xludf.DUMMYFUNCTION("IFERROR(VLOOKUP(A5443, IMPORTRANGE(""https://docs.google.com/spreadsheets/d/1-3Vjw2Cyy-mry5gbC8ypIR3YVGFfEpyFESummAta6sg/edit"", ""Sheet1!B:D""), 3, FALSE), ""Not Found"")"),"r ɑ d ")</f>
        <v>r ɑ d </v>
      </c>
    </row>
    <row r="5444">
      <c r="A5444" s="1" t="s">
        <v>5446</v>
      </c>
      <c r="B5444" s="1" t="s">
        <v>5</v>
      </c>
      <c r="C5444" s="2">
        <f>IFERROR(__xludf.DUMMYFUNCTION("IFERROR(VLOOKUP(A5444, IMPORTRANGE(""https://docs.google.com/spreadsheets/d/1AVX9GT0dgogEBStecCXMMQ29tWz3gBrtNB8yIromXbY/edit?gid=741673867"", ""out1g!A:B""), 2, FALSE), 0)"),46.0)</f>
        <v>46</v>
      </c>
      <c r="D5444" s="2" t="str">
        <f>IFERROR(__xludf.DUMMYFUNCTION("IFERROR(VLOOKUP(A5444, IMPORTRANGE(""https://docs.google.com/spreadsheets/d/1-3Vjw2Cyy-mry5gbC8ypIR3YVGFfEpyFESummAta6sg/edit"", ""Sheet1!B:D""), 2, FALSE), ""Not Found"")"),"slɑbz")</f>
        <v>slɑbz</v>
      </c>
      <c r="E5444" s="2" t="str">
        <f>IFERROR(__xludf.DUMMYFUNCTION("IFERROR(VLOOKUP(A5444, IMPORTRANGE(""https://docs.google.com/spreadsheets/d/1-3Vjw2Cyy-mry5gbC8ypIR3YVGFfEpyFESummAta6sg/edit"", ""Sheet1!B:D""), 3, FALSE), ""Not Found"")"),"s l ɑ b z ")</f>
        <v>s l ɑ b z </v>
      </c>
    </row>
    <row r="5445">
      <c r="A5445" s="1" t="s">
        <v>5447</v>
      </c>
      <c r="B5445" s="1" t="s">
        <v>5</v>
      </c>
      <c r="C5445" s="2">
        <f>IFERROR(__xludf.DUMMYFUNCTION("IFERROR(VLOOKUP(A5445, IMPORTRANGE(""https://docs.google.com/spreadsheets/d/1AVX9GT0dgogEBStecCXMMQ29tWz3gBrtNB8yIromXbY/edit?gid=741673867"", ""out1g!A:B""), 2, FALSE), 0)"),10596.0)</f>
        <v>10596</v>
      </c>
      <c r="D5445" s="2" t="str">
        <f>IFERROR(__xludf.DUMMYFUNCTION("IFERROR(VLOOKUP(A5445, IMPORTRANGE(""https://docs.google.com/spreadsheets/d/1-3Vjw2Cyy-mry5gbC8ypIR3YVGFfEpyFESummAta6sg/edit"", ""Sheet1!B:D""), 2, FALSE), ""Not Found"")"),"list")</f>
        <v>list</v>
      </c>
      <c r="E5445" s="2" t="str">
        <f>IFERROR(__xludf.DUMMYFUNCTION("IFERROR(VLOOKUP(A5445, IMPORTRANGE(""https://docs.google.com/spreadsheets/d/1-3Vjw2Cyy-mry5gbC8ypIR3YVGFfEpyFESummAta6sg/edit"", ""Sheet1!B:D""), 3, FALSE), ""Not Found"")"),"l i s t ")</f>
        <v>l i s t </v>
      </c>
    </row>
    <row r="5446">
      <c r="A5446" s="1" t="s">
        <v>5448</v>
      </c>
      <c r="B5446" s="1" t="s">
        <v>5</v>
      </c>
      <c r="C5446" s="2">
        <f>IFERROR(__xludf.DUMMYFUNCTION("IFERROR(VLOOKUP(A5446, IMPORTRANGE(""https://docs.google.com/spreadsheets/d/1AVX9GT0dgogEBStecCXMMQ29tWz3gBrtNB8yIromXbY/edit?gid=741673867"", ""out1g!A:B""), 2, FALSE), 0)"),241.0)</f>
        <v>241</v>
      </c>
      <c r="D5446" s="2" t="str">
        <f>IFERROR(__xludf.DUMMYFUNCTION("IFERROR(VLOOKUP(A5446, IMPORTRANGE(""https://docs.google.com/spreadsheets/d/1-3Vjw2Cyy-mry5gbC8ypIR3YVGFfEpyFESummAta6sg/edit"", ""Sheet1!B:D""), 2, FALSE), ""Not Found"")"),"vɛnʧər")</f>
        <v>vɛnʧər</v>
      </c>
      <c r="E5446" s="2" t="str">
        <f>IFERROR(__xludf.DUMMYFUNCTION("IFERROR(VLOOKUP(A5446, IMPORTRANGE(""https://docs.google.com/spreadsheets/d/1-3Vjw2Cyy-mry5gbC8ypIR3YVGFfEpyFESummAta6sg/edit"", ""Sheet1!B:D""), 3, FALSE), ""Not Found"")"),"v ɛ n ʧ ə r ")</f>
        <v>v ɛ n ʧ ə r </v>
      </c>
    </row>
    <row r="5447">
      <c r="A5447" s="1" t="s">
        <v>5449</v>
      </c>
      <c r="B5447" s="1" t="s">
        <v>5</v>
      </c>
      <c r="C5447" s="2">
        <f>IFERROR(__xludf.DUMMYFUNCTION("IFERROR(VLOOKUP(A5447, IMPORTRANGE(""https://docs.google.com/spreadsheets/d/1AVX9GT0dgogEBStecCXMMQ29tWz3gBrtNB8yIromXbY/edit?gid=741673867"", ""out1g!A:B""), 2, FALSE), 0)"),67.0)</f>
        <v>67</v>
      </c>
      <c r="D5447" s="2" t="str">
        <f>IFERROR(__xludf.DUMMYFUNCTION("IFERROR(VLOOKUP(A5447, IMPORTRANGE(""https://docs.google.com/spreadsheets/d/1-3Vjw2Cyy-mry5gbC8ypIR3YVGFfEpyFESummAta6sg/edit"", ""Sheet1!B:D""), 2, FALSE), ""Not Found"")"),"dɑdɑ")</f>
        <v>dɑdɑ</v>
      </c>
      <c r="E5447" s="2" t="str">
        <f>IFERROR(__xludf.DUMMYFUNCTION("IFERROR(VLOOKUP(A5447, IMPORTRANGE(""https://docs.google.com/spreadsheets/d/1-3Vjw2Cyy-mry5gbC8ypIR3YVGFfEpyFESummAta6sg/edit"", ""Sheet1!B:D""), 3, FALSE), ""Not Found"")"),"d ɑ d ɑ ")</f>
        <v>d ɑ d ɑ </v>
      </c>
    </row>
    <row r="5448">
      <c r="A5448" s="1" t="s">
        <v>5450</v>
      </c>
      <c r="B5448" s="1" t="s">
        <v>5</v>
      </c>
      <c r="C5448" s="2">
        <f>IFERROR(__xludf.DUMMYFUNCTION("IFERROR(VLOOKUP(A5448, IMPORTRANGE(""https://docs.google.com/spreadsheets/d/1AVX9GT0dgogEBStecCXMMQ29tWz3gBrtNB8yIromXbY/edit?gid=741673867"", ""out1g!A:B""), 2, FALSE), 0)"),16685.0)</f>
        <v>16685</v>
      </c>
      <c r="D5448" s="2" t="str">
        <f>IFERROR(__xludf.DUMMYFUNCTION("IFERROR(VLOOKUP(A5448, IMPORTRANGE(""https://docs.google.com/spreadsheets/d/1-3Vjw2Cyy-mry5gbC8ypIR3YVGFfEpyFESummAta6sg/edit"", ""Sheet1!B:D""), 2, FALSE), ""Not Found"")"),"brɪŋ")</f>
        <v>brɪŋ</v>
      </c>
      <c r="E5448" s="2" t="str">
        <f>IFERROR(__xludf.DUMMYFUNCTION("IFERROR(VLOOKUP(A5448, IMPORTRANGE(""https://docs.google.com/spreadsheets/d/1-3Vjw2Cyy-mry5gbC8ypIR3YVGFfEpyFESummAta6sg/edit"", ""Sheet1!B:D""), 3, FALSE), ""Not Found"")"),"b r ɪ ŋ ")</f>
        <v>b r ɪ ŋ </v>
      </c>
    </row>
    <row r="5449">
      <c r="A5449" s="1" t="s">
        <v>5451</v>
      </c>
      <c r="B5449" s="1" t="s">
        <v>5</v>
      </c>
      <c r="C5449" s="2">
        <f>IFERROR(__xludf.DUMMYFUNCTION("IFERROR(VLOOKUP(A5449, IMPORTRANGE(""https://docs.google.com/spreadsheets/d/1AVX9GT0dgogEBStecCXMMQ29tWz3gBrtNB8yIromXbY/edit?gid=741673867"", ""out1g!A:B""), 2, FALSE), 0)"),175.0)</f>
        <v>175</v>
      </c>
      <c r="D5449" s="2" t="str">
        <f>IFERROR(__xludf.DUMMYFUNCTION("IFERROR(VLOOKUP(A5449, IMPORTRANGE(""https://docs.google.com/spreadsheets/d/1-3Vjw2Cyy-mry5gbC8ypIR3YVGFfEpyFESummAta6sg/edit"", ""Sheet1!B:D""), 2, FALSE), ""Not Found"")"),"kɛg")</f>
        <v>kɛg</v>
      </c>
      <c r="E5449" s="2" t="str">
        <f>IFERROR(__xludf.DUMMYFUNCTION("IFERROR(VLOOKUP(A5449, IMPORTRANGE(""https://docs.google.com/spreadsheets/d/1-3Vjw2Cyy-mry5gbC8ypIR3YVGFfEpyFESummAta6sg/edit"", ""Sheet1!B:D""), 3, FALSE), ""Not Found"")"),"k ɛ g ")</f>
        <v>k ɛ g </v>
      </c>
    </row>
    <row r="5450">
      <c r="A5450" s="1" t="s">
        <v>5452</v>
      </c>
      <c r="B5450" s="1" t="s">
        <v>5</v>
      </c>
      <c r="C5450" s="2">
        <f>IFERROR(__xludf.DUMMYFUNCTION("IFERROR(VLOOKUP(A5450, IMPORTRANGE(""https://docs.google.com/spreadsheets/d/1AVX9GT0dgogEBStecCXMMQ29tWz3gBrtNB8yIromXbY/edit?gid=741673867"", ""out1g!A:B""), 2, FALSE), 0)"),223.0)</f>
        <v>223</v>
      </c>
      <c r="D5450" s="2" t="str">
        <f>IFERROR(__xludf.DUMMYFUNCTION("IFERROR(VLOOKUP(A5450, IMPORTRANGE(""https://docs.google.com/spreadsheets/d/1-3Vjw2Cyy-mry5gbC8ypIR3YVGFfEpyFESummAta6sg/edit"", ""Sheet1!B:D""), 2, FALSE), ""Not Found"")"),"ken")</f>
        <v>ken</v>
      </c>
      <c r="E5450" s="2" t="str">
        <f>IFERROR(__xludf.DUMMYFUNCTION("IFERROR(VLOOKUP(A5450, IMPORTRANGE(""https://docs.google.com/spreadsheets/d/1-3Vjw2Cyy-mry5gbC8ypIR3YVGFfEpyFESummAta6sg/edit"", ""Sheet1!B:D""), 3, FALSE), ""Not Found"")"),"k e n ")</f>
        <v>k e n </v>
      </c>
    </row>
    <row r="5451">
      <c r="A5451" s="1" t="s">
        <v>5453</v>
      </c>
      <c r="B5451" s="1" t="s">
        <v>5</v>
      </c>
      <c r="C5451" s="2">
        <f>IFERROR(__xludf.DUMMYFUNCTION("IFERROR(VLOOKUP(A5451, IMPORTRANGE(""https://docs.google.com/spreadsheets/d/1AVX9GT0dgogEBStecCXMMQ29tWz3gBrtNB8yIromXbY/edit?gid=741673867"", ""out1g!A:B""), 2, FALSE), 0)"),265.0)</f>
        <v>265</v>
      </c>
      <c r="D5451" s="2" t="str">
        <f>IFERROR(__xludf.DUMMYFUNCTION("IFERROR(VLOOKUP(A5451, IMPORTRANGE(""https://docs.google.com/spreadsheets/d/1-3Vjw2Cyy-mry5gbC8ypIR3YVGFfEpyFESummAta6sg/edit"", ""Sheet1!B:D""), 2, FALSE), ""Not Found"")"),"dɔnt")</f>
        <v>dɔnt</v>
      </c>
      <c r="E5451" s="2" t="str">
        <f>IFERROR(__xludf.DUMMYFUNCTION("IFERROR(VLOOKUP(A5451, IMPORTRANGE(""https://docs.google.com/spreadsheets/d/1-3Vjw2Cyy-mry5gbC8ypIR3YVGFfEpyFESummAta6sg/edit"", ""Sheet1!B:D""), 3, FALSE), ""Not Found"")"),"d ɔ n t ")</f>
        <v>d ɔ n t </v>
      </c>
    </row>
    <row r="5452">
      <c r="A5452" s="1" t="s">
        <v>5454</v>
      </c>
      <c r="B5452" s="1" t="s">
        <v>5</v>
      </c>
      <c r="C5452" s="2">
        <f>IFERROR(__xludf.DUMMYFUNCTION("IFERROR(VLOOKUP(A5452, IMPORTRANGE(""https://docs.google.com/spreadsheets/d/1AVX9GT0dgogEBStecCXMMQ29tWz3gBrtNB8yIromXbY/edit?gid=741673867"", ""out1g!A:B""), 2, FALSE), 0)"),97.0)</f>
        <v>97</v>
      </c>
      <c r="D5452" s="2" t="str">
        <f>IFERROR(__xludf.DUMMYFUNCTION("IFERROR(VLOOKUP(A5452, IMPORTRANGE(""https://docs.google.com/spreadsheets/d/1-3Vjw2Cyy-mry5gbC8ypIR3YVGFfEpyFESummAta6sg/edit"", ""Sheet1!B:D""), 2, FALSE), ""Not Found"")"),"flæʃi")</f>
        <v>flæʃi</v>
      </c>
      <c r="E5452" s="2" t="str">
        <f>IFERROR(__xludf.DUMMYFUNCTION("IFERROR(VLOOKUP(A5452, IMPORTRANGE(""https://docs.google.com/spreadsheets/d/1-3Vjw2Cyy-mry5gbC8ypIR3YVGFfEpyFESummAta6sg/edit"", ""Sheet1!B:D""), 3, FALSE), ""Not Found"")"),"f l æ ʃ i ")</f>
        <v>f l æ ʃ i </v>
      </c>
    </row>
    <row r="5453">
      <c r="A5453" s="1" t="s">
        <v>5455</v>
      </c>
      <c r="B5453" s="1" t="s">
        <v>5</v>
      </c>
      <c r="C5453" s="2">
        <f>IFERROR(__xludf.DUMMYFUNCTION("IFERROR(VLOOKUP(A5453, IMPORTRANGE(""https://docs.google.com/spreadsheets/d/1AVX9GT0dgogEBStecCXMMQ29tWz3gBrtNB8yIromXbY/edit?gid=741673867"", ""out1g!A:B""), 2, FALSE), 0)"),778.0)</f>
        <v>778</v>
      </c>
      <c r="D5453" s="2" t="str">
        <f>IFERROR(__xludf.DUMMYFUNCTION("IFERROR(VLOOKUP(A5453, IMPORTRANGE(""https://docs.google.com/spreadsheets/d/1-3Vjw2Cyy-mry5gbC8ypIR3YVGFfEpyFESummAta6sg/edit"", ""Sheet1!B:D""), 2, FALSE), ""Not Found"")"),"mɛl")</f>
        <v>mɛl</v>
      </c>
      <c r="E5453" s="2" t="str">
        <f>IFERROR(__xludf.DUMMYFUNCTION("IFERROR(VLOOKUP(A5453, IMPORTRANGE(""https://docs.google.com/spreadsheets/d/1-3Vjw2Cyy-mry5gbC8ypIR3YVGFfEpyFESummAta6sg/edit"", ""Sheet1!B:D""), 3, FALSE), ""Not Found"")"),"m ɛ l ")</f>
        <v>m ɛ l </v>
      </c>
    </row>
    <row r="5454">
      <c r="A5454" s="1" t="s">
        <v>5456</v>
      </c>
      <c r="B5454" s="1" t="s">
        <v>5</v>
      </c>
      <c r="C5454" s="2">
        <f>IFERROR(__xludf.DUMMYFUNCTION("IFERROR(VLOOKUP(A5454, IMPORTRANGE(""https://docs.google.com/spreadsheets/d/1AVX9GT0dgogEBStecCXMMQ29tWz3gBrtNB8yIromXbY/edit?gid=741673867"", ""out1g!A:B""), 2, FALSE), 0)"),226.0)</f>
        <v>226</v>
      </c>
      <c r="D5454" s="2" t="str">
        <f>IFERROR(__xludf.DUMMYFUNCTION("IFERROR(VLOOKUP(A5454, IMPORTRANGE(""https://docs.google.com/spreadsheets/d/1-3Vjw2Cyy-mry5gbC8ypIR3YVGFfEpyFESummAta6sg/edit"", ""Sheet1!B:D""), 2, FALSE), ""Not Found"")"),"swɛti")</f>
        <v>swɛti</v>
      </c>
      <c r="E5454" s="2" t="str">
        <f>IFERROR(__xludf.DUMMYFUNCTION("IFERROR(VLOOKUP(A5454, IMPORTRANGE(""https://docs.google.com/spreadsheets/d/1-3Vjw2Cyy-mry5gbC8ypIR3YVGFfEpyFESummAta6sg/edit"", ""Sheet1!B:D""), 3, FALSE), ""Not Found"")"),"s w ɛ t i ")</f>
        <v>s w ɛ t i </v>
      </c>
    </row>
    <row r="5455">
      <c r="A5455" s="1" t="s">
        <v>5457</v>
      </c>
      <c r="B5455" s="1" t="s">
        <v>5</v>
      </c>
      <c r="C5455" s="2">
        <f>IFERROR(__xludf.DUMMYFUNCTION("IFERROR(VLOOKUP(A5455, IMPORTRANGE(""https://docs.google.com/spreadsheets/d/1AVX9GT0dgogEBStecCXMMQ29tWz3gBrtNB8yIromXbY/edit?gid=741673867"", ""out1g!A:B""), 2, FALSE), 0)"),113.0)</f>
        <v>113</v>
      </c>
      <c r="D5455" s="2" t="str">
        <f>IFERROR(__xludf.DUMMYFUNCTION("IFERROR(VLOOKUP(A5455, IMPORTRANGE(""https://docs.google.com/spreadsheets/d/1-3Vjw2Cyy-mry5gbC8ypIR3YVGFfEpyFESummAta6sg/edit"", ""Sheet1!B:D""), 2, FALSE), ""Not Found"")"),"rɛstɪd")</f>
        <v>rɛstɪd</v>
      </c>
      <c r="E5455" s="2" t="str">
        <f>IFERROR(__xludf.DUMMYFUNCTION("IFERROR(VLOOKUP(A5455, IMPORTRANGE(""https://docs.google.com/spreadsheets/d/1-3Vjw2Cyy-mry5gbC8ypIR3YVGFfEpyFESummAta6sg/edit"", ""Sheet1!B:D""), 3, FALSE), ""Not Found"")"),"r ɛ s t ɪ d ")</f>
        <v>r ɛ s t ɪ d </v>
      </c>
    </row>
    <row r="5456">
      <c r="A5456" s="1" t="s">
        <v>5458</v>
      </c>
      <c r="B5456" s="1" t="s">
        <v>5</v>
      </c>
      <c r="C5456" s="2">
        <f>IFERROR(__xludf.DUMMYFUNCTION("IFERROR(VLOOKUP(A5456, IMPORTRANGE(""https://docs.google.com/spreadsheets/d/1AVX9GT0dgogEBStecCXMMQ29tWz3gBrtNB8yIromXbY/edit?gid=741673867"", ""out1g!A:B""), 2, FALSE), 0)"),50.0)</f>
        <v>50</v>
      </c>
      <c r="D5456" s="2" t="str">
        <f>IFERROR(__xludf.DUMMYFUNCTION("IFERROR(VLOOKUP(A5456, IMPORTRANGE(""https://docs.google.com/spreadsheets/d/1-3Vjw2Cyy-mry5gbC8ypIR3YVGFfEpyFESummAta6sg/edit"", ""Sheet1!B:D""), 2, FALSE), ""Not Found"")"),"graʊl")</f>
        <v>graʊl</v>
      </c>
      <c r="E5456" s="2" t="str">
        <f>IFERROR(__xludf.DUMMYFUNCTION("IFERROR(VLOOKUP(A5456, IMPORTRANGE(""https://docs.google.com/spreadsheets/d/1-3Vjw2Cyy-mry5gbC8ypIR3YVGFfEpyFESummAta6sg/edit"", ""Sheet1!B:D""), 3, FALSE), ""Not Found"")"),"g r a ʊ l ")</f>
        <v>g r a ʊ l </v>
      </c>
    </row>
    <row r="5457">
      <c r="A5457" s="1" t="s">
        <v>5459</v>
      </c>
      <c r="B5457" s="1" t="s">
        <v>5</v>
      </c>
      <c r="C5457" s="2">
        <f>IFERROR(__xludf.DUMMYFUNCTION("IFERROR(VLOOKUP(A5457, IMPORTRANGE(""https://docs.google.com/spreadsheets/d/1AVX9GT0dgogEBStecCXMMQ29tWz3gBrtNB8yIromXbY/edit?gid=741673867"", ""out1g!A:B""), 2, FALSE), 0)"),510.0)</f>
        <v>510</v>
      </c>
      <c r="D5457" s="2" t="str">
        <f>IFERROR(__xludf.DUMMYFUNCTION("IFERROR(VLOOKUP(A5457, IMPORTRANGE(""https://docs.google.com/spreadsheets/d/1-3Vjw2Cyy-mry5gbC8ypIR3YVGFfEpyFESummAta6sg/edit"", ""Sheet1!B:D""), 2, FALSE), ""Not Found"")"),"naɪsli")</f>
        <v>naɪsli</v>
      </c>
      <c r="E5457" s="2" t="str">
        <f>IFERROR(__xludf.DUMMYFUNCTION("IFERROR(VLOOKUP(A5457, IMPORTRANGE(""https://docs.google.com/spreadsheets/d/1-3Vjw2Cyy-mry5gbC8ypIR3YVGFfEpyFESummAta6sg/edit"", ""Sheet1!B:D""), 3, FALSE), ""Not Found"")"),"n a ɪ s l i ")</f>
        <v>n a ɪ s l i </v>
      </c>
    </row>
    <row r="5458">
      <c r="A5458" s="1" t="s">
        <v>5460</v>
      </c>
      <c r="B5458" s="1" t="s">
        <v>5</v>
      </c>
      <c r="C5458" s="2">
        <f>IFERROR(__xludf.DUMMYFUNCTION("IFERROR(VLOOKUP(A5458, IMPORTRANGE(""https://docs.google.com/spreadsheets/d/1AVX9GT0dgogEBStecCXMMQ29tWz3gBrtNB8yIromXbY/edit?gid=741673867"", ""out1g!A:B""), 2, FALSE), 0)"),73.0)</f>
        <v>73</v>
      </c>
      <c r="D5458" s="2" t="str">
        <f>IFERROR(__xludf.DUMMYFUNCTION("IFERROR(VLOOKUP(A5458, IMPORTRANGE(""https://docs.google.com/spreadsheets/d/1-3Vjw2Cyy-mry5gbC8ypIR3YVGFfEpyFESummAta6sg/edit"", ""Sheet1!B:D""), 2, FALSE), ""Not Found"")"),"snəg")</f>
        <v>snəg</v>
      </c>
      <c r="E5458" s="2" t="str">
        <f>IFERROR(__xludf.DUMMYFUNCTION("IFERROR(VLOOKUP(A5458, IMPORTRANGE(""https://docs.google.com/spreadsheets/d/1-3Vjw2Cyy-mry5gbC8ypIR3YVGFfEpyFESummAta6sg/edit"", ""Sheet1!B:D""), 3, FALSE), ""Not Found"")"),"s n ə g ")</f>
        <v>s n ə g </v>
      </c>
    </row>
    <row r="5459">
      <c r="A5459" s="1" t="s">
        <v>5461</v>
      </c>
      <c r="B5459" s="1" t="s">
        <v>5</v>
      </c>
      <c r="C5459" s="2">
        <f>IFERROR(__xludf.DUMMYFUNCTION("IFERROR(VLOOKUP(A5459, IMPORTRANGE(""https://docs.google.com/spreadsheets/d/1AVX9GT0dgogEBStecCXMMQ29tWz3gBrtNB8yIromXbY/edit?gid=741673867"", ""out1g!A:B""), 2, FALSE), 0)"),212.0)</f>
        <v>212</v>
      </c>
      <c r="D5459" s="2" t="str">
        <f>IFERROR(__xludf.DUMMYFUNCTION("IFERROR(VLOOKUP(A5459, IMPORTRANGE(""https://docs.google.com/spreadsheets/d/1-3Vjw2Cyy-mry5gbC8ypIR3YVGFfEpyFESummAta6sg/edit"", ""Sheet1!B:D""), 2, FALSE), ""Not Found"")"),"hʊks")</f>
        <v>hʊks</v>
      </c>
      <c r="E5459" s="2" t="str">
        <f>IFERROR(__xludf.DUMMYFUNCTION("IFERROR(VLOOKUP(A5459, IMPORTRANGE(""https://docs.google.com/spreadsheets/d/1-3Vjw2Cyy-mry5gbC8ypIR3YVGFfEpyFESummAta6sg/edit"", ""Sheet1!B:D""), 3, FALSE), ""Not Found"")"),"h ʊ k s ")</f>
        <v>h ʊ k s </v>
      </c>
    </row>
    <row r="5460">
      <c r="A5460" s="1" t="s">
        <v>5462</v>
      </c>
      <c r="B5460" s="1" t="s">
        <v>5</v>
      </c>
      <c r="C5460" s="2">
        <f>IFERROR(__xludf.DUMMYFUNCTION("IFERROR(VLOOKUP(A5460, IMPORTRANGE(""https://docs.google.com/spreadsheets/d/1AVX9GT0dgogEBStecCXMMQ29tWz3gBrtNB8yIromXbY/edit?gid=741673867"", ""out1g!A:B""), 2, FALSE), 0)"),292.0)</f>
        <v>292</v>
      </c>
      <c r="D5460" s="2" t="str">
        <f>IFERROR(__xludf.DUMMYFUNCTION("IFERROR(VLOOKUP(A5460, IMPORTRANGE(""https://docs.google.com/spreadsheets/d/1-3Vjw2Cyy-mry5gbC8ypIR3YVGFfEpyFESummAta6sg/edit"", ""Sheet1!B:D""), 2, FALSE), ""Not Found"")"),"stɪki")</f>
        <v>stɪki</v>
      </c>
      <c r="E5460" s="2" t="str">
        <f>IFERROR(__xludf.DUMMYFUNCTION("IFERROR(VLOOKUP(A5460, IMPORTRANGE(""https://docs.google.com/spreadsheets/d/1-3Vjw2Cyy-mry5gbC8ypIR3YVGFfEpyFESummAta6sg/edit"", ""Sheet1!B:D""), 3, FALSE), ""Not Found"")"),"s t ɪ k i ")</f>
        <v>s t ɪ k i </v>
      </c>
    </row>
    <row r="5461">
      <c r="A5461" s="1" t="s">
        <v>5463</v>
      </c>
      <c r="B5461" s="1" t="s">
        <v>5</v>
      </c>
      <c r="C5461" s="2">
        <f>IFERROR(__xludf.DUMMYFUNCTION("IFERROR(VLOOKUP(A5461, IMPORTRANGE(""https://docs.google.com/spreadsheets/d/1AVX9GT0dgogEBStecCXMMQ29tWz3gBrtNB8yIromXbY/edit?gid=741673867"", ""out1g!A:B""), 2, FALSE), 0)"),5043.0)</f>
        <v>5043</v>
      </c>
      <c r="D5461" s="2" t="str">
        <f>IFERROR(__xludf.DUMMYFUNCTION("IFERROR(VLOOKUP(A5461, IMPORTRANGE(""https://docs.google.com/spreadsheets/d/1-3Vjw2Cyy-mry5gbC8ypIR3YVGFfEpyFESummAta6sg/edit"", ""Sheet1!B:D""), 2, FALSE), ""Not Found"")"),"ʃɪp")</f>
        <v>ʃɪp</v>
      </c>
      <c r="E5461" s="2" t="str">
        <f>IFERROR(__xludf.DUMMYFUNCTION("IFERROR(VLOOKUP(A5461, IMPORTRANGE(""https://docs.google.com/spreadsheets/d/1-3Vjw2Cyy-mry5gbC8ypIR3YVGFfEpyFESummAta6sg/edit"", ""Sheet1!B:D""), 3, FALSE), ""Not Found"")"),"ʃ ɪ p ")</f>
        <v>ʃ ɪ p </v>
      </c>
    </row>
    <row r="5462">
      <c r="A5462" s="1" t="s">
        <v>5464</v>
      </c>
      <c r="B5462" s="1" t="s">
        <v>5</v>
      </c>
      <c r="C5462" s="2">
        <f>IFERROR(__xludf.DUMMYFUNCTION("IFERROR(VLOOKUP(A5462, IMPORTRANGE(""https://docs.google.com/spreadsheets/d/1AVX9GT0dgogEBStecCXMMQ29tWz3gBrtNB8yIromXbY/edit?gid=741673867"", ""out1g!A:B""), 2, FALSE), 0)"),3928.0)</f>
        <v>3928</v>
      </c>
      <c r="D5462" s="2" t="str">
        <f>IFERROR(__xludf.DUMMYFUNCTION("IFERROR(VLOOKUP(A5462, IMPORTRANGE(""https://docs.google.com/spreadsheets/d/1-3Vjw2Cyy-mry5gbC8ypIR3YVGFfEpyFESummAta6sg/edit"", ""Sheet1!B:D""), 2, FALSE), ""Not Found"")"),"bren")</f>
        <v>bren</v>
      </c>
      <c r="E5462" s="2" t="str">
        <f>IFERROR(__xludf.DUMMYFUNCTION("IFERROR(VLOOKUP(A5462, IMPORTRANGE(""https://docs.google.com/spreadsheets/d/1-3Vjw2Cyy-mry5gbC8ypIR3YVGFfEpyFESummAta6sg/edit"", ""Sheet1!B:D""), 3, FALSE), ""Not Found"")"),"b r e n ")</f>
        <v>b r e n </v>
      </c>
    </row>
    <row r="5463">
      <c r="A5463" s="1" t="s">
        <v>5465</v>
      </c>
      <c r="B5463" s="1" t="s">
        <v>5</v>
      </c>
      <c r="C5463" s="2">
        <f>IFERROR(__xludf.DUMMYFUNCTION("IFERROR(VLOOKUP(A5463, IMPORTRANGE(""https://docs.google.com/spreadsheets/d/1AVX9GT0dgogEBStecCXMMQ29tWz3gBrtNB8yIromXbY/edit?gid=741673867"", ""out1g!A:B""), 2, FALSE), 0)"),17299.0)</f>
        <v>17299</v>
      </c>
      <c r="D5463" s="2" t="str">
        <f>IFERROR(__xludf.DUMMYFUNCTION("IFERROR(VLOOKUP(A5463, IMPORTRANGE(""https://docs.google.com/spreadsheets/d/1-3Vjw2Cyy-mry5gbC8ypIR3YVGFfEpyFESummAta6sg/edit"", ""Sheet1!B:D""), 2, FALSE), ""Not Found"")"),"kɪd")</f>
        <v>kɪd</v>
      </c>
      <c r="E5463" s="2" t="str">
        <f>IFERROR(__xludf.DUMMYFUNCTION("IFERROR(VLOOKUP(A5463, IMPORTRANGE(""https://docs.google.com/spreadsheets/d/1-3Vjw2Cyy-mry5gbC8ypIR3YVGFfEpyFESummAta6sg/edit"", ""Sheet1!B:D""), 3, FALSE), ""Not Found"")"),"k ɪ d ")</f>
        <v>k ɪ d </v>
      </c>
    </row>
    <row r="5464">
      <c r="A5464" s="1" t="s">
        <v>5466</v>
      </c>
      <c r="B5464" s="1" t="s">
        <v>5</v>
      </c>
      <c r="C5464" s="2">
        <f>IFERROR(__xludf.DUMMYFUNCTION("IFERROR(VLOOKUP(A5464, IMPORTRANGE(""https://docs.google.com/spreadsheets/d/1AVX9GT0dgogEBStecCXMMQ29tWz3gBrtNB8yIromXbY/edit?gid=741673867"", ""out1g!A:B""), 2, FALSE), 0)"),150.0)</f>
        <v>150</v>
      </c>
      <c r="D5464" s="2" t="str">
        <f>IFERROR(__xludf.DUMMYFUNCTION("IFERROR(VLOOKUP(A5464, IMPORTRANGE(""https://docs.google.com/spreadsheets/d/1-3Vjw2Cyy-mry5gbC8ypIR3YVGFfEpyFESummAta6sg/edit"", ""Sheet1!B:D""), 2, FALSE), ""Not Found"")"),"pɪrst")</f>
        <v>pɪrst</v>
      </c>
      <c r="E5464" s="2" t="str">
        <f>IFERROR(__xludf.DUMMYFUNCTION("IFERROR(VLOOKUP(A5464, IMPORTRANGE(""https://docs.google.com/spreadsheets/d/1-3Vjw2Cyy-mry5gbC8ypIR3YVGFfEpyFESummAta6sg/edit"", ""Sheet1!B:D""), 3, FALSE), ""Not Found"")"),"p ɪ r s t ")</f>
        <v>p ɪ r s t </v>
      </c>
    </row>
    <row r="5465">
      <c r="A5465" s="1" t="s">
        <v>5467</v>
      </c>
      <c r="B5465" s="1" t="s">
        <v>5</v>
      </c>
      <c r="C5465" s="2">
        <f>IFERROR(__xludf.DUMMYFUNCTION("IFERROR(VLOOKUP(A5465, IMPORTRANGE(""https://docs.google.com/spreadsheets/d/1AVX9GT0dgogEBStecCXMMQ29tWz3gBrtNB8yIromXbY/edit?gid=741673867"", ""out1g!A:B""), 2, FALSE), 0)"),404.0)</f>
        <v>404</v>
      </c>
      <c r="D5465" s="2" t="str">
        <f>IFERROR(__xludf.DUMMYFUNCTION("IFERROR(VLOOKUP(A5465, IMPORTRANGE(""https://docs.google.com/spreadsheets/d/1-3Vjw2Cyy-mry5gbC8ypIR3YVGFfEpyFESummAta6sg/edit"", ""Sheet1!B:D""), 2, FALSE), ""Not Found"")"),"pɑpt")</f>
        <v>pɑpt</v>
      </c>
      <c r="E5465" s="2" t="str">
        <f>IFERROR(__xludf.DUMMYFUNCTION("IFERROR(VLOOKUP(A5465, IMPORTRANGE(""https://docs.google.com/spreadsheets/d/1-3Vjw2Cyy-mry5gbC8ypIR3YVGFfEpyFESummAta6sg/edit"", ""Sheet1!B:D""), 3, FALSE), ""Not Found"")"),"p ɑ p t ")</f>
        <v>p ɑ p t </v>
      </c>
    </row>
    <row r="5466">
      <c r="A5466" s="1" t="s">
        <v>5468</v>
      </c>
      <c r="B5466" s="1" t="s">
        <v>5</v>
      </c>
      <c r="C5466" s="2">
        <f>IFERROR(__xludf.DUMMYFUNCTION("IFERROR(VLOOKUP(A5466, IMPORTRANGE(""https://docs.google.com/spreadsheets/d/1AVX9GT0dgogEBStecCXMMQ29tWz3gBrtNB8yIromXbY/edit?gid=741673867"", ""out1g!A:B""), 2, FALSE), 0)"),128.0)</f>
        <v>128</v>
      </c>
      <c r="D5466" s="2" t="str">
        <f>IFERROR(__xludf.DUMMYFUNCTION("IFERROR(VLOOKUP(A5466, IMPORTRANGE(""https://docs.google.com/spreadsheets/d/1-3Vjw2Cyy-mry5gbC8ypIR3YVGFfEpyFESummAta6sg/edit"", ""Sheet1!B:D""), 2, FALSE), ""Not Found"")"),"drɛd")</f>
        <v>drɛd</v>
      </c>
      <c r="E5466" s="2" t="str">
        <f>IFERROR(__xludf.DUMMYFUNCTION("IFERROR(VLOOKUP(A5466, IMPORTRANGE(""https://docs.google.com/spreadsheets/d/1-3Vjw2Cyy-mry5gbC8ypIR3YVGFfEpyFESummAta6sg/edit"", ""Sheet1!B:D""), 3, FALSE), ""Not Found"")"),"d r ɛ d ")</f>
        <v>d r ɛ d </v>
      </c>
    </row>
    <row r="5467">
      <c r="A5467" s="1" t="s">
        <v>5469</v>
      </c>
      <c r="B5467" s="1" t="s">
        <v>5</v>
      </c>
      <c r="C5467" s="2">
        <f>IFERROR(__xludf.DUMMYFUNCTION("IFERROR(VLOOKUP(A5467, IMPORTRANGE(""https://docs.google.com/spreadsheets/d/1AVX9GT0dgogEBStecCXMMQ29tWz3gBrtNB8yIromXbY/edit?gid=741673867"", ""out1g!A:B""), 2, FALSE), 0)"),112.0)</f>
        <v>112</v>
      </c>
      <c r="D5467" s="2" t="str">
        <f>IFERROR(__xludf.DUMMYFUNCTION("IFERROR(VLOOKUP(A5467, IMPORTRANGE(""https://docs.google.com/spreadsheets/d/1-3Vjw2Cyy-mry5gbC8ypIR3YVGFfEpyFESummAta6sg/edit"", ""Sheet1!B:D""), 2, FALSE), ""Not Found"")"),"kɑnz")</f>
        <v>kɑnz</v>
      </c>
      <c r="E5467" s="2" t="str">
        <f>IFERROR(__xludf.DUMMYFUNCTION("IFERROR(VLOOKUP(A5467, IMPORTRANGE(""https://docs.google.com/spreadsheets/d/1-3Vjw2Cyy-mry5gbC8ypIR3YVGFfEpyFESummAta6sg/edit"", ""Sheet1!B:D""), 3, FALSE), ""Not Found"")"),"k ɑ n z ")</f>
        <v>k ɑ n z </v>
      </c>
    </row>
    <row r="5468">
      <c r="A5468" s="1" t="s">
        <v>5470</v>
      </c>
      <c r="B5468" s="1" t="s">
        <v>5</v>
      </c>
      <c r="C5468" s="2">
        <f>IFERROR(__xludf.DUMMYFUNCTION("IFERROR(VLOOKUP(A5468, IMPORTRANGE(""https://docs.google.com/spreadsheets/d/1AVX9GT0dgogEBStecCXMMQ29tWz3gBrtNB8yIromXbY/edit?gid=741673867"", ""out1g!A:B""), 2, FALSE), 0)"),105.0)</f>
        <v>105</v>
      </c>
      <c r="D5468" s="2" t="str">
        <f>IFERROR(__xludf.DUMMYFUNCTION("IFERROR(VLOOKUP(A5468, IMPORTRANGE(""https://docs.google.com/spreadsheets/d/1-3Vjw2Cyy-mry5gbC8ypIR3YVGFfEpyFESummAta6sg/edit"", ""Sheet1!B:D""), 2, FALSE), ""Not Found"")"),"wiv")</f>
        <v>wiv</v>
      </c>
      <c r="E5468" s="2" t="str">
        <f>IFERROR(__xludf.DUMMYFUNCTION("IFERROR(VLOOKUP(A5468, IMPORTRANGE(""https://docs.google.com/spreadsheets/d/1-3Vjw2Cyy-mry5gbC8ypIR3YVGFfEpyFESummAta6sg/edit"", ""Sheet1!B:D""), 3, FALSE), ""Not Found"")"),"w i v ")</f>
        <v>w i v </v>
      </c>
    </row>
    <row r="5469">
      <c r="A5469" s="1" t="s">
        <v>5471</v>
      </c>
      <c r="B5469" s="1" t="s">
        <v>5</v>
      </c>
      <c r="C5469" s="2">
        <f>IFERROR(__xludf.DUMMYFUNCTION("IFERROR(VLOOKUP(A5469, IMPORTRANGE(""https://docs.google.com/spreadsheets/d/1AVX9GT0dgogEBStecCXMMQ29tWz3gBrtNB8yIromXbY/edit?gid=741673867"", ""out1g!A:B""), 2, FALSE), 0)"),20.0)</f>
        <v>20</v>
      </c>
      <c r="D5469" s="2" t="str">
        <f>IFERROR(__xludf.DUMMYFUNCTION("IFERROR(VLOOKUP(A5469, IMPORTRANGE(""https://docs.google.com/spreadsheets/d/1-3Vjw2Cyy-mry5gbC8ypIR3YVGFfEpyFESummAta6sg/edit"", ""Sheet1!B:D""), 2, FALSE), ""Not Found"")"),"fliz")</f>
        <v>fliz</v>
      </c>
      <c r="E5469" s="2" t="str">
        <f>IFERROR(__xludf.DUMMYFUNCTION("IFERROR(VLOOKUP(A5469, IMPORTRANGE(""https://docs.google.com/spreadsheets/d/1-3Vjw2Cyy-mry5gbC8ypIR3YVGFfEpyFESummAta6sg/edit"", ""Sheet1!B:D""), 3, FALSE), ""Not Found"")"),"f l i z ")</f>
        <v>f l i z </v>
      </c>
    </row>
    <row r="5470">
      <c r="A5470" s="1" t="s">
        <v>5472</v>
      </c>
      <c r="B5470" s="1" t="s">
        <v>5</v>
      </c>
      <c r="C5470" s="2">
        <f>IFERROR(__xludf.DUMMYFUNCTION("IFERROR(VLOOKUP(A5470, IMPORTRANGE(""https://docs.google.com/spreadsheets/d/1AVX9GT0dgogEBStecCXMMQ29tWz3gBrtNB8yIromXbY/edit?gid=741673867"", ""out1g!A:B""), 2, FALSE), 0)"),140.0)</f>
        <v>140</v>
      </c>
      <c r="D5470" s="2" t="str">
        <f>IFERROR(__xludf.DUMMYFUNCTION("IFERROR(VLOOKUP(A5470, IMPORTRANGE(""https://docs.google.com/spreadsheets/d/1-3Vjw2Cyy-mry5gbC8ypIR3YVGFfEpyFESummAta6sg/edit"", ""Sheet1!B:D""), 2, FALSE), ""Not Found"")"),"spuk")</f>
        <v>spuk</v>
      </c>
      <c r="E5470" s="2" t="str">
        <f>IFERROR(__xludf.DUMMYFUNCTION("IFERROR(VLOOKUP(A5470, IMPORTRANGE(""https://docs.google.com/spreadsheets/d/1-3Vjw2Cyy-mry5gbC8ypIR3YVGFfEpyFESummAta6sg/edit"", ""Sheet1!B:D""), 3, FALSE), ""Not Found"")"),"s p u k ")</f>
        <v>s p u k </v>
      </c>
    </row>
    <row r="5471">
      <c r="A5471" s="1" t="s">
        <v>5473</v>
      </c>
      <c r="B5471" s="1" t="s">
        <v>5</v>
      </c>
      <c r="C5471" s="2">
        <f>IFERROR(__xludf.DUMMYFUNCTION("IFERROR(VLOOKUP(A5471, IMPORTRANGE(""https://docs.google.com/spreadsheets/d/1AVX9GT0dgogEBStecCXMMQ29tWz3gBrtNB8yIromXbY/edit?gid=741673867"", ""out1g!A:B""), 2, FALSE), 0)"),279.0)</f>
        <v>279</v>
      </c>
      <c r="D5471" s="2" t="str">
        <f>IFERROR(__xludf.DUMMYFUNCTION("IFERROR(VLOOKUP(A5471, IMPORTRANGE(""https://docs.google.com/spreadsheets/d/1-3Vjw2Cyy-mry5gbC8ypIR3YVGFfEpyFESummAta6sg/edit"", ""Sheet1!B:D""), 2, FALSE), ""Not Found"")"),"spaɪɪŋ")</f>
        <v>spaɪɪŋ</v>
      </c>
      <c r="E5471" s="2" t="str">
        <f>IFERROR(__xludf.DUMMYFUNCTION("IFERROR(VLOOKUP(A5471, IMPORTRANGE(""https://docs.google.com/spreadsheets/d/1-3Vjw2Cyy-mry5gbC8ypIR3YVGFfEpyFESummAta6sg/edit"", ""Sheet1!B:D""), 3, FALSE), ""Not Found"")"),"s p a ɪ ɪ ŋ ")</f>
        <v>s p a ɪ ɪ ŋ </v>
      </c>
    </row>
    <row r="5472">
      <c r="A5472" s="1" t="s">
        <v>5474</v>
      </c>
      <c r="B5472" s="1" t="s">
        <v>5</v>
      </c>
      <c r="C5472" s="2">
        <f>IFERROR(__xludf.DUMMYFUNCTION("IFERROR(VLOOKUP(A5472, IMPORTRANGE(""https://docs.google.com/spreadsheets/d/1AVX9GT0dgogEBStecCXMMQ29tWz3gBrtNB8yIromXbY/edit?gid=741673867"", ""out1g!A:B""), 2, FALSE), 0)"),89.0)</f>
        <v>89</v>
      </c>
      <c r="D5472" s="2" t="str">
        <f>IFERROR(__xludf.DUMMYFUNCTION("IFERROR(VLOOKUP(A5472, IMPORTRANGE(""https://docs.google.com/spreadsheets/d/1-3Vjw2Cyy-mry5gbC8ypIR3YVGFfEpyFESummAta6sg/edit"", ""Sheet1!B:D""), 2, FALSE), ""Not Found"")"),"flek")</f>
        <v>flek</v>
      </c>
      <c r="E5472" s="2" t="str">
        <f>IFERROR(__xludf.DUMMYFUNCTION("IFERROR(VLOOKUP(A5472, IMPORTRANGE(""https://docs.google.com/spreadsheets/d/1-3Vjw2Cyy-mry5gbC8ypIR3YVGFfEpyFESummAta6sg/edit"", ""Sheet1!B:D""), 3, FALSE), ""Not Found"")"),"f l e k ")</f>
        <v>f l e k </v>
      </c>
    </row>
    <row r="5473">
      <c r="A5473" s="1" t="s">
        <v>5475</v>
      </c>
      <c r="B5473" s="1" t="s">
        <v>5</v>
      </c>
      <c r="C5473" s="2">
        <f>IFERROR(__xludf.DUMMYFUNCTION("IFERROR(VLOOKUP(A5473, IMPORTRANGE(""https://docs.google.com/spreadsheets/d/1AVX9GT0dgogEBStecCXMMQ29tWz3gBrtNB8yIromXbY/edit?gid=741673867"", ""out1g!A:B""), 2, FALSE), 0)"),225.0)</f>
        <v>225</v>
      </c>
      <c r="D5473" s="2" t="str">
        <f>IFERROR(__xludf.DUMMYFUNCTION("IFERROR(VLOOKUP(A5473, IMPORTRANGE(""https://docs.google.com/spreadsheets/d/1-3Vjw2Cyy-mry5gbC8ypIR3YVGFfEpyFESummAta6sg/edit"", ""Sheet1!B:D""), 2, FALSE), ""Not Found"")"),"vɛnt")</f>
        <v>vɛnt</v>
      </c>
      <c r="E5473" s="2" t="str">
        <f>IFERROR(__xludf.DUMMYFUNCTION("IFERROR(VLOOKUP(A5473, IMPORTRANGE(""https://docs.google.com/spreadsheets/d/1-3Vjw2Cyy-mry5gbC8ypIR3YVGFfEpyFESummAta6sg/edit"", ""Sheet1!B:D""), 3, FALSE), ""Not Found"")"),"v ɛ n t ")</f>
        <v>v ɛ n t </v>
      </c>
    </row>
    <row r="5474">
      <c r="A5474" s="1" t="s">
        <v>5476</v>
      </c>
      <c r="B5474" s="1" t="s">
        <v>5</v>
      </c>
      <c r="C5474" s="2">
        <f>IFERROR(__xludf.DUMMYFUNCTION("IFERROR(VLOOKUP(A5474, IMPORTRANGE(""https://docs.google.com/spreadsheets/d/1AVX9GT0dgogEBStecCXMMQ29tWz3gBrtNB8yIromXbY/edit?gid=741673867"", ""out1g!A:B""), 2, FALSE), 0)"),139.0)</f>
        <v>139</v>
      </c>
      <c r="D5474" s="2" t="str">
        <f>IFERROR(__xludf.DUMMYFUNCTION("IFERROR(VLOOKUP(A5474, IMPORTRANGE(""https://docs.google.com/spreadsheets/d/1-3Vjw2Cyy-mry5gbC8ypIR3YVGFfEpyFESummAta6sg/edit"", ""Sheet1!B:D""), 2, FALSE), ""Not Found"")"),"krəʃɪŋ")</f>
        <v>krəʃɪŋ</v>
      </c>
      <c r="E5474" s="2" t="str">
        <f>IFERROR(__xludf.DUMMYFUNCTION("IFERROR(VLOOKUP(A5474, IMPORTRANGE(""https://docs.google.com/spreadsheets/d/1-3Vjw2Cyy-mry5gbC8ypIR3YVGFfEpyFESummAta6sg/edit"", ""Sheet1!B:D""), 3, FALSE), ""Not Found"")"),"k r ə ʃ ɪ ŋ ")</f>
        <v>k r ə ʃ ɪ ŋ </v>
      </c>
    </row>
    <row r="5475">
      <c r="A5475" s="1" t="s">
        <v>5477</v>
      </c>
      <c r="B5475" s="1" t="s">
        <v>5</v>
      </c>
      <c r="C5475" s="2">
        <f>IFERROR(__xludf.DUMMYFUNCTION("IFERROR(VLOOKUP(A5475, IMPORTRANGE(""https://docs.google.com/spreadsheets/d/1AVX9GT0dgogEBStecCXMMQ29tWz3gBrtNB8yIromXbY/edit?gid=741673867"", ""out1g!A:B""), 2, FALSE), 0)"),2731.0)</f>
        <v>2731</v>
      </c>
      <c r="D5475" s="2" t="str">
        <f>IFERROR(__xludf.DUMMYFUNCTION("IFERROR(VLOOKUP(A5475, IMPORTRANGE(""https://docs.google.com/spreadsheets/d/1-3Vjw2Cyy-mry5gbC8ypIR3YVGFfEpyFESummAta6sg/edit"", ""Sheet1!B:D""), 2, FALSE), ""Not Found"")"),"noʊt")</f>
        <v>noʊt</v>
      </c>
      <c r="E5475" s="2" t="str">
        <f>IFERROR(__xludf.DUMMYFUNCTION("IFERROR(VLOOKUP(A5475, IMPORTRANGE(""https://docs.google.com/spreadsheets/d/1-3Vjw2Cyy-mry5gbC8ypIR3YVGFfEpyFESummAta6sg/edit"", ""Sheet1!B:D""), 3, FALSE), ""Not Found"")"),"n o ʊ t ")</f>
        <v>n o ʊ t </v>
      </c>
    </row>
    <row r="5476">
      <c r="A5476" s="1" t="s">
        <v>5478</v>
      </c>
      <c r="B5476" s="1" t="s">
        <v>5</v>
      </c>
      <c r="C5476" s="2">
        <f>IFERROR(__xludf.DUMMYFUNCTION("IFERROR(VLOOKUP(A5476, IMPORTRANGE(""https://docs.google.com/spreadsheets/d/1AVX9GT0dgogEBStecCXMMQ29tWz3gBrtNB8yIromXbY/edit?gid=741673867"", ""out1g!A:B""), 2, FALSE), 0)"),119.0)</f>
        <v>119</v>
      </c>
      <c r="D5476" s="2" t="str">
        <f>IFERROR(__xludf.DUMMYFUNCTION("IFERROR(VLOOKUP(A5476, IMPORTRANGE(""https://docs.google.com/spreadsheets/d/1-3Vjw2Cyy-mry5gbC8ypIR3YVGFfEpyFESummAta6sg/edit"", ""Sheet1!B:D""), 2, FALSE), ""Not Found"")"),"sɛmi")</f>
        <v>sɛmi</v>
      </c>
      <c r="E5476" s="2" t="str">
        <f>IFERROR(__xludf.DUMMYFUNCTION("IFERROR(VLOOKUP(A5476, IMPORTRANGE(""https://docs.google.com/spreadsheets/d/1-3Vjw2Cyy-mry5gbC8ypIR3YVGFfEpyFESummAta6sg/edit"", ""Sheet1!B:D""), 3, FALSE), ""Not Found"")"),"s ɛ m i ")</f>
        <v>s ɛ m i </v>
      </c>
    </row>
    <row r="5477">
      <c r="A5477" s="1" t="s">
        <v>5479</v>
      </c>
      <c r="B5477" s="1" t="s">
        <v>5</v>
      </c>
      <c r="C5477" s="2">
        <f>IFERROR(__xludf.DUMMYFUNCTION("IFERROR(VLOOKUP(A5477, IMPORTRANGE(""https://docs.google.com/spreadsheets/d/1AVX9GT0dgogEBStecCXMMQ29tWz3gBrtNB8yIromXbY/edit?gid=741673867"", ""out1g!A:B""), 2, FALSE), 0)"),10515.0)</f>
        <v>10515</v>
      </c>
      <c r="D5477" s="2" t="str">
        <f>IFERROR(__xludf.DUMMYFUNCTION("IFERROR(VLOOKUP(A5477, IMPORTRANGE(""https://docs.google.com/spreadsheets/d/1-3Vjw2Cyy-mry5gbC8ypIR3YVGFfEpyFESummAta6sg/edit"", ""Sheet1!B:D""), 2, FALSE), ""Not Found"")"),"laɪn")</f>
        <v>laɪn</v>
      </c>
      <c r="E5477" s="2" t="str">
        <f>IFERROR(__xludf.DUMMYFUNCTION("IFERROR(VLOOKUP(A5477, IMPORTRANGE(""https://docs.google.com/spreadsheets/d/1-3Vjw2Cyy-mry5gbC8ypIR3YVGFfEpyFESummAta6sg/edit"", ""Sheet1!B:D""), 3, FALSE), ""Not Found"")"),"l a ɪ n ")</f>
        <v>l a ɪ n </v>
      </c>
    </row>
    <row r="5478">
      <c r="A5478" s="1" t="s">
        <v>5480</v>
      </c>
      <c r="B5478" s="1" t="s">
        <v>5</v>
      </c>
      <c r="C5478" s="2">
        <f>IFERROR(__xludf.DUMMYFUNCTION("IFERROR(VLOOKUP(A5478, IMPORTRANGE(""https://docs.google.com/spreadsheets/d/1AVX9GT0dgogEBStecCXMMQ29tWz3gBrtNB8yIromXbY/edit?gid=741673867"", ""out1g!A:B""), 2, FALSE), 0)"),83.0)</f>
        <v>83</v>
      </c>
      <c r="D5478" s="2" t="str">
        <f>IFERROR(__xludf.DUMMYFUNCTION("IFERROR(VLOOKUP(A5478, IMPORTRANGE(""https://docs.google.com/spreadsheets/d/1-3Vjw2Cyy-mry5gbC8ypIR3YVGFfEpyFESummAta6sg/edit"", ""Sheet1!B:D""), 2, FALSE), ""Not Found"")"),"fraʊ")</f>
        <v>fraʊ</v>
      </c>
      <c r="E5478" s="2" t="str">
        <f>IFERROR(__xludf.DUMMYFUNCTION("IFERROR(VLOOKUP(A5478, IMPORTRANGE(""https://docs.google.com/spreadsheets/d/1-3Vjw2Cyy-mry5gbC8ypIR3YVGFfEpyFESummAta6sg/edit"", ""Sheet1!B:D""), 3, FALSE), ""Not Found"")"),"f r a ʊ ")</f>
        <v>f r a ʊ </v>
      </c>
    </row>
    <row r="5479">
      <c r="A5479" s="1" t="s">
        <v>5481</v>
      </c>
      <c r="B5479" s="1" t="s">
        <v>5</v>
      </c>
      <c r="C5479" s="2">
        <f>IFERROR(__xludf.DUMMYFUNCTION("IFERROR(VLOOKUP(A5479, IMPORTRANGE(""https://docs.google.com/spreadsheets/d/1AVX9GT0dgogEBStecCXMMQ29tWz3gBrtNB8yIromXbY/edit?gid=741673867"", ""out1g!A:B""), 2, FALSE), 0)"),3361.0)</f>
        <v>3361</v>
      </c>
      <c r="D5479" s="2" t="str">
        <f>IFERROR(__xludf.DUMMYFUNCTION("IFERROR(VLOOKUP(A5479, IMPORTRANGE(""https://docs.google.com/spreadsheets/d/1-3Vjw2Cyy-mry5gbC8ypIR3YVGFfEpyFESummAta6sg/edit"", ""Sheet1!B:D""), 2, FALSE), ""Not Found"")"),"kɛri")</f>
        <v>kɛri</v>
      </c>
      <c r="E5479" s="2" t="str">
        <f>IFERROR(__xludf.DUMMYFUNCTION("IFERROR(VLOOKUP(A5479, IMPORTRANGE(""https://docs.google.com/spreadsheets/d/1-3Vjw2Cyy-mry5gbC8ypIR3YVGFfEpyFESummAta6sg/edit"", ""Sheet1!B:D""), 3, FALSE), ""Not Found"")"),"k ɛ r i ")</f>
        <v>k ɛ r i </v>
      </c>
    </row>
    <row r="5480">
      <c r="A5480" s="1" t="s">
        <v>5482</v>
      </c>
      <c r="B5480" s="1" t="s">
        <v>5</v>
      </c>
      <c r="C5480" s="2">
        <f>IFERROR(__xludf.DUMMYFUNCTION("IFERROR(VLOOKUP(A5480, IMPORTRANGE(""https://docs.google.com/spreadsheets/d/1AVX9GT0dgogEBStecCXMMQ29tWz3gBrtNB8yIromXbY/edit?gid=741673867"", ""out1g!A:B""), 2, FALSE), 0)"),108.0)</f>
        <v>108</v>
      </c>
      <c r="D5480" s="2" t="str">
        <f>IFERROR(__xludf.DUMMYFUNCTION("IFERROR(VLOOKUP(A5480, IMPORTRANGE(""https://docs.google.com/spreadsheets/d/1-3Vjw2Cyy-mry5gbC8ypIR3YVGFfEpyFESummAta6sg/edit"", ""Sheet1!B:D""), 2, FALSE), ""Not Found"")"),"tæbz")</f>
        <v>tæbz</v>
      </c>
      <c r="E5480" s="2" t="str">
        <f>IFERROR(__xludf.DUMMYFUNCTION("IFERROR(VLOOKUP(A5480, IMPORTRANGE(""https://docs.google.com/spreadsheets/d/1-3Vjw2Cyy-mry5gbC8ypIR3YVGFfEpyFESummAta6sg/edit"", ""Sheet1!B:D""), 3, FALSE), ""Not Found"")"),"t æ b z ")</f>
        <v>t æ b z </v>
      </c>
    </row>
    <row r="5481">
      <c r="A5481" s="1" t="s">
        <v>5483</v>
      </c>
      <c r="B5481" s="1" t="s">
        <v>5</v>
      </c>
      <c r="C5481" s="2">
        <f>IFERROR(__xludf.DUMMYFUNCTION("IFERROR(VLOOKUP(A5481, IMPORTRANGE(""https://docs.google.com/spreadsheets/d/1AVX9GT0dgogEBStecCXMMQ29tWz3gBrtNB8yIromXbY/edit?gid=741673867"", ""out1g!A:B""), 2, FALSE), 0)"),1144.0)</f>
        <v>1144</v>
      </c>
      <c r="D5481" s="2" t="str">
        <f>IFERROR(__xludf.DUMMYFUNCTION("IFERROR(VLOOKUP(A5481, IMPORTRANGE(""https://docs.google.com/spreadsheets/d/1-3Vjw2Cyy-mry5gbC8ypIR3YVGFfEpyFESummAta6sg/edit"", ""Sheet1!B:D""), 2, FALSE), ""Not Found"")"),"ðaʊ")</f>
        <v>ðaʊ</v>
      </c>
      <c r="E5481" s="2" t="str">
        <f>IFERROR(__xludf.DUMMYFUNCTION("IFERROR(VLOOKUP(A5481, IMPORTRANGE(""https://docs.google.com/spreadsheets/d/1-3Vjw2Cyy-mry5gbC8ypIR3YVGFfEpyFESummAta6sg/edit"", ""Sheet1!B:D""), 3, FALSE), ""Not Found"")"),"ð a ʊ ")</f>
        <v>ð a ʊ </v>
      </c>
    </row>
    <row r="5482">
      <c r="A5482" s="1" t="s">
        <v>5484</v>
      </c>
      <c r="B5482" s="1" t="s">
        <v>5</v>
      </c>
      <c r="C5482" s="2">
        <f>IFERROR(__xludf.DUMMYFUNCTION("IFERROR(VLOOKUP(A5482, IMPORTRANGE(""https://docs.google.com/spreadsheets/d/1AVX9GT0dgogEBStecCXMMQ29tWz3gBrtNB8yIromXbY/edit?gid=741673867"", ""out1g!A:B""), 2, FALSE), 0)"),65.0)</f>
        <v>65</v>
      </c>
      <c r="D5482" s="2" t="str">
        <f>IFERROR(__xludf.DUMMYFUNCTION("IFERROR(VLOOKUP(A5482, IMPORTRANGE(""https://docs.google.com/spreadsheets/d/1-3Vjw2Cyy-mry5gbC8ypIR3YVGFfEpyFESummAta6sg/edit"", ""Sheet1!B:D""), 2, FALSE), ""Not Found"")"),"toʊd")</f>
        <v>toʊd</v>
      </c>
      <c r="E5482" s="2" t="str">
        <f>IFERROR(__xludf.DUMMYFUNCTION("IFERROR(VLOOKUP(A5482, IMPORTRANGE(""https://docs.google.com/spreadsheets/d/1-3Vjw2Cyy-mry5gbC8ypIR3YVGFfEpyFESummAta6sg/edit"", ""Sheet1!B:D""), 3, FALSE), ""Not Found"")"),"t o ʊ d ")</f>
        <v>t o ʊ d </v>
      </c>
    </row>
    <row r="5483">
      <c r="A5483" s="1" t="s">
        <v>5485</v>
      </c>
      <c r="B5483" s="1" t="s">
        <v>5</v>
      </c>
      <c r="C5483" s="2">
        <f>IFERROR(__xludf.DUMMYFUNCTION("IFERROR(VLOOKUP(A5483, IMPORTRANGE(""https://docs.google.com/spreadsheets/d/1AVX9GT0dgogEBStecCXMMQ29tWz3gBrtNB8yIromXbY/edit?gid=741673867"", ""out1g!A:B""), 2, FALSE), 0)"),820.0)</f>
        <v>820</v>
      </c>
      <c r="D5483" s="2" t="str">
        <f>IFERROR(__xludf.DUMMYFUNCTION("IFERROR(VLOOKUP(A5483, IMPORTRANGE(""https://docs.google.com/spreadsheets/d/1-3Vjw2Cyy-mry5gbC8ypIR3YVGFfEpyFESummAta6sg/edit"", ""Sheet1!B:D""), 2, FALSE), ""Not Found"")"),"doʊp")</f>
        <v>doʊp</v>
      </c>
      <c r="E5483" s="2" t="str">
        <f>IFERROR(__xludf.DUMMYFUNCTION("IFERROR(VLOOKUP(A5483, IMPORTRANGE(""https://docs.google.com/spreadsheets/d/1-3Vjw2Cyy-mry5gbC8ypIR3YVGFfEpyFESummAta6sg/edit"", ""Sheet1!B:D""), 3, FALSE), ""Not Found"")"),"d o ʊ p ")</f>
        <v>d o ʊ p </v>
      </c>
    </row>
    <row r="5484">
      <c r="A5484" s="1" t="s">
        <v>5486</v>
      </c>
      <c r="B5484" s="1" t="s">
        <v>5</v>
      </c>
      <c r="C5484" s="2">
        <f>IFERROR(__xludf.DUMMYFUNCTION("IFERROR(VLOOKUP(A5484, IMPORTRANGE(""https://docs.google.com/spreadsheets/d/1AVX9GT0dgogEBStecCXMMQ29tWz3gBrtNB8yIromXbY/edit?gid=741673867"", ""out1g!A:B""), 2, FALSE), 0)"),5310.0)</f>
        <v>5310</v>
      </c>
      <c r="D5484" s="2" t="str">
        <f>IFERROR(__xludf.DUMMYFUNCTION("IFERROR(VLOOKUP(A5484, IMPORTRANGE(""https://docs.google.com/spreadsheets/d/1-3Vjw2Cyy-mry5gbC8ypIR3YVGFfEpyFESummAta6sg/edit"", ""Sheet1!B:D""), 2, FALSE), ""Not Found"")"),"lənʧ")</f>
        <v>lənʧ</v>
      </c>
      <c r="E5484" s="2" t="str">
        <f>IFERROR(__xludf.DUMMYFUNCTION("IFERROR(VLOOKUP(A5484, IMPORTRANGE(""https://docs.google.com/spreadsheets/d/1-3Vjw2Cyy-mry5gbC8ypIR3YVGFfEpyFESummAta6sg/edit"", ""Sheet1!B:D""), 3, FALSE), ""Not Found"")"),"l ə n ʧ ")</f>
        <v>l ə n ʧ </v>
      </c>
    </row>
    <row r="5485">
      <c r="A5485" s="1" t="s">
        <v>5487</v>
      </c>
      <c r="B5485" s="1" t="s">
        <v>5</v>
      </c>
      <c r="C5485" s="2">
        <f>IFERROR(__xludf.DUMMYFUNCTION("IFERROR(VLOOKUP(A5485, IMPORTRANGE(""https://docs.google.com/spreadsheets/d/1AVX9GT0dgogEBStecCXMMQ29tWz3gBrtNB8yIromXbY/edit?gid=741673867"", ""out1g!A:B""), 2, FALSE), 0)"),120.0)</f>
        <v>120</v>
      </c>
      <c r="D5485" s="2" t="str">
        <f>IFERROR(__xludf.DUMMYFUNCTION("IFERROR(VLOOKUP(A5485, IMPORTRANGE(""https://docs.google.com/spreadsheets/d/1-3Vjw2Cyy-mry5gbC8ypIR3YVGFfEpyFESummAta6sg/edit"", ""Sheet1!B:D""), 2, FALSE), ""Not Found"")"),"gənər")</f>
        <v>gənər</v>
      </c>
      <c r="E5485" s="2" t="str">
        <f>IFERROR(__xludf.DUMMYFUNCTION("IFERROR(VLOOKUP(A5485, IMPORTRANGE(""https://docs.google.com/spreadsheets/d/1-3Vjw2Cyy-mry5gbC8ypIR3YVGFfEpyFESummAta6sg/edit"", ""Sheet1!B:D""), 3, FALSE), ""Not Found"")"),"g ə n ə r ")</f>
        <v>g ə n ə r </v>
      </c>
    </row>
    <row r="5486">
      <c r="A5486" s="1" t="s">
        <v>5488</v>
      </c>
      <c r="B5486" s="1" t="s">
        <v>5</v>
      </c>
      <c r="C5486" s="2">
        <f>IFERROR(__xludf.DUMMYFUNCTION("IFERROR(VLOOKUP(A5486, IMPORTRANGE(""https://docs.google.com/spreadsheets/d/1AVX9GT0dgogEBStecCXMMQ29tWz3gBrtNB8yIromXbY/edit?gid=741673867"", ""out1g!A:B""), 2, FALSE), 0)"),711.0)</f>
        <v>711</v>
      </c>
      <c r="D5486" s="2" t="str">
        <f>IFERROR(__xludf.DUMMYFUNCTION("IFERROR(VLOOKUP(A5486, IMPORTRANGE(""https://docs.google.com/spreadsheets/d/1-3Vjw2Cyy-mry5gbC8ypIR3YVGFfEpyFESummAta6sg/edit"", ""Sheet1!B:D""), 2, FALSE), ""Not Found"")"),"fænz")</f>
        <v>fænz</v>
      </c>
      <c r="E5486" s="2" t="str">
        <f>IFERROR(__xludf.DUMMYFUNCTION("IFERROR(VLOOKUP(A5486, IMPORTRANGE(""https://docs.google.com/spreadsheets/d/1-3Vjw2Cyy-mry5gbC8ypIR3YVGFfEpyFESummAta6sg/edit"", ""Sheet1!B:D""), 3, FALSE), ""Not Found"")"),"f æ n z ")</f>
        <v>f æ n z </v>
      </c>
    </row>
    <row r="5487">
      <c r="A5487" s="1" t="s">
        <v>5489</v>
      </c>
      <c r="B5487" s="1" t="s">
        <v>5</v>
      </c>
      <c r="C5487" s="2">
        <f>IFERROR(__xludf.DUMMYFUNCTION("IFERROR(VLOOKUP(A5487, IMPORTRANGE(""https://docs.google.com/spreadsheets/d/1AVX9GT0dgogEBStecCXMMQ29tWz3gBrtNB8yIromXbY/edit?gid=741673867"", ""out1g!A:B""), 2, FALSE), 0)"),344899.0)</f>
        <v>344899</v>
      </c>
      <c r="D5487" s="2" t="str">
        <f>IFERROR(__xludf.DUMMYFUNCTION("IFERROR(VLOOKUP(A5487, IMPORTRANGE(""https://docs.google.com/spreadsheets/d/1-3Vjw2Cyy-mry5gbC8ypIR3YVGFfEpyFESummAta6sg/edit"", ""Sheet1!B:D""), 2, FALSE), ""Not Found"")"),"maɪ")</f>
        <v>maɪ</v>
      </c>
      <c r="E5487" s="2" t="str">
        <f>IFERROR(__xludf.DUMMYFUNCTION("IFERROR(VLOOKUP(A5487, IMPORTRANGE(""https://docs.google.com/spreadsheets/d/1-3Vjw2Cyy-mry5gbC8ypIR3YVGFfEpyFESummAta6sg/edit"", ""Sheet1!B:D""), 3, FALSE), ""Not Found"")"),"m a ɪ ")</f>
        <v>m a ɪ </v>
      </c>
    </row>
    <row r="5488">
      <c r="A5488" s="1" t="s">
        <v>5490</v>
      </c>
      <c r="B5488" s="1" t="s">
        <v>5</v>
      </c>
      <c r="C5488" s="2">
        <f>IFERROR(__xludf.DUMMYFUNCTION("IFERROR(VLOOKUP(A5488, IMPORTRANGE(""https://docs.google.com/spreadsheets/d/1AVX9GT0dgogEBStecCXMMQ29tWz3gBrtNB8yIromXbY/edit?gid=741673867"", ""out1g!A:B""), 2, FALSE), 0)"),610.0)</f>
        <v>610</v>
      </c>
      <c r="D5488" s="2" t="str">
        <f>IFERROR(__xludf.DUMMYFUNCTION("IFERROR(VLOOKUP(A5488, IMPORTRANGE(""https://docs.google.com/spreadsheets/d/1-3Vjw2Cyy-mry5gbC8ypIR3YVGFfEpyFESummAta6sg/edit"", ""Sheet1!B:D""), 2, FALSE), ""Not Found"")"),"tætu")</f>
        <v>tætu</v>
      </c>
      <c r="E5488" s="2" t="str">
        <f>IFERROR(__xludf.DUMMYFUNCTION("IFERROR(VLOOKUP(A5488, IMPORTRANGE(""https://docs.google.com/spreadsheets/d/1-3Vjw2Cyy-mry5gbC8ypIR3YVGFfEpyFESummAta6sg/edit"", ""Sheet1!B:D""), 3, FALSE), ""Not Found"")"),"t æ t u ")</f>
        <v>t æ t u </v>
      </c>
    </row>
    <row r="5489">
      <c r="A5489" s="1" t="s">
        <v>5491</v>
      </c>
      <c r="B5489" s="1" t="s">
        <v>5</v>
      </c>
      <c r="C5489" s="2">
        <f>IFERROR(__xludf.DUMMYFUNCTION("IFERROR(VLOOKUP(A5489, IMPORTRANGE(""https://docs.google.com/spreadsheets/d/1AVX9GT0dgogEBStecCXMMQ29tWz3gBrtNB8yIromXbY/edit?gid=741673867"", ""out1g!A:B""), 2, FALSE), 0)"),509.0)</f>
        <v>509</v>
      </c>
      <c r="D5489" s="2" t="str">
        <f>IFERROR(__xludf.DUMMYFUNCTION("IFERROR(VLOOKUP(A5489, IMPORTRANGE(""https://docs.google.com/spreadsheets/d/1-3Vjw2Cyy-mry5gbC8ypIR3YVGFfEpyFESummAta6sg/edit"", ""Sheet1!B:D""), 2, FALSE), ""Not Found"")"),"bɪldɪŋz")</f>
        <v>bɪldɪŋz</v>
      </c>
      <c r="E5489" s="2" t="str">
        <f>IFERROR(__xludf.DUMMYFUNCTION("IFERROR(VLOOKUP(A5489, IMPORTRANGE(""https://docs.google.com/spreadsheets/d/1-3Vjw2Cyy-mry5gbC8ypIR3YVGFfEpyFESummAta6sg/edit"", ""Sheet1!B:D""), 3, FALSE), ""Not Found"")"),"b ɪ l d ɪ ŋ z ")</f>
        <v>b ɪ l d ɪ ŋ z </v>
      </c>
    </row>
    <row r="5490">
      <c r="A5490" s="1" t="s">
        <v>5492</v>
      </c>
      <c r="B5490" s="1" t="s">
        <v>5</v>
      </c>
      <c r="C5490" s="2">
        <f>IFERROR(__xludf.DUMMYFUNCTION("IFERROR(VLOOKUP(A5490, IMPORTRANGE(""https://docs.google.com/spreadsheets/d/1AVX9GT0dgogEBStecCXMMQ29tWz3gBrtNB8yIromXbY/edit?gid=741673867"", ""out1g!A:B""), 2, FALSE), 0)"),2467.0)</f>
        <v>2467</v>
      </c>
      <c r="D5490" s="2" t="str">
        <f>IFERROR(__xludf.DUMMYFUNCTION("IFERROR(VLOOKUP(A5490, IMPORTRANGE(""https://docs.google.com/spreadsheets/d/1-3Vjw2Cyy-mry5gbC8ypIR3YVGFfEpyFESummAta6sg/edit"", ""Sheet1!B:D""), 2, FALSE), ""Not Found"")"),"juʤ")</f>
        <v>juʤ</v>
      </c>
      <c r="E5490" s="2" t="str">
        <f>IFERROR(__xludf.DUMMYFUNCTION("IFERROR(VLOOKUP(A5490, IMPORTRANGE(""https://docs.google.com/spreadsheets/d/1-3Vjw2Cyy-mry5gbC8ypIR3YVGFfEpyFESummAta6sg/edit"", ""Sheet1!B:D""), 3, FALSE), ""Not Found"")"),"j u ʤ ")</f>
        <v>j u ʤ </v>
      </c>
    </row>
    <row r="5491">
      <c r="A5491" s="1" t="s">
        <v>5493</v>
      </c>
      <c r="B5491" s="1" t="s">
        <v>5</v>
      </c>
      <c r="C5491" s="2">
        <f>IFERROR(__xludf.DUMMYFUNCTION("IFERROR(VLOOKUP(A5491, IMPORTRANGE(""https://docs.google.com/spreadsheets/d/1AVX9GT0dgogEBStecCXMMQ29tWz3gBrtNB8yIromXbY/edit?gid=741673867"", ""out1g!A:B""), 2, FALSE), 0)"),72.0)</f>
        <v>72</v>
      </c>
      <c r="D5491" s="2" t="str">
        <f>IFERROR(__xludf.DUMMYFUNCTION("IFERROR(VLOOKUP(A5491, IMPORTRANGE(""https://docs.google.com/spreadsheets/d/1-3Vjw2Cyy-mry5gbC8ypIR3YVGFfEpyFESummAta6sg/edit"", ""Sheet1!B:D""), 2, FALSE), ""Not Found"")"),"ivəlz")</f>
        <v>ivəlz</v>
      </c>
      <c r="E5491" s="2" t="str">
        <f>IFERROR(__xludf.DUMMYFUNCTION("IFERROR(VLOOKUP(A5491, IMPORTRANGE(""https://docs.google.com/spreadsheets/d/1-3Vjw2Cyy-mry5gbC8ypIR3YVGFfEpyFESummAta6sg/edit"", ""Sheet1!B:D""), 3, FALSE), ""Not Found"")"),"i v ə l z ")</f>
        <v>i v ə l z </v>
      </c>
    </row>
    <row r="5492">
      <c r="A5492" s="1" t="s">
        <v>5494</v>
      </c>
      <c r="B5492" s="1" t="s">
        <v>5</v>
      </c>
      <c r="C5492" s="2">
        <f>IFERROR(__xludf.DUMMYFUNCTION("IFERROR(VLOOKUP(A5492, IMPORTRANGE(""https://docs.google.com/spreadsheets/d/1AVX9GT0dgogEBStecCXMMQ29tWz3gBrtNB8yIromXbY/edit?gid=741673867"", ""out1g!A:B""), 2, FALSE), 0)"),2038529.0)</f>
        <v>2038529</v>
      </c>
      <c r="D5492" s="2" t="str">
        <f>IFERROR(__xludf.DUMMYFUNCTION("IFERROR(VLOOKUP(A5492, IMPORTRANGE(""https://docs.google.com/spreadsheets/d/1-3Vjw2Cyy-mry5gbC8ypIR3YVGFfEpyFESummAta6sg/edit"", ""Sheet1!B:D""), 2, FALSE), ""Not Found"")"),"aɪ")</f>
        <v>aɪ</v>
      </c>
      <c r="E5492" s="2" t="str">
        <f>IFERROR(__xludf.DUMMYFUNCTION("IFERROR(VLOOKUP(A5492, IMPORTRANGE(""https://docs.google.com/spreadsheets/d/1-3Vjw2Cyy-mry5gbC8ypIR3YVGFfEpyFESummAta6sg/edit"", ""Sheet1!B:D""), 3, FALSE), ""Not Found"")"),"a ɪ ")</f>
        <v>a ɪ </v>
      </c>
    </row>
    <row r="5493">
      <c r="A5493" s="1" t="s">
        <v>5495</v>
      </c>
      <c r="B5493" s="1" t="s">
        <v>5</v>
      </c>
      <c r="C5493" s="2">
        <f>IFERROR(__xludf.DUMMYFUNCTION("IFERROR(VLOOKUP(A5493, IMPORTRANGE(""https://docs.google.com/spreadsheets/d/1AVX9GT0dgogEBStecCXMMQ29tWz3gBrtNB8yIromXbY/edit?gid=741673867"", ""out1g!A:B""), 2, FALSE), 0)"),1002.0)</f>
        <v>1002</v>
      </c>
      <c r="D5493" s="2" t="str">
        <f>IFERROR(__xludf.DUMMYFUNCTION("IFERROR(VLOOKUP(A5493, IMPORTRANGE(""https://docs.google.com/spreadsheets/d/1-3Vjw2Cyy-mry5gbC8ypIR3YVGFfEpyFESummAta6sg/edit"", ""Sheet1!B:D""), 2, FALSE), ""Not Found"")"),"ʃɪps")</f>
        <v>ʃɪps</v>
      </c>
      <c r="E5493" s="2" t="str">
        <f>IFERROR(__xludf.DUMMYFUNCTION("IFERROR(VLOOKUP(A5493, IMPORTRANGE(""https://docs.google.com/spreadsheets/d/1-3Vjw2Cyy-mry5gbC8ypIR3YVGFfEpyFESummAta6sg/edit"", ""Sheet1!B:D""), 3, FALSE), ""Not Found"")"),"ʃ ɪ p s ")</f>
        <v>ʃ ɪ p s </v>
      </c>
    </row>
    <row r="5494">
      <c r="A5494" s="1" t="s">
        <v>5496</v>
      </c>
      <c r="B5494" s="1" t="s">
        <v>5</v>
      </c>
      <c r="C5494" s="2">
        <f>IFERROR(__xludf.DUMMYFUNCTION("IFERROR(VLOOKUP(A5494, IMPORTRANGE(""https://docs.google.com/spreadsheets/d/1AVX9GT0dgogEBStecCXMMQ29tWz3gBrtNB8yIromXbY/edit?gid=741673867"", ""out1g!A:B""), 2, FALSE), 0)"),75.0)</f>
        <v>75</v>
      </c>
      <c r="D5494" s="2" t="str">
        <f>IFERROR(__xludf.DUMMYFUNCTION("IFERROR(VLOOKUP(A5494, IMPORTRANGE(""https://docs.google.com/spreadsheets/d/1-3Vjw2Cyy-mry5gbC8ypIR3YVGFfEpyFESummAta6sg/edit"", ""Sheet1!B:D""), 2, FALSE), ""Not Found"")"),"spidz")</f>
        <v>spidz</v>
      </c>
      <c r="E5494" s="2" t="str">
        <f>IFERROR(__xludf.DUMMYFUNCTION("IFERROR(VLOOKUP(A5494, IMPORTRANGE(""https://docs.google.com/spreadsheets/d/1-3Vjw2Cyy-mry5gbC8ypIR3YVGFfEpyFESummAta6sg/edit"", ""Sheet1!B:D""), 3, FALSE), ""Not Found"")"),"s p i d z ")</f>
        <v>s p i d z </v>
      </c>
    </row>
    <row r="5495">
      <c r="A5495" s="1" t="s">
        <v>5497</v>
      </c>
      <c r="B5495" s="1" t="s">
        <v>5</v>
      </c>
      <c r="C5495" s="2">
        <f>IFERROR(__xludf.DUMMYFUNCTION("IFERROR(VLOOKUP(A5495, IMPORTRANGE(""https://docs.google.com/spreadsheets/d/1AVX9GT0dgogEBStecCXMMQ29tWz3gBrtNB8yIromXbY/edit?gid=741673867"", ""out1g!A:B""), 2, FALSE), 0)"),57.0)</f>
        <v>57</v>
      </c>
      <c r="D5495" s="2" t="str">
        <f>IFERROR(__xludf.DUMMYFUNCTION("IFERROR(VLOOKUP(A5495, IMPORTRANGE(""https://docs.google.com/spreadsheets/d/1-3Vjw2Cyy-mry5gbC8ypIR3YVGFfEpyFESummAta6sg/edit"", ""Sheet1!B:D""), 2, FALSE), ""Not Found"")"),"pɪnʧɪŋ")</f>
        <v>pɪnʧɪŋ</v>
      </c>
      <c r="E5495" s="2" t="str">
        <f>IFERROR(__xludf.DUMMYFUNCTION("IFERROR(VLOOKUP(A5495, IMPORTRANGE(""https://docs.google.com/spreadsheets/d/1-3Vjw2Cyy-mry5gbC8ypIR3YVGFfEpyFESummAta6sg/edit"", ""Sheet1!B:D""), 3, FALSE), ""Not Found"")"),"p ɪ n ʧ ɪ ŋ ")</f>
        <v>p ɪ n ʧ ɪ ŋ </v>
      </c>
    </row>
    <row r="5496">
      <c r="A5496" s="1" t="s">
        <v>5498</v>
      </c>
      <c r="B5496" s="1" t="s">
        <v>5</v>
      </c>
      <c r="C5496" s="2">
        <f>IFERROR(__xludf.DUMMYFUNCTION("IFERROR(VLOOKUP(A5496, IMPORTRANGE(""https://docs.google.com/spreadsheets/d/1AVX9GT0dgogEBStecCXMMQ29tWz3gBrtNB8yIromXbY/edit?gid=741673867"", ""out1g!A:B""), 2, FALSE), 0)"),264.0)</f>
        <v>264</v>
      </c>
      <c r="D5496" s="2" t="str">
        <f>IFERROR(__xludf.DUMMYFUNCTION("IFERROR(VLOOKUP(A5496, IMPORTRANGE(""https://docs.google.com/spreadsheets/d/1-3Vjw2Cyy-mry5gbC8ypIR3YVGFfEpyFESummAta6sg/edit"", ""Sheet1!B:D""), 2, FALSE), ""Not Found"")"),"baɪər")</f>
        <v>baɪər</v>
      </c>
      <c r="E5496" s="2" t="str">
        <f>IFERROR(__xludf.DUMMYFUNCTION("IFERROR(VLOOKUP(A5496, IMPORTRANGE(""https://docs.google.com/spreadsheets/d/1-3Vjw2Cyy-mry5gbC8ypIR3YVGFfEpyFESummAta6sg/edit"", ""Sheet1!B:D""), 3, FALSE), ""Not Found"")"),"b a ɪ ə r ")</f>
        <v>b a ɪ ə r </v>
      </c>
    </row>
    <row r="5497">
      <c r="A5497" s="1" t="s">
        <v>5499</v>
      </c>
      <c r="B5497" s="1" t="s">
        <v>5</v>
      </c>
      <c r="C5497" s="2">
        <f>IFERROR(__xludf.DUMMYFUNCTION("IFERROR(VLOOKUP(A5497, IMPORTRANGE(""https://docs.google.com/spreadsheets/d/1AVX9GT0dgogEBStecCXMMQ29tWz3gBrtNB8yIromXbY/edit?gid=741673867"", ""out1g!A:B""), 2, FALSE), 0)"),300.0)</f>
        <v>300</v>
      </c>
      <c r="D5497" s="2" t="str">
        <f>IFERROR(__xludf.DUMMYFUNCTION("IFERROR(VLOOKUP(A5497, IMPORTRANGE(""https://docs.google.com/spreadsheets/d/1-3Vjw2Cyy-mry5gbC8ypIR3YVGFfEpyFESummAta6sg/edit"", ""Sheet1!B:D""), 2, FALSE), ""Not Found"")"),"dɪd")</f>
        <v>dɪd</v>
      </c>
      <c r="E5497" s="2" t="str">
        <f>IFERROR(__xludf.DUMMYFUNCTION("IFERROR(VLOOKUP(A5497, IMPORTRANGE(""https://docs.google.com/spreadsheets/d/1-3Vjw2Cyy-mry5gbC8ypIR3YVGFfEpyFESummAta6sg/edit"", ""Sheet1!B:D""), 3, FALSE), ""Not Found"")"),"d ɪ d ")</f>
        <v>d ɪ d </v>
      </c>
    </row>
    <row r="5498">
      <c r="A5498" s="1" t="s">
        <v>5500</v>
      </c>
      <c r="B5498" s="1" t="s">
        <v>5</v>
      </c>
      <c r="C5498" s="2">
        <f>IFERROR(__xludf.DUMMYFUNCTION("IFERROR(VLOOKUP(A5498, IMPORTRANGE(""https://docs.google.com/spreadsheets/d/1AVX9GT0dgogEBStecCXMMQ29tWz3gBrtNB8yIromXbY/edit?gid=741673867"", ""out1g!A:B""), 2, FALSE), 0)"),783.0)</f>
        <v>783</v>
      </c>
      <c r="D5498" s="2" t="str">
        <f>IFERROR(__xludf.DUMMYFUNCTION("IFERROR(VLOOKUP(A5498, IMPORTRANGE(""https://docs.google.com/spreadsheets/d/1-3Vjw2Cyy-mry5gbC8ypIR3YVGFfEpyFESummAta6sg/edit"", ""Sheet1!B:D""), 2, FALSE), ""Not Found"")"),"laɪən")</f>
        <v>laɪən</v>
      </c>
      <c r="E5498" s="2" t="str">
        <f>IFERROR(__xludf.DUMMYFUNCTION("IFERROR(VLOOKUP(A5498, IMPORTRANGE(""https://docs.google.com/spreadsheets/d/1-3Vjw2Cyy-mry5gbC8ypIR3YVGFfEpyFESummAta6sg/edit"", ""Sheet1!B:D""), 3, FALSE), ""Not Found"")"),"l a ɪ ə n ")</f>
        <v>l a ɪ ə n </v>
      </c>
    </row>
    <row r="5499">
      <c r="A5499" s="1" t="s">
        <v>5501</v>
      </c>
      <c r="B5499" s="1" t="s">
        <v>5</v>
      </c>
      <c r="C5499" s="2">
        <f>IFERROR(__xludf.DUMMYFUNCTION("IFERROR(VLOOKUP(A5499, IMPORTRANGE(""https://docs.google.com/spreadsheets/d/1AVX9GT0dgogEBStecCXMMQ29tWz3gBrtNB8yIromXbY/edit?gid=741673867"", ""out1g!A:B""), 2, FALSE), 0)"),326.0)</f>
        <v>326</v>
      </c>
      <c r="D5499" s="2" t="str">
        <f>IFERROR(__xludf.DUMMYFUNCTION("IFERROR(VLOOKUP(A5499, IMPORTRANGE(""https://docs.google.com/spreadsheets/d/1-3Vjw2Cyy-mry5gbC8ypIR3YVGFfEpyFESummAta6sg/edit"", ""Sheet1!B:D""), 2, FALSE), ""Not Found"")"),"hilɪŋ")</f>
        <v>hilɪŋ</v>
      </c>
      <c r="E5499" s="2" t="str">
        <f>IFERROR(__xludf.DUMMYFUNCTION("IFERROR(VLOOKUP(A5499, IMPORTRANGE(""https://docs.google.com/spreadsheets/d/1-3Vjw2Cyy-mry5gbC8ypIR3YVGFfEpyFESummAta6sg/edit"", ""Sheet1!B:D""), 3, FALSE), ""Not Found"")"),"h i l ɪ ŋ ")</f>
        <v>h i l ɪ ŋ </v>
      </c>
    </row>
    <row r="5500">
      <c r="A5500" s="1" t="s">
        <v>5502</v>
      </c>
      <c r="B5500" s="1" t="s">
        <v>5</v>
      </c>
      <c r="C5500" s="2">
        <f>IFERROR(__xludf.DUMMYFUNCTION("IFERROR(VLOOKUP(A5500, IMPORTRANGE(""https://docs.google.com/spreadsheets/d/1AVX9GT0dgogEBStecCXMMQ29tWz3gBrtNB8yIromXbY/edit?gid=741673867"", ""out1g!A:B""), 2, FALSE), 0)"),207.0)</f>
        <v>207</v>
      </c>
      <c r="D5500" s="2" t="str">
        <f>IFERROR(__xludf.DUMMYFUNCTION("IFERROR(VLOOKUP(A5500, IMPORTRANGE(""https://docs.google.com/spreadsheets/d/1-3Vjw2Cyy-mry5gbC8ypIR3YVGFfEpyFESummAta6sg/edit"", ""Sheet1!B:D""), 2, FALSE), ""Not Found"")"),"pæntɪŋ")</f>
        <v>pæntɪŋ</v>
      </c>
      <c r="E5500" s="2" t="str">
        <f>IFERROR(__xludf.DUMMYFUNCTION("IFERROR(VLOOKUP(A5500, IMPORTRANGE(""https://docs.google.com/spreadsheets/d/1-3Vjw2Cyy-mry5gbC8ypIR3YVGFfEpyFESummAta6sg/edit"", ""Sheet1!B:D""), 3, FALSE), ""Not Found"")"),"p æ n t ɪ ŋ ")</f>
        <v>p æ n t ɪ ŋ </v>
      </c>
    </row>
    <row r="5501">
      <c r="A5501" s="1" t="s">
        <v>5503</v>
      </c>
      <c r="B5501" s="1" t="s">
        <v>5</v>
      </c>
      <c r="C5501" s="2">
        <f>IFERROR(__xludf.DUMMYFUNCTION("IFERROR(VLOOKUP(A5501, IMPORTRANGE(""https://docs.google.com/spreadsheets/d/1AVX9GT0dgogEBStecCXMMQ29tWz3gBrtNB8yIromXbY/edit?gid=741673867"", ""out1g!A:B""), 2, FALSE), 0)"),72.0)</f>
        <v>72</v>
      </c>
      <c r="D5501" s="2" t="str">
        <f>IFERROR(__xludf.DUMMYFUNCTION("IFERROR(VLOOKUP(A5501, IMPORTRANGE(""https://docs.google.com/spreadsheets/d/1-3Vjw2Cyy-mry5gbC8ypIR3YVGFfEpyFESummAta6sg/edit"", ""Sheet1!B:D""), 2, FALSE), ""Not Found"")"),"niʧi")</f>
        <v>niʧi</v>
      </c>
      <c r="E5501" s="2" t="str">
        <f>IFERROR(__xludf.DUMMYFUNCTION("IFERROR(VLOOKUP(A5501, IMPORTRANGE(""https://docs.google.com/spreadsheets/d/1-3Vjw2Cyy-mry5gbC8ypIR3YVGFfEpyFESummAta6sg/edit"", ""Sheet1!B:D""), 3, FALSE), ""Not Found"")"),"n i ʧ i ")</f>
        <v>n i ʧ i </v>
      </c>
    </row>
    <row r="5502">
      <c r="A5502" s="1" t="s">
        <v>5504</v>
      </c>
      <c r="B5502" s="1" t="s">
        <v>5</v>
      </c>
      <c r="C5502" s="2">
        <f>IFERROR(__xludf.DUMMYFUNCTION("IFERROR(VLOOKUP(A5502, IMPORTRANGE(""https://docs.google.com/spreadsheets/d/1AVX9GT0dgogEBStecCXMMQ29tWz3gBrtNB8yIromXbY/edit?gid=741673867"", ""out1g!A:B""), 2, FALSE), 0)"),171.0)</f>
        <v>171</v>
      </c>
      <c r="D5502" s="2" t="str">
        <f>IFERROR(__xludf.DUMMYFUNCTION("IFERROR(VLOOKUP(A5502, IMPORTRANGE(""https://docs.google.com/spreadsheets/d/1-3Vjw2Cyy-mry5gbC8ypIR3YVGFfEpyFESummAta6sg/edit"", ""Sheet1!B:D""), 2, FALSE), ""Not Found"")"),"tɪt")</f>
        <v>tɪt</v>
      </c>
      <c r="E5502" s="2" t="str">
        <f>IFERROR(__xludf.DUMMYFUNCTION("IFERROR(VLOOKUP(A5502, IMPORTRANGE(""https://docs.google.com/spreadsheets/d/1-3Vjw2Cyy-mry5gbC8ypIR3YVGFfEpyFESummAta6sg/edit"", ""Sheet1!B:D""), 3, FALSE), ""Not Found"")"),"t ɪ t ")</f>
        <v>t ɪ t </v>
      </c>
    </row>
    <row r="5503">
      <c r="A5503" s="1" t="s">
        <v>5505</v>
      </c>
      <c r="B5503" s="1" t="s">
        <v>5</v>
      </c>
      <c r="C5503" s="2">
        <f>IFERROR(__xludf.DUMMYFUNCTION("IFERROR(VLOOKUP(A5503, IMPORTRANGE(""https://docs.google.com/spreadsheets/d/1AVX9GT0dgogEBStecCXMMQ29tWz3gBrtNB8yIromXbY/edit?gid=741673867"", ""out1g!A:B""), 2, FALSE), 0)"),119.0)</f>
        <v>119</v>
      </c>
      <c r="D5503" s="2" t="str">
        <f>IFERROR(__xludf.DUMMYFUNCTION("IFERROR(VLOOKUP(A5503, IMPORTRANGE(""https://docs.google.com/spreadsheets/d/1-3Vjw2Cyy-mry5gbC8ypIR3YVGFfEpyFESummAta6sg/edit"", ""Sheet1!B:D""), 2, FALSE), ""Not Found"")"),"oʊdər")</f>
        <v>oʊdər</v>
      </c>
      <c r="E5503" s="2" t="str">
        <f>IFERROR(__xludf.DUMMYFUNCTION("IFERROR(VLOOKUP(A5503, IMPORTRANGE(""https://docs.google.com/spreadsheets/d/1-3Vjw2Cyy-mry5gbC8ypIR3YVGFfEpyFESummAta6sg/edit"", ""Sheet1!B:D""), 3, FALSE), ""Not Found"")"),"o ʊ d ə r ")</f>
        <v>o ʊ d ə r </v>
      </c>
    </row>
    <row r="5504">
      <c r="A5504" s="1" t="s">
        <v>5506</v>
      </c>
      <c r="B5504" s="1" t="s">
        <v>5</v>
      </c>
      <c r="C5504" s="2">
        <f>IFERROR(__xludf.DUMMYFUNCTION("IFERROR(VLOOKUP(A5504, IMPORTRANGE(""https://docs.google.com/spreadsheets/d/1AVX9GT0dgogEBStecCXMMQ29tWz3gBrtNB8yIromXbY/edit?gid=741673867"", ""out1g!A:B""), 2, FALSE), 0)"),816.0)</f>
        <v>816</v>
      </c>
      <c r="D5504" s="2" t="str">
        <f>IFERROR(__xludf.DUMMYFUNCTION("IFERROR(VLOOKUP(A5504, IMPORTRANGE(""https://docs.google.com/spreadsheets/d/1-3Vjw2Cyy-mry5gbC8ypIR3YVGFfEpyFESummAta6sg/edit"", ""Sheet1!B:D""), 2, FALSE), ""Not Found"")"),"rep")</f>
        <v>rep</v>
      </c>
      <c r="E5504" s="2" t="str">
        <f>IFERROR(__xludf.DUMMYFUNCTION("IFERROR(VLOOKUP(A5504, IMPORTRANGE(""https://docs.google.com/spreadsheets/d/1-3Vjw2Cyy-mry5gbC8ypIR3YVGFfEpyFESummAta6sg/edit"", ""Sheet1!B:D""), 3, FALSE), ""Not Found"")"),"r e p ")</f>
        <v>r e p </v>
      </c>
    </row>
    <row r="5505">
      <c r="A5505" s="1" t="s">
        <v>5507</v>
      </c>
      <c r="B5505" s="1" t="s">
        <v>5</v>
      </c>
      <c r="C5505" s="2">
        <f>IFERROR(__xludf.DUMMYFUNCTION("IFERROR(VLOOKUP(A5505, IMPORTRANGE(""https://docs.google.com/spreadsheets/d/1AVX9GT0dgogEBStecCXMMQ29tWz3gBrtNB8yIromXbY/edit?gid=741673867"", ""out1g!A:B""), 2, FALSE), 0)"),421.0)</f>
        <v>421</v>
      </c>
      <c r="D5505" s="2" t="str">
        <f>IFERROR(__xludf.DUMMYFUNCTION("IFERROR(VLOOKUP(A5505, IMPORTRANGE(""https://docs.google.com/spreadsheets/d/1-3Vjw2Cyy-mry5gbC8ypIR3YVGFfEpyFESummAta6sg/edit"", ""Sheet1!B:D""), 2, FALSE), ""Not Found"")"),"foʊni")</f>
        <v>foʊni</v>
      </c>
      <c r="E5505" s="2" t="str">
        <f>IFERROR(__xludf.DUMMYFUNCTION("IFERROR(VLOOKUP(A5505, IMPORTRANGE(""https://docs.google.com/spreadsheets/d/1-3Vjw2Cyy-mry5gbC8ypIR3YVGFfEpyFESummAta6sg/edit"", ""Sheet1!B:D""), 3, FALSE), ""Not Found"")"),"f o ʊ n i ")</f>
        <v>f o ʊ n i </v>
      </c>
    </row>
    <row r="5506">
      <c r="A5506" s="1" t="s">
        <v>5508</v>
      </c>
      <c r="B5506" s="1" t="s">
        <v>5</v>
      </c>
      <c r="C5506" s="2">
        <f>IFERROR(__xludf.DUMMYFUNCTION("IFERROR(VLOOKUP(A5506, IMPORTRANGE(""https://docs.google.com/spreadsheets/d/1AVX9GT0dgogEBStecCXMMQ29tWz3gBrtNB8yIromXbY/edit?gid=741673867"", ""out1g!A:B""), 2, FALSE), 0)"),625.0)</f>
        <v>625</v>
      </c>
      <c r="D5506" s="2" t="str">
        <f>IFERROR(__xludf.DUMMYFUNCTION("IFERROR(VLOOKUP(A5506, IMPORTRANGE(""https://docs.google.com/spreadsheets/d/1-3Vjw2Cyy-mry5gbC8ypIR3YVGFfEpyFESummAta6sg/edit"", ""Sheet1!B:D""), 2, FALSE), ""Not Found"")"),"spaɪk")</f>
        <v>spaɪk</v>
      </c>
      <c r="E5506" s="2" t="str">
        <f>IFERROR(__xludf.DUMMYFUNCTION("IFERROR(VLOOKUP(A5506, IMPORTRANGE(""https://docs.google.com/spreadsheets/d/1-3Vjw2Cyy-mry5gbC8ypIR3YVGFfEpyFESummAta6sg/edit"", ""Sheet1!B:D""), 3, FALSE), ""Not Found"")"),"s p a ɪ k ")</f>
        <v>s p a ɪ k </v>
      </c>
    </row>
    <row r="5507">
      <c r="A5507" s="1" t="s">
        <v>5509</v>
      </c>
      <c r="B5507" s="1" t="s">
        <v>5</v>
      </c>
      <c r="C5507" s="2">
        <f>IFERROR(__xludf.DUMMYFUNCTION("IFERROR(VLOOKUP(A5507, IMPORTRANGE(""https://docs.google.com/spreadsheets/d/1AVX9GT0dgogEBStecCXMMQ29tWz3gBrtNB8yIromXbY/edit?gid=741673867"", ""out1g!A:B""), 2, FALSE), 0)"),3328.0)</f>
        <v>3328</v>
      </c>
      <c r="D5507" s="2" t="str">
        <f>IFERROR(__xludf.DUMMYFUNCTION("IFERROR(VLOOKUP(A5507, IMPORTRANGE(""https://docs.google.com/spreadsheets/d/1-3Vjw2Cyy-mry5gbC8ypIR3YVGFfEpyFESummAta6sg/edit"", ""Sheet1!B:D""), 2, FALSE), ""Not Found"")"),"fɪlm")</f>
        <v>fɪlm</v>
      </c>
      <c r="E5507" s="2" t="str">
        <f>IFERROR(__xludf.DUMMYFUNCTION("IFERROR(VLOOKUP(A5507, IMPORTRANGE(""https://docs.google.com/spreadsheets/d/1-3Vjw2Cyy-mry5gbC8ypIR3YVGFfEpyFESummAta6sg/edit"", ""Sheet1!B:D""), 3, FALSE), ""Not Found"")"),"f ɪ l m ")</f>
        <v>f ɪ l m </v>
      </c>
    </row>
    <row r="5508">
      <c r="A5508" s="1" t="s">
        <v>5510</v>
      </c>
      <c r="B5508" s="1" t="s">
        <v>5</v>
      </c>
      <c r="C5508" s="2">
        <f>IFERROR(__xludf.DUMMYFUNCTION("IFERROR(VLOOKUP(A5508, IMPORTRANGE(""https://docs.google.com/spreadsheets/d/1AVX9GT0dgogEBStecCXMMQ29tWz3gBrtNB8yIromXbY/edit?gid=741673867"", ""out1g!A:B""), 2, FALSE), 0)"),2125.0)</f>
        <v>2125</v>
      </c>
      <c r="D5508" s="2" t="str">
        <f>IFERROR(__xludf.DUMMYFUNCTION("IFERROR(VLOOKUP(A5508, IMPORTRANGE(""https://docs.google.com/spreadsheets/d/1-3Vjw2Cyy-mry5gbC8ypIR3YVGFfEpyFESummAta6sg/edit"", ""Sheet1!B:D""), 2, FALSE), ""Not Found"")"),"loʊnli")</f>
        <v>loʊnli</v>
      </c>
      <c r="E5508" s="2" t="str">
        <f>IFERROR(__xludf.DUMMYFUNCTION("IFERROR(VLOOKUP(A5508, IMPORTRANGE(""https://docs.google.com/spreadsheets/d/1-3Vjw2Cyy-mry5gbC8ypIR3YVGFfEpyFESummAta6sg/edit"", ""Sheet1!B:D""), 3, FALSE), ""Not Found"")"),"l o ʊ n l i ")</f>
        <v>l o ʊ n l i </v>
      </c>
    </row>
    <row r="5509">
      <c r="A5509" s="1" t="s">
        <v>5511</v>
      </c>
      <c r="B5509" s="1" t="s">
        <v>5</v>
      </c>
      <c r="C5509" s="2">
        <f>IFERROR(__xludf.DUMMYFUNCTION("IFERROR(VLOOKUP(A5509, IMPORTRANGE(""https://docs.google.com/spreadsheets/d/1AVX9GT0dgogEBStecCXMMQ29tWz3gBrtNB8yIromXbY/edit?gid=741673867"", ""out1g!A:B""), 2, FALSE), 0)"),12010.0)</f>
        <v>12010</v>
      </c>
      <c r="D5509" s="2" t="str">
        <f>IFERROR(__xludf.DUMMYFUNCTION("IFERROR(VLOOKUP(A5509, IMPORTRANGE(""https://docs.google.com/spreadsheets/d/1-3Vjw2Cyy-mry5gbC8ypIR3YVGFfEpyFESummAta6sg/edit"", ""Sheet1!B:D""), 2, FALSE), ""Not Found"")"),"fən")</f>
        <v>fən</v>
      </c>
      <c r="E5509" s="2" t="str">
        <f>IFERROR(__xludf.DUMMYFUNCTION("IFERROR(VLOOKUP(A5509, IMPORTRANGE(""https://docs.google.com/spreadsheets/d/1-3Vjw2Cyy-mry5gbC8ypIR3YVGFfEpyFESummAta6sg/edit"", ""Sheet1!B:D""), 3, FALSE), ""Not Found"")"),"f ə n ")</f>
        <v>f ə n </v>
      </c>
    </row>
    <row r="5510">
      <c r="A5510" s="1" t="s">
        <v>5512</v>
      </c>
      <c r="B5510" s="1" t="s">
        <v>5</v>
      </c>
      <c r="C5510" s="2">
        <f>IFERROR(__xludf.DUMMYFUNCTION("IFERROR(VLOOKUP(A5510, IMPORTRANGE(""https://docs.google.com/spreadsheets/d/1AVX9GT0dgogEBStecCXMMQ29tWz3gBrtNB8yIromXbY/edit?gid=741673867"", ""out1g!A:B""), 2, FALSE), 0)"),11221.0)</f>
        <v>11221</v>
      </c>
      <c r="D5510" s="2" t="str">
        <f>IFERROR(__xludf.DUMMYFUNCTION("IFERROR(VLOOKUP(A5510, IMPORTRANGE(""https://docs.google.com/spreadsheets/d/1-3Vjw2Cyy-mry5gbC8ypIR3YVGFfEpyFESummAta6sg/edit"", ""Sheet1!B:D""), 2, FALSE), ""Not Found"")"),"taɪmz")</f>
        <v>taɪmz</v>
      </c>
      <c r="E5510" s="2" t="str">
        <f>IFERROR(__xludf.DUMMYFUNCTION("IFERROR(VLOOKUP(A5510, IMPORTRANGE(""https://docs.google.com/spreadsheets/d/1-3Vjw2Cyy-mry5gbC8ypIR3YVGFfEpyFESummAta6sg/edit"", ""Sheet1!B:D""), 3, FALSE), ""Not Found"")"),"t a ɪ m z ")</f>
        <v>t a ɪ m z </v>
      </c>
    </row>
    <row r="5511">
      <c r="A5511" s="1" t="s">
        <v>5513</v>
      </c>
      <c r="B5511" s="1" t="s">
        <v>5</v>
      </c>
      <c r="C5511" s="2">
        <f>IFERROR(__xludf.DUMMYFUNCTION("IFERROR(VLOOKUP(A5511, IMPORTRANGE(""https://docs.google.com/spreadsheets/d/1AVX9GT0dgogEBStecCXMMQ29tWz3gBrtNB8yIromXbY/edit?gid=741673867"", ""out1g!A:B""), 2, FALSE), 0)"),118.0)</f>
        <v>118</v>
      </c>
      <c r="D5511" s="2" t="str">
        <f>IFERROR(__xludf.DUMMYFUNCTION("IFERROR(VLOOKUP(A5511, IMPORTRANGE(""https://docs.google.com/spreadsheets/d/1-3Vjw2Cyy-mry5gbC8ypIR3YVGFfEpyFESummAta6sg/edit"", ""Sheet1!B:D""), 2, FALSE), ""Not Found"")"),"siʤ")</f>
        <v>siʤ</v>
      </c>
      <c r="E5511" s="2" t="str">
        <f>IFERROR(__xludf.DUMMYFUNCTION("IFERROR(VLOOKUP(A5511, IMPORTRANGE(""https://docs.google.com/spreadsheets/d/1-3Vjw2Cyy-mry5gbC8ypIR3YVGFfEpyFESummAta6sg/edit"", ""Sheet1!B:D""), 3, FALSE), ""Not Found"")"),"s i ʤ ")</f>
        <v>s i ʤ </v>
      </c>
    </row>
    <row r="5512">
      <c r="A5512" s="1" t="s">
        <v>5514</v>
      </c>
      <c r="B5512" s="1" t="s">
        <v>5</v>
      </c>
      <c r="C5512" s="2">
        <f>IFERROR(__xludf.DUMMYFUNCTION("IFERROR(VLOOKUP(A5512, IMPORTRANGE(""https://docs.google.com/spreadsheets/d/1AVX9GT0dgogEBStecCXMMQ29tWz3gBrtNB8yIromXbY/edit?gid=741673867"", ""out1g!A:B""), 2, FALSE), 0)"),334.0)</f>
        <v>334</v>
      </c>
      <c r="D5512" s="2" t="str">
        <f>IFERROR(__xludf.DUMMYFUNCTION("IFERROR(VLOOKUP(A5512, IMPORTRANGE(""https://docs.google.com/spreadsheets/d/1-3Vjw2Cyy-mry5gbC8ypIR3YVGFfEpyFESummAta6sg/edit"", ""Sheet1!B:D""), 2, FALSE), ""Not Found"")"),"gaʊn")</f>
        <v>gaʊn</v>
      </c>
      <c r="E5512" s="2" t="str">
        <f>IFERROR(__xludf.DUMMYFUNCTION("IFERROR(VLOOKUP(A5512, IMPORTRANGE(""https://docs.google.com/spreadsheets/d/1-3Vjw2Cyy-mry5gbC8ypIR3YVGFfEpyFESummAta6sg/edit"", ""Sheet1!B:D""), 3, FALSE), ""Not Found"")"),"g a ʊ n ")</f>
        <v>g a ʊ n </v>
      </c>
    </row>
    <row r="5513">
      <c r="A5513" s="1" t="s">
        <v>5515</v>
      </c>
      <c r="B5513" s="1" t="s">
        <v>5</v>
      </c>
      <c r="C5513" s="2">
        <f>IFERROR(__xludf.DUMMYFUNCTION("IFERROR(VLOOKUP(A5513, IMPORTRANGE(""https://docs.google.com/spreadsheets/d/1AVX9GT0dgogEBStecCXMMQ29tWz3gBrtNB8yIromXbY/edit?gid=741673867"", ""out1g!A:B""), 2, FALSE), 0)"),719.0)</f>
        <v>719</v>
      </c>
      <c r="D5513" s="2" t="str">
        <f>IFERROR(__xludf.DUMMYFUNCTION("IFERROR(VLOOKUP(A5513, IMPORTRANGE(""https://docs.google.com/spreadsheets/d/1-3Vjw2Cyy-mry5gbC8ypIR3YVGFfEpyFESummAta6sg/edit"", ""Sheet1!B:D""), 2, FALSE), ""Not Found"")"),"frem")</f>
        <v>frem</v>
      </c>
      <c r="E5513" s="2" t="str">
        <f>IFERROR(__xludf.DUMMYFUNCTION("IFERROR(VLOOKUP(A5513, IMPORTRANGE(""https://docs.google.com/spreadsheets/d/1-3Vjw2Cyy-mry5gbC8ypIR3YVGFfEpyFESummAta6sg/edit"", ""Sheet1!B:D""), 3, FALSE), ""Not Found"")"),"f r e m ")</f>
        <v>f r e m </v>
      </c>
    </row>
    <row r="5514">
      <c r="A5514" s="1" t="s">
        <v>5516</v>
      </c>
      <c r="B5514" s="1" t="s">
        <v>5</v>
      </c>
      <c r="C5514" s="2">
        <f>IFERROR(__xludf.DUMMYFUNCTION("IFERROR(VLOOKUP(A5514, IMPORTRANGE(""https://docs.google.com/spreadsheets/d/1AVX9GT0dgogEBStecCXMMQ29tWz3gBrtNB8yIromXbY/edit?gid=741673867"", ""out1g!A:B""), 2, FALSE), 0)"),359.0)</f>
        <v>359</v>
      </c>
      <c r="D5514" s="2" t="str">
        <f>IFERROR(__xludf.DUMMYFUNCTION("IFERROR(VLOOKUP(A5514, IMPORTRANGE(""https://docs.google.com/spreadsheets/d/1-3Vjw2Cyy-mry5gbC8ypIR3YVGFfEpyFESummAta6sg/edit"", ""Sheet1!B:D""), 2, FALSE), ""Not Found"")"),"fɛdz")</f>
        <v>fɛdz</v>
      </c>
      <c r="E5514" s="2" t="str">
        <f>IFERROR(__xludf.DUMMYFUNCTION("IFERROR(VLOOKUP(A5514, IMPORTRANGE(""https://docs.google.com/spreadsheets/d/1-3Vjw2Cyy-mry5gbC8ypIR3YVGFfEpyFESummAta6sg/edit"", ""Sheet1!B:D""), 3, FALSE), ""Not Found"")"),"f ɛ d z ")</f>
        <v>f ɛ d z </v>
      </c>
    </row>
    <row r="5515">
      <c r="A5515" s="1" t="s">
        <v>5517</v>
      </c>
      <c r="B5515" s="1" t="s">
        <v>5</v>
      </c>
      <c r="C5515" s="2">
        <f>IFERROR(__xludf.DUMMYFUNCTION("IFERROR(VLOOKUP(A5515, IMPORTRANGE(""https://docs.google.com/spreadsheets/d/1AVX9GT0dgogEBStecCXMMQ29tWz3gBrtNB8yIromXbY/edit?gid=741673867"", ""out1g!A:B""), 2, FALSE), 0)"),24848.0)</f>
        <v>24848</v>
      </c>
      <c r="D5515" s="2" t="str">
        <f>IFERROR(__xludf.DUMMYFUNCTION("IFERROR(VLOOKUP(A5515, IMPORTRANGE(""https://docs.google.com/spreadsheets/d/1-3Vjw2Cyy-mry5gbC8ypIR3YVGFfEpyFESummAta6sg/edit"", ""Sheet1!B:D""), 2, FALSE), ""Not Found"")"),"kɔrs")</f>
        <v>kɔrs</v>
      </c>
      <c r="E5515" s="2" t="str">
        <f>IFERROR(__xludf.DUMMYFUNCTION("IFERROR(VLOOKUP(A5515, IMPORTRANGE(""https://docs.google.com/spreadsheets/d/1-3Vjw2Cyy-mry5gbC8ypIR3YVGFfEpyFESummAta6sg/edit"", ""Sheet1!B:D""), 3, FALSE), ""Not Found"")"),"k ɔ r s ")</f>
        <v>k ɔ r s </v>
      </c>
    </row>
    <row r="5516">
      <c r="A5516" s="1" t="s">
        <v>5518</v>
      </c>
      <c r="B5516" s="1" t="s">
        <v>5</v>
      </c>
      <c r="C5516" s="2">
        <f>IFERROR(__xludf.DUMMYFUNCTION("IFERROR(VLOOKUP(A5516, IMPORTRANGE(""https://docs.google.com/spreadsheets/d/1AVX9GT0dgogEBStecCXMMQ29tWz3gBrtNB8yIromXbY/edit?gid=741673867"", ""out1g!A:B""), 2, FALSE), 0)"),49.0)</f>
        <v>49</v>
      </c>
      <c r="D5516" s="2" t="str">
        <f>IFERROR(__xludf.DUMMYFUNCTION("IFERROR(VLOOKUP(A5516, IMPORTRANGE(""https://docs.google.com/spreadsheets/d/1-3Vjw2Cyy-mry5gbC8ypIR3YVGFfEpyFESummAta6sg/edit"", ""Sheet1!B:D""), 2, FALSE), ""Not Found"")"),"wərkəp")</f>
        <v>wərkəp</v>
      </c>
      <c r="E5516" s="2" t="str">
        <f>IFERROR(__xludf.DUMMYFUNCTION("IFERROR(VLOOKUP(A5516, IMPORTRANGE(""https://docs.google.com/spreadsheets/d/1-3Vjw2Cyy-mry5gbC8ypIR3YVGFfEpyFESummAta6sg/edit"", ""Sheet1!B:D""), 3, FALSE), ""Not Found"")"),"w ə r k ə p ")</f>
        <v>w ə r k ə p </v>
      </c>
    </row>
    <row r="5517">
      <c r="A5517" s="1" t="s">
        <v>5519</v>
      </c>
      <c r="B5517" s="1" t="s">
        <v>5</v>
      </c>
      <c r="C5517" s="2">
        <f>IFERROR(__xludf.DUMMYFUNCTION("IFERROR(VLOOKUP(A5517, IMPORTRANGE(""https://docs.google.com/spreadsheets/d/1AVX9GT0dgogEBStecCXMMQ29tWz3gBrtNB8yIromXbY/edit?gid=741673867"", ""out1g!A:B""), 2, FALSE), 0)"),9758.0)</f>
        <v>9758</v>
      </c>
      <c r="D5517" s="2" t="str">
        <f>IFERROR(__xludf.DUMMYFUNCTION("IFERROR(VLOOKUP(A5517, IMPORTRANGE(""https://docs.google.com/spreadsheets/d/1-3Vjw2Cyy-mry5gbC8ypIR3YVGFfEpyFESummAta6sg/edit"", ""Sheet1!B:D""), 2, FALSE), ""Not Found"")"),"mɛt")</f>
        <v>mɛt</v>
      </c>
      <c r="E5517" s="2" t="str">
        <f>IFERROR(__xludf.DUMMYFUNCTION("IFERROR(VLOOKUP(A5517, IMPORTRANGE(""https://docs.google.com/spreadsheets/d/1-3Vjw2Cyy-mry5gbC8ypIR3YVGFfEpyFESummAta6sg/edit"", ""Sheet1!B:D""), 3, FALSE), ""Not Found"")"),"m ɛ t ")</f>
        <v>m ɛ t </v>
      </c>
    </row>
    <row r="5518">
      <c r="A5518" s="1" t="s">
        <v>5520</v>
      </c>
      <c r="B5518" s="1" t="s">
        <v>5</v>
      </c>
      <c r="C5518" s="2">
        <f>IFERROR(__xludf.DUMMYFUNCTION("IFERROR(VLOOKUP(A5518, IMPORTRANGE(""https://docs.google.com/spreadsheets/d/1AVX9GT0dgogEBStecCXMMQ29tWz3gBrtNB8yIromXbY/edit?gid=741673867"", ""out1g!A:B""), 2, FALSE), 0)"),4345.0)</f>
        <v>4345</v>
      </c>
      <c r="D5518" s="2" t="str">
        <f>IFERROR(__xludf.DUMMYFUNCTION("IFERROR(VLOOKUP(A5518, IMPORTRANGE(""https://docs.google.com/spreadsheets/d/1-3Vjw2Cyy-mry5gbC8ypIR3YVGFfEpyFESummAta6sg/edit"", ""Sheet1!B:D""), 2, FALSE), ""Not Found"")"),"waɪ")</f>
        <v>waɪ</v>
      </c>
      <c r="E5518" s="2" t="str">
        <f>IFERROR(__xludf.DUMMYFUNCTION("IFERROR(VLOOKUP(A5518, IMPORTRANGE(""https://docs.google.com/spreadsheets/d/1-3Vjw2Cyy-mry5gbC8ypIR3YVGFfEpyFESummAta6sg/edit"", ""Sheet1!B:D""), 3, FALSE), ""Not Found"")"),"w a ɪ ")</f>
        <v>w a ɪ </v>
      </c>
    </row>
    <row r="5519">
      <c r="A5519" s="1" t="s">
        <v>5521</v>
      </c>
      <c r="B5519" s="1" t="s">
        <v>5</v>
      </c>
      <c r="C5519" s="2">
        <f>IFERROR(__xludf.DUMMYFUNCTION("IFERROR(VLOOKUP(A5519, IMPORTRANGE(""https://docs.google.com/spreadsheets/d/1AVX9GT0dgogEBStecCXMMQ29tWz3gBrtNB8yIromXbY/edit?gid=741673867"", ""out1g!A:B""), 2, FALSE), 0)"),187.0)</f>
        <v>187</v>
      </c>
      <c r="D5519" s="2" t="str">
        <f>IFERROR(__xludf.DUMMYFUNCTION("IFERROR(VLOOKUP(A5519, IMPORTRANGE(""https://docs.google.com/spreadsheets/d/1-3Vjw2Cyy-mry5gbC8ypIR3YVGFfEpyFESummAta6sg/edit"", ""Sheet1!B:D""), 2, FALSE), ""Not Found"")"),"paɪ")</f>
        <v>paɪ</v>
      </c>
      <c r="E5519" s="2" t="str">
        <f>IFERROR(__xludf.DUMMYFUNCTION("IFERROR(VLOOKUP(A5519, IMPORTRANGE(""https://docs.google.com/spreadsheets/d/1-3Vjw2Cyy-mry5gbC8ypIR3YVGFfEpyFESummAta6sg/edit"", ""Sheet1!B:D""), 3, FALSE), ""Not Found"")"),"p a ɪ ")</f>
        <v>p a ɪ </v>
      </c>
    </row>
    <row r="5520">
      <c r="A5520" s="1" t="s">
        <v>5522</v>
      </c>
      <c r="B5520" s="1" t="s">
        <v>5</v>
      </c>
      <c r="C5520" s="2">
        <f>IFERROR(__xludf.DUMMYFUNCTION("IFERROR(VLOOKUP(A5520, IMPORTRANGE(""https://docs.google.com/spreadsheets/d/1AVX9GT0dgogEBStecCXMMQ29tWz3gBrtNB8yIromXbY/edit?gid=741673867"", ""out1g!A:B""), 2, FALSE), 0)"),403.0)</f>
        <v>403</v>
      </c>
      <c r="D5520" s="2" t="str">
        <f>IFERROR(__xludf.DUMMYFUNCTION("IFERROR(VLOOKUP(A5520, IMPORTRANGE(""https://docs.google.com/spreadsheets/d/1-3Vjw2Cyy-mry5gbC8ypIR3YVGFfEpyFESummAta6sg/edit"", ""Sheet1!B:D""), 2, FALSE), ""Not Found"")"),"kæθi")</f>
        <v>kæθi</v>
      </c>
      <c r="E5520" s="2" t="str">
        <f>IFERROR(__xludf.DUMMYFUNCTION("IFERROR(VLOOKUP(A5520, IMPORTRANGE(""https://docs.google.com/spreadsheets/d/1-3Vjw2Cyy-mry5gbC8ypIR3YVGFfEpyFESummAta6sg/edit"", ""Sheet1!B:D""), 3, FALSE), ""Not Found"")"),"k æ θ i ")</f>
        <v>k æ θ i </v>
      </c>
    </row>
    <row r="5521">
      <c r="A5521" s="1" t="s">
        <v>5523</v>
      </c>
      <c r="B5521" s="1" t="s">
        <v>5</v>
      </c>
      <c r="C5521" s="2">
        <f>IFERROR(__xludf.DUMMYFUNCTION("IFERROR(VLOOKUP(A5521, IMPORTRANGE(""https://docs.google.com/spreadsheets/d/1AVX9GT0dgogEBStecCXMMQ29tWz3gBrtNB8yIromXbY/edit?gid=741673867"", ""out1g!A:B""), 2, FALSE), 0)"),35.0)</f>
        <v>35</v>
      </c>
      <c r="D5521" s="2" t="str">
        <f>IFERROR(__xludf.DUMMYFUNCTION("IFERROR(VLOOKUP(A5521, IMPORTRANGE(""https://docs.google.com/spreadsheets/d/1-3Vjw2Cyy-mry5gbC8ypIR3YVGFfEpyFESummAta6sg/edit"", ""Sheet1!B:D""), 2, FALSE), ""Not Found"")"),"lub")</f>
        <v>lub</v>
      </c>
      <c r="E5521" s="2" t="str">
        <f>IFERROR(__xludf.DUMMYFUNCTION("IFERROR(VLOOKUP(A5521, IMPORTRANGE(""https://docs.google.com/spreadsheets/d/1-3Vjw2Cyy-mry5gbC8ypIR3YVGFfEpyFESummAta6sg/edit"", ""Sheet1!B:D""), 3, FALSE), ""Not Found"")"),"l u b ")</f>
        <v>l u b </v>
      </c>
    </row>
    <row r="5522">
      <c r="A5522" s="1" t="s">
        <v>5524</v>
      </c>
      <c r="B5522" s="1" t="s">
        <v>5</v>
      </c>
      <c r="C5522" s="2">
        <f>IFERROR(__xludf.DUMMYFUNCTION("IFERROR(VLOOKUP(A5522, IMPORTRANGE(""https://docs.google.com/spreadsheets/d/1AVX9GT0dgogEBStecCXMMQ29tWz3gBrtNB8yIromXbY/edit?gid=741673867"", ""out1g!A:B""), 2, FALSE), 0)"),4265.0)</f>
        <v>4265</v>
      </c>
      <c r="D5522" s="2" t="str">
        <f>IFERROR(__xludf.DUMMYFUNCTION("IFERROR(VLOOKUP(A5522, IMPORTRANGE(""https://docs.google.com/spreadsheets/d/1-3Vjw2Cyy-mry5gbC8ypIR3YVGFfEpyFESummAta6sg/edit"", ""Sheet1!B:D""), 2, FALSE), ""Not Found"")"),"praʊd")</f>
        <v>praʊd</v>
      </c>
      <c r="E5522" s="2" t="str">
        <f>IFERROR(__xludf.DUMMYFUNCTION("IFERROR(VLOOKUP(A5522, IMPORTRANGE(""https://docs.google.com/spreadsheets/d/1-3Vjw2Cyy-mry5gbC8ypIR3YVGFfEpyFESummAta6sg/edit"", ""Sheet1!B:D""), 3, FALSE), ""Not Found"")"),"p r a ʊ d ")</f>
        <v>p r a ʊ d </v>
      </c>
    </row>
    <row r="5523">
      <c r="A5523" s="1" t="s">
        <v>5525</v>
      </c>
      <c r="B5523" s="1" t="s">
        <v>5</v>
      </c>
      <c r="C5523" s="2">
        <f>IFERROR(__xludf.DUMMYFUNCTION("IFERROR(VLOOKUP(A5523, IMPORTRANGE(""https://docs.google.com/spreadsheets/d/1AVX9GT0dgogEBStecCXMMQ29tWz3gBrtNB8yIromXbY/edit?gid=741673867"", ""out1g!A:B""), 2, FALSE), 0)"),1971.0)</f>
        <v>1971</v>
      </c>
      <c r="D5523" s="2" t="str">
        <f>IFERROR(__xludf.DUMMYFUNCTION("IFERROR(VLOOKUP(A5523, IMPORTRANGE(""https://docs.google.com/spreadsheets/d/1-3Vjw2Cyy-mry5gbC8ypIR3YVGFfEpyFESummAta6sg/edit"", ""Sheet1!B:D""), 2, FALSE), ""Not Found"")"),"ɛgz")</f>
        <v>ɛgz</v>
      </c>
      <c r="E5523" s="2" t="str">
        <f>IFERROR(__xludf.DUMMYFUNCTION("IFERROR(VLOOKUP(A5523, IMPORTRANGE(""https://docs.google.com/spreadsheets/d/1-3Vjw2Cyy-mry5gbC8ypIR3YVGFfEpyFESummAta6sg/edit"", ""Sheet1!B:D""), 3, FALSE), ""Not Found"")"),"ɛ g z ")</f>
        <v>ɛ g z </v>
      </c>
    </row>
    <row r="5524">
      <c r="A5524" s="1" t="s">
        <v>5526</v>
      </c>
      <c r="B5524" s="1" t="s">
        <v>5</v>
      </c>
      <c r="C5524" s="2">
        <f>IFERROR(__xludf.DUMMYFUNCTION("IFERROR(VLOOKUP(A5524, IMPORTRANGE(""https://docs.google.com/spreadsheets/d/1AVX9GT0dgogEBStecCXMMQ29tWz3gBrtNB8yIromXbY/edit?gid=741673867"", ""out1g!A:B""), 2, FALSE), 0)"),794.0)</f>
        <v>794</v>
      </c>
      <c r="D5524" s="2" t="str">
        <f>IFERROR(__xludf.DUMMYFUNCTION("IFERROR(VLOOKUP(A5524, IMPORTRANGE(""https://docs.google.com/spreadsheets/d/1-3Vjw2Cyy-mry5gbC8ypIR3YVGFfEpyFESummAta6sg/edit"", ""Sheet1!B:D""), 2, FALSE), ""Not Found"")"),"ʧɑrm")</f>
        <v>ʧɑrm</v>
      </c>
      <c r="E5524" s="2" t="str">
        <f>IFERROR(__xludf.DUMMYFUNCTION("IFERROR(VLOOKUP(A5524, IMPORTRANGE(""https://docs.google.com/spreadsheets/d/1-3Vjw2Cyy-mry5gbC8ypIR3YVGFfEpyFESummAta6sg/edit"", ""Sheet1!B:D""), 3, FALSE), ""Not Found"")"),"ʧ ɑ r m ")</f>
        <v>ʧ ɑ r m </v>
      </c>
    </row>
    <row r="5525">
      <c r="A5525" s="1" t="s">
        <v>5527</v>
      </c>
      <c r="B5525" s="1" t="s">
        <v>5</v>
      </c>
      <c r="C5525" s="2">
        <f>IFERROR(__xludf.DUMMYFUNCTION("IFERROR(VLOOKUP(A5525, IMPORTRANGE(""https://docs.google.com/spreadsheets/d/1AVX9GT0dgogEBStecCXMMQ29tWz3gBrtNB8yIromXbY/edit?gid=741673867"", ""out1g!A:B""), 2, FALSE), 0)"),340.0)</f>
        <v>340</v>
      </c>
      <c r="D5525" s="2" t="str">
        <f>IFERROR(__xludf.DUMMYFUNCTION("IFERROR(VLOOKUP(A5525, IMPORTRANGE(""https://docs.google.com/spreadsheets/d/1-3Vjw2Cyy-mry5gbC8ypIR3YVGFfEpyFESummAta6sg/edit"", ""Sheet1!B:D""), 2, FALSE), ""Not Found"")"),"draɪvərz")</f>
        <v>draɪvərz</v>
      </c>
      <c r="E5525" s="2" t="str">
        <f>IFERROR(__xludf.DUMMYFUNCTION("IFERROR(VLOOKUP(A5525, IMPORTRANGE(""https://docs.google.com/spreadsheets/d/1-3Vjw2Cyy-mry5gbC8ypIR3YVGFfEpyFESummAta6sg/edit"", ""Sheet1!B:D""), 3, FALSE), ""Not Found"")"),"d r a ɪ v ə r z ")</f>
        <v>d r a ɪ v ə r z </v>
      </c>
    </row>
    <row r="5526">
      <c r="A5526" s="1" t="s">
        <v>5528</v>
      </c>
      <c r="B5526" s="1" t="s">
        <v>5</v>
      </c>
      <c r="C5526" s="2">
        <f>IFERROR(__xludf.DUMMYFUNCTION("IFERROR(VLOOKUP(A5526, IMPORTRANGE(""https://docs.google.com/spreadsheets/d/1AVX9GT0dgogEBStecCXMMQ29tWz3gBrtNB8yIromXbY/edit?gid=741673867"", ""out1g!A:B""), 2, FALSE), 0)"),51.0)</f>
        <v>51</v>
      </c>
      <c r="D5526" s="2" t="str">
        <f>IFERROR(__xludf.DUMMYFUNCTION("IFERROR(VLOOKUP(A5526, IMPORTRANGE(""https://docs.google.com/spreadsheets/d/1-3Vjw2Cyy-mry5gbC8ypIR3YVGFfEpyFESummAta6sg/edit"", ""Sheet1!B:D""), 2, FALSE), ""Not Found"")"),"jɔn")</f>
        <v>jɔn</v>
      </c>
      <c r="E5526" s="2" t="str">
        <f>IFERROR(__xludf.DUMMYFUNCTION("IFERROR(VLOOKUP(A5526, IMPORTRANGE(""https://docs.google.com/spreadsheets/d/1-3Vjw2Cyy-mry5gbC8ypIR3YVGFfEpyFESummAta6sg/edit"", ""Sheet1!B:D""), 3, FALSE), ""Not Found"")"),"j ɔ n ")</f>
        <v>j ɔ n </v>
      </c>
    </row>
    <row r="5527">
      <c r="A5527" s="1" t="s">
        <v>5529</v>
      </c>
      <c r="B5527" s="1" t="s">
        <v>5</v>
      </c>
      <c r="C5527" s="2">
        <f>IFERROR(__xludf.DUMMYFUNCTION("IFERROR(VLOOKUP(A5527, IMPORTRANGE(""https://docs.google.com/spreadsheets/d/1AVX9GT0dgogEBStecCXMMQ29tWz3gBrtNB8yIromXbY/edit?gid=741673867"", ""out1g!A:B""), 2, FALSE), 0)"),100.0)</f>
        <v>100</v>
      </c>
      <c r="D5527" s="2" t="str">
        <f>IFERROR(__xludf.DUMMYFUNCTION("IFERROR(VLOOKUP(A5527, IMPORTRANGE(""https://docs.google.com/spreadsheets/d/1-3Vjw2Cyy-mry5gbC8ypIR3YVGFfEpyFESummAta6sg/edit"", ""Sheet1!B:D""), 2, FALSE), ""Not Found"")"),"lɛst")</f>
        <v>lɛst</v>
      </c>
      <c r="E5527" s="2" t="str">
        <f>IFERROR(__xludf.DUMMYFUNCTION("IFERROR(VLOOKUP(A5527, IMPORTRANGE(""https://docs.google.com/spreadsheets/d/1-3Vjw2Cyy-mry5gbC8ypIR3YVGFfEpyFESummAta6sg/edit"", ""Sheet1!B:D""), 3, FALSE), ""Not Found"")"),"l ɛ s t ")</f>
        <v>l ɛ s t </v>
      </c>
    </row>
    <row r="5528">
      <c r="A5528" s="1" t="s">
        <v>5530</v>
      </c>
      <c r="B5528" s="1" t="s">
        <v>5</v>
      </c>
      <c r="C5528" s="2">
        <f>IFERROR(__xludf.DUMMYFUNCTION("IFERROR(VLOOKUP(A5528, IMPORTRANGE(""https://docs.google.com/spreadsheets/d/1AVX9GT0dgogEBStecCXMMQ29tWz3gBrtNB8yIromXbY/edit?gid=741673867"", ""out1g!A:B""), 2, FALSE), 0)"),413.0)</f>
        <v>413</v>
      </c>
      <c r="D5528" s="2" t="str">
        <f>IFERROR(__xludf.DUMMYFUNCTION("IFERROR(VLOOKUP(A5528, IMPORTRANGE(""https://docs.google.com/spreadsheets/d/1-3Vjw2Cyy-mry5gbC8ypIR3YVGFfEpyFESummAta6sg/edit"", ""Sheet1!B:D""), 2, FALSE), ""Not Found"")"),"məkɔɪ")</f>
        <v>məkɔɪ</v>
      </c>
      <c r="E5528" s="2" t="str">
        <f>IFERROR(__xludf.DUMMYFUNCTION("IFERROR(VLOOKUP(A5528, IMPORTRANGE(""https://docs.google.com/spreadsheets/d/1-3Vjw2Cyy-mry5gbC8ypIR3YVGFfEpyFESummAta6sg/edit"", ""Sheet1!B:D""), 3, FALSE), ""Not Found"")"),"m ə k ɔ ɪ ")</f>
        <v>m ə k ɔ ɪ </v>
      </c>
    </row>
    <row r="5529">
      <c r="A5529" s="1" t="s">
        <v>5531</v>
      </c>
      <c r="B5529" s="1" t="s">
        <v>5</v>
      </c>
      <c r="C5529" s="2">
        <f>IFERROR(__xludf.DUMMYFUNCTION("IFERROR(VLOOKUP(A5529, IMPORTRANGE(""https://docs.google.com/spreadsheets/d/1AVX9GT0dgogEBStecCXMMQ29tWz3gBrtNB8yIromXbY/edit?gid=741673867"", ""out1g!A:B""), 2, FALSE), 0)"),94.0)</f>
        <v>94</v>
      </c>
      <c r="D5529" s="2" t="str">
        <f>IFERROR(__xludf.DUMMYFUNCTION("IFERROR(VLOOKUP(A5529, IMPORTRANGE(""https://docs.google.com/spreadsheets/d/1-3Vjw2Cyy-mry5gbC8ypIR3YVGFfEpyFESummAta6sg/edit"", ""Sheet1!B:D""), 2, FALSE), ""Not Found"")"),"briðz")</f>
        <v>briðz</v>
      </c>
      <c r="E5529" s="2" t="str">
        <f>IFERROR(__xludf.DUMMYFUNCTION("IFERROR(VLOOKUP(A5529, IMPORTRANGE(""https://docs.google.com/spreadsheets/d/1-3Vjw2Cyy-mry5gbC8ypIR3YVGFfEpyFESummAta6sg/edit"", ""Sheet1!B:D""), 3, FALSE), ""Not Found"")"),"b r i ð z ")</f>
        <v>b r i ð z </v>
      </c>
    </row>
    <row r="5530">
      <c r="A5530" s="1" t="s">
        <v>5532</v>
      </c>
      <c r="B5530" s="1" t="s">
        <v>5</v>
      </c>
      <c r="C5530" s="2">
        <f>IFERROR(__xludf.DUMMYFUNCTION("IFERROR(VLOOKUP(A5530, IMPORTRANGE(""https://docs.google.com/spreadsheets/d/1AVX9GT0dgogEBStecCXMMQ29tWz3gBrtNB8yIromXbY/edit?gid=741673867"", ""out1g!A:B""), 2, FALSE), 0)"),46.0)</f>
        <v>46</v>
      </c>
      <c r="D5530" s="2" t="str">
        <f>IFERROR(__xludf.DUMMYFUNCTION("IFERROR(VLOOKUP(A5530, IMPORTRANGE(""https://docs.google.com/spreadsheets/d/1-3Vjw2Cyy-mry5gbC8ypIR3YVGFfEpyFESummAta6sg/edit"", ""Sheet1!B:D""), 2, FALSE), ""Not Found"")"),"snuz")</f>
        <v>snuz</v>
      </c>
      <c r="E5530" s="2" t="str">
        <f>IFERROR(__xludf.DUMMYFUNCTION("IFERROR(VLOOKUP(A5530, IMPORTRANGE(""https://docs.google.com/spreadsheets/d/1-3Vjw2Cyy-mry5gbC8ypIR3YVGFfEpyFESummAta6sg/edit"", ""Sheet1!B:D""), 3, FALSE), ""Not Found"")"),"s n u z ")</f>
        <v>s n u z </v>
      </c>
    </row>
    <row r="5531">
      <c r="A5531" s="1" t="s">
        <v>5533</v>
      </c>
      <c r="B5531" s="1" t="s">
        <v>5</v>
      </c>
      <c r="C5531" s="2">
        <f>IFERROR(__xludf.DUMMYFUNCTION("IFERROR(VLOOKUP(A5531, IMPORTRANGE(""https://docs.google.com/spreadsheets/d/1AVX9GT0dgogEBStecCXMMQ29tWz3gBrtNB8yIromXbY/edit?gid=741673867"", ""out1g!A:B""), 2, FALSE), 0)"),1039.0)</f>
        <v>1039</v>
      </c>
      <c r="D5531" s="2" t="str">
        <f>IFERROR(__xludf.DUMMYFUNCTION("IFERROR(VLOOKUP(A5531, IMPORTRANGE(""https://docs.google.com/spreadsheets/d/1-3Vjw2Cyy-mry5gbC8ypIR3YVGFfEpyFESummAta6sg/edit"", ""Sheet1!B:D""), 2, FALSE), ""Not Found"")"),"ʤɑʃ")</f>
        <v>ʤɑʃ</v>
      </c>
      <c r="E5531" s="2" t="str">
        <f>IFERROR(__xludf.DUMMYFUNCTION("IFERROR(VLOOKUP(A5531, IMPORTRANGE(""https://docs.google.com/spreadsheets/d/1-3Vjw2Cyy-mry5gbC8ypIR3YVGFfEpyFESummAta6sg/edit"", ""Sheet1!B:D""), 3, FALSE), ""Not Found"")"),"ʤ ɑ ʃ ")</f>
        <v>ʤ ɑ ʃ </v>
      </c>
    </row>
    <row r="5532">
      <c r="A5532" s="1" t="s">
        <v>5534</v>
      </c>
      <c r="B5532" s="1" t="s">
        <v>5</v>
      </c>
      <c r="C5532" s="2">
        <f>IFERROR(__xludf.DUMMYFUNCTION("IFERROR(VLOOKUP(A5532, IMPORTRANGE(""https://docs.google.com/spreadsheets/d/1AVX9GT0dgogEBStecCXMMQ29tWz3gBrtNB8yIromXbY/edit?gid=741673867"", ""out1g!A:B""), 2, FALSE), 0)"),3702.0)</f>
        <v>3702</v>
      </c>
      <c r="D5532" s="2" t="str">
        <f>IFERROR(__xludf.DUMMYFUNCTION("IFERROR(VLOOKUP(A5532, IMPORTRANGE(""https://docs.google.com/spreadsheets/d/1-3Vjw2Cyy-mry5gbC8ypIR3YVGFfEpyFESummAta6sg/edit"", ""Sheet1!B:D""), 2, FALSE), ""Not Found"")"),"i")</f>
        <v>i</v>
      </c>
      <c r="E5532" s="2" t="str">
        <f>IFERROR(__xludf.DUMMYFUNCTION("IFERROR(VLOOKUP(A5532, IMPORTRANGE(""https://docs.google.com/spreadsheets/d/1-3Vjw2Cyy-mry5gbC8ypIR3YVGFfEpyFESummAta6sg/edit"", ""Sheet1!B:D""), 3, FALSE), ""Not Found"")"),"i ")</f>
        <v>i </v>
      </c>
    </row>
    <row r="5533">
      <c r="A5533" s="1" t="s">
        <v>5535</v>
      </c>
      <c r="B5533" s="1" t="s">
        <v>5</v>
      </c>
      <c r="C5533" s="2">
        <f>IFERROR(__xludf.DUMMYFUNCTION("IFERROR(VLOOKUP(A5533, IMPORTRANGE(""https://docs.google.com/spreadsheets/d/1AVX9GT0dgogEBStecCXMMQ29tWz3gBrtNB8yIromXbY/edit?gid=741673867"", ""out1g!A:B""), 2, FALSE), 0)"),62.0)</f>
        <v>62</v>
      </c>
      <c r="D5533" s="2" t="str">
        <f>IFERROR(__xludf.DUMMYFUNCTION("IFERROR(VLOOKUP(A5533, IMPORTRANGE(""https://docs.google.com/spreadsheets/d/1-3Vjw2Cyy-mry5gbC8ypIR3YVGFfEpyFESummAta6sg/edit"", ""Sheet1!B:D""), 2, FALSE), ""Not Found"")"),"sərfərz")</f>
        <v>sərfərz</v>
      </c>
      <c r="E5533" s="2" t="str">
        <f>IFERROR(__xludf.DUMMYFUNCTION("IFERROR(VLOOKUP(A5533, IMPORTRANGE(""https://docs.google.com/spreadsheets/d/1-3Vjw2Cyy-mry5gbC8ypIR3YVGFfEpyFESummAta6sg/edit"", ""Sheet1!B:D""), 3, FALSE), ""Not Found"")"),"s ə r f ə r z ")</f>
        <v>s ə r f ə r z </v>
      </c>
    </row>
    <row r="5534">
      <c r="A5534" s="1" t="s">
        <v>5536</v>
      </c>
      <c r="B5534" s="1" t="s">
        <v>5</v>
      </c>
      <c r="C5534" s="2">
        <f>IFERROR(__xludf.DUMMYFUNCTION("IFERROR(VLOOKUP(A5534, IMPORTRANGE(""https://docs.google.com/spreadsheets/d/1AVX9GT0dgogEBStecCXMMQ29tWz3gBrtNB8yIromXbY/edit?gid=741673867"", ""out1g!A:B""), 2, FALSE), 0)"),111.0)</f>
        <v>111</v>
      </c>
      <c r="D5534" s="2" t="str">
        <f>IFERROR(__xludf.DUMMYFUNCTION("IFERROR(VLOOKUP(A5534, IMPORTRANGE(""https://docs.google.com/spreadsheets/d/1-3Vjw2Cyy-mry5gbC8ypIR3YVGFfEpyFESummAta6sg/edit"", ""Sheet1!B:D""), 2, FALSE), ""Not Found"")"),"brəʃɪŋ")</f>
        <v>brəʃɪŋ</v>
      </c>
      <c r="E5534" s="2" t="str">
        <f>IFERROR(__xludf.DUMMYFUNCTION("IFERROR(VLOOKUP(A5534, IMPORTRANGE(""https://docs.google.com/spreadsheets/d/1-3Vjw2Cyy-mry5gbC8ypIR3YVGFfEpyFESummAta6sg/edit"", ""Sheet1!B:D""), 3, FALSE), ""Not Found"")"),"b r ə ʃ ɪ ŋ ")</f>
        <v>b r ə ʃ ɪ ŋ </v>
      </c>
    </row>
    <row r="5535">
      <c r="A5535" s="1" t="s">
        <v>5537</v>
      </c>
      <c r="B5535" s="1" t="s">
        <v>5</v>
      </c>
      <c r="C5535" s="2">
        <f>IFERROR(__xludf.DUMMYFUNCTION("IFERROR(VLOOKUP(A5535, IMPORTRANGE(""https://docs.google.com/spreadsheets/d/1AVX9GT0dgogEBStecCXMMQ29tWz3gBrtNB8yIromXbY/edit?gid=741673867"", ""out1g!A:B""), 2, FALSE), 0)"),27804.0)</f>
        <v>27804</v>
      </c>
      <c r="D5535" s="2" t="str">
        <f>IFERROR(__xludf.DUMMYFUNCTION("IFERROR(VLOOKUP(A5535, IMPORTRANGE(""https://docs.google.com/spreadsheets/d/1-3Vjw2Cyy-mry5gbC8ypIR3YVGFfEpyFESummAta6sg/edit"", ""Sheet1!B:D""), 2, FALSE), ""Not Found"")"),"bæd")</f>
        <v>bæd</v>
      </c>
      <c r="E5535" s="2" t="str">
        <f>IFERROR(__xludf.DUMMYFUNCTION("IFERROR(VLOOKUP(A5535, IMPORTRANGE(""https://docs.google.com/spreadsheets/d/1-3Vjw2Cyy-mry5gbC8ypIR3YVGFfEpyFESummAta6sg/edit"", ""Sheet1!B:D""), 3, FALSE), ""Not Found"")"),"b æ d ")</f>
        <v>b æ d </v>
      </c>
    </row>
    <row r="5536">
      <c r="A5536" s="1" t="s">
        <v>5538</v>
      </c>
      <c r="B5536" s="1" t="s">
        <v>5</v>
      </c>
      <c r="C5536" s="2">
        <f>IFERROR(__xludf.DUMMYFUNCTION("IFERROR(VLOOKUP(A5536, IMPORTRANGE(""https://docs.google.com/spreadsheets/d/1AVX9GT0dgogEBStecCXMMQ29tWz3gBrtNB8yIromXbY/edit?gid=741673867"", ""out1g!A:B""), 2, FALSE), 0)"),97.0)</f>
        <v>97</v>
      </c>
      <c r="D5536" s="2" t="str">
        <f>IFERROR(__xludf.DUMMYFUNCTION("IFERROR(VLOOKUP(A5536, IMPORTRANGE(""https://docs.google.com/spreadsheets/d/1-3Vjw2Cyy-mry5gbC8ypIR3YVGFfEpyFESummAta6sg/edit"", ""Sheet1!B:D""), 2, FALSE), ""Not Found"")"),"mək")</f>
        <v>mək</v>
      </c>
      <c r="E5536" s="2" t="str">
        <f>IFERROR(__xludf.DUMMYFUNCTION("IFERROR(VLOOKUP(A5536, IMPORTRANGE(""https://docs.google.com/spreadsheets/d/1-3Vjw2Cyy-mry5gbC8ypIR3YVGFfEpyFESummAta6sg/edit"", ""Sheet1!B:D""), 3, FALSE), ""Not Found"")"),"m ə k ")</f>
        <v>m ə k </v>
      </c>
    </row>
    <row r="5537">
      <c r="A5537" s="1" t="s">
        <v>5539</v>
      </c>
      <c r="B5537" s="1" t="s">
        <v>5</v>
      </c>
      <c r="C5537" s="2">
        <f>IFERROR(__xludf.DUMMYFUNCTION("IFERROR(VLOOKUP(A5537, IMPORTRANGE(""https://docs.google.com/spreadsheets/d/1AVX9GT0dgogEBStecCXMMQ29tWz3gBrtNB8yIromXbY/edit?gid=741673867"", ""out1g!A:B""), 2, FALSE), 0)"),12302.0)</f>
        <v>12302</v>
      </c>
      <c r="D5537" s="2" t="str">
        <f>IFERROR(__xludf.DUMMYFUNCTION("IFERROR(VLOOKUP(A5537, IMPORTRANGE(""https://docs.google.com/spreadsheets/d/1-3Vjw2Cyy-mry5gbC8ypIR3YVGFfEpyFESummAta6sg/edit"", ""Sheet1!B:D""), 2, FALSE), ""Not Found"")"),"rɛd")</f>
        <v>rɛd</v>
      </c>
      <c r="E5537" s="2" t="str">
        <f>IFERROR(__xludf.DUMMYFUNCTION("IFERROR(VLOOKUP(A5537, IMPORTRANGE(""https://docs.google.com/spreadsheets/d/1-3Vjw2Cyy-mry5gbC8ypIR3YVGFfEpyFESummAta6sg/edit"", ""Sheet1!B:D""), 3, FALSE), ""Not Found"")"),"r ɛ d ")</f>
        <v>r ɛ d </v>
      </c>
    </row>
    <row r="5538">
      <c r="A5538" s="1" t="s">
        <v>5540</v>
      </c>
      <c r="B5538" s="1" t="s">
        <v>5</v>
      </c>
      <c r="C5538" s="2">
        <f>IFERROR(__xludf.DUMMYFUNCTION("IFERROR(VLOOKUP(A5538, IMPORTRANGE(""https://docs.google.com/spreadsheets/d/1AVX9GT0dgogEBStecCXMMQ29tWz3gBrtNB8yIromXbY/edit?gid=741673867"", ""out1g!A:B""), 2, FALSE), 0)"),104.0)</f>
        <v>104</v>
      </c>
      <c r="D5538" s="2" t="str">
        <f>IFERROR(__xludf.DUMMYFUNCTION("IFERROR(VLOOKUP(A5538, IMPORTRANGE(""https://docs.google.com/spreadsheets/d/1-3Vjw2Cyy-mry5gbC8ypIR3YVGFfEpyFESummAta6sg/edit"", ""Sheet1!B:D""), 2, FALSE), ""Not Found"")"),"pɛdəl")</f>
        <v>pɛdəl</v>
      </c>
      <c r="E5538" s="2" t="str">
        <f>IFERROR(__xludf.DUMMYFUNCTION("IFERROR(VLOOKUP(A5538, IMPORTRANGE(""https://docs.google.com/spreadsheets/d/1-3Vjw2Cyy-mry5gbC8ypIR3YVGFfEpyFESummAta6sg/edit"", ""Sheet1!B:D""), 3, FALSE), ""Not Found"")"),"p ɛ d ə l ")</f>
        <v>p ɛ d ə l </v>
      </c>
    </row>
    <row r="5539">
      <c r="A5539" s="1" t="s">
        <v>5541</v>
      </c>
      <c r="B5539" s="1" t="s">
        <v>5</v>
      </c>
      <c r="C5539" s="2">
        <f>IFERROR(__xludf.DUMMYFUNCTION("IFERROR(VLOOKUP(A5539, IMPORTRANGE(""https://docs.google.com/spreadsheets/d/1AVX9GT0dgogEBStecCXMMQ29tWz3gBrtNB8yIromXbY/edit?gid=741673867"", ""out1g!A:B""), 2, FALSE), 0)"),1465.0)</f>
        <v>1465</v>
      </c>
      <c r="D5539" s="2" t="str">
        <f>IFERROR(__xludf.DUMMYFUNCTION("IFERROR(VLOOKUP(A5539, IMPORTRANGE(""https://docs.google.com/spreadsheets/d/1-3Vjw2Cyy-mry5gbC8ypIR3YVGFfEpyFESummAta6sg/edit"", ""Sheet1!B:D""), 2, FALSE), ""Not Found"")"),"kɛrəl")</f>
        <v>kɛrəl</v>
      </c>
      <c r="E5539" s="2" t="str">
        <f>IFERROR(__xludf.DUMMYFUNCTION("IFERROR(VLOOKUP(A5539, IMPORTRANGE(""https://docs.google.com/spreadsheets/d/1-3Vjw2Cyy-mry5gbC8ypIR3YVGFfEpyFESummAta6sg/edit"", ""Sheet1!B:D""), 3, FALSE), ""Not Found"")"),"k ɛ r ə l ")</f>
        <v>k ɛ r ə l </v>
      </c>
    </row>
    <row r="5540">
      <c r="A5540" s="1" t="s">
        <v>5542</v>
      </c>
      <c r="B5540" s="1" t="s">
        <v>5</v>
      </c>
      <c r="C5540" s="2">
        <f>IFERROR(__xludf.DUMMYFUNCTION("IFERROR(VLOOKUP(A5540, IMPORTRANGE(""https://docs.google.com/spreadsheets/d/1AVX9GT0dgogEBStecCXMMQ29tWz3gBrtNB8yIromXbY/edit?gid=741673867"", ""out1g!A:B""), 2, FALSE), 0)"),63304.0)</f>
        <v>63304</v>
      </c>
      <c r="D5540" s="2" t="str">
        <f>IFERROR(__xludf.DUMMYFUNCTION("IFERROR(VLOOKUP(A5540, IMPORTRANGE(""https://docs.google.com/spreadsheets/d/1-3Vjw2Cyy-mry5gbC8ypIR3YVGFfEpyFESummAta6sg/edit"", ""Sheet1!B:D""), 2, FALSE), ""Not Found"")"),"vɛri")</f>
        <v>vɛri</v>
      </c>
      <c r="E5540" s="2" t="str">
        <f>IFERROR(__xludf.DUMMYFUNCTION("IFERROR(VLOOKUP(A5540, IMPORTRANGE(""https://docs.google.com/spreadsheets/d/1-3Vjw2Cyy-mry5gbC8ypIR3YVGFfEpyFESummAta6sg/edit"", ""Sheet1!B:D""), 3, FALSE), ""Not Found"")"),"v ɛ r i ")</f>
        <v>v ɛ r i </v>
      </c>
    </row>
    <row r="5541">
      <c r="A5541" s="1" t="s">
        <v>5543</v>
      </c>
      <c r="B5541" s="1" t="s">
        <v>5</v>
      </c>
      <c r="C5541" s="2">
        <f>IFERROR(__xludf.DUMMYFUNCTION("IFERROR(VLOOKUP(A5541, IMPORTRANGE(""https://docs.google.com/spreadsheets/d/1AVX9GT0dgogEBStecCXMMQ29tWz3gBrtNB8yIromXbY/edit?gid=741673867"", ""out1g!A:B""), 2, FALSE), 0)"),108.0)</f>
        <v>108</v>
      </c>
      <c r="D5541" s="2" t="str">
        <f>IFERROR(__xludf.DUMMYFUNCTION("IFERROR(VLOOKUP(A5541, IMPORTRANGE(""https://docs.google.com/spreadsheets/d/1-3Vjw2Cyy-mry5gbC8ypIR3YVGFfEpyFESummAta6sg/edit"", ""Sheet1!B:D""), 2, FALSE), ""Not Found"")"),"hɪʧt")</f>
        <v>hɪʧt</v>
      </c>
      <c r="E5541" s="2" t="str">
        <f>IFERROR(__xludf.DUMMYFUNCTION("IFERROR(VLOOKUP(A5541, IMPORTRANGE(""https://docs.google.com/spreadsheets/d/1-3Vjw2Cyy-mry5gbC8ypIR3YVGFfEpyFESummAta6sg/edit"", ""Sheet1!B:D""), 3, FALSE), ""Not Found"")"),"h ɪ ʧ t ")</f>
        <v>h ɪ ʧ t </v>
      </c>
    </row>
    <row r="5542">
      <c r="A5542" s="1" t="s">
        <v>5544</v>
      </c>
      <c r="B5542" s="1" t="s">
        <v>5</v>
      </c>
      <c r="C5542" s="2">
        <f>IFERROR(__xludf.DUMMYFUNCTION("IFERROR(VLOOKUP(A5542, IMPORTRANGE(""https://docs.google.com/spreadsheets/d/1AVX9GT0dgogEBStecCXMMQ29tWz3gBrtNB8yIromXbY/edit?gid=741673867"", ""out1g!A:B""), 2, FALSE), 0)"),65.0)</f>
        <v>65</v>
      </c>
      <c r="D5542" s="2" t="str">
        <f>IFERROR(__xludf.DUMMYFUNCTION("IFERROR(VLOOKUP(A5542, IMPORTRANGE(""https://docs.google.com/spreadsheets/d/1-3Vjw2Cyy-mry5gbC8ypIR3YVGFfEpyFESummAta6sg/edit"", ""Sheet1!B:D""), 2, FALSE), ""Not Found"")"),"rilaɪɪŋ")</f>
        <v>rilaɪɪŋ</v>
      </c>
      <c r="E5542" s="2" t="str">
        <f>IFERROR(__xludf.DUMMYFUNCTION("IFERROR(VLOOKUP(A5542, IMPORTRANGE(""https://docs.google.com/spreadsheets/d/1-3Vjw2Cyy-mry5gbC8ypIR3YVGFfEpyFESummAta6sg/edit"", ""Sheet1!B:D""), 3, FALSE), ""Not Found"")"),"r i l a ɪ ɪ ŋ ")</f>
        <v>r i l a ɪ ɪ ŋ </v>
      </c>
    </row>
    <row r="5543">
      <c r="A5543" s="1" t="s">
        <v>5545</v>
      </c>
      <c r="B5543" s="1" t="s">
        <v>5</v>
      </c>
      <c r="C5543" s="2">
        <f>IFERROR(__xludf.DUMMYFUNCTION("IFERROR(VLOOKUP(A5543, IMPORTRANGE(""https://docs.google.com/spreadsheets/d/1AVX9GT0dgogEBStecCXMMQ29tWz3gBrtNB8yIromXbY/edit?gid=741673867"", ""out1g!A:B""), 2, FALSE), 0)"),74.0)</f>
        <v>74</v>
      </c>
      <c r="D5543" s="2" t="str">
        <f>IFERROR(__xludf.DUMMYFUNCTION("IFERROR(VLOOKUP(A5543, IMPORTRANGE(""https://docs.google.com/spreadsheets/d/1-3Vjw2Cyy-mry5gbC8ypIR3YVGFfEpyFESummAta6sg/edit"", ""Sheet1!B:D""), 2, FALSE), ""Not Found"")"),"waɪnz")</f>
        <v>waɪnz</v>
      </c>
      <c r="E5543" s="2" t="str">
        <f>IFERROR(__xludf.DUMMYFUNCTION("IFERROR(VLOOKUP(A5543, IMPORTRANGE(""https://docs.google.com/spreadsheets/d/1-3Vjw2Cyy-mry5gbC8ypIR3YVGFfEpyFESummAta6sg/edit"", ""Sheet1!B:D""), 3, FALSE), ""Not Found"")"),"w a ɪ n z ")</f>
        <v>w a ɪ n z </v>
      </c>
    </row>
    <row r="5544">
      <c r="A5544" s="1" t="s">
        <v>5546</v>
      </c>
      <c r="B5544" s="1" t="s">
        <v>5</v>
      </c>
      <c r="C5544" s="2">
        <f>IFERROR(__xludf.DUMMYFUNCTION("IFERROR(VLOOKUP(A5544, IMPORTRANGE(""https://docs.google.com/spreadsheets/d/1AVX9GT0dgogEBStecCXMMQ29tWz3gBrtNB8yIromXbY/edit?gid=741673867"", ""out1g!A:B""), 2, FALSE), 0)"),361.0)</f>
        <v>361</v>
      </c>
      <c r="D5544" s="2" t="str">
        <f>IFERROR(__xludf.DUMMYFUNCTION("IFERROR(VLOOKUP(A5544, IMPORTRANGE(""https://docs.google.com/spreadsheets/d/1-3Vjw2Cyy-mry5gbC8ypIR3YVGFfEpyFESummAta6sg/edit"", ""Sheet1!B:D""), 2, FALSE), ""Not Found"")"),"rɪʤ")</f>
        <v>rɪʤ</v>
      </c>
      <c r="E5544" s="2" t="str">
        <f>IFERROR(__xludf.DUMMYFUNCTION("IFERROR(VLOOKUP(A5544, IMPORTRANGE(""https://docs.google.com/spreadsheets/d/1-3Vjw2Cyy-mry5gbC8ypIR3YVGFfEpyFESummAta6sg/edit"", ""Sheet1!B:D""), 3, FALSE), ""Not Found"")"),"r ɪ ʤ ")</f>
        <v>r ɪ ʤ </v>
      </c>
    </row>
    <row r="5545">
      <c r="A5545" s="1" t="s">
        <v>5547</v>
      </c>
      <c r="B5545" s="1" t="s">
        <v>5</v>
      </c>
      <c r="C5545" s="2">
        <f>IFERROR(__xludf.DUMMYFUNCTION("IFERROR(VLOOKUP(A5545, IMPORTRANGE(""https://docs.google.com/spreadsheets/d/1AVX9GT0dgogEBStecCXMMQ29tWz3gBrtNB8yIromXbY/edit?gid=741673867"", ""out1g!A:B""), 2, FALSE), 0)"),127.0)</f>
        <v>127</v>
      </c>
      <c r="D5545" s="2" t="str">
        <f>IFERROR(__xludf.DUMMYFUNCTION("IFERROR(VLOOKUP(A5545, IMPORTRANGE(""https://docs.google.com/spreadsheets/d/1-3Vjw2Cyy-mry5gbC8ypIR3YVGFfEpyFESummAta6sg/edit"", ""Sheet1!B:D""), 2, FALSE), ""Not Found"")"),"bəf")</f>
        <v>bəf</v>
      </c>
      <c r="E5545" s="2" t="str">
        <f>IFERROR(__xludf.DUMMYFUNCTION("IFERROR(VLOOKUP(A5545, IMPORTRANGE(""https://docs.google.com/spreadsheets/d/1-3Vjw2Cyy-mry5gbC8ypIR3YVGFfEpyFESummAta6sg/edit"", ""Sheet1!B:D""), 3, FALSE), ""Not Found"")"),"b ə f ")</f>
        <v>b ə f </v>
      </c>
    </row>
    <row r="5546">
      <c r="A5546" s="1" t="s">
        <v>5548</v>
      </c>
      <c r="B5546" s="1" t="s">
        <v>5</v>
      </c>
      <c r="C5546" s="2">
        <f>IFERROR(__xludf.DUMMYFUNCTION("IFERROR(VLOOKUP(A5546, IMPORTRANGE(""https://docs.google.com/spreadsheets/d/1AVX9GT0dgogEBStecCXMMQ29tWz3gBrtNB8yIromXbY/edit?gid=741673867"", ""out1g!A:B""), 2, FALSE), 0)"),137.0)</f>
        <v>137</v>
      </c>
      <c r="D5546" s="2" t="str">
        <f>IFERROR(__xludf.DUMMYFUNCTION("IFERROR(VLOOKUP(A5546, IMPORTRANGE(""https://docs.google.com/spreadsheets/d/1-3Vjw2Cyy-mry5gbC8ypIR3YVGFfEpyFESummAta6sg/edit"", ""Sheet1!B:D""), 2, FALSE), ""Not Found"")"),"bænd")</f>
        <v>bænd</v>
      </c>
      <c r="E5546" s="2" t="str">
        <f>IFERROR(__xludf.DUMMYFUNCTION("IFERROR(VLOOKUP(A5546, IMPORTRANGE(""https://docs.google.com/spreadsheets/d/1-3Vjw2Cyy-mry5gbC8ypIR3YVGFfEpyFESummAta6sg/edit"", ""Sheet1!B:D""), 3, FALSE), ""Not Found"")"),"b æ n d ")</f>
        <v>b æ n d </v>
      </c>
    </row>
    <row r="5547">
      <c r="A5547" s="1" t="s">
        <v>5549</v>
      </c>
      <c r="B5547" s="1" t="s">
        <v>5</v>
      </c>
      <c r="C5547" s="2">
        <f>IFERROR(__xludf.DUMMYFUNCTION("IFERROR(VLOOKUP(A5547, IMPORTRANGE(""https://docs.google.com/spreadsheets/d/1AVX9GT0dgogEBStecCXMMQ29tWz3gBrtNB8yIromXbY/edit?gid=741673867"", ""out1g!A:B""), 2, FALSE), 0)"),48.0)</f>
        <v>48</v>
      </c>
      <c r="D5547" s="2" t="str">
        <f>IFERROR(__xludf.DUMMYFUNCTION("IFERROR(VLOOKUP(A5547, IMPORTRANGE(""https://docs.google.com/spreadsheets/d/1-3Vjw2Cyy-mry5gbC8ypIR3YVGFfEpyFESummAta6sg/edit"", ""Sheet1!B:D""), 2, FALSE), ""Not Found"")"),"gæləp")</f>
        <v>gæləp</v>
      </c>
      <c r="E5547" s="2" t="str">
        <f>IFERROR(__xludf.DUMMYFUNCTION("IFERROR(VLOOKUP(A5547, IMPORTRANGE(""https://docs.google.com/spreadsheets/d/1-3Vjw2Cyy-mry5gbC8ypIR3YVGFfEpyFESummAta6sg/edit"", ""Sheet1!B:D""), 3, FALSE), ""Not Found"")"),"g æ l ə p ")</f>
        <v>g æ l ə p </v>
      </c>
    </row>
    <row r="5548">
      <c r="A5548" s="1" t="s">
        <v>5550</v>
      </c>
      <c r="B5548" s="1" t="s">
        <v>5</v>
      </c>
      <c r="C5548" s="2">
        <f>IFERROR(__xludf.DUMMYFUNCTION("IFERROR(VLOOKUP(A5548, IMPORTRANGE(""https://docs.google.com/spreadsheets/d/1AVX9GT0dgogEBStecCXMMQ29tWz3gBrtNB8yIromXbY/edit?gid=741673867"", ""out1g!A:B""), 2, FALSE), 0)"),1597.0)</f>
        <v>1597</v>
      </c>
      <c r="D5548" s="2" t="str">
        <f>IFERROR(__xludf.DUMMYFUNCTION("IFERROR(VLOOKUP(A5548, IMPORTRANGE(""https://docs.google.com/spreadsheets/d/1-3Vjw2Cyy-mry5gbC8ypIR3YVGFfEpyFESummAta6sg/edit"", ""Sheet1!B:D""), 2, FALSE), ""Not Found"")"),"spərɪŋ")</f>
        <v>spərɪŋ</v>
      </c>
      <c r="E5548" s="2" t="str">
        <f>IFERROR(__xludf.DUMMYFUNCTION("IFERROR(VLOOKUP(A5548, IMPORTRANGE(""https://docs.google.com/spreadsheets/d/1-3Vjw2Cyy-mry5gbC8ypIR3YVGFfEpyFESummAta6sg/edit"", ""Sheet1!B:D""), 3, FALSE), ""Not Found"")"),"s p ə r ɪ ŋ ")</f>
        <v>s p ə r ɪ ŋ </v>
      </c>
    </row>
    <row r="5549">
      <c r="A5549" s="1" t="s">
        <v>5551</v>
      </c>
      <c r="B5549" s="1" t="s">
        <v>5</v>
      </c>
      <c r="C5549" s="2">
        <f>IFERROR(__xludf.DUMMYFUNCTION("IFERROR(VLOOKUP(A5549, IMPORTRANGE(""https://docs.google.com/spreadsheets/d/1AVX9GT0dgogEBStecCXMMQ29tWz3gBrtNB8yIromXbY/edit?gid=741673867"", ""out1g!A:B""), 2, FALSE), 0)"),47.0)</f>
        <v>47</v>
      </c>
      <c r="D5549" s="2" t="str">
        <f>IFERROR(__xludf.DUMMYFUNCTION("IFERROR(VLOOKUP(A5549, IMPORTRANGE(""https://docs.google.com/spreadsheets/d/1-3Vjw2Cyy-mry5gbC8ypIR3YVGFfEpyFESummAta6sg/edit"", ""Sheet1!B:D""), 2, FALSE), ""Not Found"")"),"vɛri")</f>
        <v>vɛri</v>
      </c>
      <c r="E5549" s="2" t="str">
        <f>IFERROR(__xludf.DUMMYFUNCTION("IFERROR(VLOOKUP(A5549, IMPORTRANGE(""https://docs.google.com/spreadsheets/d/1-3Vjw2Cyy-mry5gbC8ypIR3YVGFfEpyFESummAta6sg/edit"", ""Sheet1!B:D""), 3, FALSE), ""Not Found"")"),"v ɛ r i ")</f>
        <v>v ɛ r i </v>
      </c>
    </row>
    <row r="5550">
      <c r="A5550" s="1" t="s">
        <v>5552</v>
      </c>
      <c r="B5550" s="1" t="s">
        <v>5</v>
      </c>
      <c r="C5550" s="2">
        <f>IFERROR(__xludf.DUMMYFUNCTION("IFERROR(VLOOKUP(A5550, IMPORTRANGE(""https://docs.google.com/spreadsheets/d/1AVX9GT0dgogEBStecCXMMQ29tWz3gBrtNB8yIromXbY/edit?gid=741673867"", ""out1g!A:B""), 2, FALSE), 0)"),410.0)</f>
        <v>410</v>
      </c>
      <c r="D5550" s="2" t="str">
        <f>IFERROR(__xludf.DUMMYFUNCTION("IFERROR(VLOOKUP(A5550, IMPORTRANGE(""https://docs.google.com/spreadsheets/d/1-3Vjw2Cyy-mry5gbC8ypIR3YVGFfEpyFESummAta6sg/edit"", ""Sheet1!B:D""), 2, FALSE), ""Not Found"")"),"tre")</f>
        <v>tre</v>
      </c>
      <c r="E5550" s="2" t="str">
        <f>IFERROR(__xludf.DUMMYFUNCTION("IFERROR(VLOOKUP(A5550, IMPORTRANGE(""https://docs.google.com/spreadsheets/d/1-3Vjw2Cyy-mry5gbC8ypIR3YVGFfEpyFESummAta6sg/edit"", ""Sheet1!B:D""), 3, FALSE), ""Not Found"")"),"t r e ")</f>
        <v>t r e </v>
      </c>
    </row>
    <row r="5551">
      <c r="A5551" s="1" t="s">
        <v>5553</v>
      </c>
      <c r="B5551" s="1" t="s">
        <v>5</v>
      </c>
      <c r="C5551" s="2">
        <f>IFERROR(__xludf.DUMMYFUNCTION("IFERROR(VLOOKUP(A5551, IMPORTRANGE(""https://docs.google.com/spreadsheets/d/1AVX9GT0dgogEBStecCXMMQ29tWz3gBrtNB8yIromXbY/edit?gid=741673867"", ""out1g!A:B""), 2, FALSE), 0)"),65.0)</f>
        <v>65</v>
      </c>
      <c r="D5551" s="2" t="str">
        <f>IFERROR(__xludf.DUMMYFUNCTION("IFERROR(VLOOKUP(A5551, IMPORTRANGE(""https://docs.google.com/spreadsheets/d/1-3Vjw2Cyy-mry5gbC8ypIR3YVGFfEpyFESummAta6sg/edit"", ""Sheet1!B:D""), 2, FALSE), ""Not Found"")"),"maʊ")</f>
        <v>maʊ</v>
      </c>
      <c r="E5551" s="2" t="str">
        <f>IFERROR(__xludf.DUMMYFUNCTION("IFERROR(VLOOKUP(A5551, IMPORTRANGE(""https://docs.google.com/spreadsheets/d/1-3Vjw2Cyy-mry5gbC8ypIR3YVGFfEpyFESummAta6sg/edit"", ""Sheet1!B:D""), 3, FALSE), ""Not Found"")"),"m a ʊ ")</f>
        <v>m a ʊ </v>
      </c>
    </row>
    <row r="5552">
      <c r="A5552" s="1" t="s">
        <v>5554</v>
      </c>
      <c r="B5552" s="1" t="s">
        <v>5</v>
      </c>
      <c r="C5552" s="2">
        <f>IFERROR(__xludf.DUMMYFUNCTION("IFERROR(VLOOKUP(A5552, IMPORTRANGE(""https://docs.google.com/spreadsheets/d/1AVX9GT0dgogEBStecCXMMQ29tWz3gBrtNB8yIromXbY/edit?gid=741673867"", ""out1g!A:B""), 2, FALSE), 0)"),180.0)</f>
        <v>180</v>
      </c>
      <c r="D5552" s="2" t="str">
        <f>IFERROR(__xludf.DUMMYFUNCTION("IFERROR(VLOOKUP(A5552, IMPORTRANGE(""https://docs.google.com/spreadsheets/d/1-3Vjw2Cyy-mry5gbC8ypIR3YVGFfEpyFESummAta6sg/edit"", ""Sheet1!B:D""), 2, FALSE), ""Not Found"")"),"wɪŋk")</f>
        <v>wɪŋk</v>
      </c>
      <c r="E5552" s="2" t="str">
        <f>IFERROR(__xludf.DUMMYFUNCTION("IFERROR(VLOOKUP(A5552, IMPORTRANGE(""https://docs.google.com/spreadsheets/d/1-3Vjw2Cyy-mry5gbC8ypIR3YVGFfEpyFESummAta6sg/edit"", ""Sheet1!B:D""), 3, FALSE), ""Not Found"")"),"w ɪ ŋ k ")</f>
        <v>w ɪ ŋ k </v>
      </c>
    </row>
    <row r="5553">
      <c r="A5553" s="1" t="s">
        <v>5555</v>
      </c>
      <c r="B5553" s="1" t="s">
        <v>5</v>
      </c>
      <c r="C5553" s="2">
        <f>IFERROR(__xludf.DUMMYFUNCTION("IFERROR(VLOOKUP(A5553, IMPORTRANGE(""https://docs.google.com/spreadsheets/d/1AVX9GT0dgogEBStecCXMMQ29tWz3gBrtNB8yIromXbY/edit?gid=741673867"", ""out1g!A:B""), 2, FALSE), 0)"),5306.0)</f>
        <v>5306</v>
      </c>
      <c r="D5553" s="2" t="str">
        <f>IFERROR(__xludf.DUMMYFUNCTION("IFERROR(VLOOKUP(A5553, IMPORTRANGE(""https://docs.google.com/spreadsheets/d/1-3Vjw2Cyy-mry5gbC8ypIR3YVGFfEpyFESummAta6sg/edit"", ""Sheet1!B:D""), 2, FALSE), ""Not Found"")"),"æl")</f>
        <v>æl</v>
      </c>
      <c r="E5553" s="2" t="str">
        <f>IFERROR(__xludf.DUMMYFUNCTION("IFERROR(VLOOKUP(A5553, IMPORTRANGE(""https://docs.google.com/spreadsheets/d/1-3Vjw2Cyy-mry5gbC8ypIR3YVGFfEpyFESummAta6sg/edit"", ""Sheet1!B:D""), 3, FALSE), ""Not Found"")"),"æ l ")</f>
        <v>æ l </v>
      </c>
    </row>
    <row r="5554">
      <c r="A5554" s="1" t="s">
        <v>5556</v>
      </c>
      <c r="B5554" s="1" t="s">
        <v>5</v>
      </c>
      <c r="C5554" s="2">
        <f>IFERROR(__xludf.DUMMYFUNCTION("IFERROR(VLOOKUP(A5554, IMPORTRANGE(""https://docs.google.com/spreadsheets/d/1AVX9GT0dgogEBStecCXMMQ29tWz3gBrtNB8yIromXbY/edit?gid=741673867"", ""out1g!A:B""), 2, FALSE), 0)"),99.0)</f>
        <v>99</v>
      </c>
      <c r="D5554" s="2" t="str">
        <f>IFERROR(__xludf.DUMMYFUNCTION("IFERROR(VLOOKUP(A5554, IMPORTRANGE(""https://docs.google.com/spreadsheets/d/1-3Vjw2Cyy-mry5gbC8ypIR3YVGFfEpyFESummAta6sg/edit"", ""Sheet1!B:D""), 2, FALSE), ""Not Found"")"),"wɪt")</f>
        <v>wɪt</v>
      </c>
      <c r="E5554" s="2" t="str">
        <f>IFERROR(__xludf.DUMMYFUNCTION("IFERROR(VLOOKUP(A5554, IMPORTRANGE(""https://docs.google.com/spreadsheets/d/1-3Vjw2Cyy-mry5gbC8ypIR3YVGFfEpyFESummAta6sg/edit"", ""Sheet1!B:D""), 3, FALSE), ""Not Found"")"),"w ɪ t ")</f>
        <v>w ɪ t </v>
      </c>
    </row>
    <row r="5555">
      <c r="A5555" s="1" t="s">
        <v>5557</v>
      </c>
      <c r="B5555" s="1" t="s">
        <v>5</v>
      </c>
      <c r="C5555" s="2">
        <f>IFERROR(__xludf.DUMMYFUNCTION("IFERROR(VLOOKUP(A5555, IMPORTRANGE(""https://docs.google.com/spreadsheets/d/1AVX9GT0dgogEBStecCXMMQ29tWz3gBrtNB8yIromXbY/edit?gid=741673867"", ""out1g!A:B""), 2, FALSE), 0)"),120.0)</f>
        <v>120</v>
      </c>
      <c r="D5555" s="2" t="str">
        <f>IFERROR(__xludf.DUMMYFUNCTION("IFERROR(VLOOKUP(A5555, IMPORTRANGE(""https://docs.google.com/spreadsheets/d/1-3Vjw2Cyy-mry5gbC8ypIR3YVGFfEpyFESummAta6sg/edit"", ""Sheet1!B:D""), 2, FALSE), ""Not Found"")"),"bəbə")</f>
        <v>bəbə</v>
      </c>
      <c r="E5555" s="2" t="str">
        <f>IFERROR(__xludf.DUMMYFUNCTION("IFERROR(VLOOKUP(A5555, IMPORTRANGE(""https://docs.google.com/spreadsheets/d/1-3Vjw2Cyy-mry5gbC8ypIR3YVGFfEpyFESummAta6sg/edit"", ""Sheet1!B:D""), 3, FALSE), ""Not Found"")"),"b ə b ə ")</f>
        <v>b ə b ə </v>
      </c>
    </row>
    <row r="5556">
      <c r="A5556" s="1" t="s">
        <v>5558</v>
      </c>
      <c r="B5556" s="1" t="s">
        <v>5</v>
      </c>
      <c r="C5556" s="2">
        <f>IFERROR(__xludf.DUMMYFUNCTION("IFERROR(VLOOKUP(A5556, IMPORTRANGE(""https://docs.google.com/spreadsheets/d/1AVX9GT0dgogEBStecCXMMQ29tWz3gBrtNB8yIromXbY/edit?gid=741673867"", ""out1g!A:B""), 2, FALSE), 0)"),116.0)</f>
        <v>116</v>
      </c>
      <c r="D5556" s="2" t="str">
        <f>IFERROR(__xludf.DUMMYFUNCTION("IFERROR(VLOOKUP(A5556, IMPORTRANGE(""https://docs.google.com/spreadsheets/d/1-3Vjw2Cyy-mry5gbC8ypIR3YVGFfEpyFESummAta6sg/edit"", ""Sheet1!B:D""), 2, FALSE), ""Not Found"")"),"vegə")</f>
        <v>vegə</v>
      </c>
      <c r="E5556" s="2" t="str">
        <f>IFERROR(__xludf.DUMMYFUNCTION("IFERROR(VLOOKUP(A5556, IMPORTRANGE(""https://docs.google.com/spreadsheets/d/1-3Vjw2Cyy-mry5gbC8ypIR3YVGFfEpyFESummAta6sg/edit"", ""Sheet1!B:D""), 3, FALSE), ""Not Found"")"),"v e g ə ")</f>
        <v>v e g ə </v>
      </c>
    </row>
    <row r="5557">
      <c r="A5557" s="1" t="s">
        <v>5559</v>
      </c>
      <c r="B5557" s="1" t="s">
        <v>5</v>
      </c>
      <c r="C5557" s="2">
        <f>IFERROR(__xludf.DUMMYFUNCTION("IFERROR(VLOOKUP(A5557, IMPORTRANGE(""https://docs.google.com/spreadsheets/d/1AVX9GT0dgogEBStecCXMMQ29tWz3gBrtNB8yIromXbY/edit?gid=741673867"", ""out1g!A:B""), 2, FALSE), 0)"),81.0)</f>
        <v>81</v>
      </c>
      <c r="D5557" s="2" t="str">
        <f>IFERROR(__xludf.DUMMYFUNCTION("IFERROR(VLOOKUP(A5557, IMPORTRANGE(""https://docs.google.com/spreadsheets/d/1-3Vjw2Cyy-mry5gbC8ypIR3YVGFfEpyFESummAta6sg/edit"", ""Sheet1!B:D""), 2, FALSE), ""Not Found"")"),"daɪvərz")</f>
        <v>daɪvərz</v>
      </c>
      <c r="E5557" s="2" t="str">
        <f>IFERROR(__xludf.DUMMYFUNCTION("IFERROR(VLOOKUP(A5557, IMPORTRANGE(""https://docs.google.com/spreadsheets/d/1-3Vjw2Cyy-mry5gbC8ypIR3YVGFfEpyFESummAta6sg/edit"", ""Sheet1!B:D""), 3, FALSE), ""Not Found"")"),"d a ɪ v ə r z ")</f>
        <v>d a ɪ v ə r z </v>
      </c>
    </row>
    <row r="5558">
      <c r="A5558" s="1" t="s">
        <v>5560</v>
      </c>
      <c r="B5558" s="1" t="s">
        <v>5</v>
      </c>
      <c r="C5558" s="2">
        <f>IFERROR(__xludf.DUMMYFUNCTION("IFERROR(VLOOKUP(A5558, IMPORTRANGE(""https://docs.google.com/spreadsheets/d/1AVX9GT0dgogEBStecCXMMQ29tWz3gBrtNB8yIromXbY/edit?gid=741673867"", ""out1g!A:B""), 2, FALSE), 0)"),1087.0)</f>
        <v>1087</v>
      </c>
      <c r="D5558" s="2" t="str">
        <f>IFERROR(__xludf.DUMMYFUNCTION("IFERROR(VLOOKUP(A5558, IMPORTRANGE(""https://docs.google.com/spreadsheets/d/1-3Vjw2Cyy-mry5gbC8ypIR3YVGFfEpyFESummAta6sg/edit"", ""Sheet1!B:D""), 2, FALSE), ""Not Found"")"),"rɛr")</f>
        <v>rɛr</v>
      </c>
      <c r="E5558" s="2" t="str">
        <f>IFERROR(__xludf.DUMMYFUNCTION("IFERROR(VLOOKUP(A5558, IMPORTRANGE(""https://docs.google.com/spreadsheets/d/1-3Vjw2Cyy-mry5gbC8ypIR3YVGFfEpyFESummAta6sg/edit"", ""Sheet1!B:D""), 3, FALSE), ""Not Found"")"),"r ɛ r ")</f>
        <v>r ɛ r </v>
      </c>
    </row>
    <row r="5559">
      <c r="A5559" s="1" t="s">
        <v>5561</v>
      </c>
      <c r="B5559" s="1" t="s">
        <v>5</v>
      </c>
      <c r="C5559" s="2">
        <f>IFERROR(__xludf.DUMMYFUNCTION("IFERROR(VLOOKUP(A5559, IMPORTRANGE(""https://docs.google.com/spreadsheets/d/1AVX9GT0dgogEBStecCXMMQ29tWz3gBrtNB8yIromXbY/edit?gid=741673867"", ""out1g!A:B""), 2, FALSE), 0)"),384.0)</f>
        <v>384</v>
      </c>
      <c r="D5559" s="2" t="str">
        <f>IFERROR(__xludf.DUMMYFUNCTION("IFERROR(VLOOKUP(A5559, IMPORTRANGE(""https://docs.google.com/spreadsheets/d/1-3Vjw2Cyy-mry5gbC8ypIR3YVGFfEpyFESummAta6sg/edit"", ""Sheet1!B:D""), 2, FALSE), ""Not Found"")"),"wɪndz")</f>
        <v>wɪndz</v>
      </c>
      <c r="E5559" s="2" t="str">
        <f>IFERROR(__xludf.DUMMYFUNCTION("IFERROR(VLOOKUP(A5559, IMPORTRANGE(""https://docs.google.com/spreadsheets/d/1-3Vjw2Cyy-mry5gbC8ypIR3YVGFfEpyFESummAta6sg/edit"", ""Sheet1!B:D""), 3, FALSE), ""Not Found"")"),"w ɪ n d z ")</f>
        <v>w ɪ n d z </v>
      </c>
    </row>
    <row r="5560">
      <c r="A5560" s="1" t="s">
        <v>5562</v>
      </c>
      <c r="B5560" s="1" t="s">
        <v>5</v>
      </c>
      <c r="C5560" s="2">
        <f>IFERROR(__xludf.DUMMYFUNCTION("IFERROR(VLOOKUP(A5560, IMPORTRANGE(""https://docs.google.com/spreadsheets/d/1AVX9GT0dgogEBStecCXMMQ29tWz3gBrtNB8yIromXbY/edit?gid=741673867"", ""out1g!A:B""), 2, FALSE), 0)"),1263.0)</f>
        <v>1263</v>
      </c>
      <c r="D5560" s="2" t="str">
        <f>IFERROR(__xludf.DUMMYFUNCTION("IFERROR(VLOOKUP(A5560, IMPORTRANGE(""https://docs.google.com/spreadsheets/d/1-3Vjw2Cyy-mry5gbC8ypIR3YVGFfEpyFESummAta6sg/edit"", ""Sheet1!B:D""), 2, FALSE), ""Not Found"")"),"dɑl")</f>
        <v>dɑl</v>
      </c>
      <c r="E5560" s="2" t="str">
        <f>IFERROR(__xludf.DUMMYFUNCTION("IFERROR(VLOOKUP(A5560, IMPORTRANGE(""https://docs.google.com/spreadsheets/d/1-3Vjw2Cyy-mry5gbC8ypIR3YVGFfEpyFESummAta6sg/edit"", ""Sheet1!B:D""), 3, FALSE), ""Not Found"")"),"d ɑ l ")</f>
        <v>d ɑ l </v>
      </c>
    </row>
    <row r="5561">
      <c r="A5561" s="1" t="s">
        <v>5563</v>
      </c>
      <c r="B5561" s="1" t="s">
        <v>5</v>
      </c>
      <c r="C5561" s="2">
        <f>IFERROR(__xludf.DUMMYFUNCTION("IFERROR(VLOOKUP(A5561, IMPORTRANGE(""https://docs.google.com/spreadsheets/d/1AVX9GT0dgogEBStecCXMMQ29tWz3gBrtNB8yIromXbY/edit?gid=741673867"", ""out1g!A:B""), 2, FALSE), 0)"),112.0)</f>
        <v>112</v>
      </c>
      <c r="D5561" s="2" t="str">
        <f>IFERROR(__xludf.DUMMYFUNCTION("IFERROR(VLOOKUP(A5561, IMPORTRANGE(""https://docs.google.com/spreadsheets/d/1-3Vjw2Cyy-mry5gbC8ypIR3YVGFfEpyFESummAta6sg/edit"", ""Sheet1!B:D""), 2, FALSE), ""Not Found"")"),"kliv")</f>
        <v>kliv</v>
      </c>
      <c r="E5561" s="2" t="str">
        <f>IFERROR(__xludf.DUMMYFUNCTION("IFERROR(VLOOKUP(A5561, IMPORTRANGE(""https://docs.google.com/spreadsheets/d/1-3Vjw2Cyy-mry5gbC8ypIR3YVGFfEpyFESummAta6sg/edit"", ""Sheet1!B:D""), 3, FALSE), ""Not Found"")"),"k l i v ")</f>
        <v>k l i v </v>
      </c>
    </row>
    <row r="5562">
      <c r="A5562" s="1" t="s">
        <v>5564</v>
      </c>
      <c r="B5562" s="1" t="s">
        <v>5</v>
      </c>
      <c r="C5562" s="2">
        <f>IFERROR(__xludf.DUMMYFUNCTION("IFERROR(VLOOKUP(A5562, IMPORTRANGE(""https://docs.google.com/spreadsheets/d/1AVX9GT0dgogEBStecCXMMQ29tWz3gBrtNB8yIromXbY/edit?gid=741673867"", ""out1g!A:B""), 2, FALSE), 0)"),114.0)</f>
        <v>114</v>
      </c>
      <c r="D5562" s="2" t="str">
        <f>IFERROR(__xludf.DUMMYFUNCTION("IFERROR(VLOOKUP(A5562, IMPORTRANGE(""https://docs.google.com/spreadsheets/d/1-3Vjw2Cyy-mry5gbC8ypIR3YVGFfEpyFESummAta6sg/edit"", ""Sheet1!B:D""), 2, FALSE), ""Not Found"")"),"sioʊdi")</f>
        <v>sioʊdi</v>
      </c>
      <c r="E5562" s="2" t="str">
        <f>IFERROR(__xludf.DUMMYFUNCTION("IFERROR(VLOOKUP(A5562, IMPORTRANGE(""https://docs.google.com/spreadsheets/d/1-3Vjw2Cyy-mry5gbC8ypIR3YVGFfEpyFESummAta6sg/edit"", ""Sheet1!B:D""), 3, FALSE), ""Not Found"")"),"s i o ʊ d i ")</f>
        <v>s i o ʊ d i </v>
      </c>
    </row>
    <row r="5563">
      <c r="A5563" s="1" t="s">
        <v>5565</v>
      </c>
      <c r="B5563" s="1" t="s">
        <v>5</v>
      </c>
      <c r="C5563" s="2">
        <f>IFERROR(__xludf.DUMMYFUNCTION("IFERROR(VLOOKUP(A5563, IMPORTRANGE(""https://docs.google.com/spreadsheets/d/1AVX9GT0dgogEBStecCXMMQ29tWz3gBrtNB8yIromXbY/edit?gid=741673867"", ""out1g!A:B""), 2, FALSE), 0)"),2280.0)</f>
        <v>2280</v>
      </c>
      <c r="D5563" s="2" t="str">
        <f>IFERROR(__xludf.DUMMYFUNCTION("IFERROR(VLOOKUP(A5563, IMPORTRANGE(""https://docs.google.com/spreadsheets/d/1-3Vjw2Cyy-mry5gbC8ypIR3YVGFfEpyFESummAta6sg/edit"", ""Sheet1!B:D""), 2, FALSE), ""Not Found"")"),"əkaʊnt")</f>
        <v>əkaʊnt</v>
      </c>
      <c r="E5563" s="2" t="str">
        <f>IFERROR(__xludf.DUMMYFUNCTION("IFERROR(VLOOKUP(A5563, IMPORTRANGE(""https://docs.google.com/spreadsheets/d/1-3Vjw2Cyy-mry5gbC8ypIR3YVGFfEpyFESummAta6sg/edit"", ""Sheet1!B:D""), 3, FALSE), ""Not Found"")"),"ə k a ʊ n t ")</f>
        <v>ə k a ʊ n t </v>
      </c>
    </row>
    <row r="5564">
      <c r="A5564" s="1" t="s">
        <v>5566</v>
      </c>
      <c r="B5564" s="1" t="s">
        <v>5</v>
      </c>
      <c r="C5564" s="2">
        <f>IFERROR(__xludf.DUMMYFUNCTION("IFERROR(VLOOKUP(A5564, IMPORTRANGE(""https://docs.google.com/spreadsheets/d/1AVX9GT0dgogEBStecCXMMQ29tWz3gBrtNB8yIromXbY/edit?gid=741673867"", ""out1g!A:B""), 2, FALSE), 0)"),6373.0)</f>
        <v>6373</v>
      </c>
      <c r="D5564" s="2" t="str">
        <f>IFERROR(__xludf.DUMMYFUNCTION("IFERROR(VLOOKUP(A5564, IMPORTRANGE(""https://docs.google.com/spreadsheets/d/1-3Vjw2Cyy-mry5gbC8ypIR3YVGFfEpyFESummAta6sg/edit"", ""Sheet1!B:D""), 2, FALSE), ""Not Found"")"),"smɔl")</f>
        <v>smɔl</v>
      </c>
      <c r="E5564" s="2" t="str">
        <f>IFERROR(__xludf.DUMMYFUNCTION("IFERROR(VLOOKUP(A5564, IMPORTRANGE(""https://docs.google.com/spreadsheets/d/1-3Vjw2Cyy-mry5gbC8ypIR3YVGFfEpyFESummAta6sg/edit"", ""Sheet1!B:D""), 3, FALSE), ""Not Found"")"),"s m ɔ l ")</f>
        <v>s m ɔ l </v>
      </c>
    </row>
    <row r="5565">
      <c r="A5565" s="1" t="s">
        <v>5567</v>
      </c>
      <c r="B5565" s="1" t="s">
        <v>5</v>
      </c>
      <c r="C5565" s="2">
        <f>IFERROR(__xludf.DUMMYFUNCTION("IFERROR(VLOOKUP(A5565, IMPORTRANGE(""https://docs.google.com/spreadsheets/d/1AVX9GT0dgogEBStecCXMMQ29tWz3gBrtNB8yIromXbY/edit?gid=741673867"", ""out1g!A:B""), 2, FALSE), 0)"),75.0)</f>
        <v>75</v>
      </c>
      <c r="D5565" s="2" t="str">
        <f>IFERROR(__xludf.DUMMYFUNCTION("IFERROR(VLOOKUP(A5565, IMPORTRANGE(""https://docs.google.com/spreadsheets/d/1-3Vjw2Cyy-mry5gbC8ypIR3YVGFfEpyFESummAta6sg/edit"", ""Sheet1!B:D""), 2, FALSE), ""Not Found"")"),"bræts")</f>
        <v>bræts</v>
      </c>
      <c r="E5565" s="2" t="str">
        <f>IFERROR(__xludf.DUMMYFUNCTION("IFERROR(VLOOKUP(A5565, IMPORTRANGE(""https://docs.google.com/spreadsheets/d/1-3Vjw2Cyy-mry5gbC8ypIR3YVGFfEpyFESummAta6sg/edit"", ""Sheet1!B:D""), 3, FALSE), ""Not Found"")"),"b r æ t s ")</f>
        <v>b r æ t s </v>
      </c>
    </row>
    <row r="5566">
      <c r="A5566" s="1" t="s">
        <v>5568</v>
      </c>
      <c r="B5566" s="1" t="s">
        <v>5</v>
      </c>
      <c r="C5566" s="2">
        <f>IFERROR(__xludf.DUMMYFUNCTION("IFERROR(VLOOKUP(A5566, IMPORTRANGE(""https://docs.google.com/spreadsheets/d/1AVX9GT0dgogEBStecCXMMQ29tWz3gBrtNB8yIromXbY/edit?gid=741673867"", ""out1g!A:B""), 2, FALSE), 0)"),909.0)</f>
        <v>909</v>
      </c>
      <c r="D5566" s="2" t="str">
        <f>IFERROR(__xludf.DUMMYFUNCTION("IFERROR(VLOOKUP(A5566, IMPORTRANGE(""https://docs.google.com/spreadsheets/d/1-3Vjw2Cyy-mry5gbC8ypIR3YVGFfEpyFESummAta6sg/edit"", ""Sheet1!B:D""), 2, FALSE), ""Not Found"")"),"slaɪd")</f>
        <v>slaɪd</v>
      </c>
      <c r="E5566" s="2" t="str">
        <f>IFERROR(__xludf.DUMMYFUNCTION("IFERROR(VLOOKUP(A5566, IMPORTRANGE(""https://docs.google.com/spreadsheets/d/1-3Vjw2Cyy-mry5gbC8ypIR3YVGFfEpyFESummAta6sg/edit"", ""Sheet1!B:D""), 3, FALSE), ""Not Found"")"),"s l a ɪ d ")</f>
        <v>s l a ɪ d </v>
      </c>
    </row>
    <row r="5567">
      <c r="A5567" s="1" t="s">
        <v>5569</v>
      </c>
      <c r="B5567" s="1" t="s">
        <v>5</v>
      </c>
      <c r="C5567" s="2">
        <f>IFERROR(__xludf.DUMMYFUNCTION("IFERROR(VLOOKUP(A5567, IMPORTRANGE(""https://docs.google.com/spreadsheets/d/1AVX9GT0dgogEBStecCXMMQ29tWz3gBrtNB8yIromXbY/edit?gid=741673867"", ""out1g!A:B""), 2, FALSE), 0)"),69.0)</f>
        <v>69</v>
      </c>
      <c r="D5567" s="2" t="str">
        <f>IFERROR(__xludf.DUMMYFUNCTION("IFERROR(VLOOKUP(A5567, IMPORTRANGE(""https://docs.google.com/spreadsheets/d/1-3Vjw2Cyy-mry5gbC8ypIR3YVGFfEpyFESummAta6sg/edit"", ""Sheet1!B:D""), 2, FALSE), ""Not Found"")"),"sɑlvz")</f>
        <v>sɑlvz</v>
      </c>
      <c r="E5567" s="2" t="str">
        <f>IFERROR(__xludf.DUMMYFUNCTION("IFERROR(VLOOKUP(A5567, IMPORTRANGE(""https://docs.google.com/spreadsheets/d/1-3Vjw2Cyy-mry5gbC8ypIR3YVGFfEpyFESummAta6sg/edit"", ""Sheet1!B:D""), 3, FALSE), ""Not Found"")"),"s ɑ l v z ")</f>
        <v>s ɑ l v z </v>
      </c>
    </row>
    <row r="5568">
      <c r="A5568" s="1" t="s">
        <v>5570</v>
      </c>
      <c r="B5568" s="1" t="s">
        <v>5</v>
      </c>
      <c r="C5568" s="2">
        <f>IFERROR(__xludf.DUMMYFUNCTION("IFERROR(VLOOKUP(A5568, IMPORTRANGE(""https://docs.google.com/spreadsheets/d/1AVX9GT0dgogEBStecCXMMQ29tWz3gBrtNB8yIromXbY/edit?gid=741673867"", ""out1g!A:B""), 2, FALSE), 0)"),2608.0)</f>
        <v>2608</v>
      </c>
      <c r="D5568" s="2" t="str">
        <f>IFERROR(__xludf.DUMMYFUNCTION("IFERROR(VLOOKUP(A5568, IMPORTRANGE(""https://docs.google.com/spreadsheets/d/1-3Vjw2Cyy-mry5gbC8ypIR3YVGFfEpyFESummAta6sg/edit"", ""Sheet1!B:D""), 2, FALSE), ""Not Found"")"),"kipɪŋ")</f>
        <v>kipɪŋ</v>
      </c>
      <c r="E5568" s="2" t="str">
        <f>IFERROR(__xludf.DUMMYFUNCTION("IFERROR(VLOOKUP(A5568, IMPORTRANGE(""https://docs.google.com/spreadsheets/d/1-3Vjw2Cyy-mry5gbC8ypIR3YVGFfEpyFESummAta6sg/edit"", ""Sheet1!B:D""), 3, FALSE), ""Not Found"")"),"k i p ɪ ŋ ")</f>
        <v>k i p ɪ ŋ </v>
      </c>
    </row>
    <row r="5569">
      <c r="A5569" s="1" t="s">
        <v>5571</v>
      </c>
      <c r="B5569" s="1" t="s">
        <v>5</v>
      </c>
      <c r="C5569" s="2">
        <f>IFERROR(__xludf.DUMMYFUNCTION("IFERROR(VLOOKUP(A5569, IMPORTRANGE(""https://docs.google.com/spreadsheets/d/1AVX9GT0dgogEBStecCXMMQ29tWz3gBrtNB8yIromXbY/edit?gid=741673867"", ""out1g!A:B""), 2, FALSE), 0)"),1441.0)</f>
        <v>1441</v>
      </c>
      <c r="D5569" s="2" t="str">
        <f>IFERROR(__xludf.DUMMYFUNCTION("IFERROR(VLOOKUP(A5569, IMPORTRANGE(""https://docs.google.com/spreadsheets/d/1-3Vjw2Cyy-mry5gbC8ypIR3YVGFfEpyFESummAta6sg/edit"", ""Sheet1!B:D""), 2, FALSE), ""Not Found"")"),"bətən")</f>
        <v>bətən</v>
      </c>
      <c r="E5569" s="2" t="str">
        <f>IFERROR(__xludf.DUMMYFUNCTION("IFERROR(VLOOKUP(A5569, IMPORTRANGE(""https://docs.google.com/spreadsheets/d/1-3Vjw2Cyy-mry5gbC8ypIR3YVGFfEpyFESummAta6sg/edit"", ""Sheet1!B:D""), 3, FALSE), ""Not Found"")"),"b ə t ə n ")</f>
        <v>b ə t ə n </v>
      </c>
    </row>
    <row r="5570">
      <c r="A5570" s="1" t="s">
        <v>5572</v>
      </c>
      <c r="B5570" s="1" t="s">
        <v>5</v>
      </c>
      <c r="C5570" s="2">
        <f>IFERROR(__xludf.DUMMYFUNCTION("IFERROR(VLOOKUP(A5570, IMPORTRANGE(""https://docs.google.com/spreadsheets/d/1AVX9GT0dgogEBStecCXMMQ29tWz3gBrtNB8yIromXbY/edit?gid=741673867"", ""out1g!A:B""), 2, FALSE), 0)"),80.0)</f>
        <v>80</v>
      </c>
      <c r="D5570" s="2" t="str">
        <f>IFERROR(__xludf.DUMMYFUNCTION("IFERROR(VLOOKUP(A5570, IMPORTRANGE(""https://docs.google.com/spreadsheets/d/1-3Vjw2Cyy-mry5gbC8ypIR3YVGFfEpyFESummAta6sg/edit"", ""Sheet1!B:D""), 2, FALSE), ""Not Found"")"),"sprend")</f>
        <v>sprend</v>
      </c>
      <c r="E5570" s="2" t="str">
        <f>IFERROR(__xludf.DUMMYFUNCTION("IFERROR(VLOOKUP(A5570, IMPORTRANGE(""https://docs.google.com/spreadsheets/d/1-3Vjw2Cyy-mry5gbC8ypIR3YVGFfEpyFESummAta6sg/edit"", ""Sheet1!B:D""), 3, FALSE), ""Not Found"")"),"s p r e n d ")</f>
        <v>s p r e n d </v>
      </c>
    </row>
    <row r="5571">
      <c r="A5571" s="1" t="s">
        <v>5573</v>
      </c>
      <c r="B5571" s="1" t="s">
        <v>5</v>
      </c>
      <c r="C5571" s="2">
        <f>IFERROR(__xludf.DUMMYFUNCTION("IFERROR(VLOOKUP(A5571, IMPORTRANGE(""https://docs.google.com/spreadsheets/d/1AVX9GT0dgogEBStecCXMMQ29tWz3gBrtNB8yIromXbY/edit?gid=741673867"", ""out1g!A:B""), 2, FALSE), 0)"),1409.0)</f>
        <v>1409</v>
      </c>
      <c r="D5571" s="2" t="str">
        <f>IFERROR(__xludf.DUMMYFUNCTION("IFERROR(VLOOKUP(A5571, IMPORTRANGE(""https://docs.google.com/spreadsheets/d/1-3Vjw2Cyy-mry5gbC8ypIR3YVGFfEpyFESummAta6sg/edit"", ""Sheet1!B:D""), 2, FALSE), ""Not Found"")"),"tɪp")</f>
        <v>tɪp</v>
      </c>
      <c r="E5571" s="2" t="str">
        <f>IFERROR(__xludf.DUMMYFUNCTION("IFERROR(VLOOKUP(A5571, IMPORTRANGE(""https://docs.google.com/spreadsheets/d/1-3Vjw2Cyy-mry5gbC8ypIR3YVGFfEpyFESummAta6sg/edit"", ""Sheet1!B:D""), 3, FALSE), ""Not Found"")"),"t ɪ p ")</f>
        <v>t ɪ p </v>
      </c>
    </row>
    <row r="5572">
      <c r="A5572" s="1" t="s">
        <v>5574</v>
      </c>
      <c r="B5572" s="1" t="s">
        <v>5</v>
      </c>
      <c r="C5572" s="2">
        <f>IFERROR(__xludf.DUMMYFUNCTION("IFERROR(VLOOKUP(A5572, IMPORTRANGE(""https://docs.google.com/spreadsheets/d/1AVX9GT0dgogEBStecCXMMQ29tWz3gBrtNB8yIromXbY/edit?gid=741673867"", ""out1g!A:B""), 2, FALSE), 0)"),331.0)</f>
        <v>331</v>
      </c>
      <c r="D5572" s="2" t="str">
        <f>IFERROR(__xludf.DUMMYFUNCTION("IFERROR(VLOOKUP(A5572, IMPORTRANGE(""https://docs.google.com/spreadsheets/d/1-3Vjw2Cyy-mry5gbC8ypIR3YVGFfEpyFESummAta6sg/edit"", ""Sheet1!B:D""), 2, FALSE), ""Not Found"")"),"sɛnɪt")</f>
        <v>sɛnɪt</v>
      </c>
      <c r="E5572" s="2" t="str">
        <f>IFERROR(__xludf.DUMMYFUNCTION("IFERROR(VLOOKUP(A5572, IMPORTRANGE(""https://docs.google.com/spreadsheets/d/1-3Vjw2Cyy-mry5gbC8ypIR3YVGFfEpyFESummAta6sg/edit"", ""Sheet1!B:D""), 3, FALSE), ""Not Found"")"),"s ɛ n ɪ t ")</f>
        <v>s ɛ n ɪ t </v>
      </c>
    </row>
    <row r="5573">
      <c r="A5573" s="1" t="s">
        <v>5575</v>
      </c>
      <c r="B5573" s="1" t="s">
        <v>5</v>
      </c>
      <c r="C5573" s="2">
        <f>IFERROR(__xludf.DUMMYFUNCTION("IFERROR(VLOOKUP(A5573, IMPORTRANGE(""https://docs.google.com/spreadsheets/d/1AVX9GT0dgogEBStecCXMMQ29tWz3gBrtNB8yIromXbY/edit?gid=741673867"", ""out1g!A:B""), 2, FALSE), 0)"),83.0)</f>
        <v>83</v>
      </c>
      <c r="D5573" s="2" t="str">
        <f>IFERROR(__xludf.DUMMYFUNCTION("IFERROR(VLOOKUP(A5573, IMPORTRANGE(""https://docs.google.com/spreadsheets/d/1-3Vjw2Cyy-mry5gbC8ypIR3YVGFfEpyFESummAta6sg/edit"", ""Sheet1!B:D""), 2, FALSE), ""Not Found"")"),"stɔrk")</f>
        <v>stɔrk</v>
      </c>
      <c r="E5573" s="2" t="str">
        <f>IFERROR(__xludf.DUMMYFUNCTION("IFERROR(VLOOKUP(A5573, IMPORTRANGE(""https://docs.google.com/spreadsheets/d/1-3Vjw2Cyy-mry5gbC8ypIR3YVGFfEpyFESummAta6sg/edit"", ""Sheet1!B:D""), 3, FALSE), ""Not Found"")"),"s t ɔ r k ")</f>
        <v>s t ɔ r k </v>
      </c>
    </row>
    <row r="5574">
      <c r="A5574" s="1" t="s">
        <v>5576</v>
      </c>
      <c r="B5574" s="1" t="s">
        <v>5</v>
      </c>
      <c r="C5574" s="2">
        <f>IFERROR(__xludf.DUMMYFUNCTION("IFERROR(VLOOKUP(A5574, IMPORTRANGE(""https://docs.google.com/spreadsheets/d/1AVX9GT0dgogEBStecCXMMQ29tWz3gBrtNB8yIromXbY/edit?gid=741673867"", ""out1g!A:B""), 2, FALSE), 0)"),161.0)</f>
        <v>161</v>
      </c>
      <c r="D5574" s="2" t="str">
        <f>IFERROR(__xludf.DUMMYFUNCTION("IFERROR(VLOOKUP(A5574, IMPORTRANGE(""https://docs.google.com/spreadsheets/d/1-3Vjw2Cyy-mry5gbC8ypIR3YVGFfEpyFESummAta6sg/edit"", ""Sheet1!B:D""), 2, FALSE), ""Not Found"")"),"aɪrin")</f>
        <v>aɪrin</v>
      </c>
      <c r="E5574" s="2" t="str">
        <f>IFERROR(__xludf.DUMMYFUNCTION("IFERROR(VLOOKUP(A5574, IMPORTRANGE(""https://docs.google.com/spreadsheets/d/1-3Vjw2Cyy-mry5gbC8ypIR3YVGFfEpyFESummAta6sg/edit"", ""Sheet1!B:D""), 3, FALSE), ""Not Found"")"),"a ɪ r i n ")</f>
        <v>a ɪ r i n </v>
      </c>
    </row>
    <row r="5575">
      <c r="A5575" s="1" t="s">
        <v>5577</v>
      </c>
      <c r="B5575" s="1" t="s">
        <v>5</v>
      </c>
      <c r="C5575" s="2">
        <f>IFERROR(__xludf.DUMMYFUNCTION("IFERROR(VLOOKUP(A5575, IMPORTRANGE(""https://docs.google.com/spreadsheets/d/1AVX9GT0dgogEBStecCXMMQ29tWz3gBrtNB8yIromXbY/edit?gid=741673867"", ""out1g!A:B""), 2, FALSE), 0)"),125.0)</f>
        <v>125</v>
      </c>
      <c r="D5575" s="2" t="str">
        <f>IFERROR(__xludf.DUMMYFUNCTION("IFERROR(VLOOKUP(A5575, IMPORTRANGE(""https://docs.google.com/spreadsheets/d/1-3Vjw2Cyy-mry5gbC8ypIR3YVGFfEpyFESummAta6sg/edit"", ""Sheet1!B:D""), 2, FALSE), ""Not Found"")"),"zæp")</f>
        <v>zæp</v>
      </c>
      <c r="E5575" s="2" t="str">
        <f>IFERROR(__xludf.DUMMYFUNCTION("IFERROR(VLOOKUP(A5575, IMPORTRANGE(""https://docs.google.com/spreadsheets/d/1-3Vjw2Cyy-mry5gbC8ypIR3YVGFfEpyFESummAta6sg/edit"", ""Sheet1!B:D""), 3, FALSE), ""Not Found"")"),"z æ p ")</f>
        <v>z æ p </v>
      </c>
    </row>
    <row r="5576">
      <c r="A5576" s="1" t="s">
        <v>5578</v>
      </c>
      <c r="B5576" s="1" t="s">
        <v>5</v>
      </c>
      <c r="C5576" s="2">
        <f>IFERROR(__xludf.DUMMYFUNCTION("IFERROR(VLOOKUP(A5576, IMPORTRANGE(""https://docs.google.com/spreadsheets/d/1AVX9GT0dgogEBStecCXMMQ29tWz3gBrtNB8yIromXbY/edit?gid=741673867"", ""out1g!A:B""), 2, FALSE), 0)"),133.0)</f>
        <v>133</v>
      </c>
      <c r="D5576" s="2" t="str">
        <f>IFERROR(__xludf.DUMMYFUNCTION("IFERROR(VLOOKUP(A5576, IMPORTRANGE(""https://docs.google.com/spreadsheets/d/1-3Vjw2Cyy-mry5gbC8ypIR3YVGFfEpyFESummAta6sg/edit"", ""Sheet1!B:D""), 2, FALSE), ""Not Found"")"),"stərɪŋ")</f>
        <v>stərɪŋ</v>
      </c>
      <c r="E5576" s="2" t="str">
        <f>IFERROR(__xludf.DUMMYFUNCTION("IFERROR(VLOOKUP(A5576, IMPORTRANGE(""https://docs.google.com/spreadsheets/d/1-3Vjw2Cyy-mry5gbC8ypIR3YVGFfEpyFESummAta6sg/edit"", ""Sheet1!B:D""), 3, FALSE), ""Not Found"")"),"s t ə r ɪ ŋ ")</f>
        <v>s t ə r ɪ ŋ </v>
      </c>
    </row>
    <row r="5577">
      <c r="A5577" s="1" t="s">
        <v>5579</v>
      </c>
      <c r="B5577" s="1" t="s">
        <v>5</v>
      </c>
      <c r="C5577" s="2">
        <f>IFERROR(__xludf.DUMMYFUNCTION("IFERROR(VLOOKUP(A5577, IMPORTRANGE(""https://docs.google.com/spreadsheets/d/1AVX9GT0dgogEBStecCXMMQ29tWz3gBrtNB8yIromXbY/edit?gid=741673867"", ""out1g!A:B""), 2, FALSE), 0)"),270.0)</f>
        <v>270</v>
      </c>
      <c r="D5577" s="2" t="str">
        <f>IFERROR(__xludf.DUMMYFUNCTION("IFERROR(VLOOKUP(A5577, IMPORTRANGE(""https://docs.google.com/spreadsheets/d/1-3Vjw2Cyy-mry5gbC8ypIR3YVGFfEpyFESummAta6sg/edit"", ""Sheet1!B:D""), 2, FALSE), ""Not Found"")"),"aɪrɪs")</f>
        <v>aɪrɪs</v>
      </c>
      <c r="E5577" s="2" t="str">
        <f>IFERROR(__xludf.DUMMYFUNCTION("IFERROR(VLOOKUP(A5577, IMPORTRANGE(""https://docs.google.com/spreadsheets/d/1-3Vjw2Cyy-mry5gbC8ypIR3YVGFfEpyFESummAta6sg/edit"", ""Sheet1!B:D""), 3, FALSE), ""Not Found"")"),"a ɪ r ɪ s ")</f>
        <v>a ɪ r ɪ s </v>
      </c>
    </row>
    <row r="5578">
      <c r="A5578" s="1" t="s">
        <v>5580</v>
      </c>
      <c r="B5578" s="1" t="s">
        <v>5</v>
      </c>
      <c r="C5578" s="2">
        <f>IFERROR(__xludf.DUMMYFUNCTION("IFERROR(VLOOKUP(A5578, IMPORTRANGE(""https://docs.google.com/spreadsheets/d/1AVX9GT0dgogEBStecCXMMQ29tWz3gBrtNB8yIromXbY/edit?gid=741673867"", ""out1g!A:B""), 2, FALSE), 0)"),47.0)</f>
        <v>47</v>
      </c>
      <c r="D5578" s="2" t="str">
        <f>IFERROR(__xludf.DUMMYFUNCTION("IFERROR(VLOOKUP(A5578, IMPORTRANGE(""https://docs.google.com/spreadsheets/d/1-3Vjw2Cyy-mry5gbC8ypIR3YVGFfEpyFESummAta6sg/edit"", ""Sheet1!B:D""), 2, FALSE), ""Not Found"")"),"kwərks")</f>
        <v>kwərks</v>
      </c>
      <c r="E5578" s="2" t="str">
        <f>IFERROR(__xludf.DUMMYFUNCTION("IFERROR(VLOOKUP(A5578, IMPORTRANGE(""https://docs.google.com/spreadsheets/d/1-3Vjw2Cyy-mry5gbC8ypIR3YVGFfEpyFESummAta6sg/edit"", ""Sheet1!B:D""), 3, FALSE), ""Not Found"")"),"k w ə r k s ")</f>
        <v>k w ə r k s </v>
      </c>
    </row>
    <row r="5579">
      <c r="A5579" s="1" t="s">
        <v>5581</v>
      </c>
      <c r="B5579" s="1" t="s">
        <v>5</v>
      </c>
      <c r="C5579" s="2">
        <f>IFERROR(__xludf.DUMMYFUNCTION("IFERROR(VLOOKUP(A5579, IMPORTRANGE(""https://docs.google.com/spreadsheets/d/1AVX9GT0dgogEBStecCXMMQ29tWz3gBrtNB8yIromXbY/edit?gid=741673867"", ""out1g!A:B""), 2, FALSE), 0)"),28.0)</f>
        <v>28</v>
      </c>
      <c r="D5579" s="2" t="str">
        <f>IFERROR(__xludf.DUMMYFUNCTION("IFERROR(VLOOKUP(A5579, IMPORTRANGE(""https://docs.google.com/spreadsheets/d/1-3Vjw2Cyy-mry5gbC8ypIR3YVGFfEpyFESummAta6sg/edit"", ""Sheet1!B:D""), 2, FALSE), ""Not Found"")"),"mɪroʊ")</f>
        <v>mɪroʊ</v>
      </c>
      <c r="E5579" s="2" t="str">
        <f>IFERROR(__xludf.DUMMYFUNCTION("IFERROR(VLOOKUP(A5579, IMPORTRANGE(""https://docs.google.com/spreadsheets/d/1-3Vjw2Cyy-mry5gbC8ypIR3YVGFfEpyFESummAta6sg/edit"", ""Sheet1!B:D""), 3, FALSE), ""Not Found"")"),"m ɪ r o ʊ ")</f>
        <v>m ɪ r o ʊ </v>
      </c>
    </row>
    <row r="5580">
      <c r="A5580" s="1" t="s">
        <v>5582</v>
      </c>
      <c r="B5580" s="1" t="s">
        <v>5</v>
      </c>
      <c r="C5580" s="2">
        <f>IFERROR(__xludf.DUMMYFUNCTION("IFERROR(VLOOKUP(A5580, IMPORTRANGE(""https://docs.google.com/spreadsheets/d/1AVX9GT0dgogEBStecCXMMQ29tWz3gBrtNB8yIromXbY/edit?gid=741673867"", ""out1g!A:B""), 2, FALSE), 0)"),515.0)</f>
        <v>515</v>
      </c>
      <c r="D5580" s="2" t="str">
        <f>IFERROR(__xludf.DUMMYFUNCTION("IFERROR(VLOOKUP(A5580, IMPORTRANGE(""https://docs.google.com/spreadsheets/d/1-3Vjw2Cyy-mry5gbC8ypIR3YVGFfEpyFESummAta6sg/edit"", ""Sheet1!B:D""), 2, FALSE), ""Not Found"")"),"blid")</f>
        <v>blid</v>
      </c>
      <c r="E5580" s="2" t="str">
        <f>IFERROR(__xludf.DUMMYFUNCTION("IFERROR(VLOOKUP(A5580, IMPORTRANGE(""https://docs.google.com/spreadsheets/d/1-3Vjw2Cyy-mry5gbC8ypIR3YVGFfEpyFESummAta6sg/edit"", ""Sheet1!B:D""), 3, FALSE), ""Not Found"")"),"b l i d ")</f>
        <v>b l i d </v>
      </c>
    </row>
    <row r="5581">
      <c r="A5581" s="1" t="s">
        <v>5583</v>
      </c>
      <c r="B5581" s="1" t="s">
        <v>5</v>
      </c>
      <c r="C5581" s="2">
        <f>IFERROR(__xludf.DUMMYFUNCTION("IFERROR(VLOOKUP(A5581, IMPORTRANGE(""https://docs.google.com/spreadsheets/d/1AVX9GT0dgogEBStecCXMMQ29tWz3gBrtNB8yIromXbY/edit?gid=741673867"", ""out1g!A:B""), 2, FALSE), 0)"),22.0)</f>
        <v>22</v>
      </c>
      <c r="D5581" s="2" t="str">
        <f>IFERROR(__xludf.DUMMYFUNCTION("IFERROR(VLOOKUP(A5581, IMPORTRANGE(""https://docs.google.com/spreadsheets/d/1-3Vjw2Cyy-mry5gbC8ypIR3YVGFfEpyFESummAta6sg/edit"", ""Sheet1!B:D""), 2, FALSE), ""Not Found"")"),"slərp")</f>
        <v>slərp</v>
      </c>
      <c r="E5581" s="2" t="str">
        <f>IFERROR(__xludf.DUMMYFUNCTION("IFERROR(VLOOKUP(A5581, IMPORTRANGE(""https://docs.google.com/spreadsheets/d/1-3Vjw2Cyy-mry5gbC8ypIR3YVGFfEpyFESummAta6sg/edit"", ""Sheet1!B:D""), 3, FALSE), ""Not Found"")"),"s l ə r p ")</f>
        <v>s l ə r p </v>
      </c>
    </row>
    <row r="5582">
      <c r="A5582" s="1" t="s">
        <v>5584</v>
      </c>
      <c r="B5582" s="1" t="s">
        <v>5</v>
      </c>
      <c r="C5582" s="2">
        <f>IFERROR(__xludf.DUMMYFUNCTION("IFERROR(VLOOKUP(A5582, IMPORTRANGE(""https://docs.google.com/spreadsheets/d/1AVX9GT0dgogEBStecCXMMQ29tWz3gBrtNB8yIromXbY/edit?gid=741673867"", ""out1g!A:B""), 2, FALSE), 0)"),523.0)</f>
        <v>523</v>
      </c>
      <c r="D5582" s="2" t="str">
        <f>IFERROR(__xludf.DUMMYFUNCTION("IFERROR(VLOOKUP(A5582, IMPORTRANGE(""https://docs.google.com/spreadsheets/d/1-3Vjw2Cyy-mry5gbC8ypIR3YVGFfEpyFESummAta6sg/edit"", ""Sheet1!B:D""), 2, FALSE), ""Not Found"")"),"bluz")</f>
        <v>bluz</v>
      </c>
      <c r="E5582" s="2" t="str">
        <f>IFERROR(__xludf.DUMMYFUNCTION("IFERROR(VLOOKUP(A5582, IMPORTRANGE(""https://docs.google.com/spreadsheets/d/1-3Vjw2Cyy-mry5gbC8ypIR3YVGFfEpyFESummAta6sg/edit"", ""Sheet1!B:D""), 3, FALSE), ""Not Found"")"),"b l u z ")</f>
        <v>b l u z </v>
      </c>
    </row>
    <row r="5583">
      <c r="A5583" s="1" t="s">
        <v>5585</v>
      </c>
      <c r="B5583" s="1" t="s">
        <v>5</v>
      </c>
      <c r="C5583" s="2">
        <f>IFERROR(__xludf.DUMMYFUNCTION("IFERROR(VLOOKUP(A5583, IMPORTRANGE(""https://docs.google.com/spreadsheets/d/1AVX9GT0dgogEBStecCXMMQ29tWz3gBrtNB8yIromXbY/edit?gid=741673867"", ""out1g!A:B""), 2, FALSE), 0)"),1574.0)</f>
        <v>1574</v>
      </c>
      <c r="D5583" s="2" t="str">
        <f>IFERROR(__xludf.DUMMYFUNCTION("IFERROR(VLOOKUP(A5583, IMPORTRANGE(""https://docs.google.com/spreadsheets/d/1-3Vjw2Cyy-mry5gbC8ypIR3YVGFfEpyFESummAta6sg/edit"", ""Sheet1!B:D""), 2, FALSE), ""Not Found"")"),"stɔrm")</f>
        <v>stɔrm</v>
      </c>
      <c r="E5583" s="2" t="str">
        <f>IFERROR(__xludf.DUMMYFUNCTION("IFERROR(VLOOKUP(A5583, IMPORTRANGE(""https://docs.google.com/spreadsheets/d/1-3Vjw2Cyy-mry5gbC8ypIR3YVGFfEpyFESummAta6sg/edit"", ""Sheet1!B:D""), 3, FALSE), ""Not Found"")"),"s t ɔ r m ")</f>
        <v>s t ɔ r m </v>
      </c>
    </row>
    <row r="5584">
      <c r="A5584" s="1" t="s">
        <v>5586</v>
      </c>
      <c r="B5584" s="1" t="s">
        <v>5</v>
      </c>
      <c r="C5584" s="2">
        <f>IFERROR(__xludf.DUMMYFUNCTION("IFERROR(VLOOKUP(A5584, IMPORTRANGE(""https://docs.google.com/spreadsheets/d/1AVX9GT0dgogEBStecCXMMQ29tWz3gBrtNB8yIromXbY/edit?gid=741673867"", ""out1g!A:B""), 2, FALSE), 0)"),50.0)</f>
        <v>50</v>
      </c>
      <c r="D5584" s="2" t="str">
        <f>IFERROR(__xludf.DUMMYFUNCTION("IFERROR(VLOOKUP(A5584, IMPORTRANGE(""https://docs.google.com/spreadsheets/d/1-3Vjw2Cyy-mry5gbC8ypIR3YVGFfEpyFESummAta6sg/edit"", ""Sheet1!B:D""), 2, FALSE), ""Not Found"")"),"flɔnt")</f>
        <v>flɔnt</v>
      </c>
      <c r="E5584" s="2" t="str">
        <f>IFERROR(__xludf.DUMMYFUNCTION("IFERROR(VLOOKUP(A5584, IMPORTRANGE(""https://docs.google.com/spreadsheets/d/1-3Vjw2Cyy-mry5gbC8ypIR3YVGFfEpyFESummAta6sg/edit"", ""Sheet1!B:D""), 3, FALSE), ""Not Found"")"),"f l ɔ n t ")</f>
        <v>f l ɔ n t </v>
      </c>
    </row>
    <row r="5585">
      <c r="A5585" s="1" t="s">
        <v>5587</v>
      </c>
      <c r="B5585" s="1" t="s">
        <v>5</v>
      </c>
      <c r="C5585" s="2">
        <f>IFERROR(__xludf.DUMMYFUNCTION("IFERROR(VLOOKUP(A5585, IMPORTRANGE(""https://docs.google.com/spreadsheets/d/1AVX9GT0dgogEBStecCXMMQ29tWz3gBrtNB8yIromXbY/edit?gid=741673867"", ""out1g!A:B""), 2, FALSE), 0)"),351.0)</f>
        <v>351</v>
      </c>
      <c r="D5585" s="2" t="str">
        <f>IFERROR(__xludf.DUMMYFUNCTION("IFERROR(VLOOKUP(A5585, IMPORTRANGE(""https://docs.google.com/spreadsheets/d/1-3Vjw2Cyy-mry5gbC8ypIR3YVGFfEpyFESummAta6sg/edit"", ""Sheet1!B:D""), 2, FALSE), ""Not Found"")"),"je")</f>
        <v>je</v>
      </c>
      <c r="E5585" s="2" t="str">
        <f>IFERROR(__xludf.DUMMYFUNCTION("IFERROR(VLOOKUP(A5585, IMPORTRANGE(""https://docs.google.com/spreadsheets/d/1-3Vjw2Cyy-mry5gbC8ypIR3YVGFfEpyFESummAta6sg/edit"", ""Sheet1!B:D""), 3, FALSE), ""Not Found"")"),"j e ")</f>
        <v>j e </v>
      </c>
    </row>
    <row r="5586">
      <c r="A5586" s="1" t="s">
        <v>5588</v>
      </c>
      <c r="B5586" s="1" t="s">
        <v>5</v>
      </c>
      <c r="C5586" s="2">
        <f>IFERROR(__xludf.DUMMYFUNCTION("IFERROR(VLOOKUP(A5586, IMPORTRANGE(""https://docs.google.com/spreadsheets/d/1AVX9GT0dgogEBStecCXMMQ29tWz3gBrtNB8yIromXbY/edit?gid=741673867"", ""out1g!A:B""), 2, FALSE), 0)"),164.0)</f>
        <v>164</v>
      </c>
      <c r="D5586" s="2" t="str">
        <f>IFERROR(__xludf.DUMMYFUNCTION("IFERROR(VLOOKUP(A5586, IMPORTRANGE(""https://docs.google.com/spreadsheets/d/1-3Vjw2Cyy-mry5gbC8ypIR3YVGFfEpyFESummAta6sg/edit"", ""Sheet1!B:D""), 2, FALSE), ""Not Found"")"),"nɛks")</f>
        <v>nɛks</v>
      </c>
      <c r="E5586" s="2" t="str">
        <f>IFERROR(__xludf.DUMMYFUNCTION("IFERROR(VLOOKUP(A5586, IMPORTRANGE(""https://docs.google.com/spreadsheets/d/1-3Vjw2Cyy-mry5gbC8ypIR3YVGFfEpyFESummAta6sg/edit"", ""Sheet1!B:D""), 3, FALSE), ""Not Found"")"),"n ɛ k s ")</f>
        <v>n ɛ k s </v>
      </c>
    </row>
    <row r="5587">
      <c r="A5587" s="1" t="s">
        <v>5589</v>
      </c>
      <c r="B5587" s="1" t="s">
        <v>5</v>
      </c>
      <c r="C5587" s="2">
        <f>IFERROR(__xludf.DUMMYFUNCTION("IFERROR(VLOOKUP(A5587, IMPORTRANGE(""https://docs.google.com/spreadsheets/d/1AVX9GT0dgogEBStecCXMMQ29tWz3gBrtNB8yIromXbY/edit?gid=741673867"", ""out1g!A:B""), 2, FALSE), 0)"),15.0)</f>
        <v>15</v>
      </c>
      <c r="D5587" s="2" t="str">
        <f>IFERROR(__xludf.DUMMYFUNCTION("IFERROR(VLOOKUP(A5587, IMPORTRANGE(""https://docs.google.com/spreadsheets/d/1-3Vjw2Cyy-mry5gbC8ypIR3YVGFfEpyFESummAta6sg/edit"", ""Sheet1!B:D""), 2, FALSE), ""Not Found"")"),"doʊts")</f>
        <v>doʊts</v>
      </c>
      <c r="E5587" s="2" t="str">
        <f>IFERROR(__xludf.DUMMYFUNCTION("IFERROR(VLOOKUP(A5587, IMPORTRANGE(""https://docs.google.com/spreadsheets/d/1-3Vjw2Cyy-mry5gbC8ypIR3YVGFfEpyFESummAta6sg/edit"", ""Sheet1!B:D""), 3, FALSE), ""Not Found"")"),"d o ʊ t s ")</f>
        <v>d o ʊ t s </v>
      </c>
    </row>
    <row r="5588">
      <c r="A5588" s="1" t="s">
        <v>5590</v>
      </c>
      <c r="B5588" s="1" t="s">
        <v>5</v>
      </c>
      <c r="C5588" s="2">
        <f>IFERROR(__xludf.DUMMYFUNCTION("IFERROR(VLOOKUP(A5588, IMPORTRANGE(""https://docs.google.com/spreadsheets/d/1AVX9GT0dgogEBStecCXMMQ29tWz3gBrtNB8yIromXbY/edit?gid=741673867"", ""out1g!A:B""), 2, FALSE), 0)"),802.0)</f>
        <v>802</v>
      </c>
      <c r="D5588" s="2" t="str">
        <f>IFERROR(__xludf.DUMMYFUNCTION("IFERROR(VLOOKUP(A5588, IMPORTRANGE(""https://docs.google.com/spreadsheets/d/1-3Vjw2Cyy-mry5gbC8ypIR3YVGFfEpyFESummAta6sg/edit"", ""Sheet1!B:D""), 2, FALSE), ""Not Found"")"),"həm")</f>
        <v>həm</v>
      </c>
      <c r="E5588" s="2" t="str">
        <f>IFERROR(__xludf.DUMMYFUNCTION("IFERROR(VLOOKUP(A5588, IMPORTRANGE(""https://docs.google.com/spreadsheets/d/1-3Vjw2Cyy-mry5gbC8ypIR3YVGFfEpyFESummAta6sg/edit"", ""Sheet1!B:D""), 3, FALSE), ""Not Found"")"),"h ə m ")</f>
        <v>h ə m </v>
      </c>
    </row>
    <row r="5589">
      <c r="A5589" s="1" t="s">
        <v>5591</v>
      </c>
      <c r="B5589" s="1" t="s">
        <v>5</v>
      </c>
      <c r="C5589" s="2">
        <f>IFERROR(__xludf.DUMMYFUNCTION("IFERROR(VLOOKUP(A5589, IMPORTRANGE(""https://docs.google.com/spreadsheets/d/1AVX9GT0dgogEBStecCXMMQ29tWz3gBrtNB8yIromXbY/edit?gid=741673867"", ""out1g!A:B""), 2, FALSE), 0)"),1632.0)</f>
        <v>1632</v>
      </c>
      <c r="D5589" s="2" t="str">
        <f>IFERROR(__xludf.DUMMYFUNCTION("IFERROR(VLOOKUP(A5589, IMPORTRANGE(""https://docs.google.com/spreadsheets/d/1-3Vjw2Cyy-mry5gbC8ypIR3YVGFfEpyFESummAta6sg/edit"", ""Sheet1!B:D""), 2, FALSE), ""Not Found"")"),"stæf")</f>
        <v>stæf</v>
      </c>
      <c r="E5589" s="2" t="str">
        <f>IFERROR(__xludf.DUMMYFUNCTION("IFERROR(VLOOKUP(A5589, IMPORTRANGE(""https://docs.google.com/spreadsheets/d/1-3Vjw2Cyy-mry5gbC8ypIR3YVGFfEpyFESummAta6sg/edit"", ""Sheet1!B:D""), 3, FALSE), ""Not Found"")"),"s t æ f ")</f>
        <v>s t æ f </v>
      </c>
    </row>
    <row r="5590">
      <c r="A5590" s="1" t="s">
        <v>5592</v>
      </c>
      <c r="B5590" s="1" t="s">
        <v>5</v>
      </c>
      <c r="C5590" s="2">
        <f>IFERROR(__xludf.DUMMYFUNCTION("IFERROR(VLOOKUP(A5590, IMPORTRANGE(""https://docs.google.com/spreadsheets/d/1AVX9GT0dgogEBStecCXMMQ29tWz3gBrtNB8yIromXbY/edit?gid=741673867"", ""out1g!A:B""), 2, FALSE), 0)"),422.0)</f>
        <v>422</v>
      </c>
      <c r="D5590" s="2" t="str">
        <f>IFERROR(__xludf.DUMMYFUNCTION("IFERROR(VLOOKUP(A5590, IMPORTRANGE(""https://docs.google.com/spreadsheets/d/1-3Vjw2Cyy-mry5gbC8ypIR3YVGFfEpyFESummAta6sg/edit"", ""Sheet1!B:D""), 2, FALSE), ""Not Found"")"),"fʊtɪʤ")</f>
        <v>fʊtɪʤ</v>
      </c>
      <c r="E5590" s="2" t="str">
        <f>IFERROR(__xludf.DUMMYFUNCTION("IFERROR(VLOOKUP(A5590, IMPORTRANGE(""https://docs.google.com/spreadsheets/d/1-3Vjw2Cyy-mry5gbC8ypIR3YVGFfEpyFESummAta6sg/edit"", ""Sheet1!B:D""), 3, FALSE), ""Not Found"")"),"f ʊ t ɪ ʤ ")</f>
        <v>f ʊ t ɪ ʤ </v>
      </c>
    </row>
    <row r="5591">
      <c r="A5591" s="1" t="s">
        <v>5593</v>
      </c>
      <c r="B5591" s="1" t="s">
        <v>5</v>
      </c>
      <c r="C5591" s="2">
        <f>IFERROR(__xludf.DUMMYFUNCTION("IFERROR(VLOOKUP(A5591, IMPORTRANGE(""https://docs.google.com/spreadsheets/d/1AVX9GT0dgogEBStecCXMMQ29tWz3gBrtNB8yIromXbY/edit?gid=741673867"", ""out1g!A:B""), 2, FALSE), 0)"),63.0)</f>
        <v>63</v>
      </c>
      <c r="D5591" s="2" t="str">
        <f>IFERROR(__xludf.DUMMYFUNCTION("IFERROR(VLOOKUP(A5591, IMPORTRANGE(""https://docs.google.com/spreadsheets/d/1-3Vjw2Cyy-mry5gbC8ypIR3YVGFfEpyFESummAta6sg/edit"", ""Sheet1!B:D""), 2, FALSE), ""Not Found"")"),"həsi")</f>
        <v>həsi</v>
      </c>
      <c r="E5591" s="2" t="str">
        <f>IFERROR(__xludf.DUMMYFUNCTION("IFERROR(VLOOKUP(A5591, IMPORTRANGE(""https://docs.google.com/spreadsheets/d/1-3Vjw2Cyy-mry5gbC8ypIR3YVGFfEpyFESummAta6sg/edit"", ""Sheet1!B:D""), 3, FALSE), ""Not Found"")"),"h ə s i ")</f>
        <v>h ə s i </v>
      </c>
    </row>
    <row r="5592">
      <c r="A5592" s="1" t="s">
        <v>5594</v>
      </c>
      <c r="B5592" s="1" t="s">
        <v>5</v>
      </c>
      <c r="C5592" s="2">
        <f>IFERROR(__xludf.DUMMYFUNCTION("IFERROR(VLOOKUP(A5592, IMPORTRANGE(""https://docs.google.com/spreadsheets/d/1AVX9GT0dgogEBStecCXMMQ29tWz3gBrtNB8yIromXbY/edit?gid=741673867"", ""out1g!A:B""), 2, FALSE), 0)"),17966.0)</f>
        <v>17966</v>
      </c>
      <c r="D5592" s="2" t="str">
        <f>IFERROR(__xludf.DUMMYFUNCTION("IFERROR(VLOOKUP(A5592, IMPORTRANGE(""https://docs.google.com/spreadsheets/d/1-3Vjw2Cyy-mry5gbC8ypIR3YVGFfEpyFESummAta6sg/edit"", ""Sheet1!B:D""), 2, FALSE), ""Not Found"")"),"mit")</f>
        <v>mit</v>
      </c>
      <c r="E5592" s="2" t="str">
        <f>IFERROR(__xludf.DUMMYFUNCTION("IFERROR(VLOOKUP(A5592, IMPORTRANGE(""https://docs.google.com/spreadsheets/d/1-3Vjw2Cyy-mry5gbC8ypIR3YVGFfEpyFESummAta6sg/edit"", ""Sheet1!B:D""), 3, FALSE), ""Not Found"")"),"m i t ")</f>
        <v>m i t </v>
      </c>
    </row>
    <row r="5593">
      <c r="A5593" s="1" t="s">
        <v>5595</v>
      </c>
      <c r="B5593" s="1" t="s">
        <v>5</v>
      </c>
      <c r="C5593" s="2">
        <f>IFERROR(__xludf.DUMMYFUNCTION("IFERROR(VLOOKUP(A5593, IMPORTRANGE(""https://docs.google.com/spreadsheets/d/1AVX9GT0dgogEBStecCXMMQ29tWz3gBrtNB8yIromXbY/edit?gid=741673867"", ""out1g!A:B""), 2, FALSE), 0)"),218.0)</f>
        <v>218</v>
      </c>
      <c r="D5593" s="2" t="str">
        <f>IFERROR(__xludf.DUMMYFUNCTION("IFERROR(VLOOKUP(A5593, IMPORTRANGE(""https://docs.google.com/spreadsheets/d/1-3Vjw2Cyy-mry5gbC8ypIR3YVGFfEpyFESummAta6sg/edit"", ""Sheet1!B:D""), 2, FALSE), ""Not Found"")"),"nənz")</f>
        <v>nənz</v>
      </c>
      <c r="E5593" s="2" t="str">
        <f>IFERROR(__xludf.DUMMYFUNCTION("IFERROR(VLOOKUP(A5593, IMPORTRANGE(""https://docs.google.com/spreadsheets/d/1-3Vjw2Cyy-mry5gbC8ypIR3YVGFfEpyFESummAta6sg/edit"", ""Sheet1!B:D""), 3, FALSE), ""Not Found"")"),"n ə n z ")</f>
        <v>n ə n z </v>
      </c>
    </row>
    <row r="5594">
      <c r="A5594" s="1" t="s">
        <v>5596</v>
      </c>
      <c r="B5594" s="1" t="s">
        <v>5</v>
      </c>
      <c r="C5594" s="2">
        <f>IFERROR(__xludf.DUMMYFUNCTION("IFERROR(VLOOKUP(A5594, IMPORTRANGE(""https://docs.google.com/spreadsheets/d/1AVX9GT0dgogEBStecCXMMQ29tWz3gBrtNB8yIromXbY/edit?gid=741673867"", ""out1g!A:B""), 2, FALSE), 0)"),72.0)</f>
        <v>72</v>
      </c>
      <c r="D5594" s="2" t="str">
        <f>IFERROR(__xludf.DUMMYFUNCTION("IFERROR(VLOOKUP(A5594, IMPORTRANGE(""https://docs.google.com/spreadsheets/d/1-3Vjw2Cyy-mry5gbC8ypIR3YVGFfEpyFESummAta6sg/edit"", ""Sheet1!B:D""), 2, FALSE), ""Not Found"")"),"dəkɪŋ")</f>
        <v>dəkɪŋ</v>
      </c>
      <c r="E5594" s="2" t="str">
        <f>IFERROR(__xludf.DUMMYFUNCTION("IFERROR(VLOOKUP(A5594, IMPORTRANGE(""https://docs.google.com/spreadsheets/d/1-3Vjw2Cyy-mry5gbC8ypIR3YVGFfEpyFESummAta6sg/edit"", ""Sheet1!B:D""), 3, FALSE), ""Not Found"")"),"d ə k ɪ ŋ ")</f>
        <v>d ə k ɪ ŋ </v>
      </c>
    </row>
    <row r="5595">
      <c r="A5595" s="1" t="s">
        <v>5597</v>
      </c>
      <c r="B5595" s="1" t="s">
        <v>5</v>
      </c>
      <c r="C5595" s="2">
        <f>IFERROR(__xludf.DUMMYFUNCTION("IFERROR(VLOOKUP(A5595, IMPORTRANGE(""https://docs.google.com/spreadsheets/d/1AVX9GT0dgogEBStecCXMMQ29tWz3gBrtNB8yIromXbY/edit?gid=741673867"", ""out1g!A:B""), 2, FALSE), 0)"),119.0)</f>
        <v>119</v>
      </c>
      <c r="D5595" s="2" t="str">
        <f>IFERROR(__xludf.DUMMYFUNCTION("IFERROR(VLOOKUP(A5595, IMPORTRANGE(""https://docs.google.com/spreadsheets/d/1-3Vjw2Cyy-mry5gbC8ypIR3YVGFfEpyFESummAta6sg/edit"", ""Sheet1!B:D""), 2, FALSE), ""Not Found"")"),"wɛʤ")</f>
        <v>wɛʤ</v>
      </c>
      <c r="E5595" s="2" t="str">
        <f>IFERROR(__xludf.DUMMYFUNCTION("IFERROR(VLOOKUP(A5595, IMPORTRANGE(""https://docs.google.com/spreadsheets/d/1-3Vjw2Cyy-mry5gbC8ypIR3YVGFfEpyFESummAta6sg/edit"", ""Sheet1!B:D""), 3, FALSE), ""Not Found"")"),"w ɛ ʤ ")</f>
        <v>w ɛ ʤ </v>
      </c>
    </row>
    <row r="5596">
      <c r="A5596" s="1" t="s">
        <v>5598</v>
      </c>
      <c r="B5596" s="1" t="s">
        <v>5</v>
      </c>
      <c r="C5596" s="2">
        <f>IFERROR(__xludf.DUMMYFUNCTION("IFERROR(VLOOKUP(A5596, IMPORTRANGE(""https://docs.google.com/spreadsheets/d/1AVX9GT0dgogEBStecCXMMQ29tWz3gBrtNB8yIromXbY/edit?gid=741673867"", ""out1g!A:B""), 2, FALSE), 0)"),2767.0)</f>
        <v>2767</v>
      </c>
      <c r="D5596" s="2" t="str">
        <f>IFERROR(__xludf.DUMMYFUNCTION("IFERROR(VLOOKUP(A5596, IMPORTRANGE(""https://docs.google.com/spreadsheets/d/1-3Vjw2Cyy-mry5gbC8ypIR3YVGFfEpyFESummAta6sg/edit"", ""Sheet1!B:D""), 2, FALSE), ""Not Found"")"),"simd")</f>
        <v>simd</v>
      </c>
      <c r="E5596" s="2" t="str">
        <f>IFERROR(__xludf.DUMMYFUNCTION("IFERROR(VLOOKUP(A5596, IMPORTRANGE(""https://docs.google.com/spreadsheets/d/1-3Vjw2Cyy-mry5gbC8ypIR3YVGFfEpyFESummAta6sg/edit"", ""Sheet1!B:D""), 3, FALSE), ""Not Found"")"),"s i m d ")</f>
        <v>s i m d </v>
      </c>
    </row>
    <row r="5597">
      <c r="A5597" s="1" t="s">
        <v>5599</v>
      </c>
      <c r="B5597" s="1" t="s">
        <v>5</v>
      </c>
      <c r="C5597" s="2">
        <f>IFERROR(__xludf.DUMMYFUNCTION("IFERROR(VLOOKUP(A5597, IMPORTRANGE(""https://docs.google.com/spreadsheets/d/1AVX9GT0dgogEBStecCXMMQ29tWz3gBrtNB8yIromXbY/edit?gid=741673867"", ""out1g!A:B""), 2, FALSE), 0)"),183.0)</f>
        <v>183</v>
      </c>
      <c r="D5597" s="2" t="str">
        <f>IFERROR(__xludf.DUMMYFUNCTION("IFERROR(VLOOKUP(A5597, IMPORTRANGE(""https://docs.google.com/spreadsheets/d/1-3Vjw2Cyy-mry5gbC8ypIR3YVGFfEpyFESummAta6sg/edit"", ""Sheet1!B:D""), 2, FALSE), ""Not Found"")"),"saɪts")</f>
        <v>saɪts</v>
      </c>
      <c r="E5597" s="2" t="str">
        <f>IFERROR(__xludf.DUMMYFUNCTION("IFERROR(VLOOKUP(A5597, IMPORTRANGE(""https://docs.google.com/spreadsheets/d/1-3Vjw2Cyy-mry5gbC8ypIR3YVGFfEpyFESummAta6sg/edit"", ""Sheet1!B:D""), 3, FALSE), ""Not Found"")"),"s a ɪ t s ")</f>
        <v>s a ɪ t s </v>
      </c>
    </row>
    <row r="5598">
      <c r="A5598" s="1" t="s">
        <v>5600</v>
      </c>
      <c r="B5598" s="1" t="s">
        <v>5</v>
      </c>
      <c r="C5598" s="2">
        <f>IFERROR(__xludf.DUMMYFUNCTION("IFERROR(VLOOKUP(A5598, IMPORTRANGE(""https://docs.google.com/spreadsheets/d/1AVX9GT0dgogEBStecCXMMQ29tWz3gBrtNB8yIromXbY/edit?gid=741673867"", ""out1g!A:B""), 2, FALSE), 0)"),50.0)</f>
        <v>50</v>
      </c>
      <c r="D5598" s="2" t="str">
        <f>IFERROR(__xludf.DUMMYFUNCTION("IFERROR(VLOOKUP(A5598, IMPORTRANGE(""https://docs.google.com/spreadsheets/d/1-3Vjw2Cyy-mry5gbC8ypIR3YVGFfEpyFESummAta6sg/edit"", ""Sheet1!B:D""), 2, FALSE), ""Not Found"")"),"ʤækɪŋ")</f>
        <v>ʤækɪŋ</v>
      </c>
      <c r="E5598" s="2" t="str">
        <f>IFERROR(__xludf.DUMMYFUNCTION("IFERROR(VLOOKUP(A5598, IMPORTRANGE(""https://docs.google.com/spreadsheets/d/1-3Vjw2Cyy-mry5gbC8ypIR3YVGFfEpyFESummAta6sg/edit"", ""Sheet1!B:D""), 3, FALSE), ""Not Found"")"),"ʤ æ k ɪ ŋ ")</f>
        <v>ʤ æ k ɪ ŋ </v>
      </c>
    </row>
    <row r="5599">
      <c r="A5599" s="1" t="s">
        <v>5601</v>
      </c>
      <c r="B5599" s="1" t="s">
        <v>5</v>
      </c>
      <c r="C5599" s="2">
        <f>IFERROR(__xludf.DUMMYFUNCTION("IFERROR(VLOOKUP(A5599, IMPORTRANGE(""https://docs.google.com/spreadsheets/d/1AVX9GT0dgogEBStecCXMMQ29tWz3gBrtNB8yIromXbY/edit?gid=741673867"", ""out1g!A:B""), 2, FALSE), 0)"),2600.0)</f>
        <v>2600</v>
      </c>
      <c r="D5599" s="2" t="str">
        <f>IFERROR(__xludf.DUMMYFUNCTION("IFERROR(VLOOKUP(A5599, IMPORTRANGE(""https://docs.google.com/spreadsheets/d/1-3Vjw2Cyy-mry5gbC8ypIR3YVGFfEpyFESummAta6sg/edit"", ""Sheet1!B:D""), 2, FALSE), ""Not Found"")"),"jɛp")</f>
        <v>jɛp</v>
      </c>
      <c r="E5599" s="2" t="str">
        <f>IFERROR(__xludf.DUMMYFUNCTION("IFERROR(VLOOKUP(A5599, IMPORTRANGE(""https://docs.google.com/spreadsheets/d/1-3Vjw2Cyy-mry5gbC8ypIR3YVGFfEpyFESummAta6sg/edit"", ""Sheet1!B:D""), 3, FALSE), ""Not Found"")"),"j ɛ p ")</f>
        <v>j ɛ p </v>
      </c>
    </row>
    <row r="5600">
      <c r="A5600" s="1" t="s">
        <v>5602</v>
      </c>
      <c r="B5600" s="1" t="s">
        <v>5</v>
      </c>
      <c r="C5600" s="2">
        <f>IFERROR(__xludf.DUMMYFUNCTION("IFERROR(VLOOKUP(A5600, IMPORTRANGE(""https://docs.google.com/spreadsheets/d/1AVX9GT0dgogEBStecCXMMQ29tWz3gBrtNB8yIromXbY/edit?gid=741673867"", ""out1g!A:B""), 2, FALSE), 0)"),1371.0)</f>
        <v>1371</v>
      </c>
      <c r="D5600" s="2" t="str">
        <f>IFERROR(__xludf.DUMMYFUNCTION("IFERROR(VLOOKUP(A5600, IMPORTRANGE(""https://docs.google.com/spreadsheets/d/1-3Vjw2Cyy-mry5gbC8ypIR3YVGFfEpyFESummAta6sg/edit"", ""Sheet1!B:D""), 2, FALSE), ""Not Found"")"),"ʤus")</f>
        <v>ʤus</v>
      </c>
      <c r="E5600" s="2" t="str">
        <f>IFERROR(__xludf.DUMMYFUNCTION("IFERROR(VLOOKUP(A5600, IMPORTRANGE(""https://docs.google.com/spreadsheets/d/1-3Vjw2Cyy-mry5gbC8ypIR3YVGFfEpyFESummAta6sg/edit"", ""Sheet1!B:D""), 3, FALSE), ""Not Found"")"),"ʤ u s ")</f>
        <v>ʤ u s </v>
      </c>
    </row>
    <row r="5601">
      <c r="A5601" s="1" t="s">
        <v>5603</v>
      </c>
      <c r="B5601" s="1" t="s">
        <v>5</v>
      </c>
      <c r="C5601" s="2">
        <f>IFERROR(__xludf.DUMMYFUNCTION("IFERROR(VLOOKUP(A5601, IMPORTRANGE(""https://docs.google.com/spreadsheets/d/1AVX9GT0dgogEBStecCXMMQ29tWz3gBrtNB8yIromXbY/edit?gid=741673867"", ""out1g!A:B""), 2, FALSE), 0)"),796.0)</f>
        <v>796</v>
      </c>
      <c r="D5601" s="2" t="str">
        <f>IFERROR(__xludf.DUMMYFUNCTION("IFERROR(VLOOKUP(A5601, IMPORTRANGE(""https://docs.google.com/spreadsheets/d/1-3Vjw2Cyy-mry5gbC8ypIR3YVGFfEpyFESummAta6sg/edit"", ""Sheet1!B:D""), 2, FALSE), ""Not Found"")"),"tun")</f>
        <v>tun</v>
      </c>
      <c r="E5601" s="2" t="str">
        <f>IFERROR(__xludf.DUMMYFUNCTION("IFERROR(VLOOKUP(A5601, IMPORTRANGE(""https://docs.google.com/spreadsheets/d/1-3Vjw2Cyy-mry5gbC8ypIR3YVGFfEpyFESummAta6sg/edit"", ""Sheet1!B:D""), 3, FALSE), ""Not Found"")"),"t u n ")</f>
        <v>t u n </v>
      </c>
    </row>
    <row r="5602">
      <c r="A5602" s="1" t="s">
        <v>5604</v>
      </c>
      <c r="B5602" s="1" t="s">
        <v>5</v>
      </c>
      <c r="C5602" s="2">
        <f>IFERROR(__xludf.DUMMYFUNCTION("IFERROR(VLOOKUP(A5602, IMPORTRANGE(""https://docs.google.com/spreadsheets/d/1AVX9GT0dgogEBStecCXMMQ29tWz3gBrtNB8yIromXbY/edit?gid=741673867"", ""out1g!A:B""), 2, FALSE), 0)"),1459.0)</f>
        <v>1459</v>
      </c>
      <c r="D5602" s="2" t="str">
        <f>IFERROR(__xludf.DUMMYFUNCTION("IFERROR(VLOOKUP(A5602, IMPORTRANGE(""https://docs.google.com/spreadsheets/d/1-3Vjw2Cyy-mry5gbC8ypIR3YVGFfEpyFESummAta6sg/edit"", ""Sheet1!B:D""), 2, FALSE), ""Not Found"")"),"θɪri")</f>
        <v>θɪri</v>
      </c>
      <c r="E5602" s="2" t="str">
        <f>IFERROR(__xludf.DUMMYFUNCTION("IFERROR(VLOOKUP(A5602, IMPORTRANGE(""https://docs.google.com/spreadsheets/d/1-3Vjw2Cyy-mry5gbC8ypIR3YVGFfEpyFESummAta6sg/edit"", ""Sheet1!B:D""), 3, FALSE), ""Not Found"")"),"θ ɪ r i ")</f>
        <v>θ ɪ r i </v>
      </c>
    </row>
    <row r="5603">
      <c r="A5603" s="1" t="s">
        <v>5605</v>
      </c>
      <c r="B5603" s="1" t="s">
        <v>5</v>
      </c>
      <c r="C5603" s="2">
        <f>IFERROR(__xludf.DUMMYFUNCTION("IFERROR(VLOOKUP(A5603, IMPORTRANGE(""https://docs.google.com/spreadsheets/d/1AVX9GT0dgogEBStecCXMMQ29tWz3gBrtNB8yIromXbY/edit?gid=741673867"", ""out1g!A:B""), 2, FALSE), 0)"),20623.0)</f>
        <v>20623</v>
      </c>
      <c r="D5603" s="2" t="str">
        <f>IFERROR(__xludf.DUMMYFUNCTION("IFERROR(VLOOKUP(A5603, IMPORTRANGE(""https://docs.google.com/spreadsheets/d/1-3Vjw2Cyy-mry5gbC8ypIR3YVGFfEpyFESummAta6sg/edit"", ""Sheet1!B:D""), 2, FALSE), ""Not Found"")"),"bɛst")</f>
        <v>bɛst</v>
      </c>
      <c r="E5603" s="2" t="str">
        <f>IFERROR(__xludf.DUMMYFUNCTION("IFERROR(VLOOKUP(A5603, IMPORTRANGE(""https://docs.google.com/spreadsheets/d/1-3Vjw2Cyy-mry5gbC8ypIR3YVGFfEpyFESummAta6sg/edit"", ""Sheet1!B:D""), 3, FALSE), ""Not Found"")"),"b ɛ s t ")</f>
        <v>b ɛ s t </v>
      </c>
    </row>
    <row r="5604">
      <c r="A5604" s="1" t="s">
        <v>5606</v>
      </c>
      <c r="B5604" s="1" t="s">
        <v>5</v>
      </c>
      <c r="C5604" s="2">
        <f>IFERROR(__xludf.DUMMYFUNCTION("IFERROR(VLOOKUP(A5604, IMPORTRANGE(""https://docs.google.com/spreadsheets/d/1AVX9GT0dgogEBStecCXMMQ29tWz3gBrtNB8yIromXbY/edit?gid=741673867"", ""out1g!A:B""), 2, FALSE), 0)"),316.0)</f>
        <v>316</v>
      </c>
      <c r="D5604" s="2" t="str">
        <f>IFERROR(__xludf.DUMMYFUNCTION("IFERROR(VLOOKUP(A5604, IMPORTRANGE(""https://docs.google.com/spreadsheets/d/1-3Vjw2Cyy-mry5gbC8ypIR3YVGFfEpyFESummAta6sg/edit"", ""Sheet1!B:D""), 2, FALSE), ""Not Found"")"),"maɪnz")</f>
        <v>maɪnz</v>
      </c>
      <c r="E5604" s="2" t="str">
        <f>IFERROR(__xludf.DUMMYFUNCTION("IFERROR(VLOOKUP(A5604, IMPORTRANGE(""https://docs.google.com/spreadsheets/d/1-3Vjw2Cyy-mry5gbC8ypIR3YVGFfEpyFESummAta6sg/edit"", ""Sheet1!B:D""), 3, FALSE), ""Not Found"")"),"m a ɪ n z ")</f>
        <v>m a ɪ n z </v>
      </c>
    </row>
    <row r="5605">
      <c r="A5605" s="1" t="s">
        <v>5607</v>
      </c>
      <c r="B5605" s="1" t="s">
        <v>5</v>
      </c>
      <c r="C5605" s="2">
        <f>IFERROR(__xludf.DUMMYFUNCTION("IFERROR(VLOOKUP(A5605, IMPORTRANGE(""https://docs.google.com/spreadsheets/d/1AVX9GT0dgogEBStecCXMMQ29tWz3gBrtNB8yIromXbY/edit?gid=741673867"", ""out1g!A:B""), 2, FALSE), 0)"),5310.0)</f>
        <v>5310</v>
      </c>
      <c r="D5605" s="2" t="str">
        <f>IFERROR(__xludf.DUMMYFUNCTION("IFERROR(VLOOKUP(A5605, IMPORTRANGE(""https://docs.google.com/spreadsheets/d/1-3Vjw2Cyy-mry5gbC8ypIR3YVGFfEpyFESummAta6sg/edit"", ""Sheet1!B:D""), 2, FALSE), ""Not Found"")"),"fɔlt")</f>
        <v>fɔlt</v>
      </c>
      <c r="E5605" s="2" t="str">
        <f>IFERROR(__xludf.DUMMYFUNCTION("IFERROR(VLOOKUP(A5605, IMPORTRANGE(""https://docs.google.com/spreadsheets/d/1-3Vjw2Cyy-mry5gbC8ypIR3YVGFfEpyFESummAta6sg/edit"", ""Sheet1!B:D""), 3, FALSE), ""Not Found"")"),"f ɔ l t ")</f>
        <v>f ɔ l t </v>
      </c>
    </row>
    <row r="5606">
      <c r="A5606" s="1" t="s">
        <v>5608</v>
      </c>
      <c r="B5606" s="1" t="s">
        <v>5</v>
      </c>
      <c r="C5606" s="2">
        <f>IFERROR(__xludf.DUMMYFUNCTION("IFERROR(VLOOKUP(A5606, IMPORTRANGE(""https://docs.google.com/spreadsheets/d/1AVX9GT0dgogEBStecCXMMQ29tWz3gBrtNB8yIromXbY/edit?gid=741673867"", ""out1g!A:B""), 2, FALSE), 0)"),126.0)</f>
        <v>126</v>
      </c>
      <c r="D5606" s="2" t="str">
        <f>IFERROR(__xludf.DUMMYFUNCTION("IFERROR(VLOOKUP(A5606, IMPORTRANGE(""https://docs.google.com/spreadsheets/d/1-3Vjw2Cyy-mry5gbC8ypIR3YVGFfEpyFESummAta6sg/edit"", ""Sheet1!B:D""), 2, FALSE), ""Not Found"")"),"sɪnər")</f>
        <v>sɪnər</v>
      </c>
      <c r="E5606" s="2" t="str">
        <f>IFERROR(__xludf.DUMMYFUNCTION("IFERROR(VLOOKUP(A5606, IMPORTRANGE(""https://docs.google.com/spreadsheets/d/1-3Vjw2Cyy-mry5gbC8ypIR3YVGFfEpyFESummAta6sg/edit"", ""Sheet1!B:D""), 3, FALSE), ""Not Found"")"),"s ɪ n ə r ")</f>
        <v>s ɪ n ə r </v>
      </c>
    </row>
    <row r="5607">
      <c r="A5607" s="1" t="s">
        <v>5609</v>
      </c>
      <c r="B5607" s="1" t="s">
        <v>5</v>
      </c>
      <c r="C5607" s="2">
        <f>IFERROR(__xludf.DUMMYFUNCTION("IFERROR(VLOOKUP(A5607, IMPORTRANGE(""https://docs.google.com/spreadsheets/d/1AVX9GT0dgogEBStecCXMMQ29tWz3gBrtNB8yIromXbY/edit?gid=741673867"", ""out1g!A:B""), 2, FALSE), 0)"),391.0)</f>
        <v>391</v>
      </c>
      <c r="D5607" s="2" t="str">
        <f>IFERROR(__xludf.DUMMYFUNCTION("IFERROR(VLOOKUP(A5607, IMPORTRANGE(""https://docs.google.com/spreadsheets/d/1-3Vjw2Cyy-mry5gbC8ypIR3YVGFfEpyFESummAta6sg/edit"", ""Sheet1!B:D""), 2, FALSE), ""Not Found"")"),"kænz")</f>
        <v>kænz</v>
      </c>
      <c r="E5607" s="2" t="str">
        <f>IFERROR(__xludf.DUMMYFUNCTION("IFERROR(VLOOKUP(A5607, IMPORTRANGE(""https://docs.google.com/spreadsheets/d/1-3Vjw2Cyy-mry5gbC8ypIR3YVGFfEpyFESummAta6sg/edit"", ""Sheet1!B:D""), 3, FALSE), ""Not Found"")"),"k æ n z ")</f>
        <v>k æ n z </v>
      </c>
    </row>
    <row r="5608">
      <c r="A5608" s="1" t="s">
        <v>5610</v>
      </c>
      <c r="B5608" s="1" t="s">
        <v>5</v>
      </c>
      <c r="C5608" s="2">
        <f>IFERROR(__xludf.DUMMYFUNCTION("IFERROR(VLOOKUP(A5608, IMPORTRANGE(""https://docs.google.com/spreadsheets/d/1AVX9GT0dgogEBStecCXMMQ29tWz3gBrtNB8yIromXbY/edit?gid=741673867"", ""out1g!A:B""), 2, FALSE), 0)"),1212.0)</f>
        <v>1212</v>
      </c>
      <c r="D5608" s="2" t="str">
        <f>IFERROR(__xludf.DUMMYFUNCTION("IFERROR(VLOOKUP(A5608, IMPORTRANGE(""https://docs.google.com/spreadsheets/d/1-3Vjw2Cyy-mry5gbC8ypIR3YVGFfEpyFESummAta6sg/edit"", ""Sheet1!B:D""), 2, FALSE), ""Not Found"")"),"stɛrz")</f>
        <v>stɛrz</v>
      </c>
      <c r="E5608" s="2" t="str">
        <f>IFERROR(__xludf.DUMMYFUNCTION("IFERROR(VLOOKUP(A5608, IMPORTRANGE(""https://docs.google.com/spreadsheets/d/1-3Vjw2Cyy-mry5gbC8ypIR3YVGFfEpyFESummAta6sg/edit"", ""Sheet1!B:D""), 3, FALSE), ""Not Found"")"),"s t ɛ r z ")</f>
        <v>s t ɛ r z </v>
      </c>
    </row>
    <row r="5609">
      <c r="A5609" s="1" t="s">
        <v>5611</v>
      </c>
      <c r="B5609" s="1" t="s">
        <v>5</v>
      </c>
      <c r="C5609" s="2">
        <f>IFERROR(__xludf.DUMMYFUNCTION("IFERROR(VLOOKUP(A5609, IMPORTRANGE(""https://docs.google.com/spreadsheets/d/1AVX9GT0dgogEBStecCXMMQ29tWz3gBrtNB8yIromXbY/edit?gid=741673867"", ""out1g!A:B""), 2, FALSE), 0)"),133.0)</f>
        <v>133</v>
      </c>
      <c r="D5609" s="2" t="str">
        <f>IFERROR(__xludf.DUMMYFUNCTION("IFERROR(VLOOKUP(A5609, IMPORTRANGE(""https://docs.google.com/spreadsheets/d/1-3Vjw2Cyy-mry5gbC8ypIR3YVGFfEpyFESummAta6sg/edit"", ""Sheet1!B:D""), 2, FALSE), ""Not Found"")"),"fɪlz")</f>
        <v>fɪlz</v>
      </c>
      <c r="E5609" s="2" t="str">
        <f>IFERROR(__xludf.DUMMYFUNCTION("IFERROR(VLOOKUP(A5609, IMPORTRANGE(""https://docs.google.com/spreadsheets/d/1-3Vjw2Cyy-mry5gbC8ypIR3YVGFfEpyFESummAta6sg/edit"", ""Sheet1!B:D""), 3, FALSE), ""Not Found"")"),"f ɪ l z ")</f>
        <v>f ɪ l z </v>
      </c>
    </row>
    <row r="5610">
      <c r="A5610" s="1" t="s">
        <v>5612</v>
      </c>
      <c r="B5610" s="1" t="s">
        <v>5</v>
      </c>
      <c r="C5610" s="2">
        <f>IFERROR(__xludf.DUMMYFUNCTION("IFERROR(VLOOKUP(A5610, IMPORTRANGE(""https://docs.google.com/spreadsheets/d/1AVX9GT0dgogEBStecCXMMQ29tWz3gBrtNB8yIromXbY/edit?gid=741673867"", ""out1g!A:B""), 2, FALSE), 0)"),119.0)</f>
        <v>119</v>
      </c>
      <c r="D5610" s="2" t="str">
        <f>IFERROR(__xludf.DUMMYFUNCTION("IFERROR(VLOOKUP(A5610, IMPORTRANGE(""https://docs.google.com/spreadsheets/d/1-3Vjw2Cyy-mry5gbC8ypIR3YVGFfEpyFESummAta6sg/edit"", ""Sheet1!B:D""), 2, FALSE), ""Not Found"")"),"kænt")</f>
        <v>kænt</v>
      </c>
      <c r="E5610" s="2" t="str">
        <f>IFERROR(__xludf.DUMMYFUNCTION("IFERROR(VLOOKUP(A5610, IMPORTRANGE(""https://docs.google.com/spreadsheets/d/1-3Vjw2Cyy-mry5gbC8ypIR3YVGFfEpyFESummAta6sg/edit"", ""Sheet1!B:D""), 3, FALSE), ""Not Found"")"),"k æ n t ")</f>
        <v>k æ n t </v>
      </c>
    </row>
    <row r="5611">
      <c r="A5611" s="1" t="s">
        <v>5613</v>
      </c>
      <c r="B5611" s="1" t="s">
        <v>5</v>
      </c>
      <c r="C5611" s="2">
        <f>IFERROR(__xludf.DUMMYFUNCTION("IFERROR(VLOOKUP(A5611, IMPORTRANGE(""https://docs.google.com/spreadsheets/d/1AVX9GT0dgogEBStecCXMMQ29tWz3gBrtNB8yIromXbY/edit?gid=741673867"", ""out1g!A:B""), 2, FALSE), 0)"),46.0)</f>
        <v>46</v>
      </c>
      <c r="D5611" s="2" t="str">
        <f>IFERROR(__xludf.DUMMYFUNCTION("IFERROR(VLOOKUP(A5611, IMPORTRANGE(""https://docs.google.com/spreadsheets/d/1-3Vjw2Cyy-mry5gbC8ypIR3YVGFfEpyFESummAta6sg/edit"", ""Sheet1!B:D""), 2, FALSE), ""Not Found"")"),"igoʊz")</f>
        <v>igoʊz</v>
      </c>
      <c r="E5611" s="2" t="str">
        <f>IFERROR(__xludf.DUMMYFUNCTION("IFERROR(VLOOKUP(A5611, IMPORTRANGE(""https://docs.google.com/spreadsheets/d/1-3Vjw2Cyy-mry5gbC8ypIR3YVGFfEpyFESummAta6sg/edit"", ""Sheet1!B:D""), 3, FALSE), ""Not Found"")"),"i g o ʊ z ")</f>
        <v>i g o ʊ z </v>
      </c>
    </row>
    <row r="5612">
      <c r="A5612" s="1" t="s">
        <v>5614</v>
      </c>
      <c r="B5612" s="1" t="s">
        <v>5</v>
      </c>
      <c r="C5612" s="2">
        <f>IFERROR(__xludf.DUMMYFUNCTION("IFERROR(VLOOKUP(A5612, IMPORTRANGE(""https://docs.google.com/spreadsheets/d/1AVX9GT0dgogEBStecCXMMQ29tWz3gBrtNB8yIromXbY/edit?gid=741673867"", ""out1g!A:B""), 2, FALSE), 0)"),393.0)</f>
        <v>393</v>
      </c>
      <c r="D5612" s="2" t="str">
        <f>IFERROR(__xludf.DUMMYFUNCTION("IFERROR(VLOOKUP(A5612, IMPORTRANGE(""https://docs.google.com/spreadsheets/d/1-3Vjw2Cyy-mry5gbC8ypIR3YVGFfEpyFESummAta6sg/edit"", ""Sheet1!B:D""), 2, FALSE), ""Not Found"")"),"rɪski")</f>
        <v>rɪski</v>
      </c>
      <c r="E5612" s="2" t="str">
        <f>IFERROR(__xludf.DUMMYFUNCTION("IFERROR(VLOOKUP(A5612, IMPORTRANGE(""https://docs.google.com/spreadsheets/d/1-3Vjw2Cyy-mry5gbC8ypIR3YVGFfEpyFESummAta6sg/edit"", ""Sheet1!B:D""), 3, FALSE), ""Not Found"")"),"r ɪ s k i ")</f>
        <v>r ɪ s k i </v>
      </c>
    </row>
    <row r="5613">
      <c r="A5613" s="1" t="s">
        <v>5615</v>
      </c>
      <c r="B5613" s="1" t="s">
        <v>5</v>
      </c>
      <c r="C5613" s="2">
        <f>IFERROR(__xludf.DUMMYFUNCTION("IFERROR(VLOOKUP(A5613, IMPORTRANGE(""https://docs.google.com/spreadsheets/d/1AVX9GT0dgogEBStecCXMMQ29tWz3gBrtNB8yIromXbY/edit?gid=741673867"", ""out1g!A:B""), 2, FALSE), 0)"),401.0)</f>
        <v>401</v>
      </c>
      <c r="D5613" s="2" t="str">
        <f>IFERROR(__xludf.DUMMYFUNCTION("IFERROR(VLOOKUP(A5613, IMPORTRANGE(""https://docs.google.com/spreadsheets/d/1-3Vjw2Cyy-mry5gbC8ypIR3YVGFfEpyFESummAta6sg/edit"", ""Sheet1!B:D""), 2, FALSE), ""Not Found"")"),"waɪpt")</f>
        <v>waɪpt</v>
      </c>
      <c r="E5613" s="2" t="str">
        <f>IFERROR(__xludf.DUMMYFUNCTION("IFERROR(VLOOKUP(A5613, IMPORTRANGE(""https://docs.google.com/spreadsheets/d/1-3Vjw2Cyy-mry5gbC8ypIR3YVGFfEpyFESummAta6sg/edit"", ""Sheet1!B:D""), 3, FALSE), ""Not Found"")"),"w a ɪ p t ")</f>
        <v>w a ɪ p t </v>
      </c>
    </row>
    <row r="5614">
      <c r="A5614" s="1" t="s">
        <v>5616</v>
      </c>
      <c r="B5614" s="1" t="s">
        <v>5</v>
      </c>
      <c r="C5614" s="2">
        <f>IFERROR(__xludf.DUMMYFUNCTION("IFERROR(VLOOKUP(A5614, IMPORTRANGE(""https://docs.google.com/spreadsheets/d/1AVX9GT0dgogEBStecCXMMQ29tWz3gBrtNB8yIromXbY/edit?gid=741673867"", ""out1g!A:B""), 2, FALSE), 0)"),49.0)</f>
        <v>49</v>
      </c>
      <c r="D5614" s="2" t="str">
        <f>IFERROR(__xludf.DUMMYFUNCTION("IFERROR(VLOOKUP(A5614, IMPORTRANGE(""https://docs.google.com/spreadsheets/d/1-3Vjw2Cyy-mry5gbC8ypIR3YVGFfEpyFESummAta6sg/edit"", ""Sheet1!B:D""), 2, FALSE), ""Not Found"")"),"məf")</f>
        <v>məf</v>
      </c>
      <c r="E5614" s="2" t="str">
        <f>IFERROR(__xludf.DUMMYFUNCTION("IFERROR(VLOOKUP(A5614, IMPORTRANGE(""https://docs.google.com/spreadsheets/d/1-3Vjw2Cyy-mry5gbC8ypIR3YVGFfEpyFESummAta6sg/edit"", ""Sheet1!B:D""), 3, FALSE), ""Not Found"")"),"m ə f ")</f>
        <v>m ə f </v>
      </c>
    </row>
    <row r="5615">
      <c r="A5615" s="1" t="s">
        <v>5617</v>
      </c>
      <c r="B5615" s="1" t="s">
        <v>5</v>
      </c>
      <c r="C5615" s="2">
        <f>IFERROR(__xludf.DUMMYFUNCTION("IFERROR(VLOOKUP(A5615, IMPORTRANGE(""https://docs.google.com/spreadsheets/d/1AVX9GT0dgogEBStecCXMMQ29tWz3gBrtNB8yIromXbY/edit?gid=741673867"", ""out1g!A:B""), 2, FALSE), 0)"),275.0)</f>
        <v>275</v>
      </c>
      <c r="D5615" s="2" t="str">
        <f>IFERROR(__xludf.DUMMYFUNCTION("IFERROR(VLOOKUP(A5615, IMPORTRANGE(""https://docs.google.com/spreadsheets/d/1-3Vjw2Cyy-mry5gbC8ypIR3YVGFfEpyFESummAta6sg/edit"", ""Sheet1!B:D""), 2, FALSE), ""Not Found"")"),"felɪŋ")</f>
        <v>felɪŋ</v>
      </c>
      <c r="E5615" s="2" t="str">
        <f>IFERROR(__xludf.DUMMYFUNCTION("IFERROR(VLOOKUP(A5615, IMPORTRANGE(""https://docs.google.com/spreadsheets/d/1-3Vjw2Cyy-mry5gbC8ypIR3YVGFfEpyFESummAta6sg/edit"", ""Sheet1!B:D""), 3, FALSE), ""Not Found"")"),"f e l ɪ ŋ ")</f>
        <v>f e l ɪ ŋ </v>
      </c>
    </row>
    <row r="5616">
      <c r="A5616" s="1" t="s">
        <v>5618</v>
      </c>
      <c r="B5616" s="1" t="s">
        <v>5</v>
      </c>
      <c r="C5616" s="2">
        <f>IFERROR(__xludf.DUMMYFUNCTION("IFERROR(VLOOKUP(A5616, IMPORTRANGE(""https://docs.google.com/spreadsheets/d/1AVX9GT0dgogEBStecCXMMQ29tWz3gBrtNB8yIromXbY/edit?gid=741673867"", ""out1g!A:B""), 2, FALSE), 0)"),203.0)</f>
        <v>203</v>
      </c>
      <c r="D5616" s="2" t="str">
        <f>IFERROR(__xludf.DUMMYFUNCTION("IFERROR(VLOOKUP(A5616, IMPORTRANGE(""https://docs.google.com/spreadsheets/d/1-3Vjw2Cyy-mry5gbC8ypIR3YVGFfEpyFESummAta6sg/edit"", ""Sheet1!B:D""), 2, FALSE), ""Not Found"")"),"juɛse")</f>
        <v>juɛse</v>
      </c>
      <c r="E5616" s="2" t="str">
        <f>IFERROR(__xludf.DUMMYFUNCTION("IFERROR(VLOOKUP(A5616, IMPORTRANGE(""https://docs.google.com/spreadsheets/d/1-3Vjw2Cyy-mry5gbC8ypIR3YVGFfEpyFESummAta6sg/edit"", ""Sheet1!B:D""), 3, FALSE), ""Not Found"")"),"j u ɛ s e ")</f>
        <v>j u ɛ s e </v>
      </c>
    </row>
    <row r="5617">
      <c r="A5617" s="1" t="s">
        <v>5619</v>
      </c>
      <c r="B5617" s="1" t="s">
        <v>5</v>
      </c>
      <c r="C5617" s="2">
        <f>IFERROR(__xludf.DUMMYFUNCTION("IFERROR(VLOOKUP(A5617, IMPORTRANGE(""https://docs.google.com/spreadsheets/d/1AVX9GT0dgogEBStecCXMMQ29tWz3gBrtNB8yIromXbY/edit?gid=741673867"", ""out1g!A:B""), 2, FALSE), 0)"),60.0)</f>
        <v>60</v>
      </c>
      <c r="D5617" s="2" t="str">
        <f>IFERROR(__xludf.DUMMYFUNCTION("IFERROR(VLOOKUP(A5617, IMPORTRANGE(""https://docs.google.com/spreadsheets/d/1-3Vjw2Cyy-mry5gbC8ypIR3YVGFfEpyFESummAta6sg/edit"", ""Sheet1!B:D""), 2, FALSE), ""Not Found"")"),"kɑrt")</f>
        <v>kɑrt</v>
      </c>
      <c r="E5617" s="2" t="str">
        <f>IFERROR(__xludf.DUMMYFUNCTION("IFERROR(VLOOKUP(A5617, IMPORTRANGE(""https://docs.google.com/spreadsheets/d/1-3Vjw2Cyy-mry5gbC8ypIR3YVGFfEpyFESummAta6sg/edit"", ""Sheet1!B:D""), 3, FALSE), ""Not Found"")"),"k ɑ r t ")</f>
        <v>k ɑ r t </v>
      </c>
    </row>
    <row r="5618">
      <c r="A5618" s="1" t="s">
        <v>5620</v>
      </c>
      <c r="B5618" s="1" t="s">
        <v>5</v>
      </c>
      <c r="C5618" s="2">
        <f>IFERROR(__xludf.DUMMYFUNCTION("IFERROR(VLOOKUP(A5618, IMPORTRANGE(""https://docs.google.com/spreadsheets/d/1AVX9GT0dgogEBStecCXMMQ29tWz3gBrtNB8yIromXbY/edit?gid=741673867"", ""out1g!A:B""), 2, FALSE), 0)"),693.0)</f>
        <v>693</v>
      </c>
      <c r="D5618" s="2" t="str">
        <f>IFERROR(__xludf.DUMMYFUNCTION("IFERROR(VLOOKUP(A5618, IMPORTRANGE(""https://docs.google.com/spreadsheets/d/1-3Vjw2Cyy-mry5gbC8ypIR3YVGFfEpyFESummAta6sg/edit"", ""Sheet1!B:D""), 2, FALSE), ""Not Found"")"),"bɑrn")</f>
        <v>bɑrn</v>
      </c>
      <c r="E5618" s="2" t="str">
        <f>IFERROR(__xludf.DUMMYFUNCTION("IFERROR(VLOOKUP(A5618, IMPORTRANGE(""https://docs.google.com/spreadsheets/d/1-3Vjw2Cyy-mry5gbC8ypIR3YVGFfEpyFESummAta6sg/edit"", ""Sheet1!B:D""), 3, FALSE), ""Not Found"")"),"b ɑ r n ")</f>
        <v>b ɑ r n </v>
      </c>
    </row>
    <row r="5619">
      <c r="A5619" s="1" t="s">
        <v>5621</v>
      </c>
      <c r="B5619" s="1" t="s">
        <v>5</v>
      </c>
      <c r="C5619" s="2">
        <f>IFERROR(__xludf.DUMMYFUNCTION("IFERROR(VLOOKUP(A5619, IMPORTRANGE(""https://docs.google.com/spreadsheets/d/1AVX9GT0dgogEBStecCXMMQ29tWz3gBrtNB8yIromXbY/edit?gid=741673867"", ""out1g!A:B""), 2, FALSE), 0)"),30.0)</f>
        <v>30</v>
      </c>
      <c r="D5619" s="2" t="str">
        <f>IFERROR(__xludf.DUMMYFUNCTION("IFERROR(VLOOKUP(A5619, IMPORTRANGE(""https://docs.google.com/spreadsheets/d/1-3Vjw2Cyy-mry5gbC8ypIR3YVGFfEpyFESummAta6sg/edit"", ""Sheet1!B:D""), 2, FALSE), ""Not Found"")"),"sɛksɪz")</f>
        <v>sɛksɪz</v>
      </c>
      <c r="E5619" s="2" t="str">
        <f>IFERROR(__xludf.DUMMYFUNCTION("IFERROR(VLOOKUP(A5619, IMPORTRANGE(""https://docs.google.com/spreadsheets/d/1-3Vjw2Cyy-mry5gbC8ypIR3YVGFfEpyFESummAta6sg/edit"", ""Sheet1!B:D""), 3, FALSE), ""Not Found"")"),"s ɛ k s ɪ z ")</f>
        <v>s ɛ k s ɪ z </v>
      </c>
    </row>
    <row r="5620">
      <c r="A5620" s="1" t="s">
        <v>5622</v>
      </c>
      <c r="B5620" s="1" t="s">
        <v>5</v>
      </c>
      <c r="C5620" s="2">
        <f>IFERROR(__xludf.DUMMYFUNCTION("IFERROR(VLOOKUP(A5620, IMPORTRANGE(""https://docs.google.com/spreadsheets/d/1AVX9GT0dgogEBStecCXMMQ29tWz3gBrtNB8yIromXbY/edit?gid=741673867"", ""out1g!A:B""), 2, FALSE), 0)"),67.0)</f>
        <v>67</v>
      </c>
      <c r="D5620" s="2" t="str">
        <f>IFERROR(__xludf.DUMMYFUNCTION("IFERROR(VLOOKUP(A5620, IMPORTRANGE(""https://docs.google.com/spreadsheets/d/1-3Vjw2Cyy-mry5gbC8ypIR3YVGFfEpyFESummAta6sg/edit"", ""Sheet1!B:D""), 2, FALSE), ""Not Found"")"),"dəstɪŋ")</f>
        <v>dəstɪŋ</v>
      </c>
      <c r="E5620" s="2" t="str">
        <f>IFERROR(__xludf.DUMMYFUNCTION("IFERROR(VLOOKUP(A5620, IMPORTRANGE(""https://docs.google.com/spreadsheets/d/1-3Vjw2Cyy-mry5gbC8ypIR3YVGFfEpyFESummAta6sg/edit"", ""Sheet1!B:D""), 3, FALSE), ""Not Found"")"),"d ə s t ɪ ŋ ")</f>
        <v>d ə s t ɪ ŋ </v>
      </c>
    </row>
    <row r="5621">
      <c r="A5621" s="1" t="s">
        <v>5623</v>
      </c>
      <c r="B5621" s="1" t="s">
        <v>5</v>
      </c>
      <c r="C5621" s="2">
        <f>IFERROR(__xludf.DUMMYFUNCTION("IFERROR(VLOOKUP(A5621, IMPORTRANGE(""https://docs.google.com/spreadsheets/d/1AVX9GT0dgogEBStecCXMMQ29tWz3gBrtNB8yIromXbY/edit?gid=741673867"", ""out1g!A:B""), 2, FALSE), 0)"),44168.0)</f>
        <v>44168</v>
      </c>
      <c r="D5621" s="2" t="str">
        <f>IFERROR(__xludf.DUMMYFUNCTION("IFERROR(VLOOKUP(A5621, IMPORTRANGE(""https://docs.google.com/spreadsheets/d/1-3Vjw2Cyy-mry5gbC8ypIR3YVGFfEpyFESummAta6sg/edit"", ""Sheet1!B:D""), 2, FALSE), ""Not Found"")"),"naɪt")</f>
        <v>naɪt</v>
      </c>
      <c r="E5621" s="2" t="str">
        <f>IFERROR(__xludf.DUMMYFUNCTION("IFERROR(VLOOKUP(A5621, IMPORTRANGE(""https://docs.google.com/spreadsheets/d/1-3Vjw2Cyy-mry5gbC8ypIR3YVGFfEpyFESummAta6sg/edit"", ""Sheet1!B:D""), 3, FALSE), ""Not Found"")"),"n a ɪ t ")</f>
        <v>n a ɪ t </v>
      </c>
    </row>
    <row r="5622">
      <c r="A5622" s="1" t="s">
        <v>5624</v>
      </c>
      <c r="B5622" s="1" t="s">
        <v>5</v>
      </c>
      <c r="C5622" s="2">
        <f>IFERROR(__xludf.DUMMYFUNCTION("IFERROR(VLOOKUP(A5622, IMPORTRANGE(""https://docs.google.com/spreadsheets/d/1AVX9GT0dgogEBStecCXMMQ29tWz3gBrtNB8yIromXbY/edit?gid=741673867"", ""out1g!A:B""), 2, FALSE), 0)"),12303.0)</f>
        <v>12303</v>
      </c>
      <c r="D5622" s="2" t="str">
        <f>IFERROR(__xludf.DUMMYFUNCTION("IFERROR(VLOOKUP(A5622, IMPORTRANGE(""https://docs.google.com/spreadsheets/d/1-3Vjw2Cyy-mry5gbC8ypIR3YVGFfEpyFESummAta6sg/edit"", ""Sheet1!B:D""), 2, FALSE), ""Not Found"")"),"ʧæns")</f>
        <v>ʧæns</v>
      </c>
      <c r="E5622" s="2" t="str">
        <f>IFERROR(__xludf.DUMMYFUNCTION("IFERROR(VLOOKUP(A5622, IMPORTRANGE(""https://docs.google.com/spreadsheets/d/1-3Vjw2Cyy-mry5gbC8ypIR3YVGFfEpyFESummAta6sg/edit"", ""Sheet1!B:D""), 3, FALSE), ""Not Found"")"),"ʧ æ n s ")</f>
        <v>ʧ æ n s </v>
      </c>
    </row>
    <row r="5623">
      <c r="A5623" s="1" t="s">
        <v>5625</v>
      </c>
      <c r="B5623" s="1" t="s">
        <v>5</v>
      </c>
      <c r="C5623" s="2">
        <f>IFERROR(__xludf.DUMMYFUNCTION("IFERROR(VLOOKUP(A5623, IMPORTRANGE(""https://docs.google.com/spreadsheets/d/1AVX9GT0dgogEBStecCXMMQ29tWz3gBrtNB8yIromXbY/edit?gid=741673867"", ""out1g!A:B""), 2, FALSE), 0)"),52.0)</f>
        <v>52</v>
      </c>
      <c r="D5623" s="2" t="str">
        <f>IFERROR(__xludf.DUMMYFUNCTION("IFERROR(VLOOKUP(A5623, IMPORTRANGE(""https://docs.google.com/spreadsheets/d/1-3Vjw2Cyy-mry5gbC8ypIR3YVGFfEpyFESummAta6sg/edit"", ""Sheet1!B:D""), 2, FALSE), ""Not Found"")"),"lɪbrə")</f>
        <v>lɪbrə</v>
      </c>
      <c r="E5623" s="2" t="str">
        <f>IFERROR(__xludf.DUMMYFUNCTION("IFERROR(VLOOKUP(A5623, IMPORTRANGE(""https://docs.google.com/spreadsheets/d/1-3Vjw2Cyy-mry5gbC8ypIR3YVGFfEpyFESummAta6sg/edit"", ""Sheet1!B:D""), 3, FALSE), ""Not Found"")"),"l ɪ b r ə ")</f>
        <v>l ɪ b r ə </v>
      </c>
    </row>
    <row r="5624">
      <c r="A5624" s="1" t="s">
        <v>5626</v>
      </c>
      <c r="B5624" s="1" t="s">
        <v>5</v>
      </c>
      <c r="C5624" s="2">
        <f>IFERROR(__xludf.DUMMYFUNCTION("IFERROR(VLOOKUP(A5624, IMPORTRANGE(""https://docs.google.com/spreadsheets/d/1AVX9GT0dgogEBStecCXMMQ29tWz3gBrtNB8yIromXbY/edit?gid=741673867"", ""out1g!A:B""), 2, FALSE), 0)"),4556.0)</f>
        <v>4556</v>
      </c>
      <c r="D5624" s="2" t="str">
        <f>IFERROR(__xludf.DUMMYFUNCTION("IFERROR(VLOOKUP(A5624, IMPORTRANGE(""https://docs.google.com/spreadsheets/d/1-3Vjw2Cyy-mry5gbC8ypIR3YVGFfEpyFESummAta6sg/edit"", ""Sheet1!B:D""), 2, FALSE), ""Not Found"")"),"ful")</f>
        <v>ful</v>
      </c>
      <c r="E5624" s="2" t="str">
        <f>IFERROR(__xludf.DUMMYFUNCTION("IFERROR(VLOOKUP(A5624, IMPORTRANGE(""https://docs.google.com/spreadsheets/d/1-3Vjw2Cyy-mry5gbC8ypIR3YVGFfEpyFESummAta6sg/edit"", ""Sheet1!B:D""), 3, FALSE), ""Not Found"")"),"f u l ")</f>
        <v>f u l </v>
      </c>
    </row>
    <row r="5625">
      <c r="A5625" s="1" t="s">
        <v>5627</v>
      </c>
      <c r="B5625" s="1" t="s">
        <v>5</v>
      </c>
      <c r="C5625" s="2">
        <f>IFERROR(__xludf.DUMMYFUNCTION("IFERROR(VLOOKUP(A5625, IMPORTRANGE(""https://docs.google.com/spreadsheets/d/1AVX9GT0dgogEBStecCXMMQ29tWz3gBrtNB8yIromXbY/edit?gid=741673867"", ""out1g!A:B""), 2, FALSE), 0)"),84.0)</f>
        <v>84</v>
      </c>
      <c r="D5625" s="2" t="str">
        <f>IFERROR(__xludf.DUMMYFUNCTION("IFERROR(VLOOKUP(A5625, IMPORTRANGE(""https://docs.google.com/spreadsheets/d/1-3Vjw2Cyy-mry5gbC8ypIR3YVGFfEpyFESummAta6sg/edit"", ""Sheet1!B:D""), 2, FALSE), ""Not Found"")"),"ʤɔɪnz")</f>
        <v>ʤɔɪnz</v>
      </c>
      <c r="E5625" s="2" t="str">
        <f>IFERROR(__xludf.DUMMYFUNCTION("IFERROR(VLOOKUP(A5625, IMPORTRANGE(""https://docs.google.com/spreadsheets/d/1-3Vjw2Cyy-mry5gbC8ypIR3YVGFfEpyFESummAta6sg/edit"", ""Sheet1!B:D""), 3, FALSE), ""Not Found"")"),"ʤ ɔ ɪ n z ")</f>
        <v>ʤ ɔ ɪ n z </v>
      </c>
    </row>
    <row r="5626">
      <c r="A5626" s="1" t="s">
        <v>5628</v>
      </c>
      <c r="B5626" s="1" t="s">
        <v>5</v>
      </c>
      <c r="C5626" s="2">
        <f>IFERROR(__xludf.DUMMYFUNCTION("IFERROR(VLOOKUP(A5626, IMPORTRANGE(""https://docs.google.com/spreadsheets/d/1AVX9GT0dgogEBStecCXMMQ29tWz3gBrtNB8yIromXbY/edit?gid=741673867"", ""out1g!A:B""), 2, FALSE), 0)"),1726.0)</f>
        <v>1726</v>
      </c>
      <c r="D5626" s="2" t="str">
        <f>IFERROR(__xludf.DUMMYFUNCTION("IFERROR(VLOOKUP(A5626, IMPORTRANGE(""https://docs.google.com/spreadsheets/d/1-3Vjw2Cyy-mry5gbC8ypIR3YVGFfEpyFESummAta6sg/edit"", ""Sheet1!B:D""), 2, FALSE), ""Not Found"")"),"səmde")</f>
        <v>səmde</v>
      </c>
      <c r="E5626" s="2" t="str">
        <f>IFERROR(__xludf.DUMMYFUNCTION("IFERROR(VLOOKUP(A5626, IMPORTRANGE(""https://docs.google.com/spreadsheets/d/1-3Vjw2Cyy-mry5gbC8ypIR3YVGFfEpyFESummAta6sg/edit"", ""Sheet1!B:D""), 3, FALSE), ""Not Found"")"),"s ə m d e ")</f>
        <v>s ə m d e </v>
      </c>
    </row>
    <row r="5627">
      <c r="A5627" s="1" t="s">
        <v>5629</v>
      </c>
      <c r="B5627" s="1" t="s">
        <v>5</v>
      </c>
      <c r="C5627" s="2">
        <f>IFERROR(__xludf.DUMMYFUNCTION("IFERROR(VLOOKUP(A5627, IMPORTRANGE(""https://docs.google.com/spreadsheets/d/1AVX9GT0dgogEBStecCXMMQ29tWz3gBrtNB8yIromXbY/edit?gid=741673867"", ""out1g!A:B""), 2, FALSE), 0)"),58.0)</f>
        <v>58</v>
      </c>
      <c r="D5627" s="2" t="str">
        <f>IFERROR(__xludf.DUMMYFUNCTION("IFERROR(VLOOKUP(A5627, IMPORTRANGE(""https://docs.google.com/spreadsheets/d/1-3Vjw2Cyy-mry5gbC8ypIR3YVGFfEpyFESummAta6sg/edit"", ""Sheet1!B:D""), 2, FALSE), ""Not Found"")"),"æliz")</f>
        <v>æliz</v>
      </c>
      <c r="E5627" s="2" t="str">
        <f>IFERROR(__xludf.DUMMYFUNCTION("IFERROR(VLOOKUP(A5627, IMPORTRANGE(""https://docs.google.com/spreadsheets/d/1-3Vjw2Cyy-mry5gbC8ypIR3YVGFfEpyFESummAta6sg/edit"", ""Sheet1!B:D""), 3, FALSE), ""Not Found"")"),"æ l i z ")</f>
        <v>æ l i z </v>
      </c>
    </row>
    <row r="5628">
      <c r="A5628" s="1" t="s">
        <v>5630</v>
      </c>
      <c r="B5628" s="1" t="s">
        <v>5</v>
      </c>
      <c r="C5628" s="2">
        <f>IFERROR(__xludf.DUMMYFUNCTION("IFERROR(VLOOKUP(A5628, IMPORTRANGE(""https://docs.google.com/spreadsheets/d/1AVX9GT0dgogEBStecCXMMQ29tWz3gBrtNB8yIromXbY/edit?gid=741673867"", ""out1g!A:B""), 2, FALSE), 0)"),2203.0)</f>
        <v>2203</v>
      </c>
      <c r="D5628" s="2" t="str">
        <f>IFERROR(__xludf.DUMMYFUNCTION("IFERROR(VLOOKUP(A5628, IMPORTRANGE(""https://docs.google.com/spreadsheets/d/1-3Vjw2Cyy-mry5gbC8ypIR3YVGFfEpyFESummAta6sg/edit"", ""Sheet1!B:D""), 2, FALSE), ""Not Found"")"),"huɛvər")</f>
        <v>huɛvər</v>
      </c>
      <c r="E5628" s="2" t="str">
        <f>IFERROR(__xludf.DUMMYFUNCTION("IFERROR(VLOOKUP(A5628, IMPORTRANGE(""https://docs.google.com/spreadsheets/d/1-3Vjw2Cyy-mry5gbC8ypIR3YVGFfEpyFESummAta6sg/edit"", ""Sheet1!B:D""), 3, FALSE), ""Not Found"")"),"h u ɛ v ə r ")</f>
        <v>h u ɛ v ə r </v>
      </c>
    </row>
    <row r="5629">
      <c r="A5629" s="1" t="s">
        <v>5631</v>
      </c>
      <c r="B5629" s="1" t="s">
        <v>5</v>
      </c>
      <c r="C5629" s="2">
        <f>IFERROR(__xludf.DUMMYFUNCTION("IFERROR(VLOOKUP(A5629, IMPORTRANGE(""https://docs.google.com/spreadsheets/d/1AVX9GT0dgogEBStecCXMMQ29tWz3gBrtNB8yIromXbY/edit?gid=741673867"", ""out1g!A:B""), 2, FALSE), 0)"),263.0)</f>
        <v>263</v>
      </c>
      <c r="D5629" s="2" t="str">
        <f>IFERROR(__xludf.DUMMYFUNCTION("IFERROR(VLOOKUP(A5629, IMPORTRANGE(""https://docs.google.com/spreadsheets/d/1-3Vjw2Cyy-mry5gbC8ypIR3YVGFfEpyFESummAta6sg/edit"", ""Sheet1!B:D""), 2, FALSE), ""Not Found"")"),"gɑli")</f>
        <v>gɑli</v>
      </c>
      <c r="E5629" s="2" t="str">
        <f>IFERROR(__xludf.DUMMYFUNCTION("IFERROR(VLOOKUP(A5629, IMPORTRANGE(""https://docs.google.com/spreadsheets/d/1-3Vjw2Cyy-mry5gbC8ypIR3YVGFfEpyFESummAta6sg/edit"", ""Sheet1!B:D""), 3, FALSE), ""Not Found"")"),"g ɑ l i ")</f>
        <v>g ɑ l i </v>
      </c>
    </row>
    <row r="5630">
      <c r="A5630" s="1" t="s">
        <v>5632</v>
      </c>
      <c r="B5630" s="1" t="s">
        <v>5</v>
      </c>
      <c r="C5630" s="2">
        <f>IFERROR(__xludf.DUMMYFUNCTION("IFERROR(VLOOKUP(A5630, IMPORTRANGE(""https://docs.google.com/spreadsheets/d/1AVX9GT0dgogEBStecCXMMQ29tWz3gBrtNB8yIromXbY/edit?gid=741673867"", ""out1g!A:B""), 2, FALSE), 0)"),749.0)</f>
        <v>749</v>
      </c>
      <c r="D5630" s="2" t="str">
        <f>IFERROR(__xludf.DUMMYFUNCTION("IFERROR(VLOOKUP(A5630, IMPORTRANGE(""https://docs.google.com/spreadsheets/d/1-3Vjw2Cyy-mry5gbC8ypIR3YVGFfEpyFESummAta6sg/edit"", ""Sheet1!B:D""), 2, FALSE), ""Not Found"")"),"ni")</f>
        <v>ni</v>
      </c>
      <c r="E5630" s="2" t="str">
        <f>IFERROR(__xludf.DUMMYFUNCTION("IFERROR(VLOOKUP(A5630, IMPORTRANGE(""https://docs.google.com/spreadsheets/d/1-3Vjw2Cyy-mry5gbC8ypIR3YVGFfEpyFESummAta6sg/edit"", ""Sheet1!B:D""), 3, FALSE), ""Not Found"")"),"n i ")</f>
        <v>n i </v>
      </c>
    </row>
    <row r="5631">
      <c r="A5631" s="1" t="s">
        <v>5633</v>
      </c>
      <c r="B5631" s="1" t="s">
        <v>5</v>
      </c>
      <c r="C5631" s="2">
        <f>IFERROR(__xludf.DUMMYFUNCTION("IFERROR(VLOOKUP(A5631, IMPORTRANGE(""https://docs.google.com/spreadsheets/d/1AVX9GT0dgogEBStecCXMMQ29tWz3gBrtNB8yIromXbY/edit?gid=741673867"", ""out1g!A:B""), 2, FALSE), 0)"),57.0)</f>
        <v>57</v>
      </c>
      <c r="D5631" s="2" t="str">
        <f>IFERROR(__xludf.DUMMYFUNCTION("IFERROR(VLOOKUP(A5631, IMPORTRANGE(""https://docs.google.com/spreadsheets/d/1-3Vjw2Cyy-mry5gbC8ypIR3YVGFfEpyFESummAta6sg/edit"", ""Sheet1!B:D""), 2, FALSE), ""Not Found"")"),"ʃədər")</f>
        <v>ʃədər</v>
      </c>
      <c r="E5631" s="2" t="str">
        <f>IFERROR(__xludf.DUMMYFUNCTION("IFERROR(VLOOKUP(A5631, IMPORTRANGE(""https://docs.google.com/spreadsheets/d/1-3Vjw2Cyy-mry5gbC8ypIR3YVGFfEpyFESummAta6sg/edit"", ""Sheet1!B:D""), 3, FALSE), ""Not Found"")"),"ʃ ə d ə r ")</f>
        <v>ʃ ə d ə r </v>
      </c>
    </row>
    <row r="5632">
      <c r="A5632" s="1" t="s">
        <v>5634</v>
      </c>
      <c r="B5632" s="1" t="s">
        <v>5</v>
      </c>
      <c r="C5632" s="2">
        <f>IFERROR(__xludf.DUMMYFUNCTION("IFERROR(VLOOKUP(A5632, IMPORTRANGE(""https://docs.google.com/spreadsheets/d/1AVX9GT0dgogEBStecCXMMQ29tWz3gBrtNB8yIromXbY/edit?gid=741673867"", ""out1g!A:B""), 2, FALSE), 0)"),9.0)</f>
        <v>9</v>
      </c>
      <c r="D5632" s="2" t="str">
        <f>IFERROR(__xludf.DUMMYFUNCTION("IFERROR(VLOOKUP(A5632, IMPORTRANGE(""https://docs.google.com/spreadsheets/d/1-3Vjw2Cyy-mry5gbC8ypIR3YVGFfEpyFESummAta6sg/edit"", ""Sheet1!B:D""), 2, FALSE), ""Not Found"")"),"mɪlks")</f>
        <v>mɪlks</v>
      </c>
      <c r="E5632" s="2" t="str">
        <f>IFERROR(__xludf.DUMMYFUNCTION("IFERROR(VLOOKUP(A5632, IMPORTRANGE(""https://docs.google.com/spreadsheets/d/1-3Vjw2Cyy-mry5gbC8ypIR3YVGFfEpyFESummAta6sg/edit"", ""Sheet1!B:D""), 3, FALSE), ""Not Found"")"),"m ɪ l k s ")</f>
        <v>m ɪ l k s </v>
      </c>
    </row>
    <row r="5633">
      <c r="A5633" s="1" t="s">
        <v>5635</v>
      </c>
      <c r="B5633" s="1" t="s">
        <v>5</v>
      </c>
      <c r="C5633" s="2">
        <f>IFERROR(__xludf.DUMMYFUNCTION("IFERROR(VLOOKUP(A5633, IMPORTRANGE(""https://docs.google.com/spreadsheets/d/1AVX9GT0dgogEBStecCXMMQ29tWz3gBrtNB8yIromXbY/edit?gid=741673867"", ""out1g!A:B""), 2, FALSE), 0)"),99.0)</f>
        <v>99</v>
      </c>
      <c r="D5633" s="2" t="str">
        <f>IFERROR(__xludf.DUMMYFUNCTION("IFERROR(VLOOKUP(A5633, IMPORTRANGE(""https://docs.google.com/spreadsheets/d/1-3Vjw2Cyy-mry5gbC8ypIR3YVGFfEpyFESummAta6sg/edit"", ""Sheet1!B:D""), 2, FALSE), ""Not Found"")"),"aɪsaɪt")</f>
        <v>aɪsaɪt</v>
      </c>
      <c r="E5633" s="2" t="str">
        <f>IFERROR(__xludf.DUMMYFUNCTION("IFERROR(VLOOKUP(A5633, IMPORTRANGE(""https://docs.google.com/spreadsheets/d/1-3Vjw2Cyy-mry5gbC8ypIR3YVGFfEpyFESummAta6sg/edit"", ""Sheet1!B:D""), 3, FALSE), ""Not Found"")"),"a ɪ s a ɪ t ")</f>
        <v>a ɪ s a ɪ t </v>
      </c>
    </row>
    <row r="5634">
      <c r="A5634" s="1" t="s">
        <v>5636</v>
      </c>
      <c r="B5634" s="1" t="s">
        <v>5</v>
      </c>
      <c r="C5634" s="2">
        <f>IFERROR(__xludf.DUMMYFUNCTION("IFERROR(VLOOKUP(A5634, IMPORTRANGE(""https://docs.google.com/spreadsheets/d/1AVX9GT0dgogEBStecCXMMQ29tWz3gBrtNB8yIromXbY/edit?gid=741673867"", ""out1g!A:B""), 2, FALSE), 0)"),2165.0)</f>
        <v>2165</v>
      </c>
      <c r="D5634" s="2" t="str">
        <f>IFERROR(__xludf.DUMMYFUNCTION("IFERROR(VLOOKUP(A5634, IMPORTRANGE(""https://docs.google.com/spreadsheets/d/1-3Vjw2Cyy-mry5gbC8ypIR3YVGFfEpyFESummAta6sg/edit"", ""Sheet1!B:D""), 2, FALSE), ""Not Found"")"),"hɛld")</f>
        <v>hɛld</v>
      </c>
      <c r="E5634" s="2" t="str">
        <f>IFERROR(__xludf.DUMMYFUNCTION("IFERROR(VLOOKUP(A5634, IMPORTRANGE(""https://docs.google.com/spreadsheets/d/1-3Vjw2Cyy-mry5gbC8ypIR3YVGFfEpyFESummAta6sg/edit"", ""Sheet1!B:D""), 3, FALSE), ""Not Found"")"),"h ɛ l d ")</f>
        <v>h ɛ l d </v>
      </c>
    </row>
    <row r="5635">
      <c r="A5635" s="1" t="s">
        <v>5637</v>
      </c>
      <c r="B5635" s="1" t="s">
        <v>5</v>
      </c>
      <c r="C5635" s="2">
        <f>IFERROR(__xludf.DUMMYFUNCTION("IFERROR(VLOOKUP(A5635, IMPORTRANGE(""https://docs.google.com/spreadsheets/d/1AVX9GT0dgogEBStecCXMMQ29tWz3gBrtNB8yIromXbY/edit?gid=741673867"", ""out1g!A:B""), 2, FALSE), 0)"),205.0)</f>
        <v>205</v>
      </c>
      <c r="D5635" s="2" t="str">
        <f>IFERROR(__xludf.DUMMYFUNCTION("IFERROR(VLOOKUP(A5635, IMPORTRANGE(""https://docs.google.com/spreadsheets/d/1-3Vjw2Cyy-mry5gbC8ypIR3YVGFfEpyFESummAta6sg/edit"", ""Sheet1!B:D""), 2, FALSE), ""Not Found"")"),"fɪnʧ")</f>
        <v>fɪnʧ</v>
      </c>
      <c r="E5635" s="2" t="str">
        <f>IFERROR(__xludf.DUMMYFUNCTION("IFERROR(VLOOKUP(A5635, IMPORTRANGE(""https://docs.google.com/spreadsheets/d/1-3Vjw2Cyy-mry5gbC8ypIR3YVGFfEpyFESummAta6sg/edit"", ""Sheet1!B:D""), 3, FALSE), ""Not Found"")"),"f ɪ n ʧ ")</f>
        <v>f ɪ n ʧ </v>
      </c>
    </row>
    <row r="5636">
      <c r="A5636" s="1" t="s">
        <v>5638</v>
      </c>
      <c r="B5636" s="1" t="s">
        <v>5</v>
      </c>
      <c r="C5636" s="2">
        <f>IFERROR(__xludf.DUMMYFUNCTION("IFERROR(VLOOKUP(A5636, IMPORTRANGE(""https://docs.google.com/spreadsheets/d/1AVX9GT0dgogEBStecCXMMQ29tWz3gBrtNB8yIromXbY/edit?gid=741673867"", ""out1g!A:B""), 2, FALSE), 0)"),1750.0)</f>
        <v>1750</v>
      </c>
      <c r="D5636" s="2" t="str">
        <f>IFERROR(__xludf.DUMMYFUNCTION("IFERROR(VLOOKUP(A5636, IMPORTRANGE(""https://docs.google.com/spreadsheets/d/1-3Vjw2Cyy-mry5gbC8ypIR3YVGFfEpyFESummAta6sg/edit"", ""Sheet1!B:D""), 2, FALSE), ""Not Found"")"),"kɑm")</f>
        <v>kɑm</v>
      </c>
      <c r="E5636" s="2" t="str">
        <f>IFERROR(__xludf.DUMMYFUNCTION("IFERROR(VLOOKUP(A5636, IMPORTRANGE(""https://docs.google.com/spreadsheets/d/1-3Vjw2Cyy-mry5gbC8ypIR3YVGFfEpyFESummAta6sg/edit"", ""Sheet1!B:D""), 3, FALSE), ""Not Found"")"),"k ɑ m ")</f>
        <v>k ɑ m </v>
      </c>
    </row>
    <row r="5637">
      <c r="A5637" s="1" t="s">
        <v>5639</v>
      </c>
      <c r="B5637" s="1" t="s">
        <v>5</v>
      </c>
      <c r="C5637" s="2">
        <f>IFERROR(__xludf.DUMMYFUNCTION("IFERROR(VLOOKUP(A5637, IMPORTRANGE(""https://docs.google.com/spreadsheets/d/1AVX9GT0dgogEBStecCXMMQ29tWz3gBrtNB8yIromXbY/edit?gid=741673867"", ""out1g!A:B""), 2, FALSE), 0)"),783.0)</f>
        <v>783</v>
      </c>
      <c r="D5637" s="2" t="str">
        <f>IFERROR(__xludf.DUMMYFUNCTION("IFERROR(VLOOKUP(A5637, IMPORTRANGE(""https://docs.google.com/spreadsheets/d/1-3Vjw2Cyy-mry5gbC8ypIR3YVGFfEpyFESummAta6sg/edit"", ""Sheet1!B:D""), 2, FALSE), ""Not Found"")"),"flæʃ")</f>
        <v>flæʃ</v>
      </c>
      <c r="E5637" s="2" t="str">
        <f>IFERROR(__xludf.DUMMYFUNCTION("IFERROR(VLOOKUP(A5637, IMPORTRANGE(""https://docs.google.com/spreadsheets/d/1-3Vjw2Cyy-mry5gbC8ypIR3YVGFfEpyFESummAta6sg/edit"", ""Sheet1!B:D""), 3, FALSE), ""Not Found"")"),"f l æ ʃ ")</f>
        <v>f l æ ʃ </v>
      </c>
    </row>
    <row r="5638">
      <c r="A5638" s="1" t="s">
        <v>5640</v>
      </c>
      <c r="B5638" s="1" t="s">
        <v>5</v>
      </c>
      <c r="C5638" s="2">
        <f>IFERROR(__xludf.DUMMYFUNCTION("IFERROR(VLOOKUP(A5638, IMPORTRANGE(""https://docs.google.com/spreadsheets/d/1AVX9GT0dgogEBStecCXMMQ29tWz3gBrtNB8yIromXbY/edit?gid=741673867"", ""out1g!A:B""), 2, FALSE), 0)"),48.0)</f>
        <v>48</v>
      </c>
      <c r="D5638" s="2" t="str">
        <f>IFERROR(__xludf.DUMMYFUNCTION("IFERROR(VLOOKUP(A5638, IMPORTRANGE(""https://docs.google.com/spreadsheets/d/1-3Vjw2Cyy-mry5gbC8ypIR3YVGFfEpyFESummAta6sg/edit"", ""Sheet1!B:D""), 2, FALSE), ""Not Found"")"),"tizd")</f>
        <v>tizd</v>
      </c>
      <c r="E5638" s="2" t="str">
        <f>IFERROR(__xludf.DUMMYFUNCTION("IFERROR(VLOOKUP(A5638, IMPORTRANGE(""https://docs.google.com/spreadsheets/d/1-3Vjw2Cyy-mry5gbC8ypIR3YVGFfEpyFESummAta6sg/edit"", ""Sheet1!B:D""), 3, FALSE), ""Not Found"")"),"t i z d ")</f>
        <v>t i z d </v>
      </c>
    </row>
    <row r="5639">
      <c r="A5639" s="1" t="s">
        <v>5641</v>
      </c>
      <c r="B5639" s="1" t="s">
        <v>5</v>
      </c>
      <c r="C5639" s="2">
        <f>IFERROR(__xludf.DUMMYFUNCTION("IFERROR(VLOOKUP(A5639, IMPORTRANGE(""https://docs.google.com/spreadsheets/d/1AVX9GT0dgogEBStecCXMMQ29tWz3gBrtNB8yIromXbY/edit?gid=741673867"", ""out1g!A:B""), 2, FALSE), 0)"),247.0)</f>
        <v>247</v>
      </c>
      <c r="D5639" s="2" t="str">
        <f>IFERROR(__xludf.DUMMYFUNCTION("IFERROR(VLOOKUP(A5639, IMPORTRANGE(""https://docs.google.com/spreadsheets/d/1-3Vjw2Cyy-mry5gbC8ypIR3YVGFfEpyFESummAta6sg/edit"", ""Sheet1!B:D""), 2, FALSE), ""Not Found"")"),"ɑrk")</f>
        <v>ɑrk</v>
      </c>
      <c r="E5639" s="2" t="str">
        <f>IFERROR(__xludf.DUMMYFUNCTION("IFERROR(VLOOKUP(A5639, IMPORTRANGE(""https://docs.google.com/spreadsheets/d/1-3Vjw2Cyy-mry5gbC8ypIR3YVGFfEpyFESummAta6sg/edit"", ""Sheet1!B:D""), 3, FALSE), ""Not Found"")"),"ɑ r k ")</f>
        <v>ɑ r k </v>
      </c>
    </row>
    <row r="5640">
      <c r="A5640" s="1" t="s">
        <v>5642</v>
      </c>
      <c r="B5640" s="1" t="s">
        <v>5</v>
      </c>
      <c r="C5640" s="2">
        <f>IFERROR(__xludf.DUMMYFUNCTION("IFERROR(VLOOKUP(A5640, IMPORTRANGE(""https://docs.google.com/spreadsheets/d/1AVX9GT0dgogEBStecCXMMQ29tWz3gBrtNB8yIromXbY/edit?gid=741673867"", ""out1g!A:B""), 2, FALSE), 0)"),98.0)</f>
        <v>98</v>
      </c>
      <c r="D5640" s="2" t="str">
        <f>IFERROR(__xludf.DUMMYFUNCTION("IFERROR(VLOOKUP(A5640, IMPORTRANGE(""https://docs.google.com/spreadsheets/d/1-3Vjw2Cyy-mry5gbC8ypIR3YVGFfEpyFESummAta6sg/edit"", ""Sheet1!B:D""), 2, FALSE), ""Not Found"")"),"wæm")</f>
        <v>wæm</v>
      </c>
      <c r="E5640" s="2" t="str">
        <f>IFERROR(__xludf.DUMMYFUNCTION("IFERROR(VLOOKUP(A5640, IMPORTRANGE(""https://docs.google.com/spreadsheets/d/1-3Vjw2Cyy-mry5gbC8ypIR3YVGFfEpyFESummAta6sg/edit"", ""Sheet1!B:D""), 3, FALSE), ""Not Found"")"),"w æ m ")</f>
        <v>w æ m </v>
      </c>
    </row>
    <row r="5641">
      <c r="A5641" s="1" t="s">
        <v>5643</v>
      </c>
      <c r="B5641" s="1" t="s">
        <v>5</v>
      </c>
      <c r="C5641" s="2">
        <f>IFERROR(__xludf.DUMMYFUNCTION("IFERROR(VLOOKUP(A5641, IMPORTRANGE(""https://docs.google.com/spreadsheets/d/1AVX9GT0dgogEBStecCXMMQ29tWz3gBrtNB8yIromXbY/edit?gid=741673867"", ""out1g!A:B""), 2, FALSE), 0)"),1052.0)</f>
        <v>1052</v>
      </c>
      <c r="D5641" s="2" t="str">
        <f>IFERROR(__xludf.DUMMYFUNCTION("IFERROR(VLOOKUP(A5641, IMPORTRANGE(""https://docs.google.com/spreadsheets/d/1-3Vjw2Cyy-mry5gbC8ypIR3YVGFfEpyFESummAta6sg/edit"", ""Sheet1!B:D""), 2, FALSE), ""Not Found"")"),"bæt")</f>
        <v>bæt</v>
      </c>
      <c r="E5641" s="2" t="str">
        <f>IFERROR(__xludf.DUMMYFUNCTION("IFERROR(VLOOKUP(A5641, IMPORTRANGE(""https://docs.google.com/spreadsheets/d/1-3Vjw2Cyy-mry5gbC8ypIR3YVGFfEpyFESummAta6sg/edit"", ""Sheet1!B:D""), 3, FALSE), ""Not Found"")"),"b æ t ")</f>
        <v>b æ t </v>
      </c>
    </row>
    <row r="5642">
      <c r="A5642" s="1" t="s">
        <v>5644</v>
      </c>
      <c r="B5642" s="1" t="s">
        <v>5</v>
      </c>
      <c r="C5642" s="2">
        <f>IFERROR(__xludf.DUMMYFUNCTION("IFERROR(VLOOKUP(A5642, IMPORTRANGE(""https://docs.google.com/spreadsheets/d/1AVX9GT0dgogEBStecCXMMQ29tWz3gBrtNB8yIromXbY/edit?gid=741673867"", ""out1g!A:B""), 2, FALSE), 0)"),530.0)</f>
        <v>530</v>
      </c>
      <c r="D5642" s="2" t="str">
        <f>IFERROR(__xludf.DUMMYFUNCTION("IFERROR(VLOOKUP(A5642, IMPORTRANGE(""https://docs.google.com/spreadsheets/d/1-3Vjw2Cyy-mry5gbC8ypIR3YVGFfEpyFESummAta6sg/edit"", ""Sheet1!B:D""), 2, FALSE), ""Not Found"")"),"roʊd")</f>
        <v>roʊd</v>
      </c>
      <c r="E5642" s="2" t="str">
        <f>IFERROR(__xludf.DUMMYFUNCTION("IFERROR(VLOOKUP(A5642, IMPORTRANGE(""https://docs.google.com/spreadsheets/d/1-3Vjw2Cyy-mry5gbC8ypIR3YVGFfEpyFESummAta6sg/edit"", ""Sheet1!B:D""), 3, FALSE), ""Not Found"")"),"r o ʊ d ")</f>
        <v>r o ʊ d </v>
      </c>
    </row>
    <row r="5643">
      <c r="A5643" s="1" t="s">
        <v>5645</v>
      </c>
      <c r="B5643" s="1" t="s">
        <v>5</v>
      </c>
      <c r="C5643" s="2">
        <f>IFERROR(__xludf.DUMMYFUNCTION("IFERROR(VLOOKUP(A5643, IMPORTRANGE(""https://docs.google.com/spreadsheets/d/1AVX9GT0dgogEBStecCXMMQ29tWz3gBrtNB8yIromXbY/edit?gid=741673867"", ""out1g!A:B""), 2, FALSE), 0)"),143.0)</f>
        <v>143</v>
      </c>
      <c r="D5643" s="2" t="str">
        <f>IFERROR(__xludf.DUMMYFUNCTION("IFERROR(VLOOKUP(A5643, IMPORTRANGE(""https://docs.google.com/spreadsheets/d/1-3Vjw2Cyy-mry5gbC8ypIR3YVGFfEpyFESummAta6sg/edit"", ""Sheet1!B:D""), 2, FALSE), ""Not Found"")"),"toʊtoʊ")</f>
        <v>toʊtoʊ</v>
      </c>
      <c r="E5643" s="2" t="str">
        <f>IFERROR(__xludf.DUMMYFUNCTION("IFERROR(VLOOKUP(A5643, IMPORTRANGE(""https://docs.google.com/spreadsheets/d/1-3Vjw2Cyy-mry5gbC8ypIR3YVGFfEpyFESummAta6sg/edit"", ""Sheet1!B:D""), 3, FALSE), ""Not Found"")"),"t o ʊ t o ʊ ")</f>
        <v>t o ʊ t o ʊ </v>
      </c>
    </row>
    <row r="5644">
      <c r="A5644" s="1" t="s">
        <v>5646</v>
      </c>
      <c r="B5644" s="1" t="s">
        <v>5</v>
      </c>
      <c r="C5644" s="2">
        <f>IFERROR(__xludf.DUMMYFUNCTION("IFERROR(VLOOKUP(A5644, IMPORTRANGE(""https://docs.google.com/spreadsheets/d/1AVX9GT0dgogEBStecCXMMQ29tWz3gBrtNB8yIromXbY/edit?gid=741673867"", ""out1g!A:B""), 2, FALSE), 0)"),787.0)</f>
        <v>787</v>
      </c>
      <c r="D5644" s="2" t="str">
        <f>IFERROR(__xludf.DUMMYFUNCTION("IFERROR(VLOOKUP(A5644, IMPORTRANGE(""https://docs.google.com/spreadsheets/d/1-3Vjw2Cyy-mry5gbC8ypIR3YVGFfEpyFESummAta6sg/edit"", ""Sheet1!B:D""), 2, FALSE), ""Not Found"")"),"waɪvz")</f>
        <v>waɪvz</v>
      </c>
      <c r="E5644" s="2" t="str">
        <f>IFERROR(__xludf.DUMMYFUNCTION("IFERROR(VLOOKUP(A5644, IMPORTRANGE(""https://docs.google.com/spreadsheets/d/1-3Vjw2Cyy-mry5gbC8ypIR3YVGFfEpyFESummAta6sg/edit"", ""Sheet1!B:D""), 3, FALSE), ""Not Found"")"),"w a ɪ v z ")</f>
        <v>w a ɪ v z </v>
      </c>
    </row>
    <row r="5645">
      <c r="A5645" s="1" t="s">
        <v>5647</v>
      </c>
      <c r="B5645" s="1" t="s">
        <v>5</v>
      </c>
      <c r="C5645" s="2">
        <f>IFERROR(__xludf.DUMMYFUNCTION("IFERROR(VLOOKUP(A5645, IMPORTRANGE(""https://docs.google.com/spreadsheets/d/1AVX9GT0dgogEBStecCXMMQ29tWz3gBrtNB8yIromXbY/edit?gid=741673867"", ""out1g!A:B""), 2, FALSE), 0)"),24737.0)</f>
        <v>24737</v>
      </c>
      <c r="D5645" s="2" t="str">
        <f>IFERROR(__xludf.DUMMYFUNCTION("IFERROR(VLOOKUP(A5645, IMPORTRANGE(""https://docs.google.com/spreadsheets/d/1-3Vjw2Cyy-mry5gbC8ypIR3YVGFfEpyFESummAta6sg/edit"", ""Sheet1!B:D""), 2, FALSE), ""Not Found"")"),"dən")</f>
        <v>dən</v>
      </c>
      <c r="E5645" s="2" t="str">
        <f>IFERROR(__xludf.DUMMYFUNCTION("IFERROR(VLOOKUP(A5645, IMPORTRANGE(""https://docs.google.com/spreadsheets/d/1-3Vjw2Cyy-mry5gbC8ypIR3YVGFfEpyFESummAta6sg/edit"", ""Sheet1!B:D""), 3, FALSE), ""Not Found"")"),"d ə n ")</f>
        <v>d ə n </v>
      </c>
    </row>
    <row r="5646">
      <c r="A5646" s="1" t="s">
        <v>5648</v>
      </c>
      <c r="B5646" s="1" t="s">
        <v>5</v>
      </c>
      <c r="C5646" s="2">
        <f>IFERROR(__xludf.DUMMYFUNCTION("IFERROR(VLOOKUP(A5646, IMPORTRANGE(""https://docs.google.com/spreadsheets/d/1AVX9GT0dgogEBStecCXMMQ29tWz3gBrtNB8yIromXbY/edit?gid=741673867"", ""out1g!A:B""), 2, FALSE), 0)"),19307.0)</f>
        <v>19307</v>
      </c>
      <c r="D5646" s="2" t="str">
        <f>IFERROR(__xludf.DUMMYFUNCTION("IFERROR(VLOOKUP(A5646, IMPORTRANGE(""https://docs.google.com/spreadsheets/d/1-3Vjw2Cyy-mry5gbC8ypIR3YVGFfEpyFESummAta6sg/edit"", ""Sheet1!B:D""), 2, FALSE), ""Not Found"")"),"fək")</f>
        <v>fək</v>
      </c>
      <c r="E5646" s="2" t="str">
        <f>IFERROR(__xludf.DUMMYFUNCTION("IFERROR(VLOOKUP(A5646, IMPORTRANGE(""https://docs.google.com/spreadsheets/d/1-3Vjw2Cyy-mry5gbC8ypIR3YVGFfEpyFESummAta6sg/edit"", ""Sheet1!B:D""), 3, FALSE), ""Not Found"")"),"f ə k ")</f>
        <v>f ə k </v>
      </c>
    </row>
    <row r="5647">
      <c r="A5647" s="1" t="s">
        <v>5649</v>
      </c>
      <c r="B5647" s="1" t="s">
        <v>5</v>
      </c>
      <c r="C5647" s="2">
        <f>IFERROR(__xludf.DUMMYFUNCTION("IFERROR(VLOOKUP(A5647, IMPORTRANGE(""https://docs.google.com/spreadsheets/d/1AVX9GT0dgogEBStecCXMMQ29tWz3gBrtNB8yIromXbY/edit?gid=741673867"", ""out1g!A:B""), 2, FALSE), 0)"),437.0)</f>
        <v>437</v>
      </c>
      <c r="D5647" s="2" t="str">
        <f>IFERROR(__xludf.DUMMYFUNCTION("IFERROR(VLOOKUP(A5647, IMPORTRANGE(""https://docs.google.com/spreadsheets/d/1-3Vjw2Cyy-mry5gbC8ypIR3YVGFfEpyFESummAta6sg/edit"", ""Sheet1!B:D""), 2, FALSE), ""Not Found"")"),"slipi")</f>
        <v>slipi</v>
      </c>
      <c r="E5647" s="2" t="str">
        <f>IFERROR(__xludf.DUMMYFUNCTION("IFERROR(VLOOKUP(A5647, IMPORTRANGE(""https://docs.google.com/spreadsheets/d/1-3Vjw2Cyy-mry5gbC8ypIR3YVGFfEpyFESummAta6sg/edit"", ""Sheet1!B:D""), 3, FALSE), ""Not Found"")"),"s l i p i ")</f>
        <v>s l i p i </v>
      </c>
    </row>
    <row r="5648">
      <c r="A5648" s="1" t="s">
        <v>5650</v>
      </c>
      <c r="B5648" s="1" t="s">
        <v>5</v>
      </c>
      <c r="C5648" s="2">
        <f>IFERROR(__xludf.DUMMYFUNCTION("IFERROR(VLOOKUP(A5648, IMPORTRANGE(""https://docs.google.com/spreadsheets/d/1AVX9GT0dgogEBStecCXMMQ29tWz3gBrtNB8yIromXbY/edit?gid=741673867"", ""out1g!A:B""), 2, FALSE), 0)"),185206.0)</f>
        <v>185206</v>
      </c>
      <c r="D5648" s="2" t="str">
        <f>IFERROR(__xludf.DUMMYFUNCTION("IFERROR(VLOOKUP(A5648, IMPORTRANGE(""https://docs.google.com/spreadsheets/d/1-3Vjw2Cyy-mry5gbC8ypIR3YVGFfEpyFESummAta6sg/edit"", ""Sheet1!B:D""), 2, FALSE), ""Not Found"")"),"əbaʊt")</f>
        <v>əbaʊt</v>
      </c>
      <c r="E5648" s="2" t="str">
        <f>IFERROR(__xludf.DUMMYFUNCTION("IFERROR(VLOOKUP(A5648, IMPORTRANGE(""https://docs.google.com/spreadsheets/d/1-3Vjw2Cyy-mry5gbC8ypIR3YVGFfEpyFESummAta6sg/edit"", ""Sheet1!B:D""), 3, FALSE), ""Not Found"")"),"ə b a ʊ t ")</f>
        <v>ə b a ʊ t </v>
      </c>
    </row>
    <row r="5649">
      <c r="A5649" s="1" t="s">
        <v>5651</v>
      </c>
      <c r="B5649" s="1" t="s">
        <v>5</v>
      </c>
      <c r="C5649" s="2">
        <f>IFERROR(__xludf.DUMMYFUNCTION("IFERROR(VLOOKUP(A5649, IMPORTRANGE(""https://docs.google.com/spreadsheets/d/1AVX9GT0dgogEBStecCXMMQ29tWz3gBrtNB8yIromXbY/edit?gid=741673867"", ""out1g!A:B""), 2, FALSE), 0)"),280.0)</f>
        <v>280</v>
      </c>
      <c r="D5649" s="2" t="str">
        <f>IFERROR(__xludf.DUMMYFUNCTION("IFERROR(VLOOKUP(A5649, IMPORTRANGE(""https://docs.google.com/spreadsheets/d/1-3Vjw2Cyy-mry5gbC8ypIR3YVGFfEpyFESummAta6sg/edit"", ""Sheet1!B:D""), 2, FALSE), ""Not Found"")"),"bɑrk")</f>
        <v>bɑrk</v>
      </c>
      <c r="E5649" s="2" t="str">
        <f>IFERROR(__xludf.DUMMYFUNCTION("IFERROR(VLOOKUP(A5649, IMPORTRANGE(""https://docs.google.com/spreadsheets/d/1-3Vjw2Cyy-mry5gbC8ypIR3YVGFfEpyFESummAta6sg/edit"", ""Sheet1!B:D""), 3, FALSE), ""Not Found"")"),"b ɑ r k ")</f>
        <v>b ɑ r k </v>
      </c>
    </row>
    <row r="5650">
      <c r="A5650" s="1" t="s">
        <v>5652</v>
      </c>
      <c r="B5650" s="1" t="s">
        <v>5</v>
      </c>
      <c r="C5650" s="2">
        <f>IFERROR(__xludf.DUMMYFUNCTION("IFERROR(VLOOKUP(A5650, IMPORTRANGE(""https://docs.google.com/spreadsheets/d/1AVX9GT0dgogEBStecCXMMQ29tWz3gBrtNB8yIromXbY/edit?gid=741673867"", ""out1g!A:B""), 2, FALSE), 0)"),457.0)</f>
        <v>457</v>
      </c>
      <c r="D5650" s="2" t="str">
        <f>IFERROR(__xludf.DUMMYFUNCTION("IFERROR(VLOOKUP(A5650, IMPORTRANGE(""https://docs.google.com/spreadsheets/d/1-3Vjw2Cyy-mry5gbC8ypIR3YVGFfEpyFESummAta6sg/edit"", ""Sheet1!B:D""), 2, FALSE), ""Not Found"")"),"ʤɑk")</f>
        <v>ʤɑk</v>
      </c>
      <c r="E5650" s="2" t="str">
        <f>IFERROR(__xludf.DUMMYFUNCTION("IFERROR(VLOOKUP(A5650, IMPORTRANGE(""https://docs.google.com/spreadsheets/d/1-3Vjw2Cyy-mry5gbC8ypIR3YVGFfEpyFESummAta6sg/edit"", ""Sheet1!B:D""), 3, FALSE), ""Not Found"")"),"ʤ ɑ k ")</f>
        <v>ʤ ɑ k </v>
      </c>
    </row>
    <row r="5651">
      <c r="A5651" s="1" t="s">
        <v>5653</v>
      </c>
      <c r="B5651" s="1" t="s">
        <v>5</v>
      </c>
      <c r="C5651" s="2">
        <f>IFERROR(__xludf.DUMMYFUNCTION("IFERROR(VLOOKUP(A5651, IMPORTRANGE(""https://docs.google.com/spreadsheets/d/1AVX9GT0dgogEBStecCXMMQ29tWz3gBrtNB8yIromXbY/edit?gid=741673867"", ""out1g!A:B""), 2, FALSE), 0)"),11136.0)</f>
        <v>11136</v>
      </c>
      <c r="D5651" s="2" t="str">
        <f>IFERROR(__xludf.DUMMYFUNCTION("IFERROR(VLOOKUP(A5651, IMPORTRANGE(""https://docs.google.com/spreadsheets/d/1-3Vjw2Cyy-mry5gbC8ypIR3YVGFfEpyFESummAta6sg/edit"", ""Sheet1!B:D""), 2, FALSE), ""Not Found"")"),"minz")</f>
        <v>minz</v>
      </c>
      <c r="E5651" s="2" t="str">
        <f>IFERROR(__xludf.DUMMYFUNCTION("IFERROR(VLOOKUP(A5651, IMPORTRANGE(""https://docs.google.com/spreadsheets/d/1-3Vjw2Cyy-mry5gbC8ypIR3YVGFfEpyFESummAta6sg/edit"", ""Sheet1!B:D""), 3, FALSE), ""Not Found"")"),"m i n z ")</f>
        <v>m i n z </v>
      </c>
    </row>
    <row r="5652">
      <c r="A5652" s="1" t="s">
        <v>5654</v>
      </c>
      <c r="B5652" s="1" t="s">
        <v>5</v>
      </c>
      <c r="C5652" s="2">
        <f>IFERROR(__xludf.DUMMYFUNCTION("IFERROR(VLOOKUP(A5652, IMPORTRANGE(""https://docs.google.com/spreadsheets/d/1AVX9GT0dgogEBStecCXMMQ29tWz3gBrtNB8yIromXbY/edit?gid=741673867"", ""out1g!A:B""), 2, FALSE), 0)"),1293.0)</f>
        <v>1293</v>
      </c>
      <c r="D5652" s="2" t="str">
        <f>IFERROR(__xludf.DUMMYFUNCTION("IFERROR(VLOOKUP(A5652, IMPORTRANGE(""https://docs.google.com/spreadsheets/d/1-3Vjw2Cyy-mry5gbC8ypIR3YVGFfEpyFESummAta6sg/edit"", ""Sheet1!B:D""), 2, FALSE), ""Not Found"")"),"wɔrn")</f>
        <v>wɔrn</v>
      </c>
      <c r="E5652" s="2" t="str">
        <f>IFERROR(__xludf.DUMMYFUNCTION("IFERROR(VLOOKUP(A5652, IMPORTRANGE(""https://docs.google.com/spreadsheets/d/1-3Vjw2Cyy-mry5gbC8ypIR3YVGFfEpyFESummAta6sg/edit"", ""Sheet1!B:D""), 3, FALSE), ""Not Found"")"),"w ɔ r n ")</f>
        <v>w ɔ r n </v>
      </c>
    </row>
    <row r="5653">
      <c r="A5653" s="1" t="s">
        <v>5655</v>
      </c>
      <c r="B5653" s="1" t="s">
        <v>5</v>
      </c>
      <c r="C5653" s="2">
        <f>IFERROR(__xludf.DUMMYFUNCTION("IFERROR(VLOOKUP(A5653, IMPORTRANGE(""https://docs.google.com/spreadsheets/d/1AVX9GT0dgogEBStecCXMMQ29tWz3gBrtNB8yIromXbY/edit?gid=741673867"", ""out1g!A:B""), 2, FALSE), 0)"),53.0)</f>
        <v>53</v>
      </c>
      <c r="D5653" s="2" t="str">
        <f>IFERROR(__xludf.DUMMYFUNCTION("IFERROR(VLOOKUP(A5653, IMPORTRANGE(""https://docs.google.com/spreadsheets/d/1-3Vjw2Cyy-mry5gbC8ypIR3YVGFfEpyFESummAta6sg/edit"", ""Sheet1!B:D""), 2, FALSE), ""Not Found"")"),"huʧ")</f>
        <v>huʧ</v>
      </c>
      <c r="E5653" s="2" t="str">
        <f>IFERROR(__xludf.DUMMYFUNCTION("IFERROR(VLOOKUP(A5653, IMPORTRANGE(""https://docs.google.com/spreadsheets/d/1-3Vjw2Cyy-mry5gbC8ypIR3YVGFfEpyFESummAta6sg/edit"", ""Sheet1!B:D""), 3, FALSE), ""Not Found"")"),"h u ʧ ")</f>
        <v>h u ʧ </v>
      </c>
    </row>
    <row r="5654">
      <c r="A5654" s="1" t="s">
        <v>5656</v>
      </c>
      <c r="B5654" s="1" t="s">
        <v>5</v>
      </c>
      <c r="C5654" s="2">
        <f>IFERROR(__xludf.DUMMYFUNCTION("IFERROR(VLOOKUP(A5654, IMPORTRANGE(""https://docs.google.com/spreadsheets/d/1AVX9GT0dgogEBStecCXMMQ29tWz3gBrtNB8yIromXbY/edit?gid=741673867"", ""out1g!A:B""), 2, FALSE), 0)"),24906.0)</f>
        <v>24906</v>
      </c>
      <c r="D5654" s="2" t="str">
        <f>IFERROR(__xludf.DUMMYFUNCTION("IFERROR(VLOOKUP(A5654, IMPORTRANGE(""https://docs.google.com/spreadsheets/d/1-3Vjw2Cyy-mry5gbC8ypIR3YVGFfEpyFESummAta6sg/edit"", ""Sheet1!B:D""), 2, FALSE), ""Not Found"")"),"ʃoʊ")</f>
        <v>ʃoʊ</v>
      </c>
      <c r="E5654" s="2" t="str">
        <f>IFERROR(__xludf.DUMMYFUNCTION("IFERROR(VLOOKUP(A5654, IMPORTRANGE(""https://docs.google.com/spreadsheets/d/1-3Vjw2Cyy-mry5gbC8ypIR3YVGFfEpyFESummAta6sg/edit"", ""Sheet1!B:D""), 3, FALSE), ""Not Found"")"),"ʃ o ʊ ")</f>
        <v>ʃ o ʊ </v>
      </c>
    </row>
    <row r="5655">
      <c r="A5655" s="1" t="s">
        <v>5657</v>
      </c>
      <c r="B5655" s="1" t="s">
        <v>5</v>
      </c>
      <c r="C5655" s="2">
        <f>IFERROR(__xludf.DUMMYFUNCTION("IFERROR(VLOOKUP(A5655, IMPORTRANGE(""https://docs.google.com/spreadsheets/d/1AVX9GT0dgogEBStecCXMMQ29tWz3gBrtNB8yIromXbY/edit?gid=741673867"", ""out1g!A:B""), 2, FALSE), 0)"),21950.0)</f>
        <v>21950</v>
      </c>
      <c r="D5655" s="2" t="str">
        <f>IFERROR(__xludf.DUMMYFUNCTION("IFERROR(VLOOKUP(A5655, IMPORTRANGE(""https://docs.google.com/spreadsheets/d/1-3Vjw2Cyy-mry5gbC8ypIR3YVGFfEpyFESummAta6sg/edit"", ""Sheet1!B:D""), 2, FALSE), ""Not Found"")"),"mɑm")</f>
        <v>mɑm</v>
      </c>
      <c r="E5655" s="2" t="str">
        <f>IFERROR(__xludf.DUMMYFUNCTION("IFERROR(VLOOKUP(A5655, IMPORTRANGE(""https://docs.google.com/spreadsheets/d/1-3Vjw2Cyy-mry5gbC8ypIR3YVGFfEpyFESummAta6sg/edit"", ""Sheet1!B:D""), 3, FALSE), ""Not Found"")"),"m ɑ m ")</f>
        <v>m ɑ m </v>
      </c>
    </row>
    <row r="5656">
      <c r="A5656" s="1" t="s">
        <v>5658</v>
      </c>
      <c r="B5656" s="1" t="s">
        <v>5</v>
      </c>
      <c r="C5656" s="2">
        <f>IFERROR(__xludf.DUMMYFUNCTION("IFERROR(VLOOKUP(A5656, IMPORTRANGE(""https://docs.google.com/spreadsheets/d/1AVX9GT0dgogEBStecCXMMQ29tWz3gBrtNB8yIromXbY/edit?gid=741673867"", ""out1g!A:B""), 2, FALSE), 0)"),868.0)</f>
        <v>868</v>
      </c>
      <c r="D5656" s="2" t="str">
        <f>IFERROR(__xludf.DUMMYFUNCTION("IFERROR(VLOOKUP(A5656, IMPORTRANGE(""https://docs.google.com/spreadsheets/d/1-3Vjw2Cyy-mry5gbC8ypIR3YVGFfEpyFESummAta6sg/edit"", ""Sheet1!B:D""), 2, FALSE), ""Not Found"")"),"prɪnts")</f>
        <v>prɪnts</v>
      </c>
      <c r="E5656" s="2" t="str">
        <f>IFERROR(__xludf.DUMMYFUNCTION("IFERROR(VLOOKUP(A5656, IMPORTRANGE(""https://docs.google.com/spreadsheets/d/1-3Vjw2Cyy-mry5gbC8ypIR3YVGFfEpyFESummAta6sg/edit"", ""Sheet1!B:D""), 3, FALSE), ""Not Found"")"),"p r ɪ n t s ")</f>
        <v>p r ɪ n t s </v>
      </c>
    </row>
    <row r="5657">
      <c r="A5657" s="1" t="s">
        <v>5659</v>
      </c>
      <c r="B5657" s="1" t="s">
        <v>5</v>
      </c>
      <c r="C5657" s="2">
        <f>IFERROR(__xludf.DUMMYFUNCTION("IFERROR(VLOOKUP(A5657, IMPORTRANGE(""https://docs.google.com/spreadsheets/d/1AVX9GT0dgogEBStecCXMMQ29tWz3gBrtNB8yIromXbY/edit?gid=741673867"", ""out1g!A:B""), 2, FALSE), 0)"),276.0)</f>
        <v>276</v>
      </c>
      <c r="D5657" s="2" t="str">
        <f>IFERROR(__xludf.DUMMYFUNCTION("IFERROR(VLOOKUP(A5657, IMPORTRANGE(""https://docs.google.com/spreadsheets/d/1-3Vjw2Cyy-mry5gbC8ypIR3YVGFfEpyFESummAta6sg/edit"", ""Sheet1!B:D""), 2, FALSE), ""Not Found"")"),"eʒən")</f>
        <v>eʒən</v>
      </c>
      <c r="E5657" s="2" t="str">
        <f>IFERROR(__xludf.DUMMYFUNCTION("IFERROR(VLOOKUP(A5657, IMPORTRANGE(""https://docs.google.com/spreadsheets/d/1-3Vjw2Cyy-mry5gbC8ypIR3YVGFfEpyFESummAta6sg/edit"", ""Sheet1!B:D""), 3, FALSE), ""Not Found"")"),"e ʒ ə n ")</f>
        <v>e ʒ ə n </v>
      </c>
    </row>
    <row r="5658">
      <c r="A5658" s="1" t="s">
        <v>5660</v>
      </c>
      <c r="B5658" s="1" t="s">
        <v>5</v>
      </c>
      <c r="C5658" s="2">
        <f>IFERROR(__xludf.DUMMYFUNCTION("IFERROR(VLOOKUP(A5658, IMPORTRANGE(""https://docs.google.com/spreadsheets/d/1AVX9GT0dgogEBStecCXMMQ29tWz3gBrtNB8yIromXbY/edit?gid=741673867"", ""out1g!A:B""), 2, FALSE), 0)"),13559.0)</f>
        <v>13559</v>
      </c>
      <c r="D5658" s="2" t="str">
        <f>IFERROR(__xludf.DUMMYFUNCTION("IFERROR(VLOOKUP(A5658, IMPORTRANGE(""https://docs.google.com/spreadsheets/d/1-3Vjw2Cyy-mry5gbC8ypIR3YVGFfEpyFESummAta6sg/edit"", ""Sheet1!B:D""), 2, FALSE), ""Not Found"")"),"ɛnd")</f>
        <v>ɛnd</v>
      </c>
      <c r="E5658" s="2" t="str">
        <f>IFERROR(__xludf.DUMMYFUNCTION("IFERROR(VLOOKUP(A5658, IMPORTRANGE(""https://docs.google.com/spreadsheets/d/1-3Vjw2Cyy-mry5gbC8ypIR3YVGFfEpyFESummAta6sg/edit"", ""Sheet1!B:D""), 3, FALSE), ""Not Found"")"),"ɛ n d ")</f>
        <v>ɛ n d </v>
      </c>
    </row>
    <row r="5659">
      <c r="A5659" s="1" t="s">
        <v>5661</v>
      </c>
      <c r="B5659" s="1" t="s">
        <v>5</v>
      </c>
      <c r="C5659" s="2">
        <f>IFERROR(__xludf.DUMMYFUNCTION("IFERROR(VLOOKUP(A5659, IMPORTRANGE(""https://docs.google.com/spreadsheets/d/1AVX9GT0dgogEBStecCXMMQ29tWz3gBrtNB8yIromXbY/edit?gid=741673867"", ""out1g!A:B""), 2, FALSE), 0)"),291.0)</f>
        <v>291</v>
      </c>
      <c r="D5659" s="2" t="str">
        <f>IFERROR(__xludf.DUMMYFUNCTION("IFERROR(VLOOKUP(A5659, IMPORTRANGE(""https://docs.google.com/spreadsheets/d/1-3Vjw2Cyy-mry5gbC8ypIR3YVGFfEpyFESummAta6sg/edit"", ""Sheet1!B:D""), 2, FALSE), ""Not Found"")"),"fɛðərz")</f>
        <v>fɛðərz</v>
      </c>
      <c r="E5659" s="2" t="str">
        <f>IFERROR(__xludf.DUMMYFUNCTION("IFERROR(VLOOKUP(A5659, IMPORTRANGE(""https://docs.google.com/spreadsheets/d/1-3Vjw2Cyy-mry5gbC8ypIR3YVGFfEpyFESummAta6sg/edit"", ""Sheet1!B:D""), 3, FALSE), ""Not Found"")"),"f ɛ ð ə r z ")</f>
        <v>f ɛ ð ə r z </v>
      </c>
    </row>
    <row r="5660">
      <c r="A5660" s="1" t="s">
        <v>5662</v>
      </c>
      <c r="B5660" s="1" t="s">
        <v>5</v>
      </c>
      <c r="C5660" s="2">
        <f>IFERROR(__xludf.DUMMYFUNCTION("IFERROR(VLOOKUP(A5660, IMPORTRANGE(""https://docs.google.com/spreadsheets/d/1AVX9GT0dgogEBStecCXMMQ29tWz3gBrtNB8yIromXbY/edit?gid=741673867"", ""out1g!A:B""), 2, FALSE), 0)"),887.0)</f>
        <v>887</v>
      </c>
      <c r="D5660" s="2" t="str">
        <f>IFERROR(__xludf.DUMMYFUNCTION("IFERROR(VLOOKUP(A5660, IMPORTRANGE(""https://docs.google.com/spreadsheets/d/1-3Vjw2Cyy-mry5gbC8ypIR3YVGFfEpyFESummAta6sg/edit"", ""Sheet1!B:D""), 2, FALSE), ""Not Found"")"),"snæp")</f>
        <v>snæp</v>
      </c>
      <c r="E5660" s="2" t="str">
        <f>IFERROR(__xludf.DUMMYFUNCTION("IFERROR(VLOOKUP(A5660, IMPORTRANGE(""https://docs.google.com/spreadsheets/d/1-3Vjw2Cyy-mry5gbC8ypIR3YVGFfEpyFESummAta6sg/edit"", ""Sheet1!B:D""), 3, FALSE), ""Not Found"")"),"s n æ p ")</f>
        <v>s n æ p </v>
      </c>
    </row>
    <row r="5661">
      <c r="A5661" s="1" t="s">
        <v>5663</v>
      </c>
      <c r="B5661" s="1" t="s">
        <v>5</v>
      </c>
      <c r="C5661" s="2">
        <f>IFERROR(__xludf.DUMMYFUNCTION("IFERROR(VLOOKUP(A5661, IMPORTRANGE(""https://docs.google.com/spreadsheets/d/1AVX9GT0dgogEBStecCXMMQ29tWz3gBrtNB8yIromXbY/edit?gid=741673867"", ""out1g!A:B""), 2, FALSE), 0)"),76.0)</f>
        <v>76</v>
      </c>
      <c r="D5661" s="2" t="str">
        <f>IFERROR(__xludf.DUMMYFUNCTION("IFERROR(VLOOKUP(A5661, IMPORTRANGE(""https://docs.google.com/spreadsheets/d/1-3Vjw2Cyy-mry5gbC8ypIR3YVGFfEpyFESummAta6sg/edit"", ""Sheet1!B:D""), 2, FALSE), ""Not Found"")"),"ətaɪər")</f>
        <v>ətaɪər</v>
      </c>
      <c r="E5661" s="2" t="str">
        <f>IFERROR(__xludf.DUMMYFUNCTION("IFERROR(VLOOKUP(A5661, IMPORTRANGE(""https://docs.google.com/spreadsheets/d/1-3Vjw2Cyy-mry5gbC8ypIR3YVGFfEpyFESummAta6sg/edit"", ""Sheet1!B:D""), 3, FALSE), ""Not Found"")"),"ə t a ɪ ə r ")</f>
        <v>ə t a ɪ ə r </v>
      </c>
    </row>
    <row r="5662">
      <c r="A5662" s="1" t="s">
        <v>5664</v>
      </c>
      <c r="B5662" s="1" t="s">
        <v>5</v>
      </c>
      <c r="C5662" s="2">
        <f>IFERROR(__xludf.DUMMYFUNCTION("IFERROR(VLOOKUP(A5662, IMPORTRANGE(""https://docs.google.com/spreadsheets/d/1AVX9GT0dgogEBStecCXMMQ29tWz3gBrtNB8yIromXbY/edit?gid=741673867"", ""out1g!A:B""), 2, FALSE), 0)"),2299.0)</f>
        <v>2299</v>
      </c>
      <c r="D5662" s="2" t="str">
        <f>IFERROR(__xludf.DUMMYFUNCTION("IFERROR(VLOOKUP(A5662, IMPORTRANGE(""https://docs.google.com/spreadsheets/d/1-3Vjw2Cyy-mry5gbC8ypIR3YVGFfEpyFESummAta6sg/edit"", ""Sheet1!B:D""), 2, FALSE), ""Not Found"")"),"haʊɛvər")</f>
        <v>haʊɛvər</v>
      </c>
      <c r="E5662" s="2" t="str">
        <f>IFERROR(__xludf.DUMMYFUNCTION("IFERROR(VLOOKUP(A5662, IMPORTRANGE(""https://docs.google.com/spreadsheets/d/1-3Vjw2Cyy-mry5gbC8ypIR3YVGFfEpyFESummAta6sg/edit"", ""Sheet1!B:D""), 3, FALSE), ""Not Found"")"),"h a ʊ ɛ v ə r ")</f>
        <v>h a ʊ ɛ v ə r </v>
      </c>
    </row>
    <row r="5663">
      <c r="A5663" s="1" t="s">
        <v>5665</v>
      </c>
      <c r="B5663" s="1" t="s">
        <v>5</v>
      </c>
      <c r="C5663" s="2">
        <f>IFERROR(__xludf.DUMMYFUNCTION("IFERROR(VLOOKUP(A5663, IMPORTRANGE(""https://docs.google.com/spreadsheets/d/1AVX9GT0dgogEBStecCXMMQ29tWz3gBrtNB8yIromXbY/edit?gid=741673867"", ""out1g!A:B""), 2, FALSE), 0)"),311.0)</f>
        <v>311</v>
      </c>
      <c r="D5663" s="2" t="str">
        <f>IFERROR(__xludf.DUMMYFUNCTION("IFERROR(VLOOKUP(A5663, IMPORTRANGE(""https://docs.google.com/spreadsheets/d/1-3Vjw2Cyy-mry5gbC8ypIR3YVGFfEpyFESummAta6sg/edit"", ""Sheet1!B:D""), 2, FALSE), ""Not Found"")"),"klɔθ")</f>
        <v>klɔθ</v>
      </c>
      <c r="E5663" s="2" t="str">
        <f>IFERROR(__xludf.DUMMYFUNCTION("IFERROR(VLOOKUP(A5663, IMPORTRANGE(""https://docs.google.com/spreadsheets/d/1-3Vjw2Cyy-mry5gbC8ypIR3YVGFfEpyFESummAta6sg/edit"", ""Sheet1!B:D""), 3, FALSE), ""Not Found"")"),"k l ɔ θ ")</f>
        <v>k l ɔ θ </v>
      </c>
    </row>
    <row r="5664">
      <c r="A5664" s="1" t="s">
        <v>5666</v>
      </c>
      <c r="B5664" s="1" t="s">
        <v>5</v>
      </c>
      <c r="C5664" s="2">
        <f>IFERROR(__xludf.DUMMYFUNCTION("IFERROR(VLOOKUP(A5664, IMPORTRANGE(""https://docs.google.com/spreadsheets/d/1AVX9GT0dgogEBStecCXMMQ29tWz3gBrtNB8yIromXbY/edit?gid=741673867"", ""out1g!A:B""), 2, FALSE), 0)"),332.0)</f>
        <v>332</v>
      </c>
      <c r="D5664" s="2" t="str">
        <f>IFERROR(__xludf.DUMMYFUNCTION("IFERROR(VLOOKUP(A5664, IMPORTRANGE(""https://docs.google.com/spreadsheets/d/1-3Vjw2Cyy-mry5gbC8ypIR3YVGFfEpyFESummAta6sg/edit"", ""Sheet1!B:D""), 2, FALSE), ""Not Found"")"),"daʊts")</f>
        <v>daʊts</v>
      </c>
      <c r="E5664" s="2" t="str">
        <f>IFERROR(__xludf.DUMMYFUNCTION("IFERROR(VLOOKUP(A5664, IMPORTRANGE(""https://docs.google.com/spreadsheets/d/1-3Vjw2Cyy-mry5gbC8ypIR3YVGFfEpyFESummAta6sg/edit"", ""Sheet1!B:D""), 3, FALSE), ""Not Found"")"),"d a ʊ t s ")</f>
        <v>d a ʊ t s </v>
      </c>
    </row>
    <row r="5665">
      <c r="A5665" s="1" t="s">
        <v>5667</v>
      </c>
      <c r="B5665" s="1" t="s">
        <v>5</v>
      </c>
      <c r="C5665" s="2">
        <f>IFERROR(__xludf.DUMMYFUNCTION("IFERROR(VLOOKUP(A5665, IMPORTRANGE(""https://docs.google.com/spreadsheets/d/1AVX9GT0dgogEBStecCXMMQ29tWz3gBrtNB8yIromXbY/edit?gid=741673867"", ""out1g!A:B""), 2, FALSE), 0)"),699.0)</f>
        <v>699</v>
      </c>
      <c r="D5665" s="2" t="str">
        <f>IFERROR(__xludf.DUMMYFUNCTION("IFERROR(VLOOKUP(A5665, IMPORTRANGE(""https://docs.google.com/spreadsheets/d/1-3Vjw2Cyy-mry5gbC8ypIR3YVGFfEpyFESummAta6sg/edit"", ""Sheet1!B:D""), 2, FALSE), ""Not Found"")"),"ʤərməni")</f>
        <v>ʤərməni</v>
      </c>
      <c r="E5665" s="2" t="str">
        <f>IFERROR(__xludf.DUMMYFUNCTION("IFERROR(VLOOKUP(A5665, IMPORTRANGE(""https://docs.google.com/spreadsheets/d/1-3Vjw2Cyy-mry5gbC8ypIR3YVGFfEpyFESummAta6sg/edit"", ""Sheet1!B:D""), 3, FALSE), ""Not Found"")"),"ʤ ə r m ə n i ")</f>
        <v>ʤ ə r m ə n i </v>
      </c>
    </row>
    <row r="5666">
      <c r="A5666" s="1" t="s">
        <v>5668</v>
      </c>
      <c r="B5666" s="1" t="s">
        <v>5</v>
      </c>
      <c r="C5666" s="2">
        <f>IFERROR(__xludf.DUMMYFUNCTION("IFERROR(VLOOKUP(A5666, IMPORTRANGE(""https://docs.google.com/spreadsheets/d/1AVX9GT0dgogEBStecCXMMQ29tWz3gBrtNB8yIromXbY/edit?gid=741673867"", ""out1g!A:B""), 2, FALSE), 0)"),894.0)</f>
        <v>894</v>
      </c>
      <c r="D5666" s="2" t="str">
        <f>IFERROR(__xludf.DUMMYFUNCTION("IFERROR(VLOOKUP(A5666, IMPORTRANGE(""https://docs.google.com/spreadsheets/d/1-3Vjw2Cyy-mry5gbC8ypIR3YVGFfEpyFESummAta6sg/edit"", ""Sheet1!B:D""), 2, FALSE), ""Not Found"")"),"plenz")</f>
        <v>plenz</v>
      </c>
      <c r="E5666" s="2" t="str">
        <f>IFERROR(__xludf.DUMMYFUNCTION("IFERROR(VLOOKUP(A5666, IMPORTRANGE(""https://docs.google.com/spreadsheets/d/1-3Vjw2Cyy-mry5gbC8ypIR3YVGFfEpyFESummAta6sg/edit"", ""Sheet1!B:D""), 3, FALSE), ""Not Found"")"),"p l e n z ")</f>
        <v>p l e n z </v>
      </c>
    </row>
    <row r="5667">
      <c r="A5667" s="1" t="s">
        <v>5669</v>
      </c>
      <c r="B5667" s="1" t="s">
        <v>5</v>
      </c>
      <c r="C5667" s="2">
        <f>IFERROR(__xludf.DUMMYFUNCTION("IFERROR(VLOOKUP(A5667, IMPORTRANGE(""https://docs.google.com/spreadsheets/d/1AVX9GT0dgogEBStecCXMMQ29tWz3gBrtNB8yIromXbY/edit?gid=741673867"", ""out1g!A:B""), 2, FALSE), 0)"),204.0)</f>
        <v>204</v>
      </c>
      <c r="D5667" s="2" t="str">
        <f>IFERROR(__xludf.DUMMYFUNCTION("IFERROR(VLOOKUP(A5667, IMPORTRANGE(""https://docs.google.com/spreadsheets/d/1-3Vjw2Cyy-mry5gbC8ypIR3YVGFfEpyFESummAta6sg/edit"", ""Sheet1!B:D""), 2, FALSE), ""Not Found"")"),"dɪks")</f>
        <v>dɪks</v>
      </c>
      <c r="E5667" s="2" t="str">
        <f>IFERROR(__xludf.DUMMYFUNCTION("IFERROR(VLOOKUP(A5667, IMPORTRANGE(""https://docs.google.com/spreadsheets/d/1-3Vjw2Cyy-mry5gbC8ypIR3YVGFfEpyFESummAta6sg/edit"", ""Sheet1!B:D""), 3, FALSE), ""Not Found"")"),"d ɪ k s ")</f>
        <v>d ɪ k s </v>
      </c>
    </row>
    <row r="5668">
      <c r="A5668" s="1" t="s">
        <v>5670</v>
      </c>
      <c r="B5668" s="1" t="s">
        <v>5</v>
      </c>
      <c r="C5668" s="2">
        <f>IFERROR(__xludf.DUMMYFUNCTION("IFERROR(VLOOKUP(A5668, IMPORTRANGE(""https://docs.google.com/spreadsheets/d/1AVX9GT0dgogEBStecCXMMQ29tWz3gBrtNB8yIromXbY/edit?gid=741673867"", ""out1g!A:B""), 2, FALSE), 0)"),7761.0)</f>
        <v>7761</v>
      </c>
      <c r="D5668" s="2" t="str">
        <f>IFERROR(__xludf.DUMMYFUNCTION("IFERROR(VLOOKUP(A5668, IMPORTRANGE(""https://docs.google.com/spreadsheets/d/1-3Vjw2Cyy-mry5gbC8ypIR3YVGFfEpyFESummAta6sg/edit"", ""Sheet1!B:D""), 2, FALSE), ""Not Found"")"),"sɛks")</f>
        <v>sɛks</v>
      </c>
      <c r="E5668" s="2" t="str">
        <f>IFERROR(__xludf.DUMMYFUNCTION("IFERROR(VLOOKUP(A5668, IMPORTRANGE(""https://docs.google.com/spreadsheets/d/1-3Vjw2Cyy-mry5gbC8ypIR3YVGFfEpyFESummAta6sg/edit"", ""Sheet1!B:D""), 3, FALSE), ""Not Found"")"),"s ɛ k s ")</f>
        <v>s ɛ k s </v>
      </c>
    </row>
    <row r="5669">
      <c r="A5669" s="1" t="s">
        <v>5671</v>
      </c>
      <c r="B5669" s="1" t="s">
        <v>5</v>
      </c>
      <c r="C5669" s="2">
        <f>IFERROR(__xludf.DUMMYFUNCTION("IFERROR(VLOOKUP(A5669, IMPORTRANGE(""https://docs.google.com/spreadsheets/d/1AVX9GT0dgogEBStecCXMMQ29tWz3gBrtNB8yIromXbY/edit?gid=741673867"", ""out1g!A:B""), 2, FALSE), 0)"),79.0)</f>
        <v>79</v>
      </c>
      <c r="D5669" s="2" t="str">
        <f>IFERROR(__xludf.DUMMYFUNCTION("IFERROR(VLOOKUP(A5669, IMPORTRANGE(""https://docs.google.com/spreadsheets/d/1-3Vjw2Cyy-mry5gbC8ypIR3YVGFfEpyFESummAta6sg/edit"", ""Sheet1!B:D""), 2, FALSE), ""Not Found"")"),"rɪzən")</f>
        <v>rɪzən</v>
      </c>
      <c r="E5669" s="2" t="str">
        <f>IFERROR(__xludf.DUMMYFUNCTION("IFERROR(VLOOKUP(A5669, IMPORTRANGE(""https://docs.google.com/spreadsheets/d/1-3Vjw2Cyy-mry5gbC8ypIR3YVGFfEpyFESummAta6sg/edit"", ""Sheet1!B:D""), 3, FALSE), ""Not Found"")"),"r ɪ z ə n ")</f>
        <v>r ɪ z ə n </v>
      </c>
    </row>
    <row r="5670">
      <c r="A5670" s="1" t="s">
        <v>5672</v>
      </c>
      <c r="B5670" s="1" t="s">
        <v>5</v>
      </c>
      <c r="C5670" s="2">
        <f>IFERROR(__xludf.DUMMYFUNCTION("IFERROR(VLOOKUP(A5670, IMPORTRANGE(""https://docs.google.com/spreadsheets/d/1AVX9GT0dgogEBStecCXMMQ29tWz3gBrtNB8yIromXbY/edit?gid=741673867"", ""out1g!A:B""), 2, FALSE), 0)"),115.0)</f>
        <v>115</v>
      </c>
      <c r="D5670" s="2" t="str">
        <f>IFERROR(__xludf.DUMMYFUNCTION("IFERROR(VLOOKUP(A5670, IMPORTRANGE(""https://docs.google.com/spreadsheets/d/1-3Vjw2Cyy-mry5gbC8ypIR3YVGFfEpyFESummAta6sg/edit"", ""Sheet1!B:D""), 2, FALSE), ""Not Found"")"),"sɛnsər")</f>
        <v>sɛnsər</v>
      </c>
      <c r="E5670" s="2" t="str">
        <f>IFERROR(__xludf.DUMMYFUNCTION("IFERROR(VLOOKUP(A5670, IMPORTRANGE(""https://docs.google.com/spreadsheets/d/1-3Vjw2Cyy-mry5gbC8ypIR3YVGFfEpyFESummAta6sg/edit"", ""Sheet1!B:D""), 3, FALSE), ""Not Found"")"),"s ɛ n s ə r ")</f>
        <v>s ɛ n s ə r </v>
      </c>
    </row>
    <row r="5671">
      <c r="A5671" s="1" t="s">
        <v>5673</v>
      </c>
      <c r="B5671" s="1" t="s">
        <v>5</v>
      </c>
      <c r="C5671" s="2">
        <f>IFERROR(__xludf.DUMMYFUNCTION("IFERROR(VLOOKUP(A5671, IMPORTRANGE(""https://docs.google.com/spreadsheets/d/1AVX9GT0dgogEBStecCXMMQ29tWz3gBrtNB8yIromXbY/edit?gid=741673867"", ""out1g!A:B""), 2, FALSE), 0)"),5877.0)</f>
        <v>5877</v>
      </c>
      <c r="D5671" s="2" t="str">
        <f>IFERROR(__xludf.DUMMYFUNCTION("IFERROR(VLOOKUP(A5671, IMPORTRANGE(""https://docs.google.com/spreadsheets/d/1-3Vjw2Cyy-mry5gbC8ypIR3YVGFfEpyFESummAta6sg/edit"", ""Sheet1!B:D""), 2, FALSE), ""Not Found"")"),"wərkt")</f>
        <v>wərkt</v>
      </c>
      <c r="E5671" s="2" t="str">
        <f>IFERROR(__xludf.DUMMYFUNCTION("IFERROR(VLOOKUP(A5671, IMPORTRANGE(""https://docs.google.com/spreadsheets/d/1-3Vjw2Cyy-mry5gbC8ypIR3YVGFfEpyFESummAta6sg/edit"", ""Sheet1!B:D""), 3, FALSE), ""Not Found"")"),"w ə r k t ")</f>
        <v>w ə r k t </v>
      </c>
    </row>
    <row r="5672">
      <c r="A5672" s="1" t="s">
        <v>5674</v>
      </c>
      <c r="B5672" s="1" t="s">
        <v>5</v>
      </c>
      <c r="C5672" s="2">
        <f>IFERROR(__xludf.DUMMYFUNCTION("IFERROR(VLOOKUP(A5672, IMPORTRANGE(""https://docs.google.com/spreadsheets/d/1AVX9GT0dgogEBStecCXMMQ29tWz3gBrtNB8yIromXbY/edit?gid=741673867"", ""out1g!A:B""), 2, FALSE), 0)"),213.0)</f>
        <v>213</v>
      </c>
      <c r="D5672" s="2" t="str">
        <f>IFERROR(__xludf.DUMMYFUNCTION("IFERROR(VLOOKUP(A5672, IMPORTRANGE(""https://docs.google.com/spreadsheets/d/1-3Vjw2Cyy-mry5gbC8ypIR3YVGFfEpyFESummAta6sg/edit"", ""Sheet1!B:D""), 2, FALSE), ""Not Found"")"),"telər")</f>
        <v>telər</v>
      </c>
      <c r="E5672" s="2" t="str">
        <f>IFERROR(__xludf.DUMMYFUNCTION("IFERROR(VLOOKUP(A5672, IMPORTRANGE(""https://docs.google.com/spreadsheets/d/1-3Vjw2Cyy-mry5gbC8ypIR3YVGFfEpyFESummAta6sg/edit"", ""Sheet1!B:D""), 3, FALSE), ""Not Found"")"),"t e l ə r ")</f>
        <v>t e l ə r </v>
      </c>
    </row>
    <row r="5673">
      <c r="A5673" s="1" t="s">
        <v>5675</v>
      </c>
      <c r="B5673" s="1" t="s">
        <v>5</v>
      </c>
      <c r="C5673" s="2">
        <f>IFERROR(__xludf.DUMMYFUNCTION("IFERROR(VLOOKUP(A5673, IMPORTRANGE(""https://docs.google.com/spreadsheets/d/1AVX9GT0dgogEBStecCXMMQ29tWz3gBrtNB8yIromXbY/edit?gid=741673867"", ""out1g!A:B""), 2, FALSE), 0)"),245.0)</f>
        <v>245</v>
      </c>
      <c r="D5673" s="2" t="str">
        <f>IFERROR(__xludf.DUMMYFUNCTION("IFERROR(VLOOKUP(A5673, IMPORTRANGE(""https://docs.google.com/spreadsheets/d/1-3Vjw2Cyy-mry5gbC8ypIR3YVGFfEpyFESummAta6sg/edit"", ""Sheet1!B:D""), 2, FALSE), ""Not Found"")"),"dɪŋk")</f>
        <v>dɪŋk</v>
      </c>
      <c r="E5673" s="2" t="str">
        <f>IFERROR(__xludf.DUMMYFUNCTION("IFERROR(VLOOKUP(A5673, IMPORTRANGE(""https://docs.google.com/spreadsheets/d/1-3Vjw2Cyy-mry5gbC8ypIR3YVGFfEpyFESummAta6sg/edit"", ""Sheet1!B:D""), 3, FALSE), ""Not Found"")"),"d ɪ ŋ k ")</f>
        <v>d ɪ ŋ k </v>
      </c>
    </row>
    <row r="5674">
      <c r="A5674" s="1" t="s">
        <v>5676</v>
      </c>
      <c r="B5674" s="1" t="s">
        <v>5</v>
      </c>
      <c r="C5674" s="2">
        <f>IFERROR(__xludf.DUMMYFUNCTION("IFERROR(VLOOKUP(A5674, IMPORTRANGE(""https://docs.google.com/spreadsheets/d/1AVX9GT0dgogEBStecCXMMQ29tWz3gBrtNB8yIromXbY/edit?gid=741673867"", ""out1g!A:B""), 2, FALSE), 0)"),86.0)</f>
        <v>86</v>
      </c>
      <c r="D5674" s="2" t="str">
        <f>IFERROR(__xludf.DUMMYFUNCTION("IFERROR(VLOOKUP(A5674, IMPORTRANGE(""https://docs.google.com/spreadsheets/d/1-3Vjw2Cyy-mry5gbC8ypIR3YVGFfEpyFESummAta6sg/edit"", ""Sheet1!B:D""), 2, FALSE), ""Not Found"")"),"flədɪŋ")</f>
        <v>flədɪŋ</v>
      </c>
      <c r="E5674" s="2" t="str">
        <f>IFERROR(__xludf.DUMMYFUNCTION("IFERROR(VLOOKUP(A5674, IMPORTRANGE(""https://docs.google.com/spreadsheets/d/1-3Vjw2Cyy-mry5gbC8ypIR3YVGFfEpyFESummAta6sg/edit"", ""Sheet1!B:D""), 3, FALSE), ""Not Found"")"),"f l ə d ɪ ŋ ")</f>
        <v>f l ə d ɪ ŋ </v>
      </c>
    </row>
    <row r="5675">
      <c r="A5675" s="1" t="s">
        <v>5677</v>
      </c>
      <c r="B5675" s="1" t="s">
        <v>5</v>
      </c>
      <c r="C5675" s="2">
        <f>IFERROR(__xludf.DUMMYFUNCTION("IFERROR(VLOOKUP(A5675, IMPORTRANGE(""https://docs.google.com/spreadsheets/d/1AVX9GT0dgogEBStecCXMMQ29tWz3gBrtNB8yIromXbY/edit?gid=741673867"", ""out1g!A:B""), 2, FALSE), 0)"),53.0)</f>
        <v>53</v>
      </c>
      <c r="D5675" s="2" t="str">
        <f>IFERROR(__xludf.DUMMYFUNCTION("IFERROR(VLOOKUP(A5675, IMPORTRANGE(""https://docs.google.com/spreadsheets/d/1-3Vjw2Cyy-mry5gbC8ypIR3YVGFfEpyFESummAta6sg/edit"", ""Sheet1!B:D""), 2, FALSE), ""Not Found"")"),"rɔŋz")</f>
        <v>rɔŋz</v>
      </c>
      <c r="E5675" s="2" t="str">
        <f>IFERROR(__xludf.DUMMYFUNCTION("IFERROR(VLOOKUP(A5675, IMPORTRANGE(""https://docs.google.com/spreadsheets/d/1-3Vjw2Cyy-mry5gbC8ypIR3YVGFfEpyFESummAta6sg/edit"", ""Sheet1!B:D""), 3, FALSE), ""Not Found"")"),"r ɔ ŋ z ")</f>
        <v>r ɔ ŋ z </v>
      </c>
    </row>
    <row r="5676">
      <c r="A5676" s="1" t="s">
        <v>5678</v>
      </c>
      <c r="B5676" s="1" t="s">
        <v>5</v>
      </c>
      <c r="C5676" s="2">
        <f>IFERROR(__xludf.DUMMYFUNCTION("IFERROR(VLOOKUP(A5676, IMPORTRANGE(""https://docs.google.com/spreadsheets/d/1AVX9GT0dgogEBStecCXMMQ29tWz3gBrtNB8yIromXbY/edit?gid=741673867"", ""out1g!A:B""), 2, FALSE), 0)"),173.0)</f>
        <v>173</v>
      </c>
      <c r="D5676" s="2" t="str">
        <f>IFERROR(__xludf.DUMMYFUNCTION("IFERROR(VLOOKUP(A5676, IMPORTRANGE(""https://docs.google.com/spreadsheets/d/1-3Vjw2Cyy-mry5gbC8ypIR3YVGFfEpyFESummAta6sg/edit"", ""Sheet1!B:D""), 2, FALSE), ""Not Found"")"),"flaɪər")</f>
        <v>flaɪər</v>
      </c>
      <c r="E5676" s="2" t="str">
        <f>IFERROR(__xludf.DUMMYFUNCTION("IFERROR(VLOOKUP(A5676, IMPORTRANGE(""https://docs.google.com/spreadsheets/d/1-3Vjw2Cyy-mry5gbC8ypIR3YVGFfEpyFESummAta6sg/edit"", ""Sheet1!B:D""), 3, FALSE), ""Not Found"")"),"f l a ɪ ə r ")</f>
        <v>f l a ɪ ə r </v>
      </c>
    </row>
    <row r="5677">
      <c r="A5677" s="1" t="s">
        <v>5679</v>
      </c>
      <c r="B5677" s="1" t="s">
        <v>5</v>
      </c>
      <c r="C5677" s="2">
        <f>IFERROR(__xludf.DUMMYFUNCTION("IFERROR(VLOOKUP(A5677, IMPORTRANGE(""https://docs.google.com/spreadsheets/d/1AVX9GT0dgogEBStecCXMMQ29tWz3gBrtNB8yIromXbY/edit?gid=741673867"", ""out1g!A:B""), 2, FALSE), 0)"),101835.0)</f>
        <v>101835</v>
      </c>
      <c r="D5677" s="2" t="str">
        <f>IFERROR(__xludf.DUMMYFUNCTION("IFERROR(VLOOKUP(A5677, IMPORTRANGE(""https://docs.google.com/spreadsheets/d/1-3Vjw2Cyy-mry5gbC8ypIR3YVGFfEpyFESummAta6sg/edit"", ""Sheet1!B:D""), 2, FALSE), ""Not Found"")"),"jɛs")</f>
        <v>jɛs</v>
      </c>
      <c r="E5677" s="2" t="str">
        <f>IFERROR(__xludf.DUMMYFUNCTION("IFERROR(VLOOKUP(A5677, IMPORTRANGE(""https://docs.google.com/spreadsheets/d/1-3Vjw2Cyy-mry5gbC8ypIR3YVGFfEpyFESummAta6sg/edit"", ""Sheet1!B:D""), 3, FALSE), ""Not Found"")"),"j ɛ s ")</f>
        <v>j ɛ s </v>
      </c>
    </row>
    <row r="5678">
      <c r="A5678" s="1" t="s">
        <v>5680</v>
      </c>
      <c r="B5678" s="1" t="s">
        <v>5</v>
      </c>
      <c r="C5678" s="2">
        <f>IFERROR(__xludf.DUMMYFUNCTION("IFERROR(VLOOKUP(A5678, IMPORTRANGE(""https://docs.google.com/spreadsheets/d/1AVX9GT0dgogEBStecCXMMQ29tWz3gBrtNB8yIromXbY/edit?gid=741673867"", ""out1g!A:B""), 2, FALSE), 0)"),48.0)</f>
        <v>48</v>
      </c>
      <c r="D5678" s="2" t="str">
        <f>IFERROR(__xludf.DUMMYFUNCTION("IFERROR(VLOOKUP(A5678, IMPORTRANGE(""https://docs.google.com/spreadsheets/d/1-3Vjw2Cyy-mry5gbC8ypIR3YVGFfEpyFESummAta6sg/edit"", ""Sheet1!B:D""), 2, FALSE), ""Not Found"")"),"maʊɪŋ")</f>
        <v>maʊɪŋ</v>
      </c>
      <c r="E5678" s="2" t="str">
        <f>IFERROR(__xludf.DUMMYFUNCTION("IFERROR(VLOOKUP(A5678, IMPORTRANGE(""https://docs.google.com/spreadsheets/d/1-3Vjw2Cyy-mry5gbC8ypIR3YVGFfEpyFESummAta6sg/edit"", ""Sheet1!B:D""), 3, FALSE), ""Not Found"")"),"m a ʊ ɪ ŋ ")</f>
        <v>m a ʊ ɪ ŋ </v>
      </c>
    </row>
    <row r="5679">
      <c r="A5679" s="1" t="s">
        <v>5681</v>
      </c>
      <c r="B5679" s="1" t="s">
        <v>5</v>
      </c>
      <c r="C5679" s="2">
        <f>IFERROR(__xludf.DUMMYFUNCTION("IFERROR(VLOOKUP(A5679, IMPORTRANGE(""https://docs.google.com/spreadsheets/d/1AVX9GT0dgogEBStecCXMMQ29tWz3gBrtNB8yIromXbY/edit?gid=741673867"", ""out1g!A:B""), 2, FALSE), 0)"),96.0)</f>
        <v>96</v>
      </c>
      <c r="D5679" s="2" t="str">
        <f>IFERROR(__xludf.DUMMYFUNCTION("IFERROR(VLOOKUP(A5679, IMPORTRANGE(""https://docs.google.com/spreadsheets/d/1-3Vjw2Cyy-mry5gbC8ypIR3YVGFfEpyFESummAta6sg/edit"", ""Sheet1!B:D""), 2, FALSE), ""Not Found"")"),"stətər")</f>
        <v>stətər</v>
      </c>
      <c r="E5679" s="2" t="str">
        <f>IFERROR(__xludf.DUMMYFUNCTION("IFERROR(VLOOKUP(A5679, IMPORTRANGE(""https://docs.google.com/spreadsheets/d/1-3Vjw2Cyy-mry5gbC8ypIR3YVGFfEpyFESummAta6sg/edit"", ""Sheet1!B:D""), 3, FALSE), ""Not Found"")"),"s t ə t ə r ")</f>
        <v>s t ə t ə r </v>
      </c>
    </row>
    <row r="5680">
      <c r="A5680" s="1" t="s">
        <v>5682</v>
      </c>
      <c r="B5680" s="1" t="s">
        <v>5</v>
      </c>
      <c r="C5680" s="2">
        <f>IFERROR(__xludf.DUMMYFUNCTION("IFERROR(VLOOKUP(A5680, IMPORTRANGE(""https://docs.google.com/spreadsheets/d/1AVX9GT0dgogEBStecCXMMQ29tWz3gBrtNB8yIromXbY/edit?gid=741673867"", ""out1g!A:B""), 2, FALSE), 0)"),135.0)</f>
        <v>135</v>
      </c>
      <c r="D5680" s="2" t="str">
        <f>IFERROR(__xludf.DUMMYFUNCTION("IFERROR(VLOOKUP(A5680, IMPORTRANGE(""https://docs.google.com/spreadsheets/d/1-3Vjw2Cyy-mry5gbC8ypIR3YVGFfEpyFESummAta6sg/edit"", ""Sheet1!B:D""), 2, FALSE), ""Not Found"")"),"goʊts")</f>
        <v>goʊts</v>
      </c>
      <c r="E5680" s="2" t="str">
        <f>IFERROR(__xludf.DUMMYFUNCTION("IFERROR(VLOOKUP(A5680, IMPORTRANGE(""https://docs.google.com/spreadsheets/d/1-3Vjw2Cyy-mry5gbC8ypIR3YVGFfEpyFESummAta6sg/edit"", ""Sheet1!B:D""), 3, FALSE), ""Not Found"")"),"g o ʊ t s ")</f>
        <v>g o ʊ t s </v>
      </c>
    </row>
    <row r="5681">
      <c r="A5681" s="1" t="s">
        <v>5683</v>
      </c>
      <c r="B5681" s="1" t="s">
        <v>5</v>
      </c>
      <c r="C5681" s="2">
        <f>IFERROR(__xludf.DUMMYFUNCTION("IFERROR(VLOOKUP(A5681, IMPORTRANGE(""https://docs.google.com/spreadsheets/d/1AVX9GT0dgogEBStecCXMMQ29tWz3gBrtNB8yIromXbY/edit?gid=741673867"", ""out1g!A:B""), 2, FALSE), 0)"),3782.0)</f>
        <v>3782</v>
      </c>
      <c r="D5681" s="2" t="str">
        <f>IFERROR(__xludf.DUMMYFUNCTION("IFERROR(VLOOKUP(A5681, IMPORTRANGE(""https://docs.google.com/spreadsheets/d/1-3Vjw2Cyy-mry5gbC8ypIR3YVGFfEpyFESummAta6sg/edit"", ""Sheet1!B:D""), 2, FALSE), ""Not Found"")"),"ʃuz")</f>
        <v>ʃuz</v>
      </c>
      <c r="E5681" s="2" t="str">
        <f>IFERROR(__xludf.DUMMYFUNCTION("IFERROR(VLOOKUP(A5681, IMPORTRANGE(""https://docs.google.com/spreadsheets/d/1-3Vjw2Cyy-mry5gbC8ypIR3YVGFfEpyFESummAta6sg/edit"", ""Sheet1!B:D""), 3, FALSE), ""Not Found"")"),"ʃ u z ")</f>
        <v>ʃ u z </v>
      </c>
    </row>
    <row r="5682">
      <c r="A5682" s="1" t="s">
        <v>5684</v>
      </c>
      <c r="B5682" s="1" t="s">
        <v>5</v>
      </c>
      <c r="C5682" s="2">
        <f>IFERROR(__xludf.DUMMYFUNCTION("IFERROR(VLOOKUP(A5682, IMPORTRANGE(""https://docs.google.com/spreadsheets/d/1AVX9GT0dgogEBStecCXMMQ29tWz3gBrtNB8yIromXbY/edit?gid=741673867"", ""out1g!A:B""), 2, FALSE), 0)"),73.0)</f>
        <v>73</v>
      </c>
      <c r="D5682" s="2" t="str">
        <f>IFERROR(__xludf.DUMMYFUNCTION("IFERROR(VLOOKUP(A5682, IMPORTRANGE(""https://docs.google.com/spreadsheets/d/1-3Vjw2Cyy-mry5gbC8ypIR3YVGFfEpyFESummAta6sg/edit"", ""Sheet1!B:D""), 2, FALSE), ""Not Found"")"),"klək")</f>
        <v>klək</v>
      </c>
      <c r="E5682" s="2" t="str">
        <f>IFERROR(__xludf.DUMMYFUNCTION("IFERROR(VLOOKUP(A5682, IMPORTRANGE(""https://docs.google.com/spreadsheets/d/1-3Vjw2Cyy-mry5gbC8ypIR3YVGFfEpyFESummAta6sg/edit"", ""Sheet1!B:D""), 3, FALSE), ""Not Found"")"),"k l ə k ")</f>
        <v>k l ə k </v>
      </c>
    </row>
    <row r="5683">
      <c r="A5683" s="1" t="s">
        <v>5685</v>
      </c>
      <c r="B5683" s="1" t="s">
        <v>5</v>
      </c>
      <c r="C5683" s="2">
        <f>IFERROR(__xludf.DUMMYFUNCTION("IFERROR(VLOOKUP(A5683, IMPORTRANGE(""https://docs.google.com/spreadsheets/d/1AVX9GT0dgogEBStecCXMMQ29tWz3gBrtNB8yIromXbY/edit?gid=741673867"", ""out1g!A:B""), 2, FALSE), 0)"),2184.0)</f>
        <v>2184</v>
      </c>
      <c r="D5683" s="2" t="str">
        <f>IFERROR(__xludf.DUMMYFUNCTION("IFERROR(VLOOKUP(A5683, IMPORTRANGE(""https://docs.google.com/spreadsheets/d/1-3Vjw2Cyy-mry5gbC8ypIR3YVGFfEpyFESummAta6sg/edit"", ""Sheet1!B:D""), 2, FALSE), ""Not Found"")"),"draɪ")</f>
        <v>draɪ</v>
      </c>
      <c r="E5683" s="2" t="str">
        <f>IFERROR(__xludf.DUMMYFUNCTION("IFERROR(VLOOKUP(A5683, IMPORTRANGE(""https://docs.google.com/spreadsheets/d/1-3Vjw2Cyy-mry5gbC8ypIR3YVGFfEpyFESummAta6sg/edit"", ""Sheet1!B:D""), 3, FALSE), ""Not Found"")"),"d r a ɪ ")</f>
        <v>d r a ɪ </v>
      </c>
    </row>
    <row r="5684">
      <c r="A5684" s="1" t="s">
        <v>5686</v>
      </c>
      <c r="B5684" s="1" t="s">
        <v>5</v>
      </c>
      <c r="C5684" s="2">
        <f>IFERROR(__xludf.DUMMYFUNCTION("IFERROR(VLOOKUP(A5684, IMPORTRANGE(""https://docs.google.com/spreadsheets/d/1AVX9GT0dgogEBStecCXMMQ29tWz3gBrtNB8yIromXbY/edit?gid=741673867"", ""out1g!A:B""), 2, FALSE), 0)"),46.0)</f>
        <v>46</v>
      </c>
      <c r="D5684" s="2" t="str">
        <f>IFERROR(__xludf.DUMMYFUNCTION("IFERROR(VLOOKUP(A5684, IMPORTRANGE(""https://docs.google.com/spreadsheets/d/1-3Vjw2Cyy-mry5gbC8ypIR3YVGFfEpyFESummAta6sg/edit"", ""Sheet1!B:D""), 2, FALSE), ""Not Found"")"),"faɪ")</f>
        <v>faɪ</v>
      </c>
      <c r="E5684" s="2" t="str">
        <f>IFERROR(__xludf.DUMMYFUNCTION("IFERROR(VLOOKUP(A5684, IMPORTRANGE(""https://docs.google.com/spreadsheets/d/1-3Vjw2Cyy-mry5gbC8ypIR3YVGFfEpyFESummAta6sg/edit"", ""Sheet1!B:D""), 3, FALSE), ""Not Found"")"),"f a ɪ ")</f>
        <v>f a ɪ </v>
      </c>
    </row>
    <row r="5685">
      <c r="A5685" s="1" t="s">
        <v>5687</v>
      </c>
      <c r="B5685" s="1" t="s">
        <v>5</v>
      </c>
      <c r="C5685" s="2">
        <f>IFERROR(__xludf.DUMMYFUNCTION("IFERROR(VLOOKUP(A5685, IMPORTRANGE(""https://docs.google.com/spreadsheets/d/1AVX9GT0dgogEBStecCXMMQ29tWz3gBrtNB8yIromXbY/edit?gid=741673867"", ""out1g!A:B""), 2, FALSE), 0)"),53.0)</f>
        <v>53</v>
      </c>
      <c r="D5685" s="2" t="str">
        <f>IFERROR(__xludf.DUMMYFUNCTION("IFERROR(VLOOKUP(A5685, IMPORTRANGE(""https://docs.google.com/spreadsheets/d/1-3Vjw2Cyy-mry5gbC8ypIR3YVGFfEpyFESummAta6sg/edit"", ""Sheet1!B:D""), 2, FALSE), ""Not Found"")"),"kæd")</f>
        <v>kæd</v>
      </c>
      <c r="E5685" s="2" t="str">
        <f>IFERROR(__xludf.DUMMYFUNCTION("IFERROR(VLOOKUP(A5685, IMPORTRANGE(""https://docs.google.com/spreadsheets/d/1-3Vjw2Cyy-mry5gbC8ypIR3YVGFfEpyFESummAta6sg/edit"", ""Sheet1!B:D""), 3, FALSE), ""Not Found"")"),"k æ d ")</f>
        <v>k æ d </v>
      </c>
    </row>
    <row r="5686">
      <c r="A5686" s="1" t="s">
        <v>5688</v>
      </c>
      <c r="B5686" s="1" t="s">
        <v>5</v>
      </c>
      <c r="C5686" s="2">
        <f>IFERROR(__xludf.DUMMYFUNCTION("IFERROR(VLOOKUP(A5686, IMPORTRANGE(""https://docs.google.com/spreadsheets/d/1AVX9GT0dgogEBStecCXMMQ29tWz3gBrtNB8yIromXbY/edit?gid=741673867"", ""out1g!A:B""), 2, FALSE), 0)"),254.0)</f>
        <v>254</v>
      </c>
      <c r="D5686" s="2" t="str">
        <f>IFERROR(__xludf.DUMMYFUNCTION("IFERROR(VLOOKUP(A5686, IMPORTRANGE(""https://docs.google.com/spreadsheets/d/1-3Vjw2Cyy-mry5gbC8ypIR3YVGFfEpyFESummAta6sg/edit"", ""Sheet1!B:D""), 2, FALSE), ""Not Found"")"),"ərb")</f>
        <v>ərb</v>
      </c>
      <c r="E5686" s="2" t="str">
        <f>IFERROR(__xludf.DUMMYFUNCTION("IFERROR(VLOOKUP(A5686, IMPORTRANGE(""https://docs.google.com/spreadsheets/d/1-3Vjw2Cyy-mry5gbC8ypIR3YVGFfEpyFESummAta6sg/edit"", ""Sheet1!B:D""), 3, FALSE), ""Not Found"")"),"ə r b ")</f>
        <v>ə r b </v>
      </c>
    </row>
    <row r="5687">
      <c r="A5687" s="1" t="s">
        <v>5689</v>
      </c>
      <c r="B5687" s="1" t="s">
        <v>5</v>
      </c>
      <c r="C5687" s="2">
        <f>IFERROR(__xludf.DUMMYFUNCTION("IFERROR(VLOOKUP(A5687, IMPORTRANGE(""https://docs.google.com/spreadsheets/d/1AVX9GT0dgogEBStecCXMMQ29tWz3gBrtNB8yIromXbY/edit?gid=741673867"", ""out1g!A:B""), 2, FALSE), 0)"),298.0)</f>
        <v>298</v>
      </c>
      <c r="D5687" s="2" t="str">
        <f>IFERROR(__xludf.DUMMYFUNCTION("IFERROR(VLOOKUP(A5687, IMPORTRANGE(""https://docs.google.com/spreadsheets/d/1-3Vjw2Cyy-mry5gbC8ypIR3YVGFfEpyFESummAta6sg/edit"", ""Sheet1!B:D""), 2, FALSE), ""Not Found"")"),"ʃevɪŋ")</f>
        <v>ʃevɪŋ</v>
      </c>
      <c r="E5687" s="2" t="str">
        <f>IFERROR(__xludf.DUMMYFUNCTION("IFERROR(VLOOKUP(A5687, IMPORTRANGE(""https://docs.google.com/spreadsheets/d/1-3Vjw2Cyy-mry5gbC8ypIR3YVGFfEpyFESummAta6sg/edit"", ""Sheet1!B:D""), 3, FALSE), ""Not Found"")"),"ʃ e v ɪ ŋ ")</f>
        <v>ʃ e v ɪ ŋ </v>
      </c>
    </row>
    <row r="5688">
      <c r="A5688" s="1" t="s">
        <v>5690</v>
      </c>
      <c r="B5688" s="1" t="s">
        <v>5</v>
      </c>
      <c r="C5688" s="2">
        <f>IFERROR(__xludf.DUMMYFUNCTION("IFERROR(VLOOKUP(A5688, IMPORTRANGE(""https://docs.google.com/spreadsheets/d/1AVX9GT0dgogEBStecCXMMQ29tWz3gBrtNB8yIromXbY/edit?gid=741673867"", ""out1g!A:B""), 2, FALSE), 0)"),75.0)</f>
        <v>75</v>
      </c>
      <c r="D5688" s="2" t="str">
        <f>IFERROR(__xludf.DUMMYFUNCTION("IFERROR(VLOOKUP(A5688, IMPORTRANGE(""https://docs.google.com/spreadsheets/d/1-3Vjw2Cyy-mry5gbC8ypIR3YVGFfEpyFESummAta6sg/edit"", ""Sheet1!B:D""), 2, FALSE), ""Not Found"")"),"fi")</f>
        <v>fi</v>
      </c>
      <c r="E5688" s="2" t="str">
        <f>IFERROR(__xludf.DUMMYFUNCTION("IFERROR(VLOOKUP(A5688, IMPORTRANGE(""https://docs.google.com/spreadsheets/d/1-3Vjw2Cyy-mry5gbC8ypIR3YVGFfEpyFESummAta6sg/edit"", ""Sheet1!B:D""), 3, FALSE), ""Not Found"")"),"f i ")</f>
        <v>f i </v>
      </c>
    </row>
    <row r="5689">
      <c r="A5689" s="1" t="s">
        <v>5691</v>
      </c>
      <c r="B5689" s="1" t="s">
        <v>5</v>
      </c>
      <c r="C5689" s="2">
        <f>IFERROR(__xludf.DUMMYFUNCTION("IFERROR(VLOOKUP(A5689, IMPORTRANGE(""https://docs.google.com/spreadsheets/d/1AVX9GT0dgogEBStecCXMMQ29tWz3gBrtNB8yIromXbY/edit?gid=741673867"", ""out1g!A:B""), 2, FALSE), 0)"),242.0)</f>
        <v>242</v>
      </c>
      <c r="D5689" s="2" t="str">
        <f>IFERROR(__xludf.DUMMYFUNCTION("IFERROR(VLOOKUP(A5689, IMPORTRANGE(""https://docs.google.com/spreadsheets/d/1-3Vjw2Cyy-mry5gbC8ypIR3YVGFfEpyFESummAta6sg/edit"", ""Sheet1!B:D""), 2, FALSE), ""Not Found"")"),"ʧifs")</f>
        <v>ʧifs</v>
      </c>
      <c r="E5689" s="2" t="str">
        <f>IFERROR(__xludf.DUMMYFUNCTION("IFERROR(VLOOKUP(A5689, IMPORTRANGE(""https://docs.google.com/spreadsheets/d/1-3Vjw2Cyy-mry5gbC8ypIR3YVGFfEpyFESummAta6sg/edit"", ""Sheet1!B:D""), 3, FALSE), ""Not Found"")"),"ʧ i f s ")</f>
        <v>ʧ i f s </v>
      </c>
    </row>
    <row r="5690">
      <c r="A5690" s="1" t="s">
        <v>5692</v>
      </c>
      <c r="B5690" s="1" t="s">
        <v>5</v>
      </c>
      <c r="C5690" s="2">
        <f>IFERROR(__xludf.DUMMYFUNCTION("IFERROR(VLOOKUP(A5690, IMPORTRANGE(""https://docs.google.com/spreadsheets/d/1AVX9GT0dgogEBStecCXMMQ29tWz3gBrtNB8yIromXbY/edit?gid=741673867"", ""out1g!A:B""), 2, FALSE), 0)"),56.0)</f>
        <v>56</v>
      </c>
      <c r="D5690" s="2" t="str">
        <f>IFERROR(__xludf.DUMMYFUNCTION("IFERROR(VLOOKUP(A5690, IMPORTRANGE(""https://docs.google.com/spreadsheets/d/1-3Vjw2Cyy-mry5gbC8ypIR3YVGFfEpyFESummAta6sg/edit"", ""Sheet1!B:D""), 2, FALSE), ""Not Found"")"),"rɔŋd")</f>
        <v>rɔŋd</v>
      </c>
      <c r="E5690" s="2" t="str">
        <f>IFERROR(__xludf.DUMMYFUNCTION("IFERROR(VLOOKUP(A5690, IMPORTRANGE(""https://docs.google.com/spreadsheets/d/1-3Vjw2Cyy-mry5gbC8ypIR3YVGFfEpyFESummAta6sg/edit"", ""Sheet1!B:D""), 3, FALSE), ""Not Found"")"),"r ɔ ŋ d ")</f>
        <v>r ɔ ŋ d </v>
      </c>
    </row>
    <row r="5691">
      <c r="A5691" s="1" t="s">
        <v>5693</v>
      </c>
      <c r="B5691" s="1" t="s">
        <v>5</v>
      </c>
      <c r="C5691" s="2">
        <f>IFERROR(__xludf.DUMMYFUNCTION("IFERROR(VLOOKUP(A5691, IMPORTRANGE(""https://docs.google.com/spreadsheets/d/1AVX9GT0dgogEBStecCXMMQ29tWz3gBrtNB8yIromXbY/edit?gid=741673867"", ""out1g!A:B""), 2, FALSE), 0)"),397.0)</f>
        <v>397</v>
      </c>
      <c r="D5691" s="2" t="str">
        <f>IFERROR(__xludf.DUMMYFUNCTION("IFERROR(VLOOKUP(A5691, IMPORTRANGE(""https://docs.google.com/spreadsheets/d/1-3Vjw2Cyy-mry5gbC8ypIR3YVGFfEpyFESummAta6sg/edit"", ""Sheet1!B:D""), 2, FALSE), ""Not Found"")"),"loʊ")</f>
        <v>loʊ</v>
      </c>
      <c r="E5691" s="2" t="str">
        <f>IFERROR(__xludf.DUMMYFUNCTION("IFERROR(VLOOKUP(A5691, IMPORTRANGE(""https://docs.google.com/spreadsheets/d/1-3Vjw2Cyy-mry5gbC8ypIR3YVGFfEpyFESummAta6sg/edit"", ""Sheet1!B:D""), 3, FALSE), ""Not Found"")"),"l o ʊ ")</f>
        <v>l o ʊ </v>
      </c>
    </row>
    <row r="5692">
      <c r="A5692" s="1" t="s">
        <v>5694</v>
      </c>
      <c r="B5692" s="1" t="s">
        <v>5</v>
      </c>
      <c r="C5692" s="2">
        <f>IFERROR(__xludf.DUMMYFUNCTION("IFERROR(VLOOKUP(A5692, IMPORTRANGE(""https://docs.google.com/spreadsheets/d/1AVX9GT0dgogEBStecCXMMQ29tWz3gBrtNB8yIromXbY/edit?gid=741673867"", ""out1g!A:B""), 2, FALSE), 0)"),1663.0)</f>
        <v>1663</v>
      </c>
      <c r="D5692" s="2" t="str">
        <f>IFERROR(__xludf.DUMMYFUNCTION("IFERROR(VLOOKUP(A5692, IMPORTRANGE(""https://docs.google.com/spreadsheets/d/1-3Vjw2Cyy-mry5gbC8ypIR3YVGFfEpyFESummAta6sg/edit"", ""Sheet1!B:D""), 2, FALSE), ""Not Found"")"),"ræt")</f>
        <v>ræt</v>
      </c>
      <c r="E5692" s="2" t="str">
        <f>IFERROR(__xludf.DUMMYFUNCTION("IFERROR(VLOOKUP(A5692, IMPORTRANGE(""https://docs.google.com/spreadsheets/d/1-3Vjw2Cyy-mry5gbC8ypIR3YVGFfEpyFESummAta6sg/edit"", ""Sheet1!B:D""), 3, FALSE), ""Not Found"")"),"r æ t ")</f>
        <v>r æ t </v>
      </c>
    </row>
    <row r="5693">
      <c r="A5693" s="1" t="s">
        <v>5695</v>
      </c>
      <c r="B5693" s="1" t="s">
        <v>5</v>
      </c>
      <c r="C5693" s="2">
        <f>IFERROR(__xludf.DUMMYFUNCTION("IFERROR(VLOOKUP(A5693, IMPORTRANGE(""https://docs.google.com/spreadsheets/d/1AVX9GT0dgogEBStecCXMMQ29tWz3gBrtNB8yIromXbY/edit?gid=741673867"", ""out1g!A:B""), 2, FALSE), 0)"),55.0)</f>
        <v>55</v>
      </c>
      <c r="D5693" s="2" t="str">
        <f>IFERROR(__xludf.DUMMYFUNCTION("IFERROR(VLOOKUP(A5693, IMPORTRANGE(""https://docs.google.com/spreadsheets/d/1-3Vjw2Cyy-mry5gbC8ypIR3YVGFfEpyFESummAta6sg/edit"", ""Sheet1!B:D""), 2, FALSE), ""Not Found"")"),"ɔɪŋk")</f>
        <v>ɔɪŋk</v>
      </c>
      <c r="E5693" s="2" t="str">
        <f>IFERROR(__xludf.DUMMYFUNCTION("IFERROR(VLOOKUP(A5693, IMPORTRANGE(""https://docs.google.com/spreadsheets/d/1-3Vjw2Cyy-mry5gbC8ypIR3YVGFfEpyFESummAta6sg/edit"", ""Sheet1!B:D""), 3, FALSE), ""Not Found"")"),"ɔ ɪ ŋ k ")</f>
        <v>ɔ ɪ ŋ k </v>
      </c>
    </row>
    <row r="5694">
      <c r="A5694" s="1" t="s">
        <v>5696</v>
      </c>
      <c r="B5694" s="1" t="s">
        <v>5</v>
      </c>
      <c r="C5694" s="2">
        <f>IFERROR(__xludf.DUMMYFUNCTION("IFERROR(VLOOKUP(A5694, IMPORTRANGE(""https://docs.google.com/spreadsheets/d/1AVX9GT0dgogEBStecCXMMQ29tWz3gBrtNB8yIromXbY/edit?gid=741673867"", ""out1g!A:B""), 2, FALSE), 0)"),107.0)</f>
        <v>107</v>
      </c>
      <c r="D5694" s="2" t="str">
        <f>IFERROR(__xludf.DUMMYFUNCTION("IFERROR(VLOOKUP(A5694, IMPORTRANGE(""https://docs.google.com/spreadsheets/d/1-3Vjw2Cyy-mry5gbC8ypIR3YVGFfEpyFESummAta6sg/edit"", ""Sheet1!B:D""), 2, FALSE), ""Not Found"")"),"ligz")</f>
        <v>ligz</v>
      </c>
      <c r="E5694" s="2" t="str">
        <f>IFERROR(__xludf.DUMMYFUNCTION("IFERROR(VLOOKUP(A5694, IMPORTRANGE(""https://docs.google.com/spreadsheets/d/1-3Vjw2Cyy-mry5gbC8ypIR3YVGFfEpyFESummAta6sg/edit"", ""Sheet1!B:D""), 3, FALSE), ""Not Found"")"),"l i g z ")</f>
        <v>l i g z </v>
      </c>
    </row>
    <row r="5695">
      <c r="A5695" s="1" t="s">
        <v>5697</v>
      </c>
      <c r="B5695" s="1" t="s">
        <v>5</v>
      </c>
      <c r="C5695" s="2">
        <f>IFERROR(__xludf.DUMMYFUNCTION("IFERROR(VLOOKUP(A5695, IMPORTRANGE(""https://docs.google.com/spreadsheets/d/1AVX9GT0dgogEBStecCXMMQ29tWz3gBrtNB8yIromXbY/edit?gid=741673867"", ""out1g!A:B""), 2, FALSE), 0)"),23.0)</f>
        <v>23</v>
      </c>
      <c r="D5695" s="2" t="str">
        <f>IFERROR(__xludf.DUMMYFUNCTION("IFERROR(VLOOKUP(A5695, IMPORTRANGE(""https://docs.google.com/spreadsheets/d/1-3Vjw2Cyy-mry5gbC8ypIR3YVGFfEpyFESummAta6sg/edit"", ""Sheet1!B:D""), 2, FALSE), ""Not Found"")"),"seər")</f>
        <v>seər</v>
      </c>
      <c r="E5695" s="2" t="str">
        <f>IFERROR(__xludf.DUMMYFUNCTION("IFERROR(VLOOKUP(A5695, IMPORTRANGE(""https://docs.google.com/spreadsheets/d/1-3Vjw2Cyy-mry5gbC8ypIR3YVGFfEpyFESummAta6sg/edit"", ""Sheet1!B:D""), 3, FALSE), ""Not Found"")"),"s e ə r ")</f>
        <v>s e ə r </v>
      </c>
    </row>
    <row r="5696">
      <c r="A5696" s="1" t="s">
        <v>5698</v>
      </c>
      <c r="B5696" s="1" t="s">
        <v>5</v>
      </c>
      <c r="C5696" s="2">
        <f>IFERROR(__xludf.DUMMYFUNCTION("IFERROR(VLOOKUP(A5696, IMPORTRANGE(""https://docs.google.com/spreadsheets/d/1AVX9GT0dgogEBStecCXMMQ29tWz3gBrtNB8yIromXbY/edit?gid=741673867"", ""out1g!A:B""), 2, FALSE), 0)"),255.0)</f>
        <v>255</v>
      </c>
      <c r="D5696" s="2" t="str">
        <f>IFERROR(__xludf.DUMMYFUNCTION("IFERROR(VLOOKUP(A5696, IMPORTRANGE(""https://docs.google.com/spreadsheets/d/1-3Vjw2Cyy-mry5gbC8ypIR3YVGFfEpyFESummAta6sg/edit"", ""Sheet1!B:D""), 2, FALSE), ""Not Found"")"),"klaɪmd")</f>
        <v>klaɪmd</v>
      </c>
      <c r="E5696" s="2" t="str">
        <f>IFERROR(__xludf.DUMMYFUNCTION("IFERROR(VLOOKUP(A5696, IMPORTRANGE(""https://docs.google.com/spreadsheets/d/1-3Vjw2Cyy-mry5gbC8ypIR3YVGFfEpyFESummAta6sg/edit"", ""Sheet1!B:D""), 3, FALSE), ""Not Found"")"),"k l a ɪ m d ")</f>
        <v>k l a ɪ m d </v>
      </c>
    </row>
    <row r="5697">
      <c r="A5697" s="1" t="s">
        <v>5699</v>
      </c>
      <c r="B5697" s="1" t="s">
        <v>5</v>
      </c>
      <c r="C5697" s="2">
        <f>IFERROR(__xludf.DUMMYFUNCTION("IFERROR(VLOOKUP(A5697, IMPORTRANGE(""https://docs.google.com/spreadsheets/d/1AVX9GT0dgogEBStecCXMMQ29tWz3gBrtNB8yIromXbY/edit?gid=741673867"", ""out1g!A:B""), 2, FALSE), 0)"),167.0)</f>
        <v>167</v>
      </c>
      <c r="D5697" s="2" t="str">
        <f>IFERROR(__xludf.DUMMYFUNCTION("IFERROR(VLOOKUP(A5697, IMPORTRANGE(""https://docs.google.com/spreadsheets/d/1-3Vjw2Cyy-mry5gbC8ypIR3YVGFfEpyFESummAta6sg/edit"", ""Sheet1!B:D""), 2, FALSE), ""Not Found"")"),"pɛrət")</f>
        <v>pɛrət</v>
      </c>
      <c r="E5697" s="2" t="str">
        <f>IFERROR(__xludf.DUMMYFUNCTION("IFERROR(VLOOKUP(A5697, IMPORTRANGE(""https://docs.google.com/spreadsheets/d/1-3Vjw2Cyy-mry5gbC8ypIR3YVGFfEpyFESummAta6sg/edit"", ""Sheet1!B:D""), 3, FALSE), ""Not Found"")"),"p ɛ r ə t ")</f>
        <v>p ɛ r ə t </v>
      </c>
    </row>
    <row r="5698">
      <c r="A5698" s="1" t="s">
        <v>5700</v>
      </c>
      <c r="B5698" s="1" t="s">
        <v>5</v>
      </c>
      <c r="C5698" s="2">
        <f>IFERROR(__xludf.DUMMYFUNCTION("IFERROR(VLOOKUP(A5698, IMPORTRANGE(""https://docs.google.com/spreadsheets/d/1AVX9GT0dgogEBStecCXMMQ29tWz3gBrtNB8yIromXbY/edit?gid=741673867"", ""out1g!A:B""), 2, FALSE), 0)"),311.0)</f>
        <v>311</v>
      </c>
      <c r="D5698" s="2" t="str">
        <f>IFERROR(__xludf.DUMMYFUNCTION("IFERROR(VLOOKUP(A5698, IMPORTRANGE(""https://docs.google.com/spreadsheets/d/1-3Vjw2Cyy-mry5gbC8ypIR3YVGFfEpyFESummAta6sg/edit"", ""Sheet1!B:D""), 2, FALSE), ""Not Found"")"),"væst")</f>
        <v>væst</v>
      </c>
      <c r="E5698" s="2" t="str">
        <f>IFERROR(__xludf.DUMMYFUNCTION("IFERROR(VLOOKUP(A5698, IMPORTRANGE(""https://docs.google.com/spreadsheets/d/1-3Vjw2Cyy-mry5gbC8ypIR3YVGFfEpyFESummAta6sg/edit"", ""Sheet1!B:D""), 3, FALSE), ""Not Found"")"),"v æ s t ")</f>
        <v>v æ s t </v>
      </c>
    </row>
    <row r="5699">
      <c r="A5699" s="1" t="s">
        <v>5701</v>
      </c>
      <c r="B5699" s="1" t="s">
        <v>5</v>
      </c>
      <c r="C5699" s="2">
        <f>IFERROR(__xludf.DUMMYFUNCTION("IFERROR(VLOOKUP(A5699, IMPORTRANGE(""https://docs.google.com/spreadsheets/d/1AVX9GT0dgogEBStecCXMMQ29tWz3gBrtNB8yIromXbY/edit?gid=741673867"", ""out1g!A:B""), 2, FALSE), 0)"),138.0)</f>
        <v>138</v>
      </c>
      <c r="D5699" s="2" t="str">
        <f>IFERROR(__xludf.DUMMYFUNCTION("IFERROR(VLOOKUP(A5699, IMPORTRANGE(""https://docs.google.com/spreadsheets/d/1-3Vjw2Cyy-mry5gbC8ypIR3YVGFfEpyFESummAta6sg/edit"", ""Sheet1!B:D""), 2, FALSE), ""Not Found"")"),"skwɛrz")</f>
        <v>skwɛrz</v>
      </c>
      <c r="E5699" s="2" t="str">
        <f>IFERROR(__xludf.DUMMYFUNCTION("IFERROR(VLOOKUP(A5699, IMPORTRANGE(""https://docs.google.com/spreadsheets/d/1-3Vjw2Cyy-mry5gbC8ypIR3YVGFfEpyFESummAta6sg/edit"", ""Sheet1!B:D""), 3, FALSE), ""Not Found"")"),"s k w ɛ r z ")</f>
        <v>s k w ɛ r z </v>
      </c>
    </row>
    <row r="5700">
      <c r="A5700" s="1" t="s">
        <v>5702</v>
      </c>
      <c r="B5700" s="1" t="s">
        <v>5</v>
      </c>
      <c r="C5700" s="2">
        <f>IFERROR(__xludf.DUMMYFUNCTION("IFERROR(VLOOKUP(A5700, IMPORTRANGE(""https://docs.google.com/spreadsheets/d/1AVX9GT0dgogEBStecCXMMQ29tWz3gBrtNB8yIromXbY/edit?gid=741673867"", ""out1g!A:B""), 2, FALSE), 0)"),82.0)</f>
        <v>82</v>
      </c>
      <c r="D5700" s="2" t="str">
        <f>IFERROR(__xludf.DUMMYFUNCTION("IFERROR(VLOOKUP(A5700, IMPORTRANGE(""https://docs.google.com/spreadsheets/d/1-3Vjw2Cyy-mry5gbC8ypIR3YVGFfEpyFESummAta6sg/edit"", ""Sheet1!B:D""), 2, FALSE), ""Not Found"")"),"ərbəl")</f>
        <v>ərbəl</v>
      </c>
      <c r="E5700" s="2" t="str">
        <f>IFERROR(__xludf.DUMMYFUNCTION("IFERROR(VLOOKUP(A5700, IMPORTRANGE(""https://docs.google.com/spreadsheets/d/1-3Vjw2Cyy-mry5gbC8ypIR3YVGFfEpyFESummAta6sg/edit"", ""Sheet1!B:D""), 3, FALSE), ""Not Found"")"),"ə r b ə l ")</f>
        <v>ə r b ə l </v>
      </c>
    </row>
    <row r="5701">
      <c r="A5701" s="1" t="s">
        <v>5703</v>
      </c>
      <c r="B5701" s="1" t="s">
        <v>5</v>
      </c>
      <c r="C5701" s="2">
        <f>IFERROR(__xludf.DUMMYFUNCTION("IFERROR(VLOOKUP(A5701, IMPORTRANGE(""https://docs.google.com/spreadsheets/d/1AVX9GT0dgogEBStecCXMMQ29tWz3gBrtNB8yIromXbY/edit?gid=741673867"", ""out1g!A:B""), 2, FALSE), 0)"),485.0)</f>
        <v>485</v>
      </c>
      <c r="D5701" s="2" t="str">
        <f>IFERROR(__xludf.DUMMYFUNCTION("IFERROR(VLOOKUP(A5701, IMPORTRANGE(""https://docs.google.com/spreadsheets/d/1-3Vjw2Cyy-mry5gbC8ypIR3YVGFfEpyFESummAta6sg/edit"", ""Sheet1!B:D""), 2, FALSE), ""Not Found"")"),"ɛn")</f>
        <v>ɛn</v>
      </c>
      <c r="E5701" s="2" t="str">
        <f>IFERROR(__xludf.DUMMYFUNCTION("IFERROR(VLOOKUP(A5701, IMPORTRANGE(""https://docs.google.com/spreadsheets/d/1-3Vjw2Cyy-mry5gbC8ypIR3YVGFfEpyFESummAta6sg/edit"", ""Sheet1!B:D""), 3, FALSE), ""Not Found"")"),"ɛ n ")</f>
        <v>ɛ n </v>
      </c>
    </row>
    <row r="5702">
      <c r="A5702" s="1" t="s">
        <v>5704</v>
      </c>
      <c r="B5702" s="1" t="s">
        <v>5</v>
      </c>
      <c r="C5702" s="2">
        <f>IFERROR(__xludf.DUMMYFUNCTION("IFERROR(VLOOKUP(A5702, IMPORTRANGE(""https://docs.google.com/spreadsheets/d/1AVX9GT0dgogEBStecCXMMQ29tWz3gBrtNB8yIromXbY/edit?gid=741673867"", ""out1g!A:B""), 2, FALSE), 0)"),3678.0)</f>
        <v>3678</v>
      </c>
      <c r="D5702" s="2" t="str">
        <f>IFERROR(__xludf.DUMMYFUNCTION("IFERROR(VLOOKUP(A5702, IMPORTRANGE(""https://docs.google.com/spreadsheets/d/1-3Vjw2Cyy-mry5gbC8ypIR3YVGFfEpyFESummAta6sg/edit"", ""Sheet1!B:D""), 2, FALSE), ""Not Found"")"),"pɑrk")</f>
        <v>pɑrk</v>
      </c>
      <c r="E5702" s="2" t="str">
        <f>IFERROR(__xludf.DUMMYFUNCTION("IFERROR(VLOOKUP(A5702, IMPORTRANGE(""https://docs.google.com/spreadsheets/d/1-3Vjw2Cyy-mry5gbC8ypIR3YVGFfEpyFESummAta6sg/edit"", ""Sheet1!B:D""), 3, FALSE), ""Not Found"")"),"p ɑ r k ")</f>
        <v>p ɑ r k </v>
      </c>
    </row>
    <row r="5703">
      <c r="A5703" s="1" t="s">
        <v>5705</v>
      </c>
      <c r="B5703" s="1" t="s">
        <v>5</v>
      </c>
      <c r="C5703" s="2">
        <f>IFERROR(__xludf.DUMMYFUNCTION("IFERROR(VLOOKUP(A5703, IMPORTRANGE(""https://docs.google.com/spreadsheets/d/1AVX9GT0dgogEBStecCXMMQ29tWz3gBrtNB8yIromXbY/edit?gid=741673867"", ""out1g!A:B""), 2, FALSE), 0)"),273.0)</f>
        <v>273</v>
      </c>
      <c r="D5703" s="2" t="str">
        <f>IFERROR(__xludf.DUMMYFUNCTION("IFERROR(VLOOKUP(A5703, IMPORTRANGE(""https://docs.google.com/spreadsheets/d/1-3Vjw2Cyy-mry5gbC8ypIR3YVGFfEpyFESummAta6sg/edit"", ""Sheet1!B:D""), 2, FALSE), ""Not Found"")"),"pil")</f>
        <v>pil</v>
      </c>
      <c r="E5703" s="2" t="str">
        <f>IFERROR(__xludf.DUMMYFUNCTION("IFERROR(VLOOKUP(A5703, IMPORTRANGE(""https://docs.google.com/spreadsheets/d/1-3Vjw2Cyy-mry5gbC8ypIR3YVGFfEpyFESummAta6sg/edit"", ""Sheet1!B:D""), 3, FALSE), ""Not Found"")"),"p i l ")</f>
        <v>p i l </v>
      </c>
    </row>
    <row r="5704">
      <c r="A5704" s="1" t="s">
        <v>5706</v>
      </c>
      <c r="B5704" s="1" t="s">
        <v>5</v>
      </c>
      <c r="C5704" s="2">
        <f>IFERROR(__xludf.DUMMYFUNCTION("IFERROR(VLOOKUP(A5704, IMPORTRANGE(""https://docs.google.com/spreadsheets/d/1AVX9GT0dgogEBStecCXMMQ29tWz3gBrtNB8yIromXbY/edit?gid=741673867"", ""out1g!A:B""), 2, FALSE), 0)"),350.0)</f>
        <v>350</v>
      </c>
      <c r="D5704" s="2" t="str">
        <f>IFERROR(__xludf.DUMMYFUNCTION("IFERROR(VLOOKUP(A5704, IMPORTRANGE(""https://docs.google.com/spreadsheets/d/1-3Vjw2Cyy-mry5gbC8ypIR3YVGFfEpyFESummAta6sg/edit"", ""Sheet1!B:D""), 2, FALSE), ""Not Found"")"),"kənt")</f>
        <v>kənt</v>
      </c>
      <c r="E5704" s="2" t="str">
        <f>IFERROR(__xludf.DUMMYFUNCTION("IFERROR(VLOOKUP(A5704, IMPORTRANGE(""https://docs.google.com/spreadsheets/d/1-3Vjw2Cyy-mry5gbC8ypIR3YVGFfEpyFESummAta6sg/edit"", ""Sheet1!B:D""), 3, FALSE), ""Not Found"")"),"k ə n t ")</f>
        <v>k ə n t </v>
      </c>
    </row>
    <row r="5705">
      <c r="A5705" s="1" t="s">
        <v>5707</v>
      </c>
      <c r="B5705" s="1" t="s">
        <v>5</v>
      </c>
      <c r="C5705" s="2">
        <f>IFERROR(__xludf.DUMMYFUNCTION("IFERROR(VLOOKUP(A5705, IMPORTRANGE(""https://docs.google.com/spreadsheets/d/1AVX9GT0dgogEBStecCXMMQ29tWz3gBrtNB8yIromXbY/edit?gid=741673867"", ""out1g!A:B""), 2, FALSE), 0)"),115.0)</f>
        <v>115</v>
      </c>
      <c r="D5705" s="2" t="str">
        <f>IFERROR(__xludf.DUMMYFUNCTION("IFERROR(VLOOKUP(A5705, IMPORTRANGE(""https://docs.google.com/spreadsheets/d/1-3Vjw2Cyy-mry5gbC8ypIR3YVGFfEpyFESummAta6sg/edit"", ""Sheet1!B:D""), 2, FALSE), ""Not Found"")"),"mudi")</f>
        <v>mudi</v>
      </c>
      <c r="E5705" s="2" t="str">
        <f>IFERROR(__xludf.DUMMYFUNCTION("IFERROR(VLOOKUP(A5705, IMPORTRANGE(""https://docs.google.com/spreadsheets/d/1-3Vjw2Cyy-mry5gbC8ypIR3YVGFfEpyFESummAta6sg/edit"", ""Sheet1!B:D""), 3, FALSE), ""Not Found"")"),"m u d i ")</f>
        <v>m u d i </v>
      </c>
    </row>
    <row r="5706">
      <c r="A5706" s="1" t="s">
        <v>5708</v>
      </c>
      <c r="B5706" s="1" t="s">
        <v>5</v>
      </c>
      <c r="C5706" s="2">
        <f>IFERROR(__xludf.DUMMYFUNCTION("IFERROR(VLOOKUP(A5706, IMPORTRANGE(""https://docs.google.com/spreadsheets/d/1AVX9GT0dgogEBStecCXMMQ29tWz3gBrtNB8yIromXbY/edit?gid=741673867"", ""out1g!A:B""), 2, FALSE), 0)"),225.0)</f>
        <v>225</v>
      </c>
      <c r="D5706" s="2" t="str">
        <f>IFERROR(__xludf.DUMMYFUNCTION("IFERROR(VLOOKUP(A5706, IMPORTRANGE(""https://docs.google.com/spreadsheets/d/1-3Vjw2Cyy-mry5gbC8ypIR3YVGFfEpyFESummAta6sg/edit"", ""Sheet1!B:D""), 2, FALSE), ""Not Found"")"),"blækaʊt")</f>
        <v>blækaʊt</v>
      </c>
      <c r="E5706" s="2" t="str">
        <f>IFERROR(__xludf.DUMMYFUNCTION("IFERROR(VLOOKUP(A5706, IMPORTRANGE(""https://docs.google.com/spreadsheets/d/1-3Vjw2Cyy-mry5gbC8ypIR3YVGFfEpyFESummAta6sg/edit"", ""Sheet1!B:D""), 3, FALSE), ""Not Found"")"),"b l æ k a ʊ t ")</f>
        <v>b l æ k a ʊ t </v>
      </c>
    </row>
    <row r="5707">
      <c r="A5707" s="1" t="s">
        <v>5709</v>
      </c>
      <c r="B5707" s="1" t="s">
        <v>5</v>
      </c>
      <c r="C5707" s="2">
        <f>IFERROR(__xludf.DUMMYFUNCTION("IFERROR(VLOOKUP(A5707, IMPORTRANGE(""https://docs.google.com/spreadsheets/d/1AVX9GT0dgogEBStecCXMMQ29tWz3gBrtNB8yIromXbY/edit?gid=741673867"", ""out1g!A:B""), 2, FALSE), 0)"),11071.0)</f>
        <v>11071</v>
      </c>
      <c r="D5707" s="2" t="str">
        <f>IFERROR(__xludf.DUMMYFUNCTION("IFERROR(VLOOKUP(A5707, IMPORTRANGE(""https://docs.google.com/spreadsheets/d/1-3Vjw2Cyy-mry5gbC8ypIR3YVGFfEpyFESummAta6sg/edit"", ""Sheet1!B:D""), 2, FALSE), ""Not Found"")"),"ledi")</f>
        <v>ledi</v>
      </c>
      <c r="E5707" s="2" t="str">
        <f>IFERROR(__xludf.DUMMYFUNCTION("IFERROR(VLOOKUP(A5707, IMPORTRANGE(""https://docs.google.com/spreadsheets/d/1-3Vjw2Cyy-mry5gbC8ypIR3YVGFfEpyFESummAta6sg/edit"", ""Sheet1!B:D""), 3, FALSE), ""Not Found"")"),"l e d i ")</f>
        <v>l e d i </v>
      </c>
    </row>
    <row r="5708">
      <c r="A5708" s="1" t="s">
        <v>5710</v>
      </c>
      <c r="B5708" s="1" t="s">
        <v>5</v>
      </c>
      <c r="C5708" s="2">
        <f>IFERROR(__xludf.DUMMYFUNCTION("IFERROR(VLOOKUP(A5708, IMPORTRANGE(""https://docs.google.com/spreadsheets/d/1AVX9GT0dgogEBStecCXMMQ29tWz3gBrtNB8yIromXbY/edit?gid=741673867"", ""out1g!A:B""), 2, FALSE), 0)"),313.0)</f>
        <v>313</v>
      </c>
      <c r="D5708" s="2" t="str">
        <f>IFERROR(__xludf.DUMMYFUNCTION("IFERROR(VLOOKUP(A5708, IMPORTRANGE(""https://docs.google.com/spreadsheets/d/1-3Vjw2Cyy-mry5gbC8ypIR3YVGFfEpyFESummAta6sg/edit"", ""Sheet1!B:D""), 2, FALSE), ""Not Found"")"),"swɪŋɪŋ")</f>
        <v>swɪŋɪŋ</v>
      </c>
      <c r="E5708" s="2" t="str">
        <f>IFERROR(__xludf.DUMMYFUNCTION("IFERROR(VLOOKUP(A5708, IMPORTRANGE(""https://docs.google.com/spreadsheets/d/1-3Vjw2Cyy-mry5gbC8ypIR3YVGFfEpyFESummAta6sg/edit"", ""Sheet1!B:D""), 3, FALSE), ""Not Found"")"),"s w ɪ ŋ ɪ ŋ ")</f>
        <v>s w ɪ ŋ ɪ ŋ </v>
      </c>
    </row>
    <row r="5709">
      <c r="A5709" s="1" t="s">
        <v>5711</v>
      </c>
      <c r="B5709" s="1" t="s">
        <v>5</v>
      </c>
      <c r="C5709" s="2">
        <f>IFERROR(__xludf.DUMMYFUNCTION("IFERROR(VLOOKUP(A5709, IMPORTRANGE(""https://docs.google.com/spreadsheets/d/1AVX9GT0dgogEBStecCXMMQ29tWz3gBrtNB8yIromXbY/edit?gid=741673867"", ""out1g!A:B""), 2, FALSE), 0)"),6166.0)</f>
        <v>6166</v>
      </c>
      <c r="D5709" s="2" t="str">
        <f>IFERROR(__xludf.DUMMYFUNCTION("IFERROR(VLOOKUP(A5709, IMPORTRANGE(""https://docs.google.com/spreadsheets/d/1-3Vjw2Cyy-mry5gbC8ypIR3YVGFfEpyFESummAta6sg/edit"", ""Sheet1!B:D""), 2, FALSE), ""Not Found"")"),"lʊkt")</f>
        <v>lʊkt</v>
      </c>
      <c r="E5709" s="2" t="str">
        <f>IFERROR(__xludf.DUMMYFUNCTION("IFERROR(VLOOKUP(A5709, IMPORTRANGE(""https://docs.google.com/spreadsheets/d/1-3Vjw2Cyy-mry5gbC8ypIR3YVGFfEpyFESummAta6sg/edit"", ""Sheet1!B:D""), 3, FALSE), ""Not Found"")"),"l ʊ k t ")</f>
        <v>l ʊ k t </v>
      </c>
    </row>
    <row r="5710">
      <c r="A5710" s="1" t="s">
        <v>5712</v>
      </c>
      <c r="B5710" s="1" t="s">
        <v>5</v>
      </c>
      <c r="C5710" s="2">
        <f>IFERROR(__xludf.DUMMYFUNCTION("IFERROR(VLOOKUP(A5710, IMPORTRANGE(""https://docs.google.com/spreadsheets/d/1AVX9GT0dgogEBStecCXMMQ29tWz3gBrtNB8yIromXbY/edit?gid=741673867"", ""out1g!A:B""), 2, FALSE), 0)"),548.0)</f>
        <v>548</v>
      </c>
      <c r="D5710" s="2" t="str">
        <f>IFERROR(__xludf.DUMMYFUNCTION("IFERROR(VLOOKUP(A5710, IMPORTRANGE(""https://docs.google.com/spreadsheets/d/1-3Vjw2Cyy-mry5gbC8ypIR3YVGFfEpyFESummAta6sg/edit"", ""Sheet1!B:D""), 2, FALSE), ""Not Found"")"),"fesɪŋ")</f>
        <v>fesɪŋ</v>
      </c>
      <c r="E5710" s="2" t="str">
        <f>IFERROR(__xludf.DUMMYFUNCTION("IFERROR(VLOOKUP(A5710, IMPORTRANGE(""https://docs.google.com/spreadsheets/d/1-3Vjw2Cyy-mry5gbC8ypIR3YVGFfEpyFESummAta6sg/edit"", ""Sheet1!B:D""), 3, FALSE), ""Not Found"")"),"f e s ɪ ŋ ")</f>
        <v>f e s ɪ ŋ </v>
      </c>
    </row>
    <row r="5711">
      <c r="A5711" s="1" t="s">
        <v>5713</v>
      </c>
      <c r="B5711" s="1" t="s">
        <v>5</v>
      </c>
      <c r="C5711" s="2">
        <f>IFERROR(__xludf.DUMMYFUNCTION("IFERROR(VLOOKUP(A5711, IMPORTRANGE(""https://docs.google.com/spreadsheets/d/1AVX9GT0dgogEBStecCXMMQ29tWz3gBrtNB8yIromXbY/edit?gid=741673867"", ""out1g!A:B""), 2, FALSE), 0)"),125.0)</f>
        <v>125</v>
      </c>
      <c r="D5711" s="2" t="str">
        <f>IFERROR(__xludf.DUMMYFUNCTION("IFERROR(VLOOKUP(A5711, IMPORTRANGE(""https://docs.google.com/spreadsheets/d/1-3Vjw2Cyy-mry5gbC8ypIR3YVGFfEpyFESummAta6sg/edit"", ""Sheet1!B:D""), 2, FALSE), ""Not Found"")"),"hɔrəd")</f>
        <v>hɔrəd</v>
      </c>
      <c r="E5711" s="2" t="str">
        <f>IFERROR(__xludf.DUMMYFUNCTION("IFERROR(VLOOKUP(A5711, IMPORTRANGE(""https://docs.google.com/spreadsheets/d/1-3Vjw2Cyy-mry5gbC8ypIR3YVGFfEpyFESummAta6sg/edit"", ""Sheet1!B:D""), 3, FALSE), ""Not Found"")"),"h ɔ r ə d ")</f>
        <v>h ɔ r ə d </v>
      </c>
    </row>
    <row r="5712">
      <c r="A5712" s="1" t="s">
        <v>5714</v>
      </c>
      <c r="B5712" s="1" t="s">
        <v>5</v>
      </c>
      <c r="C5712" s="2">
        <f>IFERROR(__xludf.DUMMYFUNCTION("IFERROR(VLOOKUP(A5712, IMPORTRANGE(""https://docs.google.com/spreadsheets/d/1AVX9GT0dgogEBStecCXMMQ29tWz3gBrtNB8yIromXbY/edit?gid=741673867"", ""out1g!A:B""), 2, FALSE), 0)"),189.0)</f>
        <v>189</v>
      </c>
      <c r="D5712" s="2" t="str">
        <f>IFERROR(__xludf.DUMMYFUNCTION("IFERROR(VLOOKUP(A5712, IMPORTRANGE(""https://docs.google.com/spreadsheets/d/1-3Vjw2Cyy-mry5gbC8ypIR3YVGFfEpyFESummAta6sg/edit"", ""Sheet1!B:D""), 2, FALSE), ""Not Found"")"),"leər")</f>
        <v>leər</v>
      </c>
      <c r="E5712" s="2" t="str">
        <f>IFERROR(__xludf.DUMMYFUNCTION("IFERROR(VLOOKUP(A5712, IMPORTRANGE(""https://docs.google.com/spreadsheets/d/1-3Vjw2Cyy-mry5gbC8ypIR3YVGFfEpyFESummAta6sg/edit"", ""Sheet1!B:D""), 3, FALSE), ""Not Found"")"),"l e ə r ")</f>
        <v>l e ə r </v>
      </c>
    </row>
    <row r="5713">
      <c r="A5713" s="1" t="s">
        <v>5715</v>
      </c>
      <c r="B5713" s="1" t="s">
        <v>5</v>
      </c>
      <c r="C5713" s="2">
        <f>IFERROR(__xludf.DUMMYFUNCTION("IFERROR(VLOOKUP(A5713, IMPORTRANGE(""https://docs.google.com/spreadsheets/d/1AVX9GT0dgogEBStecCXMMQ29tWz3gBrtNB8yIromXbY/edit?gid=741673867"", ""out1g!A:B""), 2, FALSE), 0)"),62.0)</f>
        <v>62</v>
      </c>
      <c r="D5713" s="2" t="str">
        <f>IFERROR(__xludf.DUMMYFUNCTION("IFERROR(VLOOKUP(A5713, IMPORTRANGE(""https://docs.google.com/spreadsheets/d/1-3Vjw2Cyy-mry5gbC8ypIR3YVGFfEpyFESummAta6sg/edit"", ""Sheet1!B:D""), 2, FALSE), ""Not Found"")"),"sɔsi")</f>
        <v>sɔsi</v>
      </c>
      <c r="E5713" s="2" t="str">
        <f>IFERROR(__xludf.DUMMYFUNCTION("IFERROR(VLOOKUP(A5713, IMPORTRANGE(""https://docs.google.com/spreadsheets/d/1-3Vjw2Cyy-mry5gbC8ypIR3YVGFfEpyFESummAta6sg/edit"", ""Sheet1!B:D""), 3, FALSE), ""Not Found"")"),"s ɔ s i ")</f>
        <v>s ɔ s i </v>
      </c>
    </row>
    <row r="5714">
      <c r="A5714" s="1" t="s">
        <v>5716</v>
      </c>
      <c r="B5714" s="1" t="s">
        <v>5</v>
      </c>
      <c r="C5714" s="2">
        <f>IFERROR(__xludf.DUMMYFUNCTION("IFERROR(VLOOKUP(A5714, IMPORTRANGE(""https://docs.google.com/spreadsheets/d/1AVX9GT0dgogEBStecCXMMQ29tWz3gBrtNB8yIromXbY/edit?gid=741673867"", ""out1g!A:B""), 2, FALSE), 0)"),253.0)</f>
        <v>253</v>
      </c>
      <c r="D5714" s="2" t="str">
        <f>IFERROR(__xludf.DUMMYFUNCTION("IFERROR(VLOOKUP(A5714, IMPORTRANGE(""https://docs.google.com/spreadsheets/d/1-3Vjw2Cyy-mry5gbC8ypIR3YVGFfEpyFESummAta6sg/edit"", ""Sheet1!B:D""), 2, FALSE), ""Not Found"")"),"flɪpt")</f>
        <v>flɪpt</v>
      </c>
      <c r="E5714" s="2" t="str">
        <f>IFERROR(__xludf.DUMMYFUNCTION("IFERROR(VLOOKUP(A5714, IMPORTRANGE(""https://docs.google.com/spreadsheets/d/1-3Vjw2Cyy-mry5gbC8ypIR3YVGFfEpyFESummAta6sg/edit"", ""Sheet1!B:D""), 3, FALSE), ""Not Found"")"),"f l ɪ p t ")</f>
        <v>f l ɪ p t </v>
      </c>
    </row>
    <row r="5715">
      <c r="A5715" s="1" t="s">
        <v>5717</v>
      </c>
      <c r="B5715" s="1" t="s">
        <v>5</v>
      </c>
      <c r="C5715" s="2">
        <f>IFERROR(__xludf.DUMMYFUNCTION("IFERROR(VLOOKUP(A5715, IMPORTRANGE(""https://docs.google.com/spreadsheets/d/1AVX9GT0dgogEBStecCXMMQ29tWz3gBrtNB8yIromXbY/edit?gid=741673867"", ""out1g!A:B""), 2, FALSE), 0)"),294.0)</f>
        <v>294</v>
      </c>
      <c r="D5715" s="2" t="str">
        <f>IFERROR(__xludf.DUMMYFUNCTION("IFERROR(VLOOKUP(A5715, IMPORTRANGE(""https://docs.google.com/spreadsheets/d/1-3Vjw2Cyy-mry5gbC8ypIR3YVGFfEpyFESummAta6sg/edit"", ""Sheet1!B:D""), 2, FALSE), ""Not Found"")"),"tk")</f>
        <v>tk</v>
      </c>
      <c r="E5715" s="2" t="str">
        <f>IFERROR(__xludf.DUMMYFUNCTION("IFERROR(VLOOKUP(A5715, IMPORTRANGE(""https://docs.google.com/spreadsheets/d/1-3Vjw2Cyy-mry5gbC8ypIR3YVGFfEpyFESummAta6sg/edit"", ""Sheet1!B:D""), 3, FALSE), ""Not Found"")"),"t k ")</f>
        <v>t k </v>
      </c>
    </row>
    <row r="5716">
      <c r="A5716" s="1" t="s">
        <v>5718</v>
      </c>
      <c r="B5716" s="1" t="s">
        <v>5</v>
      </c>
      <c r="C5716" s="2">
        <f>IFERROR(__xludf.DUMMYFUNCTION("IFERROR(VLOOKUP(A5716, IMPORTRANGE(""https://docs.google.com/spreadsheets/d/1AVX9GT0dgogEBStecCXMMQ29tWz3gBrtNB8yIromXbY/edit?gid=741673867"", ""out1g!A:B""), 2, FALSE), 0)"),880.0)</f>
        <v>880</v>
      </c>
      <c r="D5716" s="2" t="str">
        <f>IFERROR(__xludf.DUMMYFUNCTION("IFERROR(VLOOKUP(A5716, IMPORTRANGE(""https://docs.google.com/spreadsheets/d/1-3Vjw2Cyy-mry5gbC8ypIR3YVGFfEpyFESummAta6sg/edit"", ""Sheet1!B:D""), 2, FALSE), ""Not Found"")"),"fʊli")</f>
        <v>fʊli</v>
      </c>
      <c r="E5716" s="2" t="str">
        <f>IFERROR(__xludf.DUMMYFUNCTION("IFERROR(VLOOKUP(A5716, IMPORTRANGE(""https://docs.google.com/spreadsheets/d/1-3Vjw2Cyy-mry5gbC8ypIR3YVGFfEpyFESummAta6sg/edit"", ""Sheet1!B:D""), 3, FALSE), ""Not Found"")"),"f ʊ l i ")</f>
        <v>f ʊ l i </v>
      </c>
    </row>
    <row r="5717">
      <c r="A5717" s="1" t="s">
        <v>5719</v>
      </c>
      <c r="B5717" s="1" t="s">
        <v>5</v>
      </c>
      <c r="C5717" s="2">
        <f>IFERROR(__xludf.DUMMYFUNCTION("IFERROR(VLOOKUP(A5717, IMPORTRANGE(""https://docs.google.com/spreadsheets/d/1AVX9GT0dgogEBStecCXMMQ29tWz3gBrtNB8yIromXbY/edit?gid=741673867"", ""out1g!A:B""), 2, FALSE), 0)"),379.0)</f>
        <v>379</v>
      </c>
      <c r="D5717" s="2" t="str">
        <f>IFERROR(__xludf.DUMMYFUNCTION("IFERROR(VLOOKUP(A5717, IMPORTRANGE(""https://docs.google.com/spreadsheets/d/1-3Vjw2Cyy-mry5gbC8ypIR3YVGFfEpyFESummAta6sg/edit"", ""Sheet1!B:D""), 2, FALSE), ""Not Found"")"),"rɪsit")</f>
        <v>rɪsit</v>
      </c>
      <c r="E5717" s="2" t="str">
        <f>IFERROR(__xludf.DUMMYFUNCTION("IFERROR(VLOOKUP(A5717, IMPORTRANGE(""https://docs.google.com/spreadsheets/d/1-3Vjw2Cyy-mry5gbC8ypIR3YVGFfEpyFESummAta6sg/edit"", ""Sheet1!B:D""), 3, FALSE), ""Not Found"")"),"r ɪ s i t ")</f>
        <v>r ɪ s i t </v>
      </c>
    </row>
    <row r="5718">
      <c r="A5718" s="1" t="s">
        <v>5720</v>
      </c>
      <c r="B5718" s="1" t="s">
        <v>5</v>
      </c>
      <c r="C5718" s="2">
        <f>IFERROR(__xludf.DUMMYFUNCTION("IFERROR(VLOOKUP(A5718, IMPORTRANGE(""https://docs.google.com/spreadsheets/d/1AVX9GT0dgogEBStecCXMMQ29tWz3gBrtNB8yIromXbY/edit?gid=741673867"", ""out1g!A:B""), 2, FALSE), 0)"),252.0)</f>
        <v>252</v>
      </c>
      <c r="D5718" s="2" t="str">
        <f>IFERROR(__xludf.DUMMYFUNCTION("IFERROR(VLOOKUP(A5718, IMPORTRANGE(""https://docs.google.com/spreadsheets/d/1-3Vjw2Cyy-mry5gbC8ypIR3YVGFfEpyFESummAta6sg/edit"", ""Sheet1!B:D""), 2, FALSE), ""Not Found"")"),"kwɪz")</f>
        <v>kwɪz</v>
      </c>
      <c r="E5718" s="2" t="str">
        <f>IFERROR(__xludf.DUMMYFUNCTION("IFERROR(VLOOKUP(A5718, IMPORTRANGE(""https://docs.google.com/spreadsheets/d/1-3Vjw2Cyy-mry5gbC8ypIR3YVGFfEpyFESummAta6sg/edit"", ""Sheet1!B:D""), 3, FALSE), ""Not Found"")"),"k w ɪ z ")</f>
        <v>k w ɪ z </v>
      </c>
    </row>
    <row r="5719">
      <c r="A5719" s="1" t="s">
        <v>5721</v>
      </c>
      <c r="B5719" s="1" t="s">
        <v>5</v>
      </c>
      <c r="C5719" s="2">
        <f>IFERROR(__xludf.DUMMYFUNCTION("IFERROR(VLOOKUP(A5719, IMPORTRANGE(""https://docs.google.com/spreadsheets/d/1AVX9GT0dgogEBStecCXMMQ29tWz3gBrtNB8yIromXbY/edit?gid=741673867"", ""out1g!A:B""), 2, FALSE), 0)"),1088.0)</f>
        <v>1088</v>
      </c>
      <c r="D5719" s="2" t="str">
        <f>IFERROR(__xludf.DUMMYFUNCTION("IFERROR(VLOOKUP(A5719, IMPORTRANGE(""https://docs.google.com/spreadsheets/d/1-3Vjw2Cyy-mry5gbC8ypIR3YVGFfEpyFESummAta6sg/edit"", ""Sheet1!B:D""), 2, FALSE), ""Not Found"")"),"brus")</f>
        <v>brus</v>
      </c>
      <c r="E5719" s="2" t="str">
        <f>IFERROR(__xludf.DUMMYFUNCTION("IFERROR(VLOOKUP(A5719, IMPORTRANGE(""https://docs.google.com/spreadsheets/d/1-3Vjw2Cyy-mry5gbC8ypIR3YVGFfEpyFESummAta6sg/edit"", ""Sheet1!B:D""), 3, FALSE), ""Not Found"")"),"b r u s ")</f>
        <v>b r u s </v>
      </c>
    </row>
    <row r="5720">
      <c r="A5720" s="1" t="s">
        <v>5722</v>
      </c>
      <c r="B5720" s="1" t="s">
        <v>5</v>
      </c>
      <c r="C5720" s="2">
        <f>IFERROR(__xludf.DUMMYFUNCTION("IFERROR(VLOOKUP(A5720, IMPORTRANGE(""https://docs.google.com/spreadsheets/d/1AVX9GT0dgogEBStecCXMMQ29tWz3gBrtNB8yIromXbY/edit?gid=741673867"", ""out1g!A:B""), 2, FALSE), 0)"),2600.0)</f>
        <v>2600</v>
      </c>
      <c r="D5720" s="2" t="str">
        <f>IFERROR(__xludf.DUMMYFUNCTION("IFERROR(VLOOKUP(A5720, IMPORTRANGE(""https://docs.google.com/spreadsheets/d/1-3Vjw2Cyy-mry5gbC8ypIR3YVGFfEpyFESummAta6sg/edit"", ""Sheet1!B:D""), 2, FALSE), ""Not Found"")"),"bɛg")</f>
        <v>bɛg</v>
      </c>
      <c r="E5720" s="2" t="str">
        <f>IFERROR(__xludf.DUMMYFUNCTION("IFERROR(VLOOKUP(A5720, IMPORTRANGE(""https://docs.google.com/spreadsheets/d/1-3Vjw2Cyy-mry5gbC8ypIR3YVGFfEpyFESummAta6sg/edit"", ""Sheet1!B:D""), 3, FALSE), ""Not Found"")"),"b ɛ g ")</f>
        <v>b ɛ g </v>
      </c>
    </row>
    <row r="5721">
      <c r="A5721" s="1" t="s">
        <v>5723</v>
      </c>
      <c r="B5721" s="1" t="s">
        <v>5</v>
      </c>
      <c r="C5721" s="2">
        <f>IFERROR(__xludf.DUMMYFUNCTION("IFERROR(VLOOKUP(A5721, IMPORTRANGE(""https://docs.google.com/spreadsheets/d/1AVX9GT0dgogEBStecCXMMQ29tWz3gBrtNB8yIromXbY/edit?gid=741673867"", ""out1g!A:B""), 2, FALSE), 0)"),241.0)</f>
        <v>241</v>
      </c>
      <c r="D5721" s="2" t="str">
        <f>IFERROR(__xludf.DUMMYFUNCTION("IFERROR(VLOOKUP(A5721, IMPORTRANGE(""https://docs.google.com/spreadsheets/d/1-3Vjw2Cyy-mry5gbC8ypIR3YVGFfEpyFESummAta6sg/edit"", ""Sheet1!B:D""), 2, FALSE), ""Not Found"")"),"næʃ")</f>
        <v>næʃ</v>
      </c>
      <c r="E5721" s="2" t="str">
        <f>IFERROR(__xludf.DUMMYFUNCTION("IFERROR(VLOOKUP(A5721, IMPORTRANGE(""https://docs.google.com/spreadsheets/d/1-3Vjw2Cyy-mry5gbC8ypIR3YVGFfEpyFESummAta6sg/edit"", ""Sheet1!B:D""), 3, FALSE), ""Not Found"")"),"n æ ʃ ")</f>
        <v>n æ ʃ </v>
      </c>
    </row>
    <row r="5722">
      <c r="A5722" s="1" t="s">
        <v>5724</v>
      </c>
      <c r="B5722" s="1" t="s">
        <v>5</v>
      </c>
      <c r="C5722" s="2">
        <f>IFERROR(__xludf.DUMMYFUNCTION("IFERROR(VLOOKUP(A5722, IMPORTRANGE(""https://docs.google.com/spreadsheets/d/1AVX9GT0dgogEBStecCXMMQ29tWz3gBrtNB8yIromXbY/edit?gid=741673867"", ""out1g!A:B""), 2, FALSE), 0)"),413.0)</f>
        <v>413</v>
      </c>
      <c r="D5722" s="2" t="str">
        <f>IFERROR(__xludf.DUMMYFUNCTION("IFERROR(VLOOKUP(A5722, IMPORTRANGE(""https://docs.google.com/spreadsheets/d/1-3Vjw2Cyy-mry5gbC8ypIR3YVGFfEpyFESummAta6sg/edit"", ""Sheet1!B:D""), 2, FALSE), ""Not Found"")"),"mɪsi")</f>
        <v>mɪsi</v>
      </c>
      <c r="E5722" s="2" t="str">
        <f>IFERROR(__xludf.DUMMYFUNCTION("IFERROR(VLOOKUP(A5722, IMPORTRANGE(""https://docs.google.com/spreadsheets/d/1-3Vjw2Cyy-mry5gbC8ypIR3YVGFfEpyFESummAta6sg/edit"", ""Sheet1!B:D""), 3, FALSE), ""Not Found"")"),"m ɪ s i ")</f>
        <v>m ɪ s i </v>
      </c>
    </row>
    <row r="5723">
      <c r="A5723" s="1" t="s">
        <v>5725</v>
      </c>
      <c r="B5723" s="1" t="s">
        <v>5</v>
      </c>
      <c r="C5723" s="2">
        <f>IFERROR(__xludf.DUMMYFUNCTION("IFERROR(VLOOKUP(A5723, IMPORTRANGE(""https://docs.google.com/spreadsheets/d/1AVX9GT0dgogEBStecCXMMQ29tWz3gBrtNB8yIromXbY/edit?gid=741673867"", ""out1g!A:B""), 2, FALSE), 0)"),265672.0)</f>
        <v>265672</v>
      </c>
      <c r="D5723" s="2" t="str">
        <f>IFERROR(__xludf.DUMMYFUNCTION("IFERROR(VLOOKUP(A5723, IMPORTRANGE(""https://docs.google.com/spreadsheets/d/1-3Vjw2Cyy-mry5gbC8ypIR3YVGFfEpyFESummAta6sg/edit"", ""Sheet1!B:D""), 2, FALSE), ""Not Found"")"),"ər")</f>
        <v>ər</v>
      </c>
      <c r="E5723" s="2" t="str">
        <f>IFERROR(__xludf.DUMMYFUNCTION("IFERROR(VLOOKUP(A5723, IMPORTRANGE(""https://docs.google.com/spreadsheets/d/1-3Vjw2Cyy-mry5gbC8ypIR3YVGFfEpyFESummAta6sg/edit"", ""Sheet1!B:D""), 3, FALSE), ""Not Found"")"),"ə r ")</f>
        <v>ə r </v>
      </c>
    </row>
    <row r="5724">
      <c r="A5724" s="1" t="s">
        <v>5726</v>
      </c>
      <c r="B5724" s="1" t="s">
        <v>5</v>
      </c>
      <c r="C5724" s="2">
        <f>IFERROR(__xludf.DUMMYFUNCTION("IFERROR(VLOOKUP(A5724, IMPORTRANGE(""https://docs.google.com/spreadsheets/d/1AVX9GT0dgogEBStecCXMMQ29tWz3gBrtNB8yIromXbY/edit?gid=741673867"", ""out1g!A:B""), 2, FALSE), 0)"),53.0)</f>
        <v>53</v>
      </c>
      <c r="D5724" s="2" t="str">
        <f>IFERROR(__xludf.DUMMYFUNCTION("IFERROR(VLOOKUP(A5724, IMPORTRANGE(""https://docs.google.com/spreadsheets/d/1-3Vjw2Cyy-mry5gbC8ypIR3YVGFfEpyFESummAta6sg/edit"", ""Sheet1!B:D""), 2, FALSE), ""Not Found"")"),"ənz")</f>
        <v>ənz</v>
      </c>
      <c r="E5724" s="2" t="str">
        <f>IFERROR(__xludf.DUMMYFUNCTION("IFERROR(VLOOKUP(A5724, IMPORTRANGE(""https://docs.google.com/spreadsheets/d/1-3Vjw2Cyy-mry5gbC8ypIR3YVGFfEpyFESummAta6sg/edit"", ""Sheet1!B:D""), 3, FALSE), ""Not Found"")"),"ə n z ")</f>
        <v>ə n z </v>
      </c>
    </row>
    <row r="5725">
      <c r="A5725" s="1" t="s">
        <v>5727</v>
      </c>
      <c r="B5725" s="1" t="s">
        <v>5</v>
      </c>
      <c r="C5725" s="2">
        <f>IFERROR(__xludf.DUMMYFUNCTION("IFERROR(VLOOKUP(A5725, IMPORTRANGE(""https://docs.google.com/spreadsheets/d/1AVX9GT0dgogEBStecCXMMQ29tWz3gBrtNB8yIromXbY/edit?gid=741673867"", ""out1g!A:B""), 2, FALSE), 0)"),372.0)</f>
        <v>372</v>
      </c>
      <c r="D5725" s="2" t="str">
        <f>IFERROR(__xludf.DUMMYFUNCTION("IFERROR(VLOOKUP(A5725, IMPORTRANGE(""https://docs.google.com/spreadsheets/d/1-3Vjw2Cyy-mry5gbC8ypIR3YVGFfEpyFESummAta6sg/edit"", ""Sheet1!B:D""), 2, FALSE), ""Not Found"")"),"klemd")</f>
        <v>klemd</v>
      </c>
      <c r="E5725" s="2" t="str">
        <f>IFERROR(__xludf.DUMMYFUNCTION("IFERROR(VLOOKUP(A5725, IMPORTRANGE(""https://docs.google.com/spreadsheets/d/1-3Vjw2Cyy-mry5gbC8ypIR3YVGFfEpyFESummAta6sg/edit"", ""Sheet1!B:D""), 3, FALSE), ""Not Found"")"),"k l e m d ")</f>
        <v>k l e m d </v>
      </c>
    </row>
    <row r="5726">
      <c r="A5726" s="1" t="s">
        <v>5728</v>
      </c>
      <c r="B5726" s="1" t="s">
        <v>5</v>
      </c>
      <c r="C5726" s="2">
        <f>IFERROR(__xludf.DUMMYFUNCTION("IFERROR(VLOOKUP(A5726, IMPORTRANGE(""https://docs.google.com/spreadsheets/d/1AVX9GT0dgogEBStecCXMMQ29tWz3gBrtNB8yIromXbY/edit?gid=741673867"", ""out1g!A:B""), 2, FALSE), 0)"),391.0)</f>
        <v>391</v>
      </c>
      <c r="D5726" s="2" t="str">
        <f>IFERROR(__xludf.DUMMYFUNCTION("IFERROR(VLOOKUP(A5726, IMPORTRANGE(""https://docs.google.com/spreadsheets/d/1-3Vjw2Cyy-mry5gbC8ypIR3YVGFfEpyFESummAta6sg/edit"", ""Sheet1!B:D""), 2, FALSE), ""Not Found"")"),"səni")</f>
        <v>səni</v>
      </c>
      <c r="E5726" s="2" t="str">
        <f>IFERROR(__xludf.DUMMYFUNCTION("IFERROR(VLOOKUP(A5726, IMPORTRANGE(""https://docs.google.com/spreadsheets/d/1-3Vjw2Cyy-mry5gbC8ypIR3YVGFfEpyFESummAta6sg/edit"", ""Sheet1!B:D""), 3, FALSE), ""Not Found"")"),"s ə n i ")</f>
        <v>s ə n i </v>
      </c>
    </row>
    <row r="5727">
      <c r="A5727" s="1" t="s">
        <v>5729</v>
      </c>
      <c r="B5727" s="1" t="s">
        <v>5</v>
      </c>
      <c r="C5727" s="2">
        <f>IFERROR(__xludf.DUMMYFUNCTION("IFERROR(VLOOKUP(A5727, IMPORTRANGE(""https://docs.google.com/spreadsheets/d/1AVX9GT0dgogEBStecCXMMQ29tWz3gBrtNB8yIromXbY/edit?gid=741673867"", ""out1g!A:B""), 2, FALSE), 0)"),595.0)</f>
        <v>595</v>
      </c>
      <c r="D5727" s="2" t="str">
        <f>IFERROR(__xludf.DUMMYFUNCTION("IFERROR(VLOOKUP(A5727, IMPORTRANGE(""https://docs.google.com/spreadsheets/d/1-3Vjw2Cyy-mry5gbC8ypIR3YVGFfEpyFESummAta6sg/edit"", ""Sheet1!B:D""), 2, FALSE), ""Not Found"")"),"lɔɪəlti")</f>
        <v>lɔɪəlti</v>
      </c>
      <c r="E5727" s="2" t="str">
        <f>IFERROR(__xludf.DUMMYFUNCTION("IFERROR(VLOOKUP(A5727, IMPORTRANGE(""https://docs.google.com/spreadsheets/d/1-3Vjw2Cyy-mry5gbC8ypIR3YVGFfEpyFESummAta6sg/edit"", ""Sheet1!B:D""), 3, FALSE), ""Not Found"")"),"l ɔ ɪ ə l t i ")</f>
        <v>l ɔ ɪ ə l t i </v>
      </c>
    </row>
    <row r="5728">
      <c r="A5728" s="1" t="s">
        <v>5730</v>
      </c>
      <c r="B5728" s="1" t="s">
        <v>5</v>
      </c>
      <c r="C5728" s="2">
        <f>IFERROR(__xludf.DUMMYFUNCTION("IFERROR(VLOOKUP(A5728, IMPORTRANGE(""https://docs.google.com/spreadsheets/d/1AVX9GT0dgogEBStecCXMMQ29tWz3gBrtNB8yIromXbY/edit?gid=741673867"", ""out1g!A:B""), 2, FALSE), 0)"),92.0)</f>
        <v>92</v>
      </c>
      <c r="D5728" s="2" t="str">
        <f>IFERROR(__xludf.DUMMYFUNCTION("IFERROR(VLOOKUP(A5728, IMPORTRANGE(""https://docs.google.com/spreadsheets/d/1-3Vjw2Cyy-mry5gbC8ypIR3YVGFfEpyFESummAta6sg/edit"", ""Sheet1!B:D""), 2, FALSE), ""Not Found"")"),"klərks")</f>
        <v>klərks</v>
      </c>
      <c r="E5728" s="2" t="str">
        <f>IFERROR(__xludf.DUMMYFUNCTION("IFERROR(VLOOKUP(A5728, IMPORTRANGE(""https://docs.google.com/spreadsheets/d/1-3Vjw2Cyy-mry5gbC8ypIR3YVGFfEpyFESummAta6sg/edit"", ""Sheet1!B:D""), 3, FALSE), ""Not Found"")"),"k l ə r k s ")</f>
        <v>k l ə r k s </v>
      </c>
    </row>
    <row r="5729">
      <c r="A5729" s="1" t="s">
        <v>5731</v>
      </c>
      <c r="B5729" s="1" t="s">
        <v>5</v>
      </c>
      <c r="C5729" s="2">
        <f>IFERROR(__xludf.DUMMYFUNCTION("IFERROR(VLOOKUP(A5729, IMPORTRANGE(""https://docs.google.com/spreadsheets/d/1AVX9GT0dgogEBStecCXMMQ29tWz3gBrtNB8yIromXbY/edit?gid=741673867"", ""out1g!A:B""), 2, FALSE), 0)"),146.0)</f>
        <v>146</v>
      </c>
      <c r="D5729" s="2" t="str">
        <f>IFERROR(__xludf.DUMMYFUNCTION("IFERROR(VLOOKUP(A5729, IMPORTRANGE(""https://docs.google.com/spreadsheets/d/1-3Vjw2Cyy-mry5gbC8ypIR3YVGFfEpyFESummAta6sg/edit"", ""Sheet1!B:D""), 2, FALSE), ""Not Found"")"),"kɔrk")</f>
        <v>kɔrk</v>
      </c>
      <c r="E5729" s="2" t="str">
        <f>IFERROR(__xludf.DUMMYFUNCTION("IFERROR(VLOOKUP(A5729, IMPORTRANGE(""https://docs.google.com/spreadsheets/d/1-3Vjw2Cyy-mry5gbC8ypIR3YVGFfEpyFESummAta6sg/edit"", ""Sheet1!B:D""), 3, FALSE), ""Not Found"")"),"k ɔ r k ")</f>
        <v>k ɔ r k </v>
      </c>
    </row>
    <row r="5730">
      <c r="A5730" s="1" t="s">
        <v>5732</v>
      </c>
      <c r="B5730" s="1" t="s">
        <v>5</v>
      </c>
      <c r="C5730" s="2">
        <f>IFERROR(__xludf.DUMMYFUNCTION("IFERROR(VLOOKUP(A5730, IMPORTRANGE(""https://docs.google.com/spreadsheets/d/1AVX9GT0dgogEBStecCXMMQ29tWz3gBrtNB8yIromXbY/edit?gid=741673867"", ""out1g!A:B""), 2, FALSE), 0)"),2090.0)</f>
        <v>2090</v>
      </c>
      <c r="D5730" s="2" t="str">
        <f>IFERROR(__xludf.DUMMYFUNCTION("IFERROR(VLOOKUP(A5730, IMPORTRANGE(""https://docs.google.com/spreadsheets/d/1-3Vjw2Cyy-mry5gbC8ypIR3YVGFfEpyFESummAta6sg/edit"", ""Sheet1!B:D""), 2, FALSE), ""Not Found"")"),"ʧɛst")</f>
        <v>ʧɛst</v>
      </c>
      <c r="E5730" s="2" t="str">
        <f>IFERROR(__xludf.DUMMYFUNCTION("IFERROR(VLOOKUP(A5730, IMPORTRANGE(""https://docs.google.com/spreadsheets/d/1-3Vjw2Cyy-mry5gbC8ypIR3YVGFfEpyFESummAta6sg/edit"", ""Sheet1!B:D""), 3, FALSE), ""Not Found"")"),"ʧ ɛ s t ")</f>
        <v>ʧ ɛ s t </v>
      </c>
    </row>
    <row r="5731">
      <c r="A5731" s="1" t="s">
        <v>5733</v>
      </c>
      <c r="B5731" s="1" t="s">
        <v>5</v>
      </c>
      <c r="C5731" s="2">
        <f>IFERROR(__xludf.DUMMYFUNCTION("IFERROR(VLOOKUP(A5731, IMPORTRANGE(""https://docs.google.com/spreadsheets/d/1AVX9GT0dgogEBStecCXMMQ29tWz3gBrtNB8yIromXbY/edit?gid=741673867"", ""out1g!A:B""), 2, FALSE), 0)"),99.0)</f>
        <v>99</v>
      </c>
      <c r="D5731" s="2" t="str">
        <f>IFERROR(__xludf.DUMMYFUNCTION("IFERROR(VLOOKUP(A5731, IMPORTRANGE(""https://docs.google.com/spreadsheets/d/1-3Vjw2Cyy-mry5gbC8ypIR3YVGFfEpyFESummAta6sg/edit"", ""Sheet1!B:D""), 2, FALSE), ""Not Found"")"),"θəmp")</f>
        <v>θəmp</v>
      </c>
      <c r="E5731" s="2" t="str">
        <f>IFERROR(__xludf.DUMMYFUNCTION("IFERROR(VLOOKUP(A5731, IMPORTRANGE(""https://docs.google.com/spreadsheets/d/1-3Vjw2Cyy-mry5gbC8ypIR3YVGFfEpyFESummAta6sg/edit"", ""Sheet1!B:D""), 3, FALSE), ""Not Found"")"),"θ ə m p ")</f>
        <v>θ ə m p </v>
      </c>
    </row>
    <row r="5732">
      <c r="A5732" s="1" t="s">
        <v>5734</v>
      </c>
      <c r="B5732" s="1" t="s">
        <v>5</v>
      </c>
      <c r="C5732" s="2">
        <f>IFERROR(__xludf.DUMMYFUNCTION("IFERROR(VLOOKUP(A5732, IMPORTRANGE(""https://docs.google.com/spreadsheets/d/1AVX9GT0dgogEBStecCXMMQ29tWz3gBrtNB8yIromXbY/edit?gid=741673867"", ""out1g!A:B""), 2, FALSE), 0)"),149.0)</f>
        <v>149</v>
      </c>
      <c r="D5732" s="2" t="str">
        <f>IFERROR(__xludf.DUMMYFUNCTION("IFERROR(VLOOKUP(A5732, IMPORTRANGE(""https://docs.google.com/spreadsheets/d/1-3Vjw2Cyy-mry5gbC8ypIR3YVGFfEpyFESummAta6sg/edit"", ""Sheet1!B:D""), 2, FALSE), ""Not Found"")"),"stel")</f>
        <v>stel</v>
      </c>
      <c r="E5732" s="2" t="str">
        <f>IFERROR(__xludf.DUMMYFUNCTION("IFERROR(VLOOKUP(A5732, IMPORTRANGE(""https://docs.google.com/spreadsheets/d/1-3Vjw2Cyy-mry5gbC8ypIR3YVGFfEpyFESummAta6sg/edit"", ""Sheet1!B:D""), 3, FALSE), ""Not Found"")"),"s t e l ")</f>
        <v>s t e l </v>
      </c>
    </row>
    <row r="5733">
      <c r="A5733" s="1" t="s">
        <v>5735</v>
      </c>
      <c r="B5733" s="1" t="s">
        <v>5</v>
      </c>
      <c r="C5733" s="2">
        <f>IFERROR(__xludf.DUMMYFUNCTION("IFERROR(VLOOKUP(A5733, IMPORTRANGE(""https://docs.google.com/spreadsheets/d/1AVX9GT0dgogEBStecCXMMQ29tWz3gBrtNB8yIromXbY/edit?gid=741673867"", ""out1g!A:B""), 2, FALSE), 0)"),67.0)</f>
        <v>67</v>
      </c>
      <c r="D5733" s="2" t="str">
        <f>IFERROR(__xludf.DUMMYFUNCTION("IFERROR(VLOOKUP(A5733, IMPORTRANGE(""https://docs.google.com/spreadsheets/d/1-3Vjw2Cyy-mry5gbC8ypIR3YVGFfEpyFESummAta6sg/edit"", ""Sheet1!B:D""), 2, FALSE), ""Not Found"")"),"melɪŋ")</f>
        <v>melɪŋ</v>
      </c>
      <c r="E5733" s="2" t="str">
        <f>IFERROR(__xludf.DUMMYFUNCTION("IFERROR(VLOOKUP(A5733, IMPORTRANGE(""https://docs.google.com/spreadsheets/d/1-3Vjw2Cyy-mry5gbC8ypIR3YVGFfEpyFESummAta6sg/edit"", ""Sheet1!B:D""), 3, FALSE), ""Not Found"")"),"m e l ɪ ŋ ")</f>
        <v>m e l ɪ ŋ </v>
      </c>
    </row>
    <row r="5734">
      <c r="A5734" s="1" t="s">
        <v>5736</v>
      </c>
      <c r="B5734" s="1" t="s">
        <v>5</v>
      </c>
      <c r="C5734" s="2">
        <f>IFERROR(__xludf.DUMMYFUNCTION("IFERROR(VLOOKUP(A5734, IMPORTRANGE(""https://docs.google.com/spreadsheets/d/1AVX9GT0dgogEBStecCXMMQ29tWz3gBrtNB8yIromXbY/edit?gid=741673867"", ""out1g!A:B""), 2, FALSE), 0)"),5627.0)</f>
        <v>5627</v>
      </c>
      <c r="D5734" s="2" t="str">
        <f>IFERROR(__xludf.DUMMYFUNCTION("IFERROR(VLOOKUP(A5734, IMPORTRANGE(""https://docs.google.com/spreadsheets/d/1-3Vjw2Cyy-mry5gbC8ypIR3YVGFfEpyFESummAta6sg/edit"", ""Sheet1!B:D""), 2, FALSE), ""Not Found"")"),"ləvd")</f>
        <v>ləvd</v>
      </c>
      <c r="E5734" s="2" t="str">
        <f>IFERROR(__xludf.DUMMYFUNCTION("IFERROR(VLOOKUP(A5734, IMPORTRANGE(""https://docs.google.com/spreadsheets/d/1-3Vjw2Cyy-mry5gbC8ypIR3YVGFfEpyFESummAta6sg/edit"", ""Sheet1!B:D""), 3, FALSE), ""Not Found"")"),"l ə v d ")</f>
        <v>l ə v d </v>
      </c>
    </row>
    <row r="5735">
      <c r="A5735" s="1" t="s">
        <v>5737</v>
      </c>
      <c r="B5735" s="1" t="s">
        <v>5</v>
      </c>
      <c r="C5735" s="2">
        <f>IFERROR(__xludf.DUMMYFUNCTION("IFERROR(VLOOKUP(A5735, IMPORTRANGE(""https://docs.google.com/spreadsheets/d/1AVX9GT0dgogEBStecCXMMQ29tWz3gBrtNB8yIromXbY/edit?gid=741673867"", ""out1g!A:B""), 2, FALSE), 0)"),814.0)</f>
        <v>814</v>
      </c>
      <c r="D5735" s="2" t="str">
        <f>IFERROR(__xludf.DUMMYFUNCTION("IFERROR(VLOOKUP(A5735, IMPORTRANGE(""https://docs.google.com/spreadsheets/d/1-3Vjw2Cyy-mry5gbC8ypIR3YVGFfEpyFESummAta6sg/edit"", ""Sheet1!B:D""), 2, FALSE), ""Not Found"")"),"bəz")</f>
        <v>bəz</v>
      </c>
      <c r="E5735" s="2" t="str">
        <f>IFERROR(__xludf.DUMMYFUNCTION("IFERROR(VLOOKUP(A5735, IMPORTRANGE(""https://docs.google.com/spreadsheets/d/1-3Vjw2Cyy-mry5gbC8ypIR3YVGFfEpyFESummAta6sg/edit"", ""Sheet1!B:D""), 3, FALSE), ""Not Found"")"),"b ə z ")</f>
        <v>b ə z </v>
      </c>
    </row>
    <row r="5736">
      <c r="A5736" s="1" t="s">
        <v>5738</v>
      </c>
      <c r="B5736" s="1" t="s">
        <v>5</v>
      </c>
      <c r="C5736" s="2">
        <f>IFERROR(__xludf.DUMMYFUNCTION("IFERROR(VLOOKUP(A5736, IMPORTRANGE(""https://docs.google.com/spreadsheets/d/1AVX9GT0dgogEBStecCXMMQ29tWz3gBrtNB8yIromXbY/edit?gid=741673867"", ""out1g!A:B""), 2, FALSE), 0)"),510.0)</f>
        <v>510</v>
      </c>
      <c r="D5736" s="2" t="str">
        <f>IFERROR(__xludf.DUMMYFUNCTION("IFERROR(VLOOKUP(A5736, IMPORTRANGE(""https://docs.google.com/spreadsheets/d/1-3Vjw2Cyy-mry5gbC8ypIR3YVGFfEpyFESummAta6sg/edit"", ""Sheet1!B:D""), 2, FALSE), ""Not Found"")"),"hilz")</f>
        <v>hilz</v>
      </c>
      <c r="E5736" s="2" t="str">
        <f>IFERROR(__xludf.DUMMYFUNCTION("IFERROR(VLOOKUP(A5736, IMPORTRANGE(""https://docs.google.com/spreadsheets/d/1-3Vjw2Cyy-mry5gbC8ypIR3YVGFfEpyFESummAta6sg/edit"", ""Sheet1!B:D""), 3, FALSE), ""Not Found"")"),"h i l z ")</f>
        <v>h i l z </v>
      </c>
    </row>
    <row r="5737">
      <c r="A5737" s="1" t="s">
        <v>5739</v>
      </c>
      <c r="B5737" s="1" t="s">
        <v>5</v>
      </c>
      <c r="C5737" s="2">
        <f>IFERROR(__xludf.DUMMYFUNCTION("IFERROR(VLOOKUP(A5737, IMPORTRANGE(""https://docs.google.com/spreadsheets/d/1AVX9GT0dgogEBStecCXMMQ29tWz3gBrtNB8yIromXbY/edit?gid=741673867"", ""out1g!A:B""), 2, FALSE), 0)"),145.0)</f>
        <v>145</v>
      </c>
      <c r="D5737" s="2" t="str">
        <f>IFERROR(__xludf.DUMMYFUNCTION("IFERROR(VLOOKUP(A5737, IMPORTRANGE(""https://docs.google.com/spreadsheets/d/1-3Vjw2Cyy-mry5gbC8ypIR3YVGFfEpyFESummAta6sg/edit"", ""Sheet1!B:D""), 2, FALSE), ""Not Found"")"),"loʊə")</f>
        <v>loʊə</v>
      </c>
      <c r="E5737" s="2" t="str">
        <f>IFERROR(__xludf.DUMMYFUNCTION("IFERROR(VLOOKUP(A5737, IMPORTRANGE(""https://docs.google.com/spreadsheets/d/1-3Vjw2Cyy-mry5gbC8ypIR3YVGFfEpyFESummAta6sg/edit"", ""Sheet1!B:D""), 3, FALSE), ""Not Found"")"),"l o ʊ ə ")</f>
        <v>l o ʊ ə </v>
      </c>
    </row>
    <row r="5738">
      <c r="A5738" s="1" t="s">
        <v>5740</v>
      </c>
      <c r="B5738" s="1" t="s">
        <v>5</v>
      </c>
      <c r="C5738" s="2">
        <f>IFERROR(__xludf.DUMMYFUNCTION("IFERROR(VLOOKUP(A5738, IMPORTRANGE(""https://docs.google.com/spreadsheets/d/1AVX9GT0dgogEBStecCXMMQ29tWz3gBrtNB8yIromXbY/edit?gid=741673867"", ""out1g!A:B""), 2, FALSE), 0)"),52.0)</f>
        <v>52</v>
      </c>
      <c r="D5738" s="2" t="str">
        <f>IFERROR(__xludf.DUMMYFUNCTION("IFERROR(VLOOKUP(A5738, IMPORTRANGE(""https://docs.google.com/spreadsheets/d/1-3Vjw2Cyy-mry5gbC8ypIR3YVGFfEpyFESummAta6sg/edit"", ""Sheet1!B:D""), 2, FALSE), ""Not Found"")"),"aɪlaɪnər")</f>
        <v>aɪlaɪnər</v>
      </c>
      <c r="E5738" s="2" t="str">
        <f>IFERROR(__xludf.DUMMYFUNCTION("IFERROR(VLOOKUP(A5738, IMPORTRANGE(""https://docs.google.com/spreadsheets/d/1-3Vjw2Cyy-mry5gbC8ypIR3YVGFfEpyFESummAta6sg/edit"", ""Sheet1!B:D""), 3, FALSE), ""Not Found"")"),"a ɪ l a ɪ n ə r ")</f>
        <v>a ɪ l a ɪ n ə r </v>
      </c>
    </row>
    <row r="5739">
      <c r="A5739" s="1" t="s">
        <v>5741</v>
      </c>
      <c r="B5739" s="1" t="s">
        <v>5</v>
      </c>
      <c r="C5739" s="2">
        <f>IFERROR(__xludf.DUMMYFUNCTION("IFERROR(VLOOKUP(A5739, IMPORTRANGE(""https://docs.google.com/spreadsheets/d/1AVX9GT0dgogEBStecCXMMQ29tWz3gBrtNB8yIromXbY/edit?gid=741673867"", ""out1g!A:B""), 2, FALSE), 0)"),60.0)</f>
        <v>60</v>
      </c>
      <c r="D5739" s="2" t="str">
        <f>IFERROR(__xludf.DUMMYFUNCTION("IFERROR(VLOOKUP(A5739, IMPORTRANGE(""https://docs.google.com/spreadsheets/d/1-3Vjw2Cyy-mry5gbC8ypIR3YVGFfEpyFESummAta6sg/edit"", ""Sheet1!B:D""), 2, FALSE), ""Not Found"")"),"blɑb")</f>
        <v>blɑb</v>
      </c>
      <c r="E5739" s="2" t="str">
        <f>IFERROR(__xludf.DUMMYFUNCTION("IFERROR(VLOOKUP(A5739, IMPORTRANGE(""https://docs.google.com/spreadsheets/d/1-3Vjw2Cyy-mry5gbC8ypIR3YVGFfEpyFESummAta6sg/edit"", ""Sheet1!B:D""), 3, FALSE), ""Not Found"")"),"b l ɑ b ")</f>
        <v>b l ɑ b </v>
      </c>
    </row>
    <row r="5740">
      <c r="A5740" s="1" t="s">
        <v>5742</v>
      </c>
      <c r="B5740" s="1" t="s">
        <v>5</v>
      </c>
      <c r="C5740" s="2">
        <f>IFERROR(__xludf.DUMMYFUNCTION("IFERROR(VLOOKUP(A5740, IMPORTRANGE(""https://docs.google.com/spreadsheets/d/1AVX9GT0dgogEBStecCXMMQ29tWz3gBrtNB8yIromXbY/edit?gid=741673867"", ""out1g!A:B""), 2, FALSE), 0)"),56.0)</f>
        <v>56</v>
      </c>
      <c r="D5740" s="2" t="str">
        <f>IFERROR(__xludf.DUMMYFUNCTION("IFERROR(VLOOKUP(A5740, IMPORTRANGE(""https://docs.google.com/spreadsheets/d/1-3Vjw2Cyy-mry5gbC8ypIR3YVGFfEpyFESummAta6sg/edit"", ""Sheet1!B:D""), 2, FALSE), ""Not Found"")"),"faɪd")</f>
        <v>faɪd</v>
      </c>
      <c r="E5740" s="2" t="str">
        <f>IFERROR(__xludf.DUMMYFUNCTION("IFERROR(VLOOKUP(A5740, IMPORTRANGE(""https://docs.google.com/spreadsheets/d/1-3Vjw2Cyy-mry5gbC8ypIR3YVGFfEpyFESummAta6sg/edit"", ""Sheet1!B:D""), 3, FALSE), ""Not Found"")"),"f a ɪ d ")</f>
        <v>f a ɪ d </v>
      </c>
    </row>
    <row r="5741">
      <c r="A5741" s="1" t="s">
        <v>5743</v>
      </c>
      <c r="B5741" s="1" t="s">
        <v>5</v>
      </c>
      <c r="C5741" s="2">
        <f>IFERROR(__xludf.DUMMYFUNCTION("IFERROR(VLOOKUP(A5741, IMPORTRANGE(""https://docs.google.com/spreadsheets/d/1AVX9GT0dgogEBStecCXMMQ29tWz3gBrtNB8yIromXbY/edit?gid=741673867"", ""out1g!A:B""), 2, FALSE), 0)"),414.0)</f>
        <v>414</v>
      </c>
      <c r="D5741" s="2" t="str">
        <f>IFERROR(__xludf.DUMMYFUNCTION("IFERROR(VLOOKUP(A5741, IMPORTRANGE(""https://docs.google.com/spreadsheets/d/1-3Vjw2Cyy-mry5gbC8ypIR3YVGFfEpyFESummAta6sg/edit"", ""Sheet1!B:D""), 2, FALSE), ""Not Found"")"),"ælfə")</f>
        <v>ælfə</v>
      </c>
      <c r="E5741" s="2" t="str">
        <f>IFERROR(__xludf.DUMMYFUNCTION("IFERROR(VLOOKUP(A5741, IMPORTRANGE(""https://docs.google.com/spreadsheets/d/1-3Vjw2Cyy-mry5gbC8ypIR3YVGFfEpyFESummAta6sg/edit"", ""Sheet1!B:D""), 3, FALSE), ""Not Found"")"),"æ l f ə ")</f>
        <v>æ l f ə </v>
      </c>
    </row>
    <row r="5742">
      <c r="A5742" s="1" t="s">
        <v>5744</v>
      </c>
      <c r="B5742" s="1" t="s">
        <v>5</v>
      </c>
      <c r="C5742" s="2">
        <f>IFERROR(__xludf.DUMMYFUNCTION("IFERROR(VLOOKUP(A5742, IMPORTRANGE(""https://docs.google.com/spreadsheets/d/1AVX9GT0dgogEBStecCXMMQ29tWz3gBrtNB8yIromXbY/edit?gid=741673867"", ""out1g!A:B""), 2, FALSE), 0)"),162.0)</f>
        <v>162</v>
      </c>
      <c r="D5742" s="2" t="str">
        <f>IFERROR(__xludf.DUMMYFUNCTION("IFERROR(VLOOKUP(A5742, IMPORTRANGE(""https://docs.google.com/spreadsheets/d/1-3Vjw2Cyy-mry5gbC8ypIR3YVGFfEpyFESummAta6sg/edit"", ""Sheet1!B:D""), 2, FALSE), ""Not Found"")"),"brut")</f>
        <v>brut</v>
      </c>
      <c r="E5742" s="2" t="str">
        <f>IFERROR(__xludf.DUMMYFUNCTION("IFERROR(VLOOKUP(A5742, IMPORTRANGE(""https://docs.google.com/spreadsheets/d/1-3Vjw2Cyy-mry5gbC8ypIR3YVGFfEpyFESummAta6sg/edit"", ""Sheet1!B:D""), 3, FALSE), ""Not Found"")"),"b r u t ")</f>
        <v>b r u t </v>
      </c>
    </row>
    <row r="5743">
      <c r="A5743" s="1" t="s">
        <v>5745</v>
      </c>
      <c r="B5743" s="1" t="s">
        <v>5</v>
      </c>
      <c r="C5743" s="2">
        <f>IFERROR(__xludf.DUMMYFUNCTION("IFERROR(VLOOKUP(A5743, IMPORTRANGE(""https://docs.google.com/spreadsheets/d/1AVX9GT0dgogEBStecCXMMQ29tWz3gBrtNB8yIromXbY/edit?gid=741673867"", ""out1g!A:B""), 2, FALSE), 0)"),52.0)</f>
        <v>52</v>
      </c>
      <c r="D5743" s="2" t="str">
        <f>IFERROR(__xludf.DUMMYFUNCTION("IFERROR(VLOOKUP(A5743, IMPORTRANGE(""https://docs.google.com/spreadsheets/d/1-3Vjw2Cyy-mry5gbC8ypIR3YVGFfEpyFESummAta6sg/edit"", ""Sheet1!B:D""), 2, FALSE), ""Not Found"")"),"ʤægər")</f>
        <v>ʤægər</v>
      </c>
      <c r="E5743" s="2" t="str">
        <f>IFERROR(__xludf.DUMMYFUNCTION("IFERROR(VLOOKUP(A5743, IMPORTRANGE(""https://docs.google.com/spreadsheets/d/1-3Vjw2Cyy-mry5gbC8ypIR3YVGFfEpyFESummAta6sg/edit"", ""Sheet1!B:D""), 3, FALSE), ""Not Found"")"),"ʤ æ g ə r ")</f>
        <v>ʤ æ g ə r </v>
      </c>
    </row>
    <row r="5744">
      <c r="A5744" s="1" t="s">
        <v>5746</v>
      </c>
      <c r="B5744" s="1" t="s">
        <v>5</v>
      </c>
      <c r="C5744" s="2">
        <f>IFERROR(__xludf.DUMMYFUNCTION("IFERROR(VLOOKUP(A5744, IMPORTRANGE(""https://docs.google.com/spreadsheets/d/1AVX9GT0dgogEBStecCXMMQ29tWz3gBrtNB8yIromXbY/edit?gid=741673867"", ""out1g!A:B""), 2, FALSE), 0)"),71425.0)</f>
        <v>71425</v>
      </c>
      <c r="D5744" s="2" t="str">
        <f>IFERROR(__xludf.DUMMYFUNCTION("IFERROR(VLOOKUP(A5744, IMPORTRANGE(""https://docs.google.com/spreadsheets/d/1-3Vjw2Cyy-mry5gbC8ypIR3YVGFfEpyFESummAta6sg/edit"", ""Sheet1!B:D""), 2, FALSE), ""Not Found"")"),"ɑr")</f>
        <v>ɑr</v>
      </c>
      <c r="E5744" s="2" t="str">
        <f>IFERROR(__xludf.DUMMYFUNCTION("IFERROR(VLOOKUP(A5744, IMPORTRANGE(""https://docs.google.com/spreadsheets/d/1-3Vjw2Cyy-mry5gbC8ypIR3YVGFfEpyFESummAta6sg/edit"", ""Sheet1!B:D""), 3, FALSE), ""Not Found"")"),"ɑ r ")</f>
        <v>ɑ r </v>
      </c>
    </row>
    <row r="5745">
      <c r="A5745" s="1" t="s">
        <v>5747</v>
      </c>
      <c r="B5745" s="1" t="s">
        <v>5</v>
      </c>
      <c r="C5745" s="2">
        <f>IFERROR(__xludf.DUMMYFUNCTION("IFERROR(VLOOKUP(A5745, IMPORTRANGE(""https://docs.google.com/spreadsheets/d/1AVX9GT0dgogEBStecCXMMQ29tWz3gBrtNB8yIromXbY/edit?gid=741673867"", ""out1g!A:B""), 2, FALSE), 0)"),2852.0)</f>
        <v>2852</v>
      </c>
      <c r="D5745" s="2" t="str">
        <f>IFERROR(__xludf.DUMMYFUNCTION("IFERROR(VLOOKUP(A5745, IMPORTRANGE(""https://docs.google.com/spreadsheets/d/1-3Vjw2Cyy-mry5gbC8ypIR3YVGFfEpyFESummAta6sg/edit"", ""Sheet1!B:D""), 2, FALSE), ""Not Found"")"),"raɪtɪŋ")</f>
        <v>raɪtɪŋ</v>
      </c>
      <c r="E5745" s="2" t="str">
        <f>IFERROR(__xludf.DUMMYFUNCTION("IFERROR(VLOOKUP(A5745, IMPORTRANGE(""https://docs.google.com/spreadsheets/d/1-3Vjw2Cyy-mry5gbC8ypIR3YVGFfEpyFESummAta6sg/edit"", ""Sheet1!B:D""), 3, FALSE), ""Not Found"")"),"r a ɪ t ɪ ŋ ")</f>
        <v>r a ɪ t ɪ ŋ </v>
      </c>
    </row>
    <row r="5746">
      <c r="A5746" s="1" t="s">
        <v>5748</v>
      </c>
      <c r="B5746" s="1" t="s">
        <v>5</v>
      </c>
      <c r="C5746" s="2">
        <f>IFERROR(__xludf.DUMMYFUNCTION("IFERROR(VLOOKUP(A5746, IMPORTRANGE(""https://docs.google.com/spreadsheets/d/1AVX9GT0dgogEBStecCXMMQ29tWz3gBrtNB8yIromXbY/edit?gid=741673867"", ""out1g!A:B""), 2, FALSE), 0)"),317.0)</f>
        <v>317</v>
      </c>
      <c r="D5746" s="2" t="str">
        <f>IFERROR(__xludf.DUMMYFUNCTION("IFERROR(VLOOKUP(A5746, IMPORTRANGE(""https://docs.google.com/spreadsheets/d/1-3Vjw2Cyy-mry5gbC8ypIR3YVGFfEpyFESummAta6sg/edit"", ""Sheet1!B:D""), 2, FALSE), ""Not Found"")"),"mitər")</f>
        <v>mitər</v>
      </c>
      <c r="E5746" s="2" t="str">
        <f>IFERROR(__xludf.DUMMYFUNCTION("IFERROR(VLOOKUP(A5746, IMPORTRANGE(""https://docs.google.com/spreadsheets/d/1-3Vjw2Cyy-mry5gbC8ypIR3YVGFfEpyFESummAta6sg/edit"", ""Sheet1!B:D""), 3, FALSE), ""Not Found"")"),"m i t ə r ")</f>
        <v>m i t ə r </v>
      </c>
    </row>
    <row r="5747">
      <c r="A5747" s="1" t="s">
        <v>5749</v>
      </c>
      <c r="B5747" s="1" t="s">
        <v>5</v>
      </c>
      <c r="C5747" s="2">
        <f>IFERROR(__xludf.DUMMYFUNCTION("IFERROR(VLOOKUP(A5747, IMPORTRANGE(""https://docs.google.com/spreadsheets/d/1AVX9GT0dgogEBStecCXMMQ29tWz3gBrtNB8yIromXbY/edit?gid=741673867"", ""out1g!A:B""), 2, FALSE), 0)"),1300.0)</f>
        <v>1300</v>
      </c>
      <c r="D5747" s="2" t="str">
        <f>IFERROR(__xludf.DUMMYFUNCTION("IFERROR(VLOOKUP(A5747, IMPORTRANGE(""https://docs.google.com/spreadsheets/d/1-3Vjw2Cyy-mry5gbC8ypIR3YVGFfEpyFESummAta6sg/edit"", ""Sheet1!B:D""), 2, FALSE), ""Not Found"")"),"stɑk")</f>
        <v>stɑk</v>
      </c>
      <c r="E5747" s="2" t="str">
        <f>IFERROR(__xludf.DUMMYFUNCTION("IFERROR(VLOOKUP(A5747, IMPORTRANGE(""https://docs.google.com/spreadsheets/d/1-3Vjw2Cyy-mry5gbC8ypIR3YVGFfEpyFESummAta6sg/edit"", ""Sheet1!B:D""), 3, FALSE), ""Not Found"")"),"s t ɑ k ")</f>
        <v>s t ɑ k </v>
      </c>
    </row>
    <row r="5748">
      <c r="A5748" s="1" t="s">
        <v>5750</v>
      </c>
      <c r="B5748" s="1" t="s">
        <v>5</v>
      </c>
      <c r="C5748" s="2">
        <f>IFERROR(__xludf.DUMMYFUNCTION("IFERROR(VLOOKUP(A5748, IMPORTRANGE(""https://docs.google.com/spreadsheets/d/1AVX9GT0dgogEBStecCXMMQ29tWz3gBrtNB8yIromXbY/edit?gid=741673867"", ""out1g!A:B""), 2, FALSE), 0)"),73.0)</f>
        <v>73</v>
      </c>
      <c r="D5748" s="2" t="str">
        <f>IFERROR(__xludf.DUMMYFUNCTION("IFERROR(VLOOKUP(A5748, IMPORTRANGE(""https://docs.google.com/spreadsheets/d/1-3Vjw2Cyy-mry5gbC8ypIR3YVGFfEpyFESummAta6sg/edit"", ""Sheet1!B:D""), 2, FALSE), ""Not Found"")"),"goʊli")</f>
        <v>goʊli</v>
      </c>
      <c r="E5748" s="2" t="str">
        <f>IFERROR(__xludf.DUMMYFUNCTION("IFERROR(VLOOKUP(A5748, IMPORTRANGE(""https://docs.google.com/spreadsheets/d/1-3Vjw2Cyy-mry5gbC8ypIR3YVGFfEpyFESummAta6sg/edit"", ""Sheet1!B:D""), 3, FALSE), ""Not Found"")"),"g o ʊ l i ")</f>
        <v>g o ʊ l i </v>
      </c>
    </row>
    <row r="5749">
      <c r="A5749" s="1" t="s">
        <v>5751</v>
      </c>
      <c r="B5749" s="1" t="s">
        <v>5</v>
      </c>
      <c r="C5749" s="2">
        <f>IFERROR(__xludf.DUMMYFUNCTION("IFERROR(VLOOKUP(A5749, IMPORTRANGE(""https://docs.google.com/spreadsheets/d/1AVX9GT0dgogEBStecCXMMQ29tWz3gBrtNB8yIromXbY/edit?gid=741673867"", ""out1g!A:B""), 2, FALSE), 0)"),370.0)</f>
        <v>370</v>
      </c>
      <c r="D5749" s="2" t="str">
        <f>IFERROR(__xludf.DUMMYFUNCTION("IFERROR(VLOOKUP(A5749, IMPORTRANGE(""https://docs.google.com/spreadsheets/d/1-3Vjw2Cyy-mry5gbC8ypIR3YVGFfEpyFESummAta6sg/edit"", ""Sheet1!B:D""), 2, FALSE), ""Not Found"")"),"skim")</f>
        <v>skim</v>
      </c>
      <c r="E5749" s="2" t="str">
        <f>IFERROR(__xludf.DUMMYFUNCTION("IFERROR(VLOOKUP(A5749, IMPORTRANGE(""https://docs.google.com/spreadsheets/d/1-3Vjw2Cyy-mry5gbC8ypIR3YVGFfEpyFESummAta6sg/edit"", ""Sheet1!B:D""), 3, FALSE), ""Not Found"")"),"s k i m ")</f>
        <v>s k i m </v>
      </c>
    </row>
    <row r="5750">
      <c r="A5750" s="1" t="s">
        <v>5752</v>
      </c>
      <c r="B5750" s="1" t="s">
        <v>5</v>
      </c>
      <c r="C5750" s="2">
        <f>IFERROR(__xludf.DUMMYFUNCTION("IFERROR(VLOOKUP(A5750, IMPORTRANGE(""https://docs.google.com/spreadsheets/d/1AVX9GT0dgogEBStecCXMMQ29tWz3gBrtNB8yIromXbY/edit?gid=741673867"", ""out1g!A:B""), 2, FALSE), 0)"),11805.0)</f>
        <v>11805</v>
      </c>
      <c r="D5750" s="2" t="str">
        <f>IFERROR(__xludf.DUMMYFUNCTION("IFERROR(VLOOKUP(A5750, IMPORTRANGE(""https://docs.google.com/spreadsheets/d/1-3Vjw2Cyy-mry5gbC8ypIR3YVGFfEpyFESummAta6sg/edit"", ""Sheet1!B:D""), 2, FALSE), ""Not Found"")"),"sɛt")</f>
        <v>sɛt</v>
      </c>
      <c r="E5750" s="2" t="str">
        <f>IFERROR(__xludf.DUMMYFUNCTION("IFERROR(VLOOKUP(A5750, IMPORTRANGE(""https://docs.google.com/spreadsheets/d/1-3Vjw2Cyy-mry5gbC8ypIR3YVGFfEpyFESummAta6sg/edit"", ""Sheet1!B:D""), 3, FALSE), ""Not Found"")"),"s ɛ t ")</f>
        <v>s ɛ t </v>
      </c>
    </row>
    <row r="5751">
      <c r="A5751" s="1" t="s">
        <v>5753</v>
      </c>
      <c r="B5751" s="1" t="s">
        <v>5</v>
      </c>
      <c r="C5751" s="2">
        <f>IFERROR(__xludf.DUMMYFUNCTION("IFERROR(VLOOKUP(A5751, IMPORTRANGE(""https://docs.google.com/spreadsheets/d/1AVX9GT0dgogEBStecCXMMQ29tWz3gBrtNB8yIromXbY/edit?gid=741673867"", ""out1g!A:B""), 2, FALSE), 0)"),24207.0)</f>
        <v>24207</v>
      </c>
      <c r="D5751" s="2" t="str">
        <f>IFERROR(__xludf.DUMMYFUNCTION("IFERROR(VLOOKUP(A5751, IMPORTRANGE(""https://docs.google.com/spreadsheets/d/1-3Vjw2Cyy-mry5gbC8ypIR3YVGFfEpyFESummAta6sg/edit"", ""Sheet1!B:D""), 2, FALSE), ""Not Found"")"),"ʃɪt")</f>
        <v>ʃɪt</v>
      </c>
      <c r="E5751" s="2" t="str">
        <f>IFERROR(__xludf.DUMMYFUNCTION("IFERROR(VLOOKUP(A5751, IMPORTRANGE(""https://docs.google.com/spreadsheets/d/1-3Vjw2Cyy-mry5gbC8ypIR3YVGFfEpyFESummAta6sg/edit"", ""Sheet1!B:D""), 3, FALSE), ""Not Found"")"),"ʃ ɪ t ")</f>
        <v>ʃ ɪ t </v>
      </c>
    </row>
    <row r="5752">
      <c r="A5752" s="1" t="s">
        <v>5754</v>
      </c>
      <c r="B5752" s="1" t="s">
        <v>5</v>
      </c>
      <c r="C5752" s="2">
        <f>IFERROR(__xludf.DUMMYFUNCTION("IFERROR(VLOOKUP(A5752, IMPORTRANGE(""https://docs.google.com/spreadsheets/d/1AVX9GT0dgogEBStecCXMMQ29tWz3gBrtNB8yIromXbY/edit?gid=741673867"", ""out1g!A:B""), 2, FALSE), 0)"),132.0)</f>
        <v>132</v>
      </c>
      <c r="D5752" s="2" t="str">
        <f>IFERROR(__xludf.DUMMYFUNCTION("IFERROR(VLOOKUP(A5752, IMPORTRANGE(""https://docs.google.com/spreadsheets/d/1-3Vjw2Cyy-mry5gbC8ypIR3YVGFfEpyFESummAta6sg/edit"", ""Sheet1!B:D""), 2, FALSE), ""Not Found"")"),"rip")</f>
        <v>rip</v>
      </c>
      <c r="E5752" s="2" t="str">
        <f>IFERROR(__xludf.DUMMYFUNCTION("IFERROR(VLOOKUP(A5752, IMPORTRANGE(""https://docs.google.com/spreadsheets/d/1-3Vjw2Cyy-mry5gbC8ypIR3YVGFfEpyFESummAta6sg/edit"", ""Sheet1!B:D""), 3, FALSE), ""Not Found"")"),"r i p ")</f>
        <v>r i p </v>
      </c>
    </row>
    <row r="5753">
      <c r="A5753" s="1" t="s">
        <v>5755</v>
      </c>
      <c r="B5753" s="1" t="s">
        <v>5</v>
      </c>
      <c r="C5753" s="2">
        <f>IFERROR(__xludf.DUMMYFUNCTION("IFERROR(VLOOKUP(A5753, IMPORTRANGE(""https://docs.google.com/spreadsheets/d/1AVX9GT0dgogEBStecCXMMQ29tWz3gBrtNB8yIromXbY/edit?gid=741673867"", ""out1g!A:B""), 2, FALSE), 0)"),2324.0)</f>
        <v>2324</v>
      </c>
      <c r="D5753" s="2" t="str">
        <f>IFERROR(__xludf.DUMMYFUNCTION("IFERROR(VLOOKUP(A5753, IMPORTRANGE(""https://docs.google.com/spreadsheets/d/1-3Vjw2Cyy-mry5gbC8ypIR3YVGFfEpyFESummAta6sg/edit"", ""Sheet1!B:D""), 2, FALSE), ""Not Found"")"),"straɪk")</f>
        <v>straɪk</v>
      </c>
      <c r="E5753" s="2" t="str">
        <f>IFERROR(__xludf.DUMMYFUNCTION("IFERROR(VLOOKUP(A5753, IMPORTRANGE(""https://docs.google.com/spreadsheets/d/1-3Vjw2Cyy-mry5gbC8ypIR3YVGFfEpyFESummAta6sg/edit"", ""Sheet1!B:D""), 3, FALSE), ""Not Found"")"),"s t r a ɪ k ")</f>
        <v>s t r a ɪ k </v>
      </c>
    </row>
    <row r="5754">
      <c r="A5754" s="1" t="s">
        <v>5756</v>
      </c>
      <c r="B5754" s="1" t="s">
        <v>5</v>
      </c>
      <c r="C5754" s="2">
        <f>IFERROR(__xludf.DUMMYFUNCTION("IFERROR(VLOOKUP(A5754, IMPORTRANGE(""https://docs.google.com/spreadsheets/d/1AVX9GT0dgogEBStecCXMMQ29tWz3gBrtNB8yIromXbY/edit?gid=741673867"", ""out1g!A:B""), 2, FALSE), 0)"),263.0)</f>
        <v>263</v>
      </c>
      <c r="D5754" s="2" t="str">
        <f>IFERROR(__xludf.DUMMYFUNCTION("IFERROR(VLOOKUP(A5754, IMPORTRANGE(""https://docs.google.com/spreadsheets/d/1-3Vjw2Cyy-mry5gbC8ypIR3YVGFfEpyFESummAta6sg/edit"", ""Sheet1!B:D""), 2, FALSE), ""Not Found"")"),"həp")</f>
        <v>həp</v>
      </c>
      <c r="E5754" s="2" t="str">
        <f>IFERROR(__xludf.DUMMYFUNCTION("IFERROR(VLOOKUP(A5754, IMPORTRANGE(""https://docs.google.com/spreadsheets/d/1-3Vjw2Cyy-mry5gbC8ypIR3YVGFfEpyFESummAta6sg/edit"", ""Sheet1!B:D""), 3, FALSE), ""Not Found"")"),"h ə p ")</f>
        <v>h ə p </v>
      </c>
    </row>
    <row r="5755">
      <c r="A5755" s="1" t="s">
        <v>5757</v>
      </c>
      <c r="B5755" s="1" t="s">
        <v>5</v>
      </c>
      <c r="C5755" s="2">
        <f>IFERROR(__xludf.DUMMYFUNCTION("IFERROR(VLOOKUP(A5755, IMPORTRANGE(""https://docs.google.com/spreadsheets/d/1AVX9GT0dgogEBStecCXMMQ29tWz3gBrtNB8yIromXbY/edit?gid=741673867"", ""out1g!A:B""), 2, FALSE), 0)"),127.0)</f>
        <v>127</v>
      </c>
      <c r="D5755" s="2" t="str">
        <f>IFERROR(__xludf.DUMMYFUNCTION("IFERROR(VLOOKUP(A5755, IMPORTRANGE(""https://docs.google.com/spreadsheets/d/1-3Vjw2Cyy-mry5gbC8ypIR3YVGFfEpyFESummAta6sg/edit"", ""Sheet1!B:D""), 2, FALSE), ""Not Found"")"),"sɔlti")</f>
        <v>sɔlti</v>
      </c>
      <c r="E5755" s="2" t="str">
        <f>IFERROR(__xludf.DUMMYFUNCTION("IFERROR(VLOOKUP(A5755, IMPORTRANGE(""https://docs.google.com/spreadsheets/d/1-3Vjw2Cyy-mry5gbC8ypIR3YVGFfEpyFESummAta6sg/edit"", ""Sheet1!B:D""), 3, FALSE), ""Not Found"")"),"s ɔ l t i ")</f>
        <v>s ɔ l t i </v>
      </c>
    </row>
    <row r="5756">
      <c r="A5756" s="1" t="s">
        <v>5758</v>
      </c>
      <c r="B5756" s="1" t="s">
        <v>5</v>
      </c>
      <c r="C5756" s="2">
        <f>IFERROR(__xludf.DUMMYFUNCTION("IFERROR(VLOOKUP(A5756, IMPORTRANGE(""https://docs.google.com/spreadsheets/d/1AVX9GT0dgogEBStecCXMMQ29tWz3gBrtNB8yIromXbY/edit?gid=741673867"", ""out1g!A:B""), 2, FALSE), 0)"),14228.0)</f>
        <v>14228</v>
      </c>
      <c r="D5756" s="2" t="str">
        <f>IFERROR(__xludf.DUMMYFUNCTION("IFERROR(VLOOKUP(A5756, IMPORTRANGE(""https://docs.google.com/spreadsheets/d/1-3Vjw2Cyy-mry5gbC8ypIR3YVGFfEpyFESummAta6sg/edit"", ""Sheet1!B:D""), 2, FALSE), ""Not Found"")"),"ʧɛk")</f>
        <v>ʧɛk</v>
      </c>
      <c r="E5756" s="2" t="str">
        <f>IFERROR(__xludf.DUMMYFUNCTION("IFERROR(VLOOKUP(A5756, IMPORTRANGE(""https://docs.google.com/spreadsheets/d/1-3Vjw2Cyy-mry5gbC8ypIR3YVGFfEpyFESummAta6sg/edit"", ""Sheet1!B:D""), 3, FALSE), ""Not Found"")"),"ʧ ɛ k ")</f>
        <v>ʧ ɛ k </v>
      </c>
    </row>
    <row r="5757">
      <c r="A5757" s="1" t="s">
        <v>5759</v>
      </c>
      <c r="B5757" s="1" t="s">
        <v>5</v>
      </c>
      <c r="C5757" s="2">
        <f>IFERROR(__xludf.DUMMYFUNCTION("IFERROR(VLOOKUP(A5757, IMPORTRANGE(""https://docs.google.com/spreadsheets/d/1AVX9GT0dgogEBStecCXMMQ29tWz3gBrtNB8yIromXbY/edit?gid=741673867"", ""out1g!A:B""), 2, FALSE), 0)"),52.0)</f>
        <v>52</v>
      </c>
      <c r="D5757" s="2" t="str">
        <f>IFERROR(__xludf.DUMMYFUNCTION("IFERROR(VLOOKUP(A5757, IMPORTRANGE(""https://docs.google.com/spreadsheets/d/1-3Vjw2Cyy-mry5gbC8ypIR3YVGFfEpyFESummAta6sg/edit"", ""Sheet1!B:D""), 2, FALSE), ""Not Found"")"),"pəg")</f>
        <v>pəg</v>
      </c>
      <c r="E5757" s="2" t="str">
        <f>IFERROR(__xludf.DUMMYFUNCTION("IFERROR(VLOOKUP(A5757, IMPORTRANGE(""https://docs.google.com/spreadsheets/d/1-3Vjw2Cyy-mry5gbC8ypIR3YVGFfEpyFESummAta6sg/edit"", ""Sheet1!B:D""), 3, FALSE), ""Not Found"")"),"p ə g ")</f>
        <v>p ə g </v>
      </c>
    </row>
    <row r="5758">
      <c r="A5758" s="1" t="s">
        <v>5760</v>
      </c>
      <c r="B5758" s="1" t="s">
        <v>5</v>
      </c>
      <c r="C5758" s="2">
        <f>IFERROR(__xludf.DUMMYFUNCTION("IFERROR(VLOOKUP(A5758, IMPORTRANGE(""https://docs.google.com/spreadsheets/d/1AVX9GT0dgogEBStecCXMMQ29tWz3gBrtNB8yIromXbY/edit?gid=741673867"", ""out1g!A:B""), 2, FALSE), 0)"),199.0)</f>
        <v>199</v>
      </c>
      <c r="D5758" s="2" t="str">
        <f>IFERROR(__xludf.DUMMYFUNCTION("IFERROR(VLOOKUP(A5758, IMPORTRANGE(""https://docs.google.com/spreadsheets/d/1-3Vjw2Cyy-mry5gbC8ypIR3YVGFfEpyFESummAta6sg/edit"", ""Sheet1!B:D""), 2, FALSE), ""Not Found"")"),"ræθ")</f>
        <v>ræθ</v>
      </c>
      <c r="E5758" s="2" t="str">
        <f>IFERROR(__xludf.DUMMYFUNCTION("IFERROR(VLOOKUP(A5758, IMPORTRANGE(""https://docs.google.com/spreadsheets/d/1-3Vjw2Cyy-mry5gbC8ypIR3YVGFfEpyFESummAta6sg/edit"", ""Sheet1!B:D""), 3, FALSE), ""Not Found"")"),"r æ θ ")</f>
        <v>r æ θ </v>
      </c>
    </row>
    <row r="5759">
      <c r="A5759" s="1" t="s">
        <v>5761</v>
      </c>
      <c r="B5759" s="1" t="s">
        <v>5</v>
      </c>
      <c r="C5759" s="2">
        <f>IFERROR(__xludf.DUMMYFUNCTION("IFERROR(VLOOKUP(A5759, IMPORTRANGE(""https://docs.google.com/spreadsheets/d/1AVX9GT0dgogEBStecCXMMQ29tWz3gBrtNB8yIromXbY/edit?gid=741673867"", ""out1g!A:B""), 2, FALSE), 0)"),147.0)</f>
        <v>147</v>
      </c>
      <c r="D5759" s="2" t="str">
        <f>IFERROR(__xludf.DUMMYFUNCTION("IFERROR(VLOOKUP(A5759, IMPORTRANGE(""https://docs.google.com/spreadsheets/d/1-3Vjw2Cyy-mry5gbC8ypIR3YVGFfEpyFESummAta6sg/edit"", ""Sheet1!B:D""), 2, FALSE), ""Not Found"")"),"ðaɪn")</f>
        <v>ðaɪn</v>
      </c>
      <c r="E5759" s="2" t="str">
        <f>IFERROR(__xludf.DUMMYFUNCTION("IFERROR(VLOOKUP(A5759, IMPORTRANGE(""https://docs.google.com/spreadsheets/d/1-3Vjw2Cyy-mry5gbC8ypIR3YVGFfEpyFESummAta6sg/edit"", ""Sheet1!B:D""), 3, FALSE), ""Not Found"")"),"ð a ɪ n ")</f>
        <v>ð a ɪ n </v>
      </c>
    </row>
    <row r="5760">
      <c r="A5760" s="1" t="s">
        <v>5762</v>
      </c>
      <c r="B5760" s="1" t="s">
        <v>5</v>
      </c>
      <c r="C5760" s="2">
        <f>IFERROR(__xludf.DUMMYFUNCTION("IFERROR(VLOOKUP(A5760, IMPORTRANGE(""https://docs.google.com/spreadsheets/d/1AVX9GT0dgogEBStecCXMMQ29tWz3gBrtNB8yIromXbY/edit?gid=741673867"", ""out1g!A:B""), 2, FALSE), 0)"),127.0)</f>
        <v>127</v>
      </c>
      <c r="D5760" s="2" t="str">
        <f>IFERROR(__xludf.DUMMYFUNCTION("IFERROR(VLOOKUP(A5760, IMPORTRANGE(""https://docs.google.com/spreadsheets/d/1-3Vjw2Cyy-mry5gbC8ypIR3YVGFfEpyFESummAta6sg/edit"", ""Sheet1!B:D""), 2, FALSE), ""Not Found"")"),"klɛr")</f>
        <v>klɛr</v>
      </c>
      <c r="E5760" s="2" t="str">
        <f>IFERROR(__xludf.DUMMYFUNCTION("IFERROR(VLOOKUP(A5760, IMPORTRANGE(""https://docs.google.com/spreadsheets/d/1-3Vjw2Cyy-mry5gbC8ypIR3YVGFfEpyFESummAta6sg/edit"", ""Sheet1!B:D""), 3, FALSE), ""Not Found"")"),"k l ɛ r ")</f>
        <v>k l ɛ r </v>
      </c>
    </row>
    <row r="5761">
      <c r="A5761" s="1" t="s">
        <v>5763</v>
      </c>
      <c r="B5761" s="1" t="s">
        <v>5</v>
      </c>
      <c r="C5761" s="2">
        <f>IFERROR(__xludf.DUMMYFUNCTION("IFERROR(VLOOKUP(A5761, IMPORTRANGE(""https://docs.google.com/spreadsheets/d/1AVX9GT0dgogEBStecCXMMQ29tWz3gBrtNB8yIromXbY/edit?gid=741673867"", ""out1g!A:B""), 2, FALSE), 0)"),121.0)</f>
        <v>121</v>
      </c>
      <c r="D5761" s="2" t="str">
        <f>IFERROR(__xludf.DUMMYFUNCTION("IFERROR(VLOOKUP(A5761, IMPORTRANGE(""https://docs.google.com/spreadsheets/d/1-3Vjw2Cyy-mry5gbC8ypIR3YVGFfEpyFESummAta6sg/edit"", ""Sheet1!B:D""), 2, FALSE), ""Not Found"")"),"skɪld")</f>
        <v>skɪld</v>
      </c>
      <c r="E5761" s="2" t="str">
        <f>IFERROR(__xludf.DUMMYFUNCTION("IFERROR(VLOOKUP(A5761, IMPORTRANGE(""https://docs.google.com/spreadsheets/d/1-3Vjw2Cyy-mry5gbC8ypIR3YVGFfEpyFESummAta6sg/edit"", ""Sheet1!B:D""), 3, FALSE), ""Not Found"")"),"s k ɪ l d ")</f>
        <v>s k ɪ l d </v>
      </c>
    </row>
    <row r="5762">
      <c r="A5762" s="1" t="s">
        <v>5764</v>
      </c>
      <c r="B5762" s="1" t="s">
        <v>5</v>
      </c>
      <c r="C5762" s="2">
        <f>IFERROR(__xludf.DUMMYFUNCTION("IFERROR(VLOOKUP(A5762, IMPORTRANGE(""https://docs.google.com/spreadsheets/d/1AVX9GT0dgogEBStecCXMMQ29tWz3gBrtNB8yIromXbY/edit?gid=741673867"", ""out1g!A:B""), 2, FALSE), 0)"),92.0)</f>
        <v>92</v>
      </c>
      <c r="D5762" s="2" t="str">
        <f>IFERROR(__xludf.DUMMYFUNCTION("IFERROR(VLOOKUP(A5762, IMPORTRANGE(""https://docs.google.com/spreadsheets/d/1-3Vjw2Cyy-mry5gbC8ypIR3YVGFfEpyFESummAta6sg/edit"", ""Sheet1!B:D""), 2, FALSE), ""Not Found"")"),"drɪri")</f>
        <v>drɪri</v>
      </c>
      <c r="E5762" s="2" t="str">
        <f>IFERROR(__xludf.DUMMYFUNCTION("IFERROR(VLOOKUP(A5762, IMPORTRANGE(""https://docs.google.com/spreadsheets/d/1-3Vjw2Cyy-mry5gbC8ypIR3YVGFfEpyFESummAta6sg/edit"", ""Sheet1!B:D""), 3, FALSE), ""Not Found"")"),"d r ɪ r i ")</f>
        <v>d r ɪ r i </v>
      </c>
    </row>
    <row r="5763">
      <c r="A5763" s="1" t="s">
        <v>5765</v>
      </c>
      <c r="B5763" s="1" t="s">
        <v>5</v>
      </c>
      <c r="C5763" s="2">
        <f>IFERROR(__xludf.DUMMYFUNCTION("IFERROR(VLOOKUP(A5763, IMPORTRANGE(""https://docs.google.com/spreadsheets/d/1AVX9GT0dgogEBStecCXMMQ29tWz3gBrtNB8yIromXbY/edit?gid=741673867"", ""out1g!A:B""), 2, FALSE), 0)"),9543.0)</f>
        <v>9543</v>
      </c>
      <c r="D5763" s="2" t="str">
        <f>IFERROR(__xludf.DUMMYFUNCTION("IFERROR(VLOOKUP(A5763, IMPORTRANGE(""https://docs.google.com/spreadsheets/d/1-3Vjw2Cyy-mry5gbC8ypIR3YVGFfEpyFESummAta6sg/edit"", ""Sheet1!B:D""), 2, FALSE), ""Not Found"")"),"bɛd")</f>
        <v>bɛd</v>
      </c>
      <c r="E5763" s="2" t="str">
        <f>IFERROR(__xludf.DUMMYFUNCTION("IFERROR(VLOOKUP(A5763, IMPORTRANGE(""https://docs.google.com/spreadsheets/d/1-3Vjw2Cyy-mry5gbC8ypIR3YVGFfEpyFESummAta6sg/edit"", ""Sheet1!B:D""), 3, FALSE), ""Not Found"")"),"b ɛ d ")</f>
        <v>b ɛ d </v>
      </c>
    </row>
    <row r="5764">
      <c r="A5764" s="1" t="s">
        <v>5766</v>
      </c>
      <c r="B5764" s="1" t="s">
        <v>5</v>
      </c>
      <c r="C5764" s="2">
        <f>IFERROR(__xludf.DUMMYFUNCTION("IFERROR(VLOOKUP(A5764, IMPORTRANGE(""https://docs.google.com/spreadsheets/d/1AVX9GT0dgogEBStecCXMMQ29tWz3gBrtNB8yIromXbY/edit?gid=741673867"", ""out1g!A:B""), 2, FALSE), 0)"),45.0)</f>
        <v>45</v>
      </c>
      <c r="D5764" s="2" t="str">
        <f>IFERROR(__xludf.DUMMYFUNCTION("IFERROR(VLOOKUP(A5764, IMPORTRANGE(""https://docs.google.com/spreadsheets/d/1-3Vjw2Cyy-mry5gbC8ypIR3YVGFfEpyFESummAta6sg/edit"", ""Sheet1!B:D""), 2, FALSE), ""Not Found"")"),"skupt")</f>
        <v>skupt</v>
      </c>
      <c r="E5764" s="2" t="str">
        <f>IFERROR(__xludf.DUMMYFUNCTION("IFERROR(VLOOKUP(A5764, IMPORTRANGE(""https://docs.google.com/spreadsheets/d/1-3Vjw2Cyy-mry5gbC8ypIR3YVGFfEpyFESummAta6sg/edit"", ""Sheet1!B:D""), 3, FALSE), ""Not Found"")"),"s k u p t ")</f>
        <v>s k u p t </v>
      </c>
    </row>
    <row r="5765">
      <c r="A5765" s="1" t="s">
        <v>5767</v>
      </c>
      <c r="B5765" s="1" t="s">
        <v>5</v>
      </c>
      <c r="C5765" s="2">
        <f>IFERROR(__xludf.DUMMYFUNCTION("IFERROR(VLOOKUP(A5765, IMPORTRANGE(""https://docs.google.com/spreadsheets/d/1AVX9GT0dgogEBStecCXMMQ29tWz3gBrtNB8yIromXbY/edit?gid=741673867"", ""out1g!A:B""), 2, FALSE), 0)"),120.0)</f>
        <v>120</v>
      </c>
      <c r="D5765" s="2" t="str">
        <f>IFERROR(__xludf.DUMMYFUNCTION("IFERROR(VLOOKUP(A5765, IMPORTRANGE(""https://docs.google.com/spreadsheets/d/1-3Vjw2Cyy-mry5gbC8ypIR3YVGFfEpyFESummAta6sg/edit"", ""Sheet1!B:D""), 2, FALSE), ""Not Found"")"),"rɪns")</f>
        <v>rɪns</v>
      </c>
      <c r="E5765" s="2" t="str">
        <f>IFERROR(__xludf.DUMMYFUNCTION("IFERROR(VLOOKUP(A5765, IMPORTRANGE(""https://docs.google.com/spreadsheets/d/1-3Vjw2Cyy-mry5gbC8ypIR3YVGFfEpyFESummAta6sg/edit"", ""Sheet1!B:D""), 3, FALSE), ""Not Found"")"),"r ɪ n s ")</f>
        <v>r ɪ n s </v>
      </c>
    </row>
    <row r="5766">
      <c r="A5766" s="1" t="s">
        <v>5768</v>
      </c>
      <c r="B5766" s="1" t="s">
        <v>5</v>
      </c>
      <c r="C5766" s="2">
        <f>IFERROR(__xludf.DUMMYFUNCTION("IFERROR(VLOOKUP(A5766, IMPORTRANGE(""https://docs.google.com/spreadsheets/d/1AVX9GT0dgogEBStecCXMMQ29tWz3gBrtNB8yIromXbY/edit?gid=741673867"", ""out1g!A:B""), 2, FALSE), 0)"),3092.0)</f>
        <v>3092</v>
      </c>
      <c r="D5766" s="2" t="str">
        <f>IFERROR(__xludf.DUMMYFUNCTION("IFERROR(VLOOKUP(A5766, IMPORTRANGE(""https://docs.google.com/spreadsheets/d/1-3Vjw2Cyy-mry5gbC8ypIR3YVGFfEpyFESummAta6sg/edit"", ""Sheet1!B:D""), 2, FALSE), ""Not Found"")"),"gənz")</f>
        <v>gənz</v>
      </c>
      <c r="E5766" s="2" t="str">
        <f>IFERROR(__xludf.DUMMYFUNCTION("IFERROR(VLOOKUP(A5766, IMPORTRANGE(""https://docs.google.com/spreadsheets/d/1-3Vjw2Cyy-mry5gbC8ypIR3YVGFfEpyFESummAta6sg/edit"", ""Sheet1!B:D""), 3, FALSE), ""Not Found"")"),"g ə n z ")</f>
        <v>g ə n z </v>
      </c>
    </row>
    <row r="5767">
      <c r="A5767" s="1" t="s">
        <v>5769</v>
      </c>
      <c r="B5767" s="1" t="s">
        <v>5</v>
      </c>
      <c r="C5767" s="2">
        <f>IFERROR(__xludf.DUMMYFUNCTION("IFERROR(VLOOKUP(A5767, IMPORTRANGE(""https://docs.google.com/spreadsheets/d/1AVX9GT0dgogEBStecCXMMQ29tWz3gBrtNB8yIromXbY/edit?gid=741673867"", ""out1g!A:B""), 2, FALSE), 0)"),1353.0)</f>
        <v>1353</v>
      </c>
      <c r="D5767" s="2" t="str">
        <f>IFERROR(__xludf.DUMMYFUNCTION("IFERROR(VLOOKUP(A5767, IMPORTRANGE(""https://docs.google.com/spreadsheets/d/1-3Vjw2Cyy-mry5gbC8ypIR3YVGFfEpyFESummAta6sg/edit"", ""Sheet1!B:D""), 2, FALSE), ""Not Found"")"),"wund")</f>
        <v>wund</v>
      </c>
      <c r="E5767" s="2" t="str">
        <f>IFERROR(__xludf.DUMMYFUNCTION("IFERROR(VLOOKUP(A5767, IMPORTRANGE(""https://docs.google.com/spreadsheets/d/1-3Vjw2Cyy-mry5gbC8ypIR3YVGFfEpyFESummAta6sg/edit"", ""Sheet1!B:D""), 3, FALSE), ""Not Found"")"),"w u n d ")</f>
        <v>w u n d </v>
      </c>
    </row>
    <row r="5768">
      <c r="A5768" s="1" t="s">
        <v>5770</v>
      </c>
      <c r="B5768" s="1" t="s">
        <v>5</v>
      </c>
      <c r="C5768" s="2">
        <f>IFERROR(__xludf.DUMMYFUNCTION("IFERROR(VLOOKUP(A5768, IMPORTRANGE(""https://docs.google.com/spreadsheets/d/1AVX9GT0dgogEBStecCXMMQ29tWz3gBrtNB8yIromXbY/edit?gid=741673867"", ""out1g!A:B""), 2, FALSE), 0)"),18.0)</f>
        <v>18</v>
      </c>
      <c r="D5768" s="2" t="str">
        <f>IFERROR(__xludf.DUMMYFUNCTION("IFERROR(VLOOKUP(A5768, IMPORTRANGE(""https://docs.google.com/spreadsheets/d/1-3Vjw2Cyy-mry5gbC8ypIR3YVGFfEpyFESummAta6sg/edit"", ""Sheet1!B:D""), 2, FALSE), ""Not Found"")"),"wɪðər")</f>
        <v>wɪðər</v>
      </c>
      <c r="E5768" s="2" t="str">
        <f>IFERROR(__xludf.DUMMYFUNCTION("IFERROR(VLOOKUP(A5768, IMPORTRANGE(""https://docs.google.com/spreadsheets/d/1-3Vjw2Cyy-mry5gbC8ypIR3YVGFfEpyFESummAta6sg/edit"", ""Sheet1!B:D""), 3, FALSE), ""Not Found"")"),"w ɪ ð ə r ")</f>
        <v>w ɪ ð ə r </v>
      </c>
    </row>
    <row r="5769">
      <c r="A5769" s="1" t="s">
        <v>5771</v>
      </c>
      <c r="B5769" s="1" t="s">
        <v>5</v>
      </c>
      <c r="C5769" s="2">
        <f>IFERROR(__xludf.DUMMYFUNCTION("IFERROR(VLOOKUP(A5769, IMPORTRANGE(""https://docs.google.com/spreadsheets/d/1AVX9GT0dgogEBStecCXMMQ29tWz3gBrtNB8yIromXbY/edit?gid=741673867"", ""out1g!A:B""), 2, FALSE), 0)"),827.0)</f>
        <v>827</v>
      </c>
      <c r="D5769" s="2" t="str">
        <f>IFERROR(__xludf.DUMMYFUNCTION("IFERROR(VLOOKUP(A5769, IMPORTRANGE(""https://docs.google.com/spreadsheets/d/1-3Vjw2Cyy-mry5gbC8ypIR3YVGFfEpyFESummAta6sg/edit"", ""Sheet1!B:D""), 2, FALSE), ""Not Found"")"),"wəriɪŋ")</f>
        <v>wəriɪŋ</v>
      </c>
      <c r="E5769" s="2" t="str">
        <f>IFERROR(__xludf.DUMMYFUNCTION("IFERROR(VLOOKUP(A5769, IMPORTRANGE(""https://docs.google.com/spreadsheets/d/1-3Vjw2Cyy-mry5gbC8ypIR3YVGFfEpyFESummAta6sg/edit"", ""Sheet1!B:D""), 3, FALSE), ""Not Found"")"),"w ə r i ɪ ŋ ")</f>
        <v>w ə r i ɪ ŋ </v>
      </c>
    </row>
    <row r="5770">
      <c r="A5770" s="1" t="s">
        <v>5772</v>
      </c>
      <c r="B5770" s="1" t="s">
        <v>5</v>
      </c>
      <c r="C5770" s="2">
        <f>IFERROR(__xludf.DUMMYFUNCTION("IFERROR(VLOOKUP(A5770, IMPORTRANGE(""https://docs.google.com/spreadsheets/d/1AVX9GT0dgogEBStecCXMMQ29tWz3gBrtNB8yIromXbY/edit?gid=741673867"", ""out1g!A:B""), 2, FALSE), 0)"),138.0)</f>
        <v>138</v>
      </c>
      <c r="D5770" s="2" t="str">
        <f>IFERROR(__xludf.DUMMYFUNCTION("IFERROR(VLOOKUP(A5770, IMPORTRANGE(""https://docs.google.com/spreadsheets/d/1-3Vjw2Cyy-mry5gbC8ypIR3YVGFfEpyFESummAta6sg/edit"", ""Sheet1!B:D""), 2, FALSE), ""Not Found"")"),"rəbd")</f>
        <v>rəbd</v>
      </c>
      <c r="E5770" s="2" t="str">
        <f>IFERROR(__xludf.DUMMYFUNCTION("IFERROR(VLOOKUP(A5770, IMPORTRANGE(""https://docs.google.com/spreadsheets/d/1-3Vjw2Cyy-mry5gbC8ypIR3YVGFfEpyFESummAta6sg/edit"", ""Sheet1!B:D""), 3, FALSE), ""Not Found"")"),"r ə b d ")</f>
        <v>r ə b d </v>
      </c>
    </row>
    <row r="5771">
      <c r="A5771" s="1" t="s">
        <v>5773</v>
      </c>
      <c r="B5771" s="1" t="s">
        <v>5</v>
      </c>
      <c r="C5771" s="2">
        <f>IFERROR(__xludf.DUMMYFUNCTION("IFERROR(VLOOKUP(A5771, IMPORTRANGE(""https://docs.google.com/spreadsheets/d/1AVX9GT0dgogEBStecCXMMQ29tWz3gBrtNB8yIromXbY/edit?gid=741673867"", ""out1g!A:B""), 2, FALSE), 0)"),67.0)</f>
        <v>67</v>
      </c>
      <c r="D5771" s="2" t="str">
        <f>IFERROR(__xludf.DUMMYFUNCTION("IFERROR(VLOOKUP(A5771, IMPORTRANGE(""https://docs.google.com/spreadsheets/d/1-3Vjw2Cyy-mry5gbC8ypIR3YVGFfEpyFESummAta6sg/edit"", ""Sheet1!B:D""), 2, FALSE), ""Not Found"")"),"rest")</f>
        <v>rest</v>
      </c>
      <c r="E5771" s="2" t="str">
        <f>IFERROR(__xludf.DUMMYFUNCTION("IFERROR(VLOOKUP(A5771, IMPORTRANGE(""https://docs.google.com/spreadsheets/d/1-3Vjw2Cyy-mry5gbC8ypIR3YVGFfEpyFESummAta6sg/edit"", ""Sheet1!B:D""), 3, FALSE), ""Not Found"")"),"r e s t ")</f>
        <v>r e s t </v>
      </c>
    </row>
    <row r="5772">
      <c r="A5772" s="1" t="s">
        <v>5774</v>
      </c>
      <c r="B5772" s="1" t="s">
        <v>5</v>
      </c>
      <c r="C5772" s="2">
        <f>IFERROR(__xludf.DUMMYFUNCTION("IFERROR(VLOOKUP(A5772, IMPORTRANGE(""https://docs.google.com/spreadsheets/d/1AVX9GT0dgogEBStecCXMMQ29tWz3gBrtNB8yIromXbY/edit?gid=741673867"", ""out1g!A:B""), 2, FALSE), 0)"),113.0)</f>
        <v>113</v>
      </c>
      <c r="D5772" s="2" t="str">
        <f>IFERROR(__xludf.DUMMYFUNCTION("IFERROR(VLOOKUP(A5772, IMPORTRANGE(""https://docs.google.com/spreadsheets/d/1-3Vjw2Cyy-mry5gbC8ypIR3YVGFfEpyFESummAta6sg/edit"", ""Sheet1!B:D""), 2, FALSE), ""Not Found"")"),"peɔf")</f>
        <v>peɔf</v>
      </c>
      <c r="E5772" s="2" t="str">
        <f>IFERROR(__xludf.DUMMYFUNCTION("IFERROR(VLOOKUP(A5772, IMPORTRANGE(""https://docs.google.com/spreadsheets/d/1-3Vjw2Cyy-mry5gbC8ypIR3YVGFfEpyFESummAta6sg/edit"", ""Sheet1!B:D""), 3, FALSE), ""Not Found"")"),"p e ɔ f ")</f>
        <v>p e ɔ f </v>
      </c>
    </row>
    <row r="5773">
      <c r="A5773" s="1" t="s">
        <v>5775</v>
      </c>
      <c r="B5773" s="1" t="s">
        <v>5</v>
      </c>
      <c r="C5773" s="2">
        <f>IFERROR(__xludf.DUMMYFUNCTION("IFERROR(VLOOKUP(A5773, IMPORTRANGE(""https://docs.google.com/spreadsheets/d/1AVX9GT0dgogEBStecCXMMQ29tWz3gBrtNB8yIromXbY/edit?gid=741673867"", ""out1g!A:B""), 2, FALSE), 0)"),3523.0)</f>
        <v>3523</v>
      </c>
      <c r="D5773" s="2" t="str">
        <f>IFERROR(__xludf.DUMMYFUNCTION("IFERROR(VLOOKUP(A5773, IMPORTRANGE(""https://docs.google.com/spreadsheets/d/1-3Vjw2Cyy-mry5gbC8ypIR3YVGFfEpyFESummAta6sg/edit"", ""Sheet1!B:D""), 2, FALSE), ""Not Found"")"),"fɪr")</f>
        <v>fɪr</v>
      </c>
      <c r="E5773" s="2" t="str">
        <f>IFERROR(__xludf.DUMMYFUNCTION("IFERROR(VLOOKUP(A5773, IMPORTRANGE(""https://docs.google.com/spreadsheets/d/1-3Vjw2Cyy-mry5gbC8ypIR3YVGFfEpyFESummAta6sg/edit"", ""Sheet1!B:D""), 3, FALSE), ""Not Found"")"),"f ɪ r ")</f>
        <v>f ɪ r </v>
      </c>
    </row>
    <row r="5774">
      <c r="A5774" s="1" t="s">
        <v>5776</v>
      </c>
      <c r="B5774" s="1" t="s">
        <v>5</v>
      </c>
      <c r="C5774" s="2">
        <f>IFERROR(__xludf.DUMMYFUNCTION("IFERROR(VLOOKUP(A5774, IMPORTRANGE(""https://docs.google.com/spreadsheets/d/1AVX9GT0dgogEBStecCXMMQ29tWz3gBrtNB8yIromXbY/edit?gid=741673867"", ""out1g!A:B""), 2, FALSE), 0)"),241.0)</f>
        <v>241</v>
      </c>
      <c r="D5774" s="2" t="str">
        <f>IFERROR(__xludf.DUMMYFUNCTION("IFERROR(VLOOKUP(A5774, IMPORTRANGE(""https://docs.google.com/spreadsheets/d/1-3Vjw2Cyy-mry5gbC8ypIR3YVGFfEpyFESummAta6sg/edit"", ""Sheet1!B:D""), 2, FALSE), ""Not Found"")"),"gəlf")</f>
        <v>gəlf</v>
      </c>
      <c r="E5774" s="2" t="str">
        <f>IFERROR(__xludf.DUMMYFUNCTION("IFERROR(VLOOKUP(A5774, IMPORTRANGE(""https://docs.google.com/spreadsheets/d/1-3Vjw2Cyy-mry5gbC8ypIR3YVGFfEpyFESummAta6sg/edit"", ""Sheet1!B:D""), 3, FALSE), ""Not Found"")"),"g ə l f ")</f>
        <v>g ə l f </v>
      </c>
    </row>
    <row r="5775">
      <c r="A5775" s="1" t="s">
        <v>5777</v>
      </c>
      <c r="B5775" s="1" t="s">
        <v>5</v>
      </c>
      <c r="C5775" s="2">
        <f>IFERROR(__xludf.DUMMYFUNCTION("IFERROR(VLOOKUP(A5775, IMPORTRANGE(""https://docs.google.com/spreadsheets/d/1AVX9GT0dgogEBStecCXMMQ29tWz3gBrtNB8yIromXbY/edit?gid=741673867"", ""out1g!A:B""), 2, FALSE), 0)"),60.0)</f>
        <v>60</v>
      </c>
      <c r="D5775" s="2" t="str">
        <f>IFERROR(__xludf.DUMMYFUNCTION("IFERROR(VLOOKUP(A5775, IMPORTRANGE(""https://docs.google.com/spreadsheets/d/1-3Vjw2Cyy-mry5gbC8ypIR3YVGFfEpyFESummAta6sg/edit"", ""Sheet1!B:D""), 2, FALSE), ""Not Found"")"),"wɛlʧ")</f>
        <v>wɛlʧ</v>
      </c>
      <c r="E5775" s="2" t="str">
        <f>IFERROR(__xludf.DUMMYFUNCTION("IFERROR(VLOOKUP(A5775, IMPORTRANGE(""https://docs.google.com/spreadsheets/d/1-3Vjw2Cyy-mry5gbC8ypIR3YVGFfEpyFESummAta6sg/edit"", ""Sheet1!B:D""), 3, FALSE), ""Not Found"")"),"w ɛ l ʧ ")</f>
        <v>w ɛ l ʧ </v>
      </c>
    </row>
    <row r="5776">
      <c r="A5776" s="1" t="s">
        <v>5778</v>
      </c>
      <c r="B5776" s="1" t="s">
        <v>5</v>
      </c>
      <c r="C5776" s="2">
        <f>IFERROR(__xludf.DUMMYFUNCTION("IFERROR(VLOOKUP(A5776, IMPORTRANGE(""https://docs.google.com/spreadsheets/d/1AVX9GT0dgogEBStecCXMMQ29tWz3gBrtNB8yIromXbY/edit?gid=741673867"", ""out1g!A:B""), 2, FALSE), 0)"),60.0)</f>
        <v>60</v>
      </c>
      <c r="D5776" s="2" t="str">
        <f>IFERROR(__xludf.DUMMYFUNCTION("IFERROR(VLOOKUP(A5776, IMPORTRANGE(""https://docs.google.com/spreadsheets/d/1-3Vjw2Cyy-mry5gbC8ypIR3YVGFfEpyFESummAta6sg/edit"", ""Sheet1!B:D""), 2, FALSE), ""Not Found"")"),"pərdi")</f>
        <v>pərdi</v>
      </c>
      <c r="E5776" s="2" t="str">
        <f>IFERROR(__xludf.DUMMYFUNCTION("IFERROR(VLOOKUP(A5776, IMPORTRANGE(""https://docs.google.com/spreadsheets/d/1-3Vjw2Cyy-mry5gbC8ypIR3YVGFfEpyFESummAta6sg/edit"", ""Sheet1!B:D""), 3, FALSE), ""Not Found"")"),"p ə r d i ")</f>
        <v>p ə r d i </v>
      </c>
    </row>
    <row r="5777">
      <c r="A5777" s="1" t="s">
        <v>5779</v>
      </c>
      <c r="B5777" s="1" t="s">
        <v>5</v>
      </c>
      <c r="C5777" s="2">
        <f>IFERROR(__xludf.DUMMYFUNCTION("IFERROR(VLOOKUP(A5777, IMPORTRANGE(""https://docs.google.com/spreadsheets/d/1AVX9GT0dgogEBStecCXMMQ29tWz3gBrtNB8yIromXbY/edit?gid=741673867"", ""out1g!A:B""), 2, FALSE), 0)"),60.0)</f>
        <v>60</v>
      </c>
      <c r="D5777" s="2" t="str">
        <f>IFERROR(__xludf.DUMMYFUNCTION("IFERROR(VLOOKUP(A5777, IMPORTRANGE(""https://docs.google.com/spreadsheets/d/1-3Vjw2Cyy-mry5gbC8ypIR3YVGFfEpyFESummAta6sg/edit"", ""Sheet1!B:D""), 2, FALSE), ""Not Found"")"),"krimi")</f>
        <v>krimi</v>
      </c>
      <c r="E5777" s="2" t="str">
        <f>IFERROR(__xludf.DUMMYFUNCTION("IFERROR(VLOOKUP(A5777, IMPORTRANGE(""https://docs.google.com/spreadsheets/d/1-3Vjw2Cyy-mry5gbC8ypIR3YVGFfEpyFESummAta6sg/edit"", ""Sheet1!B:D""), 3, FALSE), ""Not Found"")"),"k r i m i ")</f>
        <v>k r i m i </v>
      </c>
    </row>
    <row r="5778">
      <c r="A5778" s="1" t="s">
        <v>5780</v>
      </c>
      <c r="B5778" s="1" t="s">
        <v>5</v>
      </c>
      <c r="C5778" s="2">
        <f>IFERROR(__xludf.DUMMYFUNCTION("IFERROR(VLOOKUP(A5778, IMPORTRANGE(""https://docs.google.com/spreadsheets/d/1AVX9GT0dgogEBStecCXMMQ29tWz3gBrtNB8yIromXbY/edit?gid=741673867"", ""out1g!A:B""), 2, FALSE), 0)"),166.0)</f>
        <v>166</v>
      </c>
      <c r="D5778" s="2" t="str">
        <f>IFERROR(__xludf.DUMMYFUNCTION("IFERROR(VLOOKUP(A5778, IMPORTRANGE(""https://docs.google.com/spreadsheets/d/1-3Vjw2Cyy-mry5gbC8ypIR3YVGFfEpyFESummAta6sg/edit"", ""Sheet1!B:D""), 2, FALSE), ""Not Found"")"),"loʊʃən")</f>
        <v>loʊʃən</v>
      </c>
      <c r="E5778" s="2" t="str">
        <f>IFERROR(__xludf.DUMMYFUNCTION("IFERROR(VLOOKUP(A5778, IMPORTRANGE(""https://docs.google.com/spreadsheets/d/1-3Vjw2Cyy-mry5gbC8ypIR3YVGFfEpyFESummAta6sg/edit"", ""Sheet1!B:D""), 3, FALSE), ""Not Found"")"),"l o ʊ ʃ ə n ")</f>
        <v>l o ʊ ʃ ə n </v>
      </c>
    </row>
    <row r="5779">
      <c r="A5779" s="1" t="s">
        <v>5781</v>
      </c>
      <c r="B5779" s="1" t="s">
        <v>5</v>
      </c>
      <c r="C5779" s="2">
        <f>IFERROR(__xludf.DUMMYFUNCTION("IFERROR(VLOOKUP(A5779, IMPORTRANGE(""https://docs.google.com/spreadsheets/d/1AVX9GT0dgogEBStecCXMMQ29tWz3gBrtNB8yIromXbY/edit?gid=741673867"", ""out1g!A:B""), 2, FALSE), 0)"),51.0)</f>
        <v>51</v>
      </c>
      <c r="D5779" s="2" t="str">
        <f>IFERROR(__xludf.DUMMYFUNCTION("IFERROR(VLOOKUP(A5779, IMPORTRANGE(""https://docs.google.com/spreadsheets/d/1-3Vjw2Cyy-mry5gbC8ypIR3YVGFfEpyFESummAta6sg/edit"", ""Sheet1!B:D""), 2, FALSE), ""Not Found"")"),"ɪnʤər")</f>
        <v>ɪnʤər</v>
      </c>
      <c r="E5779" s="2" t="str">
        <f>IFERROR(__xludf.DUMMYFUNCTION("IFERROR(VLOOKUP(A5779, IMPORTRANGE(""https://docs.google.com/spreadsheets/d/1-3Vjw2Cyy-mry5gbC8ypIR3YVGFfEpyFESummAta6sg/edit"", ""Sheet1!B:D""), 3, FALSE), ""Not Found"")"),"ɪ n ʤ ə r ")</f>
        <v>ɪ n ʤ ə r </v>
      </c>
    </row>
    <row r="5780">
      <c r="A5780" s="1" t="s">
        <v>5782</v>
      </c>
      <c r="B5780" s="1" t="s">
        <v>5</v>
      </c>
      <c r="C5780" s="2">
        <f>IFERROR(__xludf.DUMMYFUNCTION("IFERROR(VLOOKUP(A5780, IMPORTRANGE(""https://docs.google.com/spreadsheets/d/1AVX9GT0dgogEBStecCXMMQ29tWz3gBrtNB8yIromXbY/edit?gid=741673867"", ""out1g!A:B""), 2, FALSE), 0)"),47.0)</f>
        <v>47</v>
      </c>
      <c r="D5780" s="2" t="str">
        <f>IFERROR(__xludf.DUMMYFUNCTION("IFERROR(VLOOKUP(A5780, IMPORTRANGE(""https://docs.google.com/spreadsheets/d/1-3Vjw2Cyy-mry5gbC8ypIR3YVGFfEpyFESummAta6sg/edit"", ""Sheet1!B:D""), 2, FALSE), ""Not Found"")"),"prufs")</f>
        <v>prufs</v>
      </c>
      <c r="E5780" s="2" t="str">
        <f>IFERROR(__xludf.DUMMYFUNCTION("IFERROR(VLOOKUP(A5780, IMPORTRANGE(""https://docs.google.com/spreadsheets/d/1-3Vjw2Cyy-mry5gbC8ypIR3YVGFfEpyFESummAta6sg/edit"", ""Sheet1!B:D""), 3, FALSE), ""Not Found"")"),"p r u f s ")</f>
        <v>p r u f s </v>
      </c>
    </row>
    <row r="5781">
      <c r="A5781" s="1" t="s">
        <v>5783</v>
      </c>
      <c r="B5781" s="1" t="s">
        <v>5</v>
      </c>
      <c r="C5781" s="2">
        <f>IFERROR(__xludf.DUMMYFUNCTION("IFERROR(VLOOKUP(A5781, IMPORTRANGE(""https://docs.google.com/spreadsheets/d/1AVX9GT0dgogEBStecCXMMQ29tWz3gBrtNB8yIromXbY/edit?gid=741673867"", ""out1g!A:B""), 2, FALSE), 0)"),79.0)</f>
        <v>79</v>
      </c>
      <c r="D5781" s="2" t="str">
        <f>IFERROR(__xludf.DUMMYFUNCTION("IFERROR(VLOOKUP(A5781, IMPORTRANGE(""https://docs.google.com/spreadsheets/d/1-3Vjw2Cyy-mry5gbC8ypIR3YVGFfEpyFESummAta6sg/edit"", ""Sheet1!B:D""), 2, FALSE), ""Not Found"")"),"soʊhoʊ")</f>
        <v>soʊhoʊ</v>
      </c>
      <c r="E5781" s="2" t="str">
        <f>IFERROR(__xludf.DUMMYFUNCTION("IFERROR(VLOOKUP(A5781, IMPORTRANGE(""https://docs.google.com/spreadsheets/d/1-3Vjw2Cyy-mry5gbC8ypIR3YVGFfEpyFESummAta6sg/edit"", ""Sheet1!B:D""), 3, FALSE), ""Not Found"")"),"s o ʊ h o ʊ ")</f>
        <v>s o ʊ h o ʊ </v>
      </c>
    </row>
    <row r="5782">
      <c r="A5782" s="1" t="s">
        <v>5784</v>
      </c>
      <c r="B5782" s="1" t="s">
        <v>5</v>
      </c>
      <c r="C5782" s="2">
        <f>IFERROR(__xludf.DUMMYFUNCTION("IFERROR(VLOOKUP(A5782, IMPORTRANGE(""https://docs.google.com/spreadsheets/d/1AVX9GT0dgogEBStecCXMMQ29tWz3gBrtNB8yIromXbY/edit?gid=741673867"", ""out1g!A:B""), 2, FALSE), 0)"),56.0)</f>
        <v>56</v>
      </c>
      <c r="D5782" s="2" t="str">
        <f>IFERROR(__xludf.DUMMYFUNCTION("IFERROR(VLOOKUP(A5782, IMPORTRANGE(""https://docs.google.com/spreadsheets/d/1-3Vjw2Cyy-mry5gbC8ypIR3YVGFfEpyFESummAta6sg/edit"", ""Sheet1!B:D""), 2, FALSE), ""Not Found"")"),"tumz")</f>
        <v>tumz</v>
      </c>
      <c r="E5782" s="2" t="str">
        <f>IFERROR(__xludf.DUMMYFUNCTION("IFERROR(VLOOKUP(A5782, IMPORTRANGE(""https://docs.google.com/spreadsheets/d/1-3Vjw2Cyy-mry5gbC8ypIR3YVGFfEpyFESummAta6sg/edit"", ""Sheet1!B:D""), 3, FALSE), ""Not Found"")"),"t u m z ")</f>
        <v>t u m z </v>
      </c>
    </row>
    <row r="5783">
      <c r="A5783" s="1" t="s">
        <v>5785</v>
      </c>
      <c r="B5783" s="1" t="s">
        <v>5</v>
      </c>
      <c r="C5783" s="2">
        <f>IFERROR(__xludf.DUMMYFUNCTION("IFERROR(VLOOKUP(A5783, IMPORTRANGE(""https://docs.google.com/spreadsheets/d/1AVX9GT0dgogEBStecCXMMQ29tWz3gBrtNB8yIromXbY/edit?gid=741673867"", ""out1g!A:B""), 2, FALSE), 0)"),9835.0)</f>
        <v>9835</v>
      </c>
      <c r="D5783" s="2" t="str">
        <f>IFERROR(__xludf.DUMMYFUNCTION("IFERROR(VLOOKUP(A5783, IMPORTRANGE(""https://docs.google.com/spreadsheets/d/1-3Vjw2Cyy-mry5gbC8ypIR3YVGFfEpyFESummAta6sg/edit"", ""Sheet1!B:D""), 2, FALSE), ""Not Found"")"),"dɔg")</f>
        <v>dɔg</v>
      </c>
      <c r="E5783" s="2" t="str">
        <f>IFERROR(__xludf.DUMMYFUNCTION("IFERROR(VLOOKUP(A5783, IMPORTRANGE(""https://docs.google.com/spreadsheets/d/1-3Vjw2Cyy-mry5gbC8ypIR3YVGFfEpyFESummAta6sg/edit"", ""Sheet1!B:D""), 3, FALSE), ""Not Found"")"),"d ɔ g ")</f>
        <v>d ɔ g </v>
      </c>
    </row>
    <row r="5784">
      <c r="A5784" s="1" t="s">
        <v>5786</v>
      </c>
      <c r="B5784" s="1" t="s">
        <v>5</v>
      </c>
      <c r="C5784" s="2">
        <f>IFERROR(__xludf.DUMMYFUNCTION("IFERROR(VLOOKUP(A5784, IMPORTRANGE(""https://docs.google.com/spreadsheets/d/1AVX9GT0dgogEBStecCXMMQ29tWz3gBrtNB8yIromXbY/edit?gid=741673867"", ""out1g!A:B""), 2, FALSE), 0)"),113.0)</f>
        <v>113</v>
      </c>
      <c r="D5784" s="2" t="str">
        <f>IFERROR(__xludf.DUMMYFUNCTION("IFERROR(VLOOKUP(A5784, IMPORTRANGE(""https://docs.google.com/spreadsheets/d/1-3Vjw2Cyy-mry5gbC8ypIR3YVGFfEpyFESummAta6sg/edit"", ""Sheet1!B:D""), 2, FALSE), ""Not Found"")"),"skænərz")</f>
        <v>skænərz</v>
      </c>
      <c r="E5784" s="2" t="str">
        <f>IFERROR(__xludf.DUMMYFUNCTION("IFERROR(VLOOKUP(A5784, IMPORTRANGE(""https://docs.google.com/spreadsheets/d/1-3Vjw2Cyy-mry5gbC8ypIR3YVGFfEpyFESummAta6sg/edit"", ""Sheet1!B:D""), 3, FALSE), ""Not Found"")"),"s k æ n ə r z ")</f>
        <v>s k æ n ə r z </v>
      </c>
    </row>
    <row r="5785">
      <c r="A5785" s="1" t="s">
        <v>5787</v>
      </c>
      <c r="B5785" s="1" t="s">
        <v>5</v>
      </c>
      <c r="C5785" s="2">
        <f>IFERROR(__xludf.DUMMYFUNCTION("IFERROR(VLOOKUP(A5785, IMPORTRANGE(""https://docs.google.com/spreadsheets/d/1AVX9GT0dgogEBStecCXMMQ29tWz3gBrtNB8yIromXbY/edit?gid=741673867"", ""out1g!A:B""), 2, FALSE), 0)"),99890.0)</f>
        <v>99890</v>
      </c>
      <c r="D5785" s="2" t="str">
        <f>IFERROR(__xludf.DUMMYFUNCTION("IFERROR(VLOOKUP(A5785, IMPORTRANGE(""https://docs.google.com/spreadsheets/d/1-3Vjw2Cyy-mry5gbC8ypIR3YVGFfEpyFESummAta6sg/edit"", ""Sheet1!B:D""), 2, FALSE), ""Not Found"")"),"taɪm")</f>
        <v>taɪm</v>
      </c>
      <c r="E5785" s="2" t="str">
        <f>IFERROR(__xludf.DUMMYFUNCTION("IFERROR(VLOOKUP(A5785, IMPORTRANGE(""https://docs.google.com/spreadsheets/d/1-3Vjw2Cyy-mry5gbC8ypIR3YVGFfEpyFESummAta6sg/edit"", ""Sheet1!B:D""), 3, FALSE), ""Not Found"")"),"t a ɪ m ")</f>
        <v>t a ɪ m </v>
      </c>
    </row>
    <row r="5786">
      <c r="A5786" s="1" t="s">
        <v>5788</v>
      </c>
      <c r="B5786" s="1" t="s">
        <v>5</v>
      </c>
      <c r="C5786" s="2">
        <f>IFERROR(__xludf.DUMMYFUNCTION("IFERROR(VLOOKUP(A5786, IMPORTRANGE(""https://docs.google.com/spreadsheets/d/1AVX9GT0dgogEBStecCXMMQ29tWz3gBrtNB8yIromXbY/edit?gid=741673867"", ""out1g!A:B""), 2, FALSE), 0)"),8763.0)</f>
        <v>8763</v>
      </c>
      <c r="D5786" s="2" t="str">
        <f>IFERROR(__xludf.DUMMYFUNCTION("IFERROR(VLOOKUP(A5786, IMPORTRANGE(""https://docs.google.com/spreadsheets/d/1-3Vjw2Cyy-mry5gbC8ypIR3YVGFfEpyFESummAta6sg/edit"", ""Sheet1!B:D""), 2, FALSE), ""Not Found"")"),"klɪr")</f>
        <v>klɪr</v>
      </c>
      <c r="E5786" s="2" t="str">
        <f>IFERROR(__xludf.DUMMYFUNCTION("IFERROR(VLOOKUP(A5786, IMPORTRANGE(""https://docs.google.com/spreadsheets/d/1-3Vjw2Cyy-mry5gbC8ypIR3YVGFfEpyFESummAta6sg/edit"", ""Sheet1!B:D""), 3, FALSE), ""Not Found"")"),"k l ɪ r ")</f>
        <v>k l ɪ r </v>
      </c>
    </row>
    <row r="5787">
      <c r="A5787" s="1" t="s">
        <v>5789</v>
      </c>
      <c r="B5787" s="1" t="s">
        <v>5</v>
      </c>
      <c r="C5787" s="2">
        <f>IFERROR(__xludf.DUMMYFUNCTION("IFERROR(VLOOKUP(A5787, IMPORTRANGE(""https://docs.google.com/spreadsheets/d/1AVX9GT0dgogEBStecCXMMQ29tWz3gBrtNB8yIromXbY/edit?gid=741673867"", ""out1g!A:B""), 2, FALSE), 0)"),63.0)</f>
        <v>63</v>
      </c>
      <c r="D5787" s="2" t="str">
        <f>IFERROR(__xludf.DUMMYFUNCTION("IFERROR(VLOOKUP(A5787, IMPORTRANGE(""https://docs.google.com/spreadsheets/d/1-3Vjw2Cyy-mry5gbC8ypIR3YVGFfEpyFESummAta6sg/edit"", ""Sheet1!B:D""), 2, FALSE), ""Not Found"")"),"kæmpt")</f>
        <v>kæmpt</v>
      </c>
      <c r="E5787" s="2" t="str">
        <f>IFERROR(__xludf.DUMMYFUNCTION("IFERROR(VLOOKUP(A5787, IMPORTRANGE(""https://docs.google.com/spreadsheets/d/1-3Vjw2Cyy-mry5gbC8ypIR3YVGFfEpyFESummAta6sg/edit"", ""Sheet1!B:D""), 3, FALSE), ""Not Found"")"),"k æ m p t ")</f>
        <v>k æ m p t </v>
      </c>
    </row>
    <row r="5788">
      <c r="A5788" s="1" t="s">
        <v>5790</v>
      </c>
      <c r="B5788" s="1" t="s">
        <v>5</v>
      </c>
      <c r="C5788" s="2">
        <f>IFERROR(__xludf.DUMMYFUNCTION("IFERROR(VLOOKUP(A5788, IMPORTRANGE(""https://docs.google.com/spreadsheets/d/1AVX9GT0dgogEBStecCXMMQ29tWz3gBrtNB8yIromXbY/edit?gid=741673867"", ""out1g!A:B""), 2, FALSE), 0)"),1751.0)</f>
        <v>1751</v>
      </c>
      <c r="D5788" s="2" t="str">
        <f>IFERROR(__xludf.DUMMYFUNCTION("IFERROR(VLOOKUP(A5788, IMPORTRANGE(""https://docs.google.com/spreadsheets/d/1-3Vjw2Cyy-mry5gbC8ypIR3YVGFfEpyFESummAta6sg/edit"", ""Sheet1!B:D""), 2, FALSE), ""Not Found"")"),"voʊt")</f>
        <v>voʊt</v>
      </c>
      <c r="E5788" s="2" t="str">
        <f>IFERROR(__xludf.DUMMYFUNCTION("IFERROR(VLOOKUP(A5788, IMPORTRANGE(""https://docs.google.com/spreadsheets/d/1-3Vjw2Cyy-mry5gbC8ypIR3YVGFfEpyFESummAta6sg/edit"", ""Sheet1!B:D""), 3, FALSE), ""Not Found"")"),"v o ʊ t ")</f>
        <v>v o ʊ t </v>
      </c>
    </row>
    <row r="5789">
      <c r="A5789" s="1" t="s">
        <v>5791</v>
      </c>
      <c r="B5789" s="1" t="s">
        <v>5</v>
      </c>
      <c r="C5789" s="2">
        <f>IFERROR(__xludf.DUMMYFUNCTION("IFERROR(VLOOKUP(A5789, IMPORTRANGE(""https://docs.google.com/spreadsheets/d/1AVX9GT0dgogEBStecCXMMQ29tWz3gBrtNB8yIromXbY/edit?gid=741673867"", ""out1g!A:B""), 2, FALSE), 0)"),674.0)</f>
        <v>674</v>
      </c>
      <c r="D5789" s="2" t="str">
        <f>IFERROR(__xludf.DUMMYFUNCTION("IFERROR(VLOOKUP(A5789, IMPORTRANGE(""https://docs.google.com/spreadsheets/d/1-3Vjw2Cyy-mry5gbC8ypIR3YVGFfEpyFESummAta6sg/edit"", ""Sheet1!B:D""), 2, FALSE), ""Not Found"")"),"ʃəv")</f>
        <v>ʃəv</v>
      </c>
      <c r="E5789" s="2" t="str">
        <f>IFERROR(__xludf.DUMMYFUNCTION("IFERROR(VLOOKUP(A5789, IMPORTRANGE(""https://docs.google.com/spreadsheets/d/1-3Vjw2Cyy-mry5gbC8ypIR3YVGFfEpyFESummAta6sg/edit"", ""Sheet1!B:D""), 3, FALSE), ""Not Found"")"),"ʃ ə v ")</f>
        <v>ʃ ə v </v>
      </c>
    </row>
    <row r="5790">
      <c r="A5790" s="1" t="s">
        <v>5792</v>
      </c>
      <c r="B5790" s="1" t="s">
        <v>5</v>
      </c>
      <c r="C5790" s="2">
        <f>IFERROR(__xludf.DUMMYFUNCTION("IFERROR(VLOOKUP(A5790, IMPORTRANGE(""https://docs.google.com/spreadsheets/d/1AVX9GT0dgogEBStecCXMMQ29tWz3gBrtNB8yIromXbY/edit?gid=741673867"", ""out1g!A:B""), 2, FALSE), 0)"),132.0)</f>
        <v>132</v>
      </c>
      <c r="D5790" s="2" t="str">
        <f>IFERROR(__xludf.DUMMYFUNCTION("IFERROR(VLOOKUP(A5790, IMPORTRANGE(""https://docs.google.com/spreadsheets/d/1-3Vjw2Cyy-mry5gbC8ypIR3YVGFfEpyFESummAta6sg/edit"", ""Sheet1!B:D""), 2, FALSE), ""Not Found"")"),"faɪnər")</f>
        <v>faɪnər</v>
      </c>
      <c r="E5790" s="2" t="str">
        <f>IFERROR(__xludf.DUMMYFUNCTION("IFERROR(VLOOKUP(A5790, IMPORTRANGE(""https://docs.google.com/spreadsheets/d/1-3Vjw2Cyy-mry5gbC8ypIR3YVGFfEpyFESummAta6sg/edit"", ""Sheet1!B:D""), 3, FALSE), ""Not Found"")"),"f a ɪ n ə r ")</f>
        <v>f a ɪ n ə r </v>
      </c>
    </row>
    <row r="5791">
      <c r="A5791" s="1" t="s">
        <v>5793</v>
      </c>
      <c r="B5791" s="1" t="s">
        <v>5</v>
      </c>
      <c r="C5791" s="2">
        <f>IFERROR(__xludf.DUMMYFUNCTION("IFERROR(VLOOKUP(A5791, IMPORTRANGE(""https://docs.google.com/spreadsheets/d/1AVX9GT0dgogEBStecCXMMQ29tWz3gBrtNB8yIromXbY/edit?gid=741673867"", ""out1g!A:B""), 2, FALSE), 0)"),53.0)</f>
        <v>53</v>
      </c>
      <c r="D5791" s="2" t="str">
        <f>IFERROR(__xludf.DUMMYFUNCTION("IFERROR(VLOOKUP(A5791, IMPORTRANGE(""https://docs.google.com/spreadsheets/d/1-3Vjw2Cyy-mry5gbC8ypIR3YVGFfEpyFESummAta6sg/edit"", ""Sheet1!B:D""), 2, FALSE), ""Not Found"")"),"kræfti")</f>
        <v>kræfti</v>
      </c>
      <c r="E5791" s="2" t="str">
        <f>IFERROR(__xludf.DUMMYFUNCTION("IFERROR(VLOOKUP(A5791, IMPORTRANGE(""https://docs.google.com/spreadsheets/d/1-3Vjw2Cyy-mry5gbC8ypIR3YVGFfEpyFESummAta6sg/edit"", ""Sheet1!B:D""), 3, FALSE), ""Not Found"")"),"k r æ f t i ")</f>
        <v>k r æ f t i </v>
      </c>
    </row>
    <row r="5792">
      <c r="A5792" s="1" t="s">
        <v>5794</v>
      </c>
      <c r="B5792" s="1" t="s">
        <v>5</v>
      </c>
      <c r="C5792" s="2">
        <f>IFERROR(__xludf.DUMMYFUNCTION("IFERROR(VLOOKUP(A5792, IMPORTRANGE(""https://docs.google.com/spreadsheets/d/1AVX9GT0dgogEBStecCXMMQ29tWz3gBrtNB8yIromXbY/edit?gid=741673867"", ""out1g!A:B""), 2, FALSE), 0)"),566.0)</f>
        <v>566</v>
      </c>
      <c r="D5792" s="2" t="str">
        <f>IFERROR(__xludf.DUMMYFUNCTION("IFERROR(VLOOKUP(A5792, IMPORTRANGE(""https://docs.google.com/spreadsheets/d/1-3Vjw2Cyy-mry5gbC8ypIR3YVGFfEpyFESummAta6sg/edit"", ""Sheet1!B:D""), 2, FALSE), ""Not Found"")"),"nɛst")</f>
        <v>nɛst</v>
      </c>
      <c r="E5792" s="2" t="str">
        <f>IFERROR(__xludf.DUMMYFUNCTION("IFERROR(VLOOKUP(A5792, IMPORTRANGE(""https://docs.google.com/spreadsheets/d/1-3Vjw2Cyy-mry5gbC8ypIR3YVGFfEpyFESummAta6sg/edit"", ""Sheet1!B:D""), 3, FALSE), ""Not Found"")"),"n ɛ s t ")</f>
        <v>n ɛ s t </v>
      </c>
    </row>
    <row r="5793">
      <c r="A5793" s="1" t="s">
        <v>5795</v>
      </c>
      <c r="B5793" s="1" t="s">
        <v>5</v>
      </c>
      <c r="C5793" s="2">
        <f>IFERROR(__xludf.DUMMYFUNCTION("IFERROR(VLOOKUP(A5793, IMPORTRANGE(""https://docs.google.com/spreadsheets/d/1AVX9GT0dgogEBStecCXMMQ29tWz3gBrtNB8yIromXbY/edit?gid=741673867"", ""out1g!A:B""), 2, FALSE), 0)"),274.0)</f>
        <v>274</v>
      </c>
      <c r="D5793" s="2" t="str">
        <f>IFERROR(__xludf.DUMMYFUNCTION("IFERROR(VLOOKUP(A5793, IMPORTRANGE(""https://docs.google.com/spreadsheets/d/1-3Vjw2Cyy-mry5gbC8ypIR3YVGFfEpyFESummAta6sg/edit"", ""Sheet1!B:D""), 2, FALSE), ""Not Found"")"),"dwaɪt")</f>
        <v>dwaɪt</v>
      </c>
      <c r="E5793" s="2" t="str">
        <f>IFERROR(__xludf.DUMMYFUNCTION("IFERROR(VLOOKUP(A5793, IMPORTRANGE(""https://docs.google.com/spreadsheets/d/1-3Vjw2Cyy-mry5gbC8ypIR3YVGFfEpyFESummAta6sg/edit"", ""Sheet1!B:D""), 3, FALSE), ""Not Found"")"),"d w a ɪ t ")</f>
        <v>d w a ɪ t </v>
      </c>
    </row>
    <row r="5794">
      <c r="A5794" s="1" t="s">
        <v>5796</v>
      </c>
      <c r="B5794" s="1" t="s">
        <v>5</v>
      </c>
      <c r="C5794" s="2">
        <f>IFERROR(__xludf.DUMMYFUNCTION("IFERROR(VLOOKUP(A5794, IMPORTRANGE(""https://docs.google.com/spreadsheets/d/1AVX9GT0dgogEBStecCXMMQ29tWz3gBrtNB8yIromXbY/edit?gid=741673867"", ""out1g!A:B""), 2, FALSE), 0)"),1169.0)</f>
        <v>1169</v>
      </c>
      <c r="D5794" s="2" t="str">
        <f>IFERROR(__xludf.DUMMYFUNCTION("IFERROR(VLOOKUP(A5794, IMPORTRANGE(""https://docs.google.com/spreadsheets/d/1-3Vjw2Cyy-mry5gbC8ypIR3YVGFfEpyFESummAta6sg/edit"", ""Sheet1!B:D""), 2, FALSE), ""Not Found"")"),"təwɔrd")</f>
        <v>təwɔrd</v>
      </c>
      <c r="E5794" s="2" t="str">
        <f>IFERROR(__xludf.DUMMYFUNCTION("IFERROR(VLOOKUP(A5794, IMPORTRANGE(""https://docs.google.com/spreadsheets/d/1-3Vjw2Cyy-mry5gbC8ypIR3YVGFfEpyFESummAta6sg/edit"", ""Sheet1!B:D""), 3, FALSE), ""Not Found"")"),"t ə w ɔ r d ")</f>
        <v>t ə w ɔ r d </v>
      </c>
    </row>
    <row r="5795">
      <c r="A5795" s="1" t="s">
        <v>5797</v>
      </c>
      <c r="B5795" s="1" t="s">
        <v>5</v>
      </c>
      <c r="C5795" s="2">
        <f>IFERROR(__xludf.DUMMYFUNCTION("IFERROR(VLOOKUP(A5795, IMPORTRANGE(""https://docs.google.com/spreadsheets/d/1AVX9GT0dgogEBStecCXMMQ29tWz3gBrtNB8yIromXbY/edit?gid=741673867"", ""out1g!A:B""), 2, FALSE), 0)"),546.0)</f>
        <v>546</v>
      </c>
      <c r="D5795" s="2" t="str">
        <f>IFERROR(__xludf.DUMMYFUNCTION("IFERROR(VLOOKUP(A5795, IMPORTRANGE(""https://docs.google.com/spreadsheets/d/1-3Vjw2Cyy-mry5gbC8ypIR3YVGFfEpyFESummAta6sg/edit"", ""Sheet1!B:D""), 2, FALSE), ""Not Found"")"),"poʊp")</f>
        <v>poʊp</v>
      </c>
      <c r="E5795" s="2" t="str">
        <f>IFERROR(__xludf.DUMMYFUNCTION("IFERROR(VLOOKUP(A5795, IMPORTRANGE(""https://docs.google.com/spreadsheets/d/1-3Vjw2Cyy-mry5gbC8ypIR3YVGFfEpyFESummAta6sg/edit"", ""Sheet1!B:D""), 3, FALSE), ""Not Found"")"),"p o ʊ p ")</f>
        <v>p o ʊ p </v>
      </c>
    </row>
    <row r="5796">
      <c r="A5796" s="1" t="s">
        <v>5798</v>
      </c>
      <c r="B5796" s="1" t="s">
        <v>5</v>
      </c>
      <c r="C5796" s="2">
        <f>IFERROR(__xludf.DUMMYFUNCTION("IFERROR(VLOOKUP(A5796, IMPORTRANGE(""https://docs.google.com/spreadsheets/d/1AVX9GT0dgogEBStecCXMMQ29tWz3gBrtNB8yIromXbY/edit?gid=741673867"", ""out1g!A:B""), 2, FALSE), 0)"),896.0)</f>
        <v>896</v>
      </c>
      <c r="D5796" s="2" t="str">
        <f>IFERROR(__xludf.DUMMYFUNCTION("IFERROR(VLOOKUP(A5796, IMPORTRANGE(""https://docs.google.com/spreadsheets/d/1-3Vjw2Cyy-mry5gbC8ypIR3YVGFfEpyFESummAta6sg/edit"", ""Sheet1!B:D""), 2, FALSE), ""Not Found"")"),"əsɔlt")</f>
        <v>əsɔlt</v>
      </c>
      <c r="E5796" s="2" t="str">
        <f>IFERROR(__xludf.DUMMYFUNCTION("IFERROR(VLOOKUP(A5796, IMPORTRANGE(""https://docs.google.com/spreadsheets/d/1-3Vjw2Cyy-mry5gbC8ypIR3YVGFfEpyFESummAta6sg/edit"", ""Sheet1!B:D""), 3, FALSE), ""Not Found"")"),"ə s ɔ l t ")</f>
        <v>ə s ɔ l t </v>
      </c>
    </row>
    <row r="5797">
      <c r="A5797" s="1" t="s">
        <v>5799</v>
      </c>
      <c r="B5797" s="1" t="s">
        <v>5</v>
      </c>
      <c r="C5797" s="2">
        <f>IFERROR(__xludf.DUMMYFUNCTION("IFERROR(VLOOKUP(A5797, IMPORTRANGE(""https://docs.google.com/spreadsheets/d/1AVX9GT0dgogEBStecCXMMQ29tWz3gBrtNB8yIromXbY/edit?gid=741673867"", ""out1g!A:B""), 2, FALSE), 0)"),202.0)</f>
        <v>202</v>
      </c>
      <c r="D5797" s="2" t="str">
        <f>IFERROR(__xludf.DUMMYFUNCTION("IFERROR(VLOOKUP(A5797, IMPORTRANGE(""https://docs.google.com/spreadsheets/d/1-3Vjw2Cyy-mry5gbC8ypIR3YVGFfEpyFESummAta6sg/edit"", ""Sheet1!B:D""), 2, FALSE), ""Not Found"")"),"mət")</f>
        <v>mət</v>
      </c>
      <c r="E5797" s="2" t="str">
        <f>IFERROR(__xludf.DUMMYFUNCTION("IFERROR(VLOOKUP(A5797, IMPORTRANGE(""https://docs.google.com/spreadsheets/d/1-3Vjw2Cyy-mry5gbC8ypIR3YVGFfEpyFESummAta6sg/edit"", ""Sheet1!B:D""), 3, FALSE), ""Not Found"")"),"m ə t ")</f>
        <v>m ə t </v>
      </c>
    </row>
    <row r="5798">
      <c r="A5798" s="1" t="s">
        <v>5800</v>
      </c>
      <c r="B5798" s="1" t="s">
        <v>5</v>
      </c>
      <c r="C5798" s="2">
        <f>IFERROR(__xludf.DUMMYFUNCTION("IFERROR(VLOOKUP(A5798, IMPORTRANGE(""https://docs.google.com/spreadsheets/d/1AVX9GT0dgogEBStecCXMMQ29tWz3gBrtNB8yIromXbY/edit?gid=741673867"", ""out1g!A:B""), 2, FALSE), 0)"),60.0)</f>
        <v>60</v>
      </c>
      <c r="D5798" s="2" t="str">
        <f>IFERROR(__xludf.DUMMYFUNCTION("IFERROR(VLOOKUP(A5798, IMPORTRANGE(""https://docs.google.com/spreadsheets/d/1-3Vjw2Cyy-mry5gbC8ypIR3YVGFfEpyFESummAta6sg/edit"", ""Sheet1!B:D""), 2, FALSE), ""Not Found"")"),"mɪlt")</f>
        <v>mɪlt</v>
      </c>
      <c r="E5798" s="2" t="str">
        <f>IFERROR(__xludf.DUMMYFUNCTION("IFERROR(VLOOKUP(A5798, IMPORTRANGE(""https://docs.google.com/spreadsheets/d/1-3Vjw2Cyy-mry5gbC8ypIR3YVGFfEpyFESummAta6sg/edit"", ""Sheet1!B:D""), 3, FALSE), ""Not Found"")"),"m ɪ l t ")</f>
        <v>m ɪ l t </v>
      </c>
    </row>
    <row r="5799">
      <c r="A5799" s="1" t="s">
        <v>5801</v>
      </c>
      <c r="B5799" s="1" t="s">
        <v>5</v>
      </c>
      <c r="C5799" s="2">
        <f>IFERROR(__xludf.DUMMYFUNCTION("IFERROR(VLOOKUP(A5799, IMPORTRANGE(""https://docs.google.com/spreadsheets/d/1AVX9GT0dgogEBStecCXMMQ29tWz3gBrtNB8yIromXbY/edit?gid=741673867"", ""out1g!A:B""), 2, FALSE), 0)"),232.0)</f>
        <v>232</v>
      </c>
      <c r="D5799" s="2" t="str">
        <f>IFERROR(__xludf.DUMMYFUNCTION("IFERROR(VLOOKUP(A5799, IMPORTRANGE(""https://docs.google.com/spreadsheets/d/1-3Vjw2Cyy-mry5gbC8ypIR3YVGFfEpyFESummAta6sg/edit"", ""Sheet1!B:D""), 2, FALSE), ""Not Found"")"),"hetɪŋ")</f>
        <v>hetɪŋ</v>
      </c>
      <c r="E5799" s="2" t="str">
        <f>IFERROR(__xludf.DUMMYFUNCTION("IFERROR(VLOOKUP(A5799, IMPORTRANGE(""https://docs.google.com/spreadsheets/d/1-3Vjw2Cyy-mry5gbC8ypIR3YVGFfEpyFESummAta6sg/edit"", ""Sheet1!B:D""), 3, FALSE), ""Not Found"")"),"h e t ɪ ŋ ")</f>
        <v>h e t ɪ ŋ </v>
      </c>
    </row>
    <row r="5800">
      <c r="A5800" s="1" t="s">
        <v>5802</v>
      </c>
      <c r="B5800" s="1" t="s">
        <v>5</v>
      </c>
      <c r="C5800" s="2">
        <f>IFERROR(__xludf.DUMMYFUNCTION("IFERROR(VLOOKUP(A5800, IMPORTRANGE(""https://docs.google.com/spreadsheets/d/1AVX9GT0dgogEBStecCXMMQ29tWz3gBrtNB8yIromXbY/edit?gid=741673867"", ""out1g!A:B""), 2, FALSE), 0)"),64.0)</f>
        <v>64</v>
      </c>
      <c r="D5800" s="2" t="str">
        <f>IFERROR(__xludf.DUMMYFUNCTION("IFERROR(VLOOKUP(A5800, IMPORTRANGE(""https://docs.google.com/spreadsheets/d/1-3Vjw2Cyy-mry5gbC8ypIR3YVGFfEpyFESummAta6sg/edit"", ""Sheet1!B:D""), 2, FALSE), ""Not Found"")"),"bɑrd")</f>
        <v>bɑrd</v>
      </c>
      <c r="E5800" s="2" t="str">
        <f>IFERROR(__xludf.DUMMYFUNCTION("IFERROR(VLOOKUP(A5800, IMPORTRANGE(""https://docs.google.com/spreadsheets/d/1-3Vjw2Cyy-mry5gbC8ypIR3YVGFfEpyFESummAta6sg/edit"", ""Sheet1!B:D""), 3, FALSE), ""Not Found"")"),"b ɑ r d ")</f>
        <v>b ɑ r d </v>
      </c>
    </row>
    <row r="5801">
      <c r="A5801" s="1" t="s">
        <v>5803</v>
      </c>
      <c r="B5801" s="1" t="s">
        <v>5</v>
      </c>
      <c r="C5801" s="2">
        <f>IFERROR(__xludf.DUMMYFUNCTION("IFERROR(VLOOKUP(A5801, IMPORTRANGE(""https://docs.google.com/spreadsheets/d/1AVX9GT0dgogEBStecCXMMQ29tWz3gBrtNB8yIromXbY/edit?gid=741673867"", ""out1g!A:B""), 2, FALSE), 0)"),455.0)</f>
        <v>455</v>
      </c>
      <c r="D5801" s="2" t="str">
        <f>IFERROR(__xludf.DUMMYFUNCTION("IFERROR(VLOOKUP(A5801, IMPORTRANGE(""https://docs.google.com/spreadsheets/d/1-3Vjw2Cyy-mry5gbC8ypIR3YVGFfEpyFESummAta6sg/edit"", ""Sheet1!B:D""), 2, FALSE), ""Not Found"")"),"dəg")</f>
        <v>dəg</v>
      </c>
      <c r="E5801" s="2" t="str">
        <f>IFERROR(__xludf.DUMMYFUNCTION("IFERROR(VLOOKUP(A5801, IMPORTRANGE(""https://docs.google.com/spreadsheets/d/1-3Vjw2Cyy-mry5gbC8ypIR3YVGFfEpyFESummAta6sg/edit"", ""Sheet1!B:D""), 3, FALSE), ""Not Found"")"),"d ə g ")</f>
        <v>d ə g </v>
      </c>
    </row>
    <row r="5802">
      <c r="A5802" s="1" t="s">
        <v>5804</v>
      </c>
      <c r="B5802" s="1" t="s">
        <v>5</v>
      </c>
      <c r="C5802" s="2">
        <f>IFERROR(__xludf.DUMMYFUNCTION("IFERROR(VLOOKUP(A5802, IMPORTRANGE(""https://docs.google.com/spreadsheets/d/1AVX9GT0dgogEBStecCXMMQ29tWz3gBrtNB8yIromXbY/edit?gid=741673867"", ""out1g!A:B""), 2, FALSE), 0)"),60.0)</f>
        <v>60</v>
      </c>
      <c r="D5802" s="2" t="str">
        <f>IFERROR(__xludf.DUMMYFUNCTION("IFERROR(VLOOKUP(A5802, IMPORTRANGE(""https://docs.google.com/spreadsheets/d/1-3Vjw2Cyy-mry5gbC8ypIR3YVGFfEpyFESummAta6sg/edit"", ""Sheet1!B:D""), 2, FALSE), ""Not Found"")"),"vərdi")</f>
        <v>vərdi</v>
      </c>
      <c r="E5802" s="2" t="str">
        <f>IFERROR(__xludf.DUMMYFUNCTION("IFERROR(VLOOKUP(A5802, IMPORTRANGE(""https://docs.google.com/spreadsheets/d/1-3Vjw2Cyy-mry5gbC8ypIR3YVGFfEpyFESummAta6sg/edit"", ""Sheet1!B:D""), 3, FALSE), ""Not Found"")"),"v ə r d i ")</f>
        <v>v ə r d i </v>
      </c>
    </row>
    <row r="5803">
      <c r="A5803" s="1" t="s">
        <v>5805</v>
      </c>
      <c r="B5803" s="1" t="s">
        <v>5</v>
      </c>
      <c r="C5803" s="2">
        <f>IFERROR(__xludf.DUMMYFUNCTION("IFERROR(VLOOKUP(A5803, IMPORTRANGE(""https://docs.google.com/spreadsheets/d/1AVX9GT0dgogEBStecCXMMQ29tWz3gBrtNB8yIromXbY/edit?gid=741673867"", ""out1g!A:B""), 2, FALSE), 0)"),116.0)</f>
        <v>116</v>
      </c>
      <c r="D5803" s="2" t="str">
        <f>IFERROR(__xludf.DUMMYFUNCTION("IFERROR(VLOOKUP(A5803, IMPORTRANGE(""https://docs.google.com/spreadsheets/d/1-3Vjw2Cyy-mry5gbC8ypIR3YVGFfEpyFESummAta6sg/edit"", ""Sheet1!B:D""), 2, FALSE), ""Not Found"")"),"prɑg")</f>
        <v>prɑg</v>
      </c>
      <c r="E5803" s="2" t="str">
        <f>IFERROR(__xludf.DUMMYFUNCTION("IFERROR(VLOOKUP(A5803, IMPORTRANGE(""https://docs.google.com/spreadsheets/d/1-3Vjw2Cyy-mry5gbC8ypIR3YVGFfEpyFESummAta6sg/edit"", ""Sheet1!B:D""), 3, FALSE), ""Not Found"")"),"p r ɑ g ")</f>
        <v>p r ɑ g </v>
      </c>
    </row>
    <row r="5804">
      <c r="A5804" s="1" t="s">
        <v>5806</v>
      </c>
      <c r="B5804" s="1" t="s">
        <v>5</v>
      </c>
      <c r="C5804" s="2">
        <f>IFERROR(__xludf.DUMMYFUNCTION("IFERROR(VLOOKUP(A5804, IMPORTRANGE(""https://docs.google.com/spreadsheets/d/1AVX9GT0dgogEBStecCXMMQ29tWz3gBrtNB8yIromXbY/edit?gid=741673867"", ""out1g!A:B""), 2, FALSE), 0)"),964.0)</f>
        <v>964</v>
      </c>
      <c r="D5804" s="2" t="str">
        <f>IFERROR(__xludf.DUMMYFUNCTION("IFERROR(VLOOKUP(A5804, IMPORTRANGE(""https://docs.google.com/spreadsheets/d/1-3Vjw2Cyy-mry5gbC8ypIR3YVGFfEpyFESummAta6sg/edit"", ""Sheet1!B:D""), 2, FALSE), ""Not Found"")"),"mɔl")</f>
        <v>mɔl</v>
      </c>
      <c r="E5804" s="2" t="str">
        <f>IFERROR(__xludf.DUMMYFUNCTION("IFERROR(VLOOKUP(A5804, IMPORTRANGE(""https://docs.google.com/spreadsheets/d/1-3Vjw2Cyy-mry5gbC8ypIR3YVGFfEpyFESummAta6sg/edit"", ""Sheet1!B:D""), 3, FALSE), ""Not Found"")"),"m ɔ l ")</f>
        <v>m ɔ l </v>
      </c>
    </row>
    <row r="5805">
      <c r="A5805" s="1" t="s">
        <v>5807</v>
      </c>
      <c r="B5805" s="1" t="s">
        <v>5</v>
      </c>
      <c r="C5805" s="2">
        <f>IFERROR(__xludf.DUMMYFUNCTION("IFERROR(VLOOKUP(A5805, IMPORTRANGE(""https://docs.google.com/spreadsheets/d/1AVX9GT0dgogEBStecCXMMQ29tWz3gBrtNB8yIromXbY/edit?gid=741673867"", ""out1g!A:B""), 2, FALSE), 0)"),2843.0)</f>
        <v>2843</v>
      </c>
      <c r="D5805" s="2" t="str">
        <f>IFERROR(__xludf.DUMMYFUNCTION("IFERROR(VLOOKUP(A5805, IMPORTRANGE(""https://docs.google.com/spreadsheets/d/1-3Vjw2Cyy-mry5gbC8ypIR3YVGFfEpyFESummAta6sg/edit"", ""Sheet1!B:D""), 2, FALSE), ""Not Found"")"),"træk")</f>
        <v>træk</v>
      </c>
      <c r="E5805" s="2" t="str">
        <f>IFERROR(__xludf.DUMMYFUNCTION("IFERROR(VLOOKUP(A5805, IMPORTRANGE(""https://docs.google.com/spreadsheets/d/1-3Vjw2Cyy-mry5gbC8ypIR3YVGFfEpyFESummAta6sg/edit"", ""Sheet1!B:D""), 3, FALSE), ""Not Found"")"),"t r æ k ")</f>
        <v>t r æ k </v>
      </c>
    </row>
    <row r="5806">
      <c r="A5806" s="1" t="s">
        <v>5808</v>
      </c>
      <c r="B5806" s="1" t="s">
        <v>5</v>
      </c>
      <c r="C5806" s="2">
        <f>IFERROR(__xludf.DUMMYFUNCTION("IFERROR(VLOOKUP(A5806, IMPORTRANGE(""https://docs.google.com/spreadsheets/d/1AVX9GT0dgogEBStecCXMMQ29tWz3gBrtNB8yIromXbY/edit?gid=741673867"", ""out1g!A:B""), 2, FALSE), 0)"),34433.0)</f>
        <v>34433</v>
      </c>
      <c r="D5806" s="2" t="str">
        <f>IFERROR(__xludf.DUMMYFUNCTION("IFERROR(VLOOKUP(A5806, IMPORTRANGE(""https://docs.google.com/spreadsheets/d/1-3Vjw2Cyy-mry5gbC8ypIR3YVGFfEpyFESummAta6sg/edit"", ""Sheet1!B:D""), 2, FALSE), ""Not Found"")"),"lɔŋ")</f>
        <v>lɔŋ</v>
      </c>
      <c r="E5806" s="2" t="str">
        <f>IFERROR(__xludf.DUMMYFUNCTION("IFERROR(VLOOKUP(A5806, IMPORTRANGE(""https://docs.google.com/spreadsheets/d/1-3Vjw2Cyy-mry5gbC8ypIR3YVGFfEpyFESummAta6sg/edit"", ""Sheet1!B:D""), 3, FALSE), ""Not Found"")"),"l ɔ ŋ ")</f>
        <v>l ɔ ŋ </v>
      </c>
    </row>
    <row r="5807">
      <c r="A5807" s="1" t="s">
        <v>5809</v>
      </c>
      <c r="B5807" s="1" t="s">
        <v>5</v>
      </c>
      <c r="C5807" s="2">
        <f>IFERROR(__xludf.DUMMYFUNCTION("IFERROR(VLOOKUP(A5807, IMPORTRANGE(""https://docs.google.com/spreadsheets/d/1AVX9GT0dgogEBStecCXMMQ29tWz3gBrtNB8yIromXbY/edit?gid=741673867"", ""out1g!A:B""), 2, FALSE), 0)"),293085.0)</f>
        <v>293085</v>
      </c>
      <c r="D5807" s="2" t="str">
        <f>IFERROR(__xludf.DUMMYFUNCTION("IFERROR(VLOOKUP(A5807, IMPORTRANGE(""https://docs.google.com/spreadsheets/d/1-3Vjw2Cyy-mry5gbC8ypIR3YVGFfEpyFESummAta6sg/edit"", ""Sheet1!B:D""), 2, FALSE), ""Not Found"")"),"bi")</f>
        <v>bi</v>
      </c>
      <c r="E5807" s="2" t="str">
        <f>IFERROR(__xludf.DUMMYFUNCTION("IFERROR(VLOOKUP(A5807, IMPORTRANGE(""https://docs.google.com/spreadsheets/d/1-3Vjw2Cyy-mry5gbC8ypIR3YVGFfEpyFESummAta6sg/edit"", ""Sheet1!B:D""), 3, FALSE), ""Not Found"")"),"b i ")</f>
        <v>b i </v>
      </c>
    </row>
    <row r="5808">
      <c r="A5808" s="1" t="s">
        <v>5810</v>
      </c>
      <c r="B5808" s="1" t="s">
        <v>5</v>
      </c>
      <c r="C5808" s="2">
        <f>IFERROR(__xludf.DUMMYFUNCTION("IFERROR(VLOOKUP(A5808, IMPORTRANGE(""https://docs.google.com/spreadsheets/d/1AVX9GT0dgogEBStecCXMMQ29tWz3gBrtNB8yIromXbY/edit?gid=741673867"", ""out1g!A:B""), 2, FALSE), 0)"),47.0)</f>
        <v>47</v>
      </c>
      <c r="D5808" s="2" t="str">
        <f>IFERROR(__xludf.DUMMYFUNCTION("IFERROR(VLOOKUP(A5808, IMPORTRANGE(""https://docs.google.com/spreadsheets/d/1-3Vjw2Cyy-mry5gbC8ypIR3YVGFfEpyFESummAta6sg/edit"", ""Sheet1!B:D""), 2, FALSE), ""Not Found"")"),"sleɪŋ")</f>
        <v>sleɪŋ</v>
      </c>
      <c r="E5808" s="2" t="str">
        <f>IFERROR(__xludf.DUMMYFUNCTION("IFERROR(VLOOKUP(A5808, IMPORTRANGE(""https://docs.google.com/spreadsheets/d/1-3Vjw2Cyy-mry5gbC8ypIR3YVGFfEpyFESummAta6sg/edit"", ""Sheet1!B:D""), 3, FALSE), ""Not Found"")"),"s l e ɪ ŋ ")</f>
        <v>s l e ɪ ŋ </v>
      </c>
    </row>
    <row r="5809">
      <c r="A5809" s="1" t="s">
        <v>5811</v>
      </c>
      <c r="B5809" s="1" t="s">
        <v>5</v>
      </c>
      <c r="C5809" s="2">
        <f>IFERROR(__xludf.DUMMYFUNCTION("IFERROR(VLOOKUP(A5809, IMPORTRANGE(""https://docs.google.com/spreadsheets/d/1AVX9GT0dgogEBStecCXMMQ29tWz3gBrtNB8yIromXbY/edit?gid=741673867"", ""out1g!A:B""), 2, FALSE), 0)"),79.0)</f>
        <v>79</v>
      </c>
      <c r="D5809" s="2" t="str">
        <f>IFERROR(__xludf.DUMMYFUNCTION("IFERROR(VLOOKUP(A5809, IMPORTRANGE(""https://docs.google.com/spreadsheets/d/1-3Vjw2Cyy-mry5gbC8ypIR3YVGFfEpyFESummAta6sg/edit"", ""Sheet1!B:D""), 2, FALSE), ""Not Found"")"),"kwɑd")</f>
        <v>kwɑd</v>
      </c>
      <c r="E5809" s="2" t="str">
        <f>IFERROR(__xludf.DUMMYFUNCTION("IFERROR(VLOOKUP(A5809, IMPORTRANGE(""https://docs.google.com/spreadsheets/d/1-3Vjw2Cyy-mry5gbC8ypIR3YVGFfEpyFESummAta6sg/edit"", ""Sheet1!B:D""), 3, FALSE), ""Not Found"")"),"k w ɑ d ")</f>
        <v>k w ɑ d </v>
      </c>
    </row>
    <row r="5810">
      <c r="A5810" s="1" t="s">
        <v>5812</v>
      </c>
      <c r="B5810" s="1" t="s">
        <v>5</v>
      </c>
      <c r="C5810" s="2">
        <f>IFERROR(__xludf.DUMMYFUNCTION("IFERROR(VLOOKUP(A5810, IMPORTRANGE(""https://docs.google.com/spreadsheets/d/1AVX9GT0dgogEBStecCXMMQ29tWz3gBrtNB8yIromXbY/edit?gid=741673867"", ""out1g!A:B""), 2, FALSE), 0)"),447.0)</f>
        <v>447</v>
      </c>
      <c r="D5810" s="2" t="str">
        <f>IFERROR(__xludf.DUMMYFUNCTION("IFERROR(VLOOKUP(A5810, IMPORTRANGE(""https://docs.google.com/spreadsheets/d/1-3Vjw2Cyy-mry5gbC8ypIR3YVGFfEpyFESummAta6sg/edit"", ""Sheet1!B:D""), 2, FALSE), ""Not Found"")"),"stæb")</f>
        <v>stæb</v>
      </c>
      <c r="E5810" s="2" t="str">
        <f>IFERROR(__xludf.DUMMYFUNCTION("IFERROR(VLOOKUP(A5810, IMPORTRANGE(""https://docs.google.com/spreadsheets/d/1-3Vjw2Cyy-mry5gbC8ypIR3YVGFfEpyFESummAta6sg/edit"", ""Sheet1!B:D""), 3, FALSE), ""Not Found"")"),"s t æ b ")</f>
        <v>s t æ b </v>
      </c>
    </row>
    <row r="5811">
      <c r="A5811" s="1" t="s">
        <v>5813</v>
      </c>
      <c r="B5811" s="1" t="s">
        <v>5</v>
      </c>
      <c r="C5811" s="2">
        <f>IFERROR(__xludf.DUMMYFUNCTION("IFERROR(VLOOKUP(A5811, IMPORTRANGE(""https://docs.google.com/spreadsheets/d/1AVX9GT0dgogEBStecCXMMQ29tWz3gBrtNB8yIromXbY/edit?gid=741673867"", ""out1g!A:B""), 2, FALSE), 0)"),2307.0)</f>
        <v>2307</v>
      </c>
      <c r="D5811" s="2" t="str">
        <f>IFERROR(__xludf.DUMMYFUNCTION("IFERROR(VLOOKUP(A5811, IMPORTRANGE(""https://docs.google.com/spreadsheets/d/1-3Vjw2Cyy-mry5gbC8ypIR3YVGFfEpyFESummAta6sg/edit"", ""Sheet1!B:D""), 2, FALSE), ""Not Found"")"),"noʊɪŋ")</f>
        <v>noʊɪŋ</v>
      </c>
      <c r="E5811" s="2" t="str">
        <f>IFERROR(__xludf.DUMMYFUNCTION("IFERROR(VLOOKUP(A5811, IMPORTRANGE(""https://docs.google.com/spreadsheets/d/1-3Vjw2Cyy-mry5gbC8ypIR3YVGFfEpyFESummAta6sg/edit"", ""Sheet1!B:D""), 3, FALSE), ""Not Found"")"),"n o ʊ ɪ ŋ ")</f>
        <v>n o ʊ ɪ ŋ </v>
      </c>
    </row>
    <row r="5812">
      <c r="A5812" s="1" t="s">
        <v>5814</v>
      </c>
      <c r="B5812" s="1" t="s">
        <v>5</v>
      </c>
      <c r="C5812" s="2">
        <f>IFERROR(__xludf.DUMMYFUNCTION("IFERROR(VLOOKUP(A5812, IMPORTRANGE(""https://docs.google.com/spreadsheets/d/1AVX9GT0dgogEBStecCXMMQ29tWz3gBrtNB8yIromXbY/edit?gid=741673867"", ""out1g!A:B""), 2, FALSE), 0)"),98.0)</f>
        <v>98</v>
      </c>
      <c r="D5812" s="2" t="str">
        <f>IFERROR(__xludf.DUMMYFUNCTION("IFERROR(VLOOKUP(A5812, IMPORTRANGE(""https://docs.google.com/spreadsheets/d/1-3Vjw2Cyy-mry5gbC8ypIR3YVGFfEpyFESummAta6sg/edit"", ""Sheet1!B:D""), 2, FALSE), ""Not Found"")"),"pɛrəl")</f>
        <v>pɛrəl</v>
      </c>
      <c r="E5812" s="2" t="str">
        <f>IFERROR(__xludf.DUMMYFUNCTION("IFERROR(VLOOKUP(A5812, IMPORTRANGE(""https://docs.google.com/spreadsheets/d/1-3Vjw2Cyy-mry5gbC8ypIR3YVGFfEpyFESummAta6sg/edit"", ""Sheet1!B:D""), 3, FALSE), ""Not Found"")"),"p ɛ r ə l ")</f>
        <v>p ɛ r ə l </v>
      </c>
    </row>
    <row r="5813">
      <c r="A5813" s="1" t="s">
        <v>5815</v>
      </c>
      <c r="B5813" s="1" t="s">
        <v>5</v>
      </c>
      <c r="C5813" s="2">
        <f>IFERROR(__xludf.DUMMYFUNCTION("IFERROR(VLOOKUP(A5813, IMPORTRANGE(""https://docs.google.com/spreadsheets/d/1AVX9GT0dgogEBStecCXMMQ29tWz3gBrtNB8yIromXbY/edit?gid=741673867"", ""out1g!A:B""), 2, FALSE), 0)"),166.0)</f>
        <v>166</v>
      </c>
      <c r="D5813" s="2" t="str">
        <f>IFERROR(__xludf.DUMMYFUNCTION("IFERROR(VLOOKUP(A5813, IMPORTRANGE(""https://docs.google.com/spreadsheets/d/1-3Vjw2Cyy-mry5gbC8ypIR3YVGFfEpyFESummAta6sg/edit"", ""Sheet1!B:D""), 2, FALSE), ""Not Found"")"),"gælz")</f>
        <v>gælz</v>
      </c>
      <c r="E5813" s="2" t="str">
        <f>IFERROR(__xludf.DUMMYFUNCTION("IFERROR(VLOOKUP(A5813, IMPORTRANGE(""https://docs.google.com/spreadsheets/d/1-3Vjw2Cyy-mry5gbC8ypIR3YVGFfEpyFESummAta6sg/edit"", ""Sheet1!B:D""), 3, FALSE), ""Not Found"")"),"g æ l z ")</f>
        <v>g æ l z </v>
      </c>
    </row>
    <row r="5814">
      <c r="A5814" s="1" t="s">
        <v>5816</v>
      </c>
      <c r="B5814" s="1" t="s">
        <v>5</v>
      </c>
      <c r="C5814" s="2">
        <f>IFERROR(__xludf.DUMMYFUNCTION("IFERROR(VLOOKUP(A5814, IMPORTRANGE(""https://docs.google.com/spreadsheets/d/1AVX9GT0dgogEBStecCXMMQ29tWz3gBrtNB8yIromXbY/edit?gid=741673867"", ""out1g!A:B""), 2, FALSE), 0)"),66.0)</f>
        <v>66</v>
      </c>
      <c r="D5814" s="2" t="str">
        <f>IFERROR(__xludf.DUMMYFUNCTION("IFERROR(VLOOKUP(A5814, IMPORTRANGE(""https://docs.google.com/spreadsheets/d/1-3Vjw2Cyy-mry5gbC8ypIR3YVGFfEpyFESummAta6sg/edit"", ""Sheet1!B:D""), 2, FALSE), ""Not Found"")"),"lɔŋd")</f>
        <v>lɔŋd</v>
      </c>
      <c r="E5814" s="2" t="str">
        <f>IFERROR(__xludf.DUMMYFUNCTION("IFERROR(VLOOKUP(A5814, IMPORTRANGE(""https://docs.google.com/spreadsheets/d/1-3Vjw2Cyy-mry5gbC8ypIR3YVGFfEpyFESummAta6sg/edit"", ""Sheet1!B:D""), 3, FALSE), ""Not Found"")"),"l ɔ ŋ d ")</f>
        <v>l ɔ ŋ d </v>
      </c>
    </row>
    <row r="5815">
      <c r="A5815" s="1" t="s">
        <v>5817</v>
      </c>
      <c r="B5815" s="1" t="s">
        <v>5</v>
      </c>
      <c r="C5815" s="2">
        <f>IFERROR(__xludf.DUMMYFUNCTION("IFERROR(VLOOKUP(A5815, IMPORTRANGE(""https://docs.google.com/spreadsheets/d/1AVX9GT0dgogEBStecCXMMQ29tWz3gBrtNB8yIromXbY/edit?gid=741673867"", ""out1g!A:B""), 2, FALSE), 0)"),540.0)</f>
        <v>540</v>
      </c>
      <c r="D5815" s="2" t="str">
        <f>IFERROR(__xludf.DUMMYFUNCTION("IFERROR(VLOOKUP(A5815, IMPORTRANGE(""https://docs.google.com/spreadsheets/d/1-3Vjw2Cyy-mry5gbC8ypIR3YVGFfEpyFESummAta6sg/edit"", ""Sheet1!B:D""), 2, FALSE), ""Not Found"")"),"ləŋz")</f>
        <v>ləŋz</v>
      </c>
      <c r="E5815" s="2" t="str">
        <f>IFERROR(__xludf.DUMMYFUNCTION("IFERROR(VLOOKUP(A5815, IMPORTRANGE(""https://docs.google.com/spreadsheets/d/1-3Vjw2Cyy-mry5gbC8ypIR3YVGFfEpyFESummAta6sg/edit"", ""Sheet1!B:D""), 3, FALSE), ""Not Found"")"),"l ə ŋ z ")</f>
        <v>l ə ŋ z </v>
      </c>
    </row>
    <row r="5816">
      <c r="A5816" s="1" t="s">
        <v>5818</v>
      </c>
      <c r="B5816" s="1" t="s">
        <v>5</v>
      </c>
      <c r="C5816" s="2">
        <f>IFERROR(__xludf.DUMMYFUNCTION("IFERROR(VLOOKUP(A5816, IMPORTRANGE(""https://docs.google.com/spreadsheets/d/1AVX9GT0dgogEBStecCXMMQ29tWz3gBrtNB8yIromXbY/edit?gid=741673867"", ""out1g!A:B""), 2, FALSE), 0)"),3744.0)</f>
        <v>3744</v>
      </c>
      <c r="D5816" s="2" t="str">
        <f>IFERROR(__xludf.DUMMYFUNCTION("IFERROR(VLOOKUP(A5816, IMPORTRANGE(""https://docs.google.com/spreadsheets/d/1-3Vjw2Cyy-mry5gbC8ypIR3YVGFfEpyFESummAta6sg/edit"", ""Sheet1!B:D""), 2, FALSE), ""Not Found"")"),"kɪk")</f>
        <v>kɪk</v>
      </c>
      <c r="E5816" s="2" t="str">
        <f>IFERROR(__xludf.DUMMYFUNCTION("IFERROR(VLOOKUP(A5816, IMPORTRANGE(""https://docs.google.com/spreadsheets/d/1-3Vjw2Cyy-mry5gbC8ypIR3YVGFfEpyFESummAta6sg/edit"", ""Sheet1!B:D""), 3, FALSE), ""Not Found"")"),"k ɪ k ")</f>
        <v>k ɪ k </v>
      </c>
    </row>
    <row r="5817">
      <c r="A5817" s="1" t="s">
        <v>5819</v>
      </c>
      <c r="B5817" s="1" t="s">
        <v>5</v>
      </c>
      <c r="C5817" s="2">
        <f>IFERROR(__xludf.DUMMYFUNCTION("IFERROR(VLOOKUP(A5817, IMPORTRANGE(""https://docs.google.com/spreadsheets/d/1AVX9GT0dgogEBStecCXMMQ29tWz3gBrtNB8yIromXbY/edit?gid=741673867"", ""out1g!A:B""), 2, FALSE), 0)"),67.0)</f>
        <v>67</v>
      </c>
      <c r="D5817" s="2" t="str">
        <f>IFERROR(__xludf.DUMMYFUNCTION("IFERROR(VLOOKUP(A5817, IMPORTRANGE(""https://docs.google.com/spreadsheets/d/1-3Vjw2Cyy-mry5gbC8ypIR3YVGFfEpyFESummAta6sg/edit"", ""Sheet1!B:D""), 2, FALSE), ""Not Found"")"),"həf")</f>
        <v>həf</v>
      </c>
      <c r="E5817" s="2" t="str">
        <f>IFERROR(__xludf.DUMMYFUNCTION("IFERROR(VLOOKUP(A5817, IMPORTRANGE(""https://docs.google.com/spreadsheets/d/1-3Vjw2Cyy-mry5gbC8ypIR3YVGFfEpyFESummAta6sg/edit"", ""Sheet1!B:D""), 3, FALSE), ""Not Found"")"),"h ə f ")</f>
        <v>h ə f </v>
      </c>
    </row>
    <row r="5818">
      <c r="A5818" s="1" t="s">
        <v>5820</v>
      </c>
      <c r="B5818" s="1" t="s">
        <v>5</v>
      </c>
      <c r="C5818" s="2">
        <f>IFERROR(__xludf.DUMMYFUNCTION("IFERROR(VLOOKUP(A5818, IMPORTRANGE(""https://docs.google.com/spreadsheets/d/1AVX9GT0dgogEBStecCXMMQ29tWz3gBrtNB8yIromXbY/edit?gid=741673867"", ""out1g!A:B""), 2, FALSE), 0)"),1352.0)</f>
        <v>1352</v>
      </c>
      <c r="D5818" s="2" t="str">
        <f>IFERROR(__xludf.DUMMYFUNCTION("IFERROR(VLOOKUP(A5818, IMPORTRANGE(""https://docs.google.com/spreadsheets/d/1-3Vjw2Cyy-mry5gbC8ypIR3YVGFfEpyFESummAta6sg/edit"", ""Sheet1!B:D""), 2, FALSE), ""Not Found"")"),"ælɪs")</f>
        <v>ælɪs</v>
      </c>
      <c r="E5818" s="2" t="str">
        <f>IFERROR(__xludf.DUMMYFUNCTION("IFERROR(VLOOKUP(A5818, IMPORTRANGE(""https://docs.google.com/spreadsheets/d/1-3Vjw2Cyy-mry5gbC8ypIR3YVGFfEpyFESummAta6sg/edit"", ""Sheet1!B:D""), 3, FALSE), ""Not Found"")"),"æ l ɪ s ")</f>
        <v>æ l ɪ s </v>
      </c>
    </row>
    <row r="5819">
      <c r="A5819" s="1" t="s">
        <v>5821</v>
      </c>
      <c r="B5819" s="1" t="s">
        <v>5</v>
      </c>
      <c r="C5819" s="2">
        <f>IFERROR(__xludf.DUMMYFUNCTION("IFERROR(VLOOKUP(A5819, IMPORTRANGE(""https://docs.google.com/spreadsheets/d/1AVX9GT0dgogEBStecCXMMQ29tWz3gBrtNB8yIromXbY/edit?gid=741673867"", ""out1g!A:B""), 2, FALSE), 0)"),85.0)</f>
        <v>85</v>
      </c>
      <c r="D5819" s="2" t="str">
        <f>IFERROR(__xludf.DUMMYFUNCTION("IFERROR(VLOOKUP(A5819, IMPORTRANGE(""https://docs.google.com/spreadsheets/d/1-3Vjw2Cyy-mry5gbC8ypIR3YVGFfEpyFESummAta6sg/edit"", ""Sheet1!B:D""), 2, FALSE), ""Not Found"")"),"kilər")</f>
        <v>kilər</v>
      </c>
      <c r="E5819" s="2" t="str">
        <f>IFERROR(__xludf.DUMMYFUNCTION("IFERROR(VLOOKUP(A5819, IMPORTRANGE(""https://docs.google.com/spreadsheets/d/1-3Vjw2Cyy-mry5gbC8ypIR3YVGFfEpyFESummAta6sg/edit"", ""Sheet1!B:D""), 3, FALSE), ""Not Found"")"),"k i l ə r ")</f>
        <v>k i l ə r </v>
      </c>
    </row>
    <row r="5820">
      <c r="A5820" s="1" t="s">
        <v>5822</v>
      </c>
      <c r="B5820" s="1" t="s">
        <v>5</v>
      </c>
      <c r="C5820" s="2">
        <f>IFERROR(__xludf.DUMMYFUNCTION("IFERROR(VLOOKUP(A5820, IMPORTRANGE(""https://docs.google.com/spreadsheets/d/1AVX9GT0dgogEBStecCXMMQ29tWz3gBrtNB8yIromXbY/edit?gid=741673867"", ""out1g!A:B""), 2, FALSE), 0)"),215.0)</f>
        <v>215</v>
      </c>
      <c r="D5820" s="2" t="str">
        <f>IFERROR(__xludf.DUMMYFUNCTION("IFERROR(VLOOKUP(A5820, IMPORTRANGE(""https://docs.google.com/spreadsheets/d/1-3Vjw2Cyy-mry5gbC8ypIR3YVGFfEpyFESummAta6sg/edit"", ""Sheet1!B:D""), 2, FALSE), ""Not Found"")"),"həl")</f>
        <v>həl</v>
      </c>
      <c r="E5820" s="2" t="str">
        <f>IFERROR(__xludf.DUMMYFUNCTION("IFERROR(VLOOKUP(A5820, IMPORTRANGE(""https://docs.google.com/spreadsheets/d/1-3Vjw2Cyy-mry5gbC8ypIR3YVGFfEpyFESummAta6sg/edit"", ""Sheet1!B:D""), 3, FALSE), ""Not Found"")"),"h ə l ")</f>
        <v>h ə l </v>
      </c>
    </row>
    <row r="5821">
      <c r="A5821" s="1" t="s">
        <v>5823</v>
      </c>
      <c r="B5821" s="1" t="s">
        <v>5</v>
      </c>
      <c r="C5821" s="2">
        <f>IFERROR(__xludf.DUMMYFUNCTION("IFERROR(VLOOKUP(A5821, IMPORTRANGE(""https://docs.google.com/spreadsheets/d/1AVX9GT0dgogEBStecCXMMQ29tWz3gBrtNB8yIromXbY/edit?gid=741673867"", ""out1g!A:B""), 2, FALSE), 0)"),116.0)</f>
        <v>116</v>
      </c>
      <c r="D5821" s="2" t="str">
        <f>IFERROR(__xludf.DUMMYFUNCTION("IFERROR(VLOOKUP(A5821, IMPORTRANGE(""https://docs.google.com/spreadsheets/d/1-3Vjw2Cyy-mry5gbC8ypIR3YVGFfEpyFESummAta6sg/edit"", ""Sheet1!B:D""), 2, FALSE), ""Not Found"")"),"skroʊl")</f>
        <v>skroʊl</v>
      </c>
      <c r="E5821" s="2" t="str">
        <f>IFERROR(__xludf.DUMMYFUNCTION("IFERROR(VLOOKUP(A5821, IMPORTRANGE(""https://docs.google.com/spreadsheets/d/1-3Vjw2Cyy-mry5gbC8ypIR3YVGFfEpyFESummAta6sg/edit"", ""Sheet1!B:D""), 3, FALSE), ""Not Found"")"),"s k r o ʊ l ")</f>
        <v>s k r o ʊ l </v>
      </c>
    </row>
    <row r="5822">
      <c r="A5822" s="1" t="s">
        <v>5824</v>
      </c>
      <c r="B5822" s="1" t="s">
        <v>5</v>
      </c>
      <c r="C5822" s="2">
        <f>IFERROR(__xludf.DUMMYFUNCTION("IFERROR(VLOOKUP(A5822, IMPORTRANGE(""https://docs.google.com/spreadsheets/d/1AVX9GT0dgogEBStecCXMMQ29tWz3gBrtNB8yIromXbY/edit?gid=741673867"", ""out1g!A:B""), 2, FALSE), 0)"),629.0)</f>
        <v>629</v>
      </c>
      <c r="D5822" s="2" t="str">
        <f>IFERROR(__xludf.DUMMYFUNCTION("IFERROR(VLOOKUP(A5822, IMPORTRANGE(""https://docs.google.com/spreadsheets/d/1-3Vjw2Cyy-mry5gbC8ypIR3YVGFfEpyFESummAta6sg/edit"", ""Sheet1!B:D""), 2, FALSE), ""Not Found"")"),"fez")</f>
        <v>fez</v>
      </c>
      <c r="E5822" s="2" t="str">
        <f>IFERROR(__xludf.DUMMYFUNCTION("IFERROR(VLOOKUP(A5822, IMPORTRANGE(""https://docs.google.com/spreadsheets/d/1-3Vjw2Cyy-mry5gbC8ypIR3YVGFfEpyFESummAta6sg/edit"", ""Sheet1!B:D""), 3, FALSE), ""Not Found"")"),"f e z ")</f>
        <v>f e z </v>
      </c>
    </row>
    <row r="5823">
      <c r="A5823" s="1" t="s">
        <v>5825</v>
      </c>
      <c r="B5823" s="1" t="s">
        <v>5</v>
      </c>
      <c r="C5823" s="2">
        <f>IFERROR(__xludf.DUMMYFUNCTION("IFERROR(VLOOKUP(A5823, IMPORTRANGE(""https://docs.google.com/spreadsheets/d/1AVX9GT0dgogEBStecCXMMQ29tWz3gBrtNB8yIromXbY/edit?gid=741673867"", ""out1g!A:B""), 2, FALSE), 0)"),15.0)</f>
        <v>15</v>
      </c>
      <c r="D5823" s="2" t="str">
        <f>IFERROR(__xludf.DUMMYFUNCTION("IFERROR(VLOOKUP(A5823, IMPORTRANGE(""https://docs.google.com/spreadsheets/d/1-3Vjw2Cyy-mry5gbC8ypIR3YVGFfEpyFESummAta6sg/edit"", ""Sheet1!B:D""), 2, FALSE), ""Not Found"")"),"bæl")</f>
        <v>bæl</v>
      </c>
      <c r="E5823" s="2" t="str">
        <f>IFERROR(__xludf.DUMMYFUNCTION("IFERROR(VLOOKUP(A5823, IMPORTRANGE(""https://docs.google.com/spreadsheets/d/1-3Vjw2Cyy-mry5gbC8ypIR3YVGFfEpyFESummAta6sg/edit"", ""Sheet1!B:D""), 3, FALSE), ""Not Found"")"),"b æ l ")</f>
        <v>b æ l </v>
      </c>
    </row>
    <row r="5824">
      <c r="A5824" s="1" t="s">
        <v>5826</v>
      </c>
      <c r="B5824" s="1" t="s">
        <v>5</v>
      </c>
      <c r="C5824" s="2">
        <f>IFERROR(__xludf.DUMMYFUNCTION("IFERROR(VLOOKUP(A5824, IMPORTRANGE(""https://docs.google.com/spreadsheets/d/1AVX9GT0dgogEBStecCXMMQ29tWz3gBrtNB8yIromXbY/edit?gid=741673867"", ""out1g!A:B""), 2, FALSE), 0)"),1163.0)</f>
        <v>1163</v>
      </c>
      <c r="D5824" s="2" t="str">
        <f>IFERROR(__xludf.DUMMYFUNCTION("IFERROR(VLOOKUP(A5824, IMPORTRANGE(""https://docs.google.com/spreadsheets/d/1-3Vjw2Cyy-mry5gbC8ypIR3YVGFfEpyFESummAta6sg/edit"", ""Sheet1!B:D""), 2, FALSE), ""Not Found"")"),"wɔlət")</f>
        <v>wɔlət</v>
      </c>
      <c r="E5824" s="2" t="str">
        <f>IFERROR(__xludf.DUMMYFUNCTION("IFERROR(VLOOKUP(A5824, IMPORTRANGE(""https://docs.google.com/spreadsheets/d/1-3Vjw2Cyy-mry5gbC8ypIR3YVGFfEpyFESummAta6sg/edit"", ""Sheet1!B:D""), 3, FALSE), ""Not Found"")"),"w ɔ l ə t ")</f>
        <v>w ɔ l ə t </v>
      </c>
    </row>
    <row r="5825">
      <c r="A5825" s="1" t="s">
        <v>5827</v>
      </c>
      <c r="B5825" s="1" t="s">
        <v>5</v>
      </c>
      <c r="C5825" s="2">
        <f>IFERROR(__xludf.DUMMYFUNCTION("IFERROR(VLOOKUP(A5825, IMPORTRANGE(""https://docs.google.com/spreadsheets/d/1AVX9GT0dgogEBStecCXMMQ29tWz3gBrtNB8yIromXbY/edit?gid=741673867"", ""out1g!A:B""), 2, FALSE), 0)"),426.0)</f>
        <v>426</v>
      </c>
      <c r="D5825" s="2" t="str">
        <f>IFERROR(__xludf.DUMMYFUNCTION("IFERROR(VLOOKUP(A5825, IMPORTRANGE(""https://docs.google.com/spreadsheets/d/1-3Vjw2Cyy-mry5gbC8ypIR3YVGFfEpyFESummAta6sg/edit"", ""Sheet1!B:D""), 2, FALSE), ""Not Found"")"),"rɪbz")</f>
        <v>rɪbz</v>
      </c>
      <c r="E5825" s="2" t="str">
        <f>IFERROR(__xludf.DUMMYFUNCTION("IFERROR(VLOOKUP(A5825, IMPORTRANGE(""https://docs.google.com/spreadsheets/d/1-3Vjw2Cyy-mry5gbC8ypIR3YVGFfEpyFESummAta6sg/edit"", ""Sheet1!B:D""), 3, FALSE), ""Not Found"")"),"r ɪ b z ")</f>
        <v>r ɪ b z </v>
      </c>
    </row>
    <row r="5826">
      <c r="A5826" s="1" t="s">
        <v>5828</v>
      </c>
      <c r="B5826" s="1" t="s">
        <v>5</v>
      </c>
      <c r="C5826" s="2">
        <f>IFERROR(__xludf.DUMMYFUNCTION("IFERROR(VLOOKUP(A5826, IMPORTRANGE(""https://docs.google.com/spreadsheets/d/1AVX9GT0dgogEBStecCXMMQ29tWz3gBrtNB8yIromXbY/edit?gid=741673867"", ""out1g!A:B""), 2, FALSE), 0)"),297.0)</f>
        <v>297</v>
      </c>
      <c r="D5826" s="2" t="str">
        <f>IFERROR(__xludf.DUMMYFUNCTION("IFERROR(VLOOKUP(A5826, IMPORTRANGE(""https://docs.google.com/spreadsheets/d/1-3Vjw2Cyy-mry5gbC8ypIR3YVGFfEpyFESummAta6sg/edit"", ""Sheet1!B:D""), 2, FALSE), ""Not Found"")"),"fəzi")</f>
        <v>fəzi</v>
      </c>
      <c r="E5826" s="2" t="str">
        <f>IFERROR(__xludf.DUMMYFUNCTION("IFERROR(VLOOKUP(A5826, IMPORTRANGE(""https://docs.google.com/spreadsheets/d/1-3Vjw2Cyy-mry5gbC8ypIR3YVGFfEpyFESummAta6sg/edit"", ""Sheet1!B:D""), 3, FALSE), ""Not Found"")"),"f ə z i ")</f>
        <v>f ə z i </v>
      </c>
    </row>
    <row r="5827">
      <c r="A5827" s="1" t="s">
        <v>5829</v>
      </c>
      <c r="B5827" s="1" t="s">
        <v>5</v>
      </c>
      <c r="C5827" s="2">
        <f>IFERROR(__xludf.DUMMYFUNCTION("IFERROR(VLOOKUP(A5827, IMPORTRANGE(""https://docs.google.com/spreadsheets/d/1AVX9GT0dgogEBStecCXMMQ29tWz3gBrtNB8yIromXbY/edit?gid=741673867"", ""out1g!A:B""), 2, FALSE), 0)"),72661.0)</f>
        <v>72661</v>
      </c>
      <c r="D5827" s="2" t="str">
        <f>IFERROR(__xludf.DUMMYFUNCTION("IFERROR(VLOOKUP(A5827, IMPORTRANGE(""https://docs.google.com/spreadsheets/d/1-3Vjw2Cyy-mry5gbC8ypIR3YVGFfEpyFESummAta6sg/edit"", ""Sheet1!B:D""), 2, FALSE), ""Not Found"")"),"we")</f>
        <v>we</v>
      </c>
      <c r="E5827" s="2" t="str">
        <f>IFERROR(__xludf.DUMMYFUNCTION("IFERROR(VLOOKUP(A5827, IMPORTRANGE(""https://docs.google.com/spreadsheets/d/1-3Vjw2Cyy-mry5gbC8ypIR3YVGFfEpyFESummAta6sg/edit"", ""Sheet1!B:D""), 3, FALSE), ""Not Found"")"),"w e ")</f>
        <v>w e </v>
      </c>
    </row>
    <row r="5828">
      <c r="A5828" s="1" t="s">
        <v>5830</v>
      </c>
      <c r="B5828" s="1" t="s">
        <v>5</v>
      </c>
      <c r="C5828" s="2">
        <f>IFERROR(__xludf.DUMMYFUNCTION("IFERROR(VLOOKUP(A5828, IMPORTRANGE(""https://docs.google.com/spreadsheets/d/1AVX9GT0dgogEBStecCXMMQ29tWz3gBrtNB8yIromXbY/edit?gid=741673867"", ""out1g!A:B""), 2, FALSE), 0)"),186.0)</f>
        <v>186</v>
      </c>
      <c r="D5828" s="2" t="str">
        <f>IFERROR(__xludf.DUMMYFUNCTION("IFERROR(VLOOKUP(A5828, IMPORTRANGE(""https://docs.google.com/spreadsheets/d/1-3Vjw2Cyy-mry5gbC8ypIR3YVGFfEpyFESummAta6sg/edit"", ""Sheet1!B:D""), 2, FALSE), ""Not Found"")"),"bɛʧə")</f>
        <v>bɛʧə</v>
      </c>
      <c r="E5828" s="2" t="str">
        <f>IFERROR(__xludf.DUMMYFUNCTION("IFERROR(VLOOKUP(A5828, IMPORTRANGE(""https://docs.google.com/spreadsheets/d/1-3Vjw2Cyy-mry5gbC8ypIR3YVGFfEpyFESummAta6sg/edit"", ""Sheet1!B:D""), 3, FALSE), ""Not Found"")"),"b ɛ ʧ ə ")</f>
        <v>b ɛ ʧ ə </v>
      </c>
    </row>
    <row r="5829">
      <c r="A5829" s="1" t="s">
        <v>5831</v>
      </c>
      <c r="B5829" s="1" t="s">
        <v>5</v>
      </c>
      <c r="C5829" s="2">
        <f>IFERROR(__xludf.DUMMYFUNCTION("IFERROR(VLOOKUP(A5829, IMPORTRANGE(""https://docs.google.com/spreadsheets/d/1AVX9GT0dgogEBStecCXMMQ29tWz3gBrtNB8yIromXbY/edit?gid=741673867"", ""out1g!A:B""), 2, FALSE), 0)"),400.0)</f>
        <v>400</v>
      </c>
      <c r="D5829" s="2" t="str">
        <f>IFERROR(__xludf.DUMMYFUNCTION("IFERROR(VLOOKUP(A5829, IMPORTRANGE(""https://docs.google.com/spreadsheets/d/1-3Vjw2Cyy-mry5gbC8ypIR3YVGFfEpyFESummAta6sg/edit"", ""Sheet1!B:D""), 2, FALSE), ""Not Found"")"),"ɛroʊ")</f>
        <v>ɛroʊ</v>
      </c>
      <c r="E5829" s="2" t="str">
        <f>IFERROR(__xludf.DUMMYFUNCTION("IFERROR(VLOOKUP(A5829, IMPORTRANGE(""https://docs.google.com/spreadsheets/d/1-3Vjw2Cyy-mry5gbC8ypIR3YVGFfEpyFESummAta6sg/edit"", ""Sheet1!B:D""), 3, FALSE), ""Not Found"")"),"ɛ r o ʊ ")</f>
        <v>ɛ r o ʊ </v>
      </c>
    </row>
    <row r="5830">
      <c r="A5830" s="1" t="s">
        <v>5832</v>
      </c>
      <c r="B5830" s="1" t="s">
        <v>5</v>
      </c>
      <c r="C5830" s="2">
        <f>IFERROR(__xludf.DUMMYFUNCTION("IFERROR(VLOOKUP(A5830, IMPORTRANGE(""https://docs.google.com/spreadsheets/d/1AVX9GT0dgogEBStecCXMMQ29tWz3gBrtNB8yIromXbY/edit?gid=741673867"", ""out1g!A:B""), 2, FALSE), 0)"),117.0)</f>
        <v>117</v>
      </c>
      <c r="D5830" s="2" t="str">
        <f>IFERROR(__xludf.DUMMYFUNCTION("IFERROR(VLOOKUP(A5830, IMPORTRANGE(""https://docs.google.com/spreadsheets/d/1-3Vjw2Cyy-mry5gbC8ypIR3YVGFfEpyFESummAta6sg/edit"", ""Sheet1!B:D""), 2, FALSE), ""Not Found"")"),"ʤudə")</f>
        <v>ʤudə</v>
      </c>
      <c r="E5830" s="2" t="str">
        <f>IFERROR(__xludf.DUMMYFUNCTION("IFERROR(VLOOKUP(A5830, IMPORTRANGE(""https://docs.google.com/spreadsheets/d/1-3Vjw2Cyy-mry5gbC8ypIR3YVGFfEpyFESummAta6sg/edit"", ""Sheet1!B:D""), 3, FALSE), ""Not Found"")"),"ʤ u d ə ")</f>
        <v>ʤ u d ə </v>
      </c>
    </row>
    <row r="5831">
      <c r="A5831" s="1" t="s">
        <v>5833</v>
      </c>
      <c r="B5831" s="1" t="s">
        <v>5</v>
      </c>
      <c r="C5831" s="2">
        <f>IFERROR(__xludf.DUMMYFUNCTION("IFERROR(VLOOKUP(A5831, IMPORTRANGE(""https://docs.google.com/spreadsheets/d/1AVX9GT0dgogEBStecCXMMQ29tWz3gBrtNB8yIromXbY/edit?gid=741673867"", ""out1g!A:B""), 2, FALSE), 0)"),72.0)</f>
        <v>72</v>
      </c>
      <c r="D5831" s="2" t="str">
        <f>IFERROR(__xludf.DUMMYFUNCTION("IFERROR(VLOOKUP(A5831, IMPORTRANGE(""https://docs.google.com/spreadsheets/d/1-3Vjw2Cyy-mry5gbC8ypIR3YVGFfEpyFESummAta6sg/edit"", ""Sheet1!B:D""), 2, FALSE), ""Not Found"")"),"lɑmə")</f>
        <v>lɑmə</v>
      </c>
      <c r="E5831" s="2" t="str">
        <f>IFERROR(__xludf.DUMMYFUNCTION("IFERROR(VLOOKUP(A5831, IMPORTRANGE(""https://docs.google.com/spreadsheets/d/1-3Vjw2Cyy-mry5gbC8ypIR3YVGFfEpyFESummAta6sg/edit"", ""Sheet1!B:D""), 3, FALSE), ""Not Found"")"),"l ɑ m ə ")</f>
        <v>l ɑ m ə </v>
      </c>
    </row>
    <row r="5832">
      <c r="A5832" s="1" t="s">
        <v>5834</v>
      </c>
      <c r="B5832" s="1" t="s">
        <v>5</v>
      </c>
      <c r="C5832" s="2">
        <f>IFERROR(__xludf.DUMMYFUNCTION("IFERROR(VLOOKUP(A5832, IMPORTRANGE(""https://docs.google.com/spreadsheets/d/1AVX9GT0dgogEBStecCXMMQ29tWz3gBrtNB8yIromXbY/edit?gid=741673867"", ""out1g!A:B""), 2, FALSE), 0)"),90.0)</f>
        <v>90</v>
      </c>
      <c r="D5832" s="2" t="str">
        <f>IFERROR(__xludf.DUMMYFUNCTION("IFERROR(VLOOKUP(A5832, IMPORTRANGE(""https://docs.google.com/spreadsheets/d/1-3Vjw2Cyy-mry5gbC8ypIR3YVGFfEpyFESummAta6sg/edit"", ""Sheet1!B:D""), 2, FALSE), ""Not Found"")"),"skɑti")</f>
        <v>skɑti</v>
      </c>
      <c r="E5832" s="2" t="str">
        <f>IFERROR(__xludf.DUMMYFUNCTION("IFERROR(VLOOKUP(A5832, IMPORTRANGE(""https://docs.google.com/spreadsheets/d/1-3Vjw2Cyy-mry5gbC8ypIR3YVGFfEpyFESummAta6sg/edit"", ""Sheet1!B:D""), 3, FALSE), ""Not Found"")"),"s k ɑ t i ")</f>
        <v>s k ɑ t i </v>
      </c>
    </row>
    <row r="5833">
      <c r="A5833" s="1" t="s">
        <v>5835</v>
      </c>
      <c r="B5833" s="1" t="s">
        <v>5</v>
      </c>
      <c r="C5833" s="2">
        <f>IFERROR(__xludf.DUMMYFUNCTION("IFERROR(VLOOKUP(A5833, IMPORTRANGE(""https://docs.google.com/spreadsheets/d/1AVX9GT0dgogEBStecCXMMQ29tWz3gBrtNB8yIromXbY/edit?gid=741673867"", ""out1g!A:B""), 2, FALSE), 0)"),114.0)</f>
        <v>114</v>
      </c>
      <c r="D5833" s="2" t="str">
        <f>IFERROR(__xludf.DUMMYFUNCTION("IFERROR(VLOOKUP(A5833, IMPORTRANGE(""https://docs.google.com/spreadsheets/d/1-3Vjw2Cyy-mry5gbC8ypIR3YVGFfEpyFESummAta6sg/edit"", ""Sheet1!B:D""), 2, FALSE), ""Not Found"")"),"mɑz")</f>
        <v>mɑz</v>
      </c>
      <c r="E5833" s="2" t="str">
        <f>IFERROR(__xludf.DUMMYFUNCTION("IFERROR(VLOOKUP(A5833, IMPORTRANGE(""https://docs.google.com/spreadsheets/d/1-3Vjw2Cyy-mry5gbC8ypIR3YVGFfEpyFESummAta6sg/edit"", ""Sheet1!B:D""), 3, FALSE), ""Not Found"")"),"m ɑ z ")</f>
        <v>m ɑ z </v>
      </c>
    </row>
    <row r="5834">
      <c r="A5834" s="1" t="s">
        <v>5836</v>
      </c>
      <c r="B5834" s="1" t="s">
        <v>5</v>
      </c>
      <c r="C5834" s="2">
        <f>IFERROR(__xludf.DUMMYFUNCTION("IFERROR(VLOOKUP(A5834, IMPORTRANGE(""https://docs.google.com/spreadsheets/d/1AVX9GT0dgogEBStecCXMMQ29tWz3gBrtNB8yIromXbY/edit?gid=741673867"", ""out1g!A:B""), 2, FALSE), 0)"),464.0)</f>
        <v>464</v>
      </c>
      <c r="D5834" s="2" t="str">
        <f>IFERROR(__xludf.DUMMYFUNCTION("IFERROR(VLOOKUP(A5834, IMPORTRANGE(""https://docs.google.com/spreadsheets/d/1-3Vjw2Cyy-mry5gbC8ypIR3YVGFfEpyFESummAta6sg/edit"", ""Sheet1!B:D""), 2, FALSE), ""Not Found"")"),"frez")</f>
        <v>frez</v>
      </c>
      <c r="E5834" s="2" t="str">
        <f>IFERROR(__xludf.DUMMYFUNCTION("IFERROR(VLOOKUP(A5834, IMPORTRANGE(""https://docs.google.com/spreadsheets/d/1-3Vjw2Cyy-mry5gbC8ypIR3YVGFfEpyFESummAta6sg/edit"", ""Sheet1!B:D""), 3, FALSE), ""Not Found"")"),"f r e z ")</f>
        <v>f r e z </v>
      </c>
    </row>
    <row r="5835">
      <c r="A5835" s="1" t="s">
        <v>5837</v>
      </c>
      <c r="B5835" s="1" t="s">
        <v>5</v>
      </c>
      <c r="C5835" s="2">
        <f>IFERROR(__xludf.DUMMYFUNCTION("IFERROR(VLOOKUP(A5835, IMPORTRANGE(""https://docs.google.com/spreadsheets/d/1AVX9GT0dgogEBStecCXMMQ29tWz3gBrtNB8yIromXbY/edit?gid=741673867"", ""out1g!A:B""), 2, FALSE), 0)"),215.0)</f>
        <v>215</v>
      </c>
      <c r="D5835" s="2" t="str">
        <f>IFERROR(__xludf.DUMMYFUNCTION("IFERROR(VLOOKUP(A5835, IMPORTRANGE(""https://docs.google.com/spreadsheets/d/1-3Vjw2Cyy-mry5gbC8ypIR3YVGFfEpyFESummAta6sg/edit"", ""Sheet1!B:D""), 2, FALSE), ""Not Found"")"),"hərli")</f>
        <v>hərli</v>
      </c>
      <c r="E5835" s="2" t="str">
        <f>IFERROR(__xludf.DUMMYFUNCTION("IFERROR(VLOOKUP(A5835, IMPORTRANGE(""https://docs.google.com/spreadsheets/d/1-3Vjw2Cyy-mry5gbC8ypIR3YVGFfEpyFESummAta6sg/edit"", ""Sheet1!B:D""), 3, FALSE), ""Not Found"")"),"h ə r l i ")</f>
        <v>h ə r l i </v>
      </c>
    </row>
    <row r="5836">
      <c r="A5836" s="1" t="s">
        <v>5838</v>
      </c>
      <c r="B5836" s="1" t="s">
        <v>5</v>
      </c>
      <c r="C5836" s="2">
        <f>IFERROR(__xludf.DUMMYFUNCTION("IFERROR(VLOOKUP(A5836, IMPORTRANGE(""https://docs.google.com/spreadsheets/d/1AVX9GT0dgogEBStecCXMMQ29tWz3gBrtNB8yIromXbY/edit?gid=741673867"", ""out1g!A:B""), 2, FALSE), 0)"),1243.0)</f>
        <v>1243</v>
      </c>
      <c r="D5836" s="2" t="str">
        <f>IFERROR(__xludf.DUMMYFUNCTION("IFERROR(VLOOKUP(A5836, IMPORTRANGE(""https://docs.google.com/spreadsheets/d/1-3Vjw2Cyy-mry5gbC8ypIR3YVGFfEpyFESummAta6sg/edit"", ""Sheet1!B:D""), 2, FALSE), ""Not Found"")"),"ðaɪ")</f>
        <v>ðaɪ</v>
      </c>
      <c r="E5836" s="2" t="str">
        <f>IFERROR(__xludf.DUMMYFUNCTION("IFERROR(VLOOKUP(A5836, IMPORTRANGE(""https://docs.google.com/spreadsheets/d/1-3Vjw2Cyy-mry5gbC8ypIR3YVGFfEpyFESummAta6sg/edit"", ""Sheet1!B:D""), 3, FALSE), ""Not Found"")"),"ð a ɪ ")</f>
        <v>ð a ɪ </v>
      </c>
    </row>
    <row r="5837">
      <c r="A5837" s="1" t="s">
        <v>5839</v>
      </c>
      <c r="B5837" s="1" t="s">
        <v>5</v>
      </c>
      <c r="C5837" s="2">
        <f>IFERROR(__xludf.DUMMYFUNCTION("IFERROR(VLOOKUP(A5837, IMPORTRANGE(""https://docs.google.com/spreadsheets/d/1AVX9GT0dgogEBStecCXMMQ29tWz3gBrtNB8yIromXbY/edit?gid=741673867"", ""out1g!A:B""), 2, FALSE), 0)"),218.0)</f>
        <v>218</v>
      </c>
      <c r="D5837" s="2" t="str">
        <f>IFERROR(__xludf.DUMMYFUNCTION("IFERROR(VLOOKUP(A5837, IMPORTRANGE(""https://docs.google.com/spreadsheets/d/1-3Vjw2Cyy-mry5gbC8ypIR3YVGFfEpyFESummAta6sg/edit"", ""Sheet1!B:D""), 2, FALSE), ""Not Found"")"),"trɪm")</f>
        <v>trɪm</v>
      </c>
      <c r="E5837" s="2" t="str">
        <f>IFERROR(__xludf.DUMMYFUNCTION("IFERROR(VLOOKUP(A5837, IMPORTRANGE(""https://docs.google.com/spreadsheets/d/1-3Vjw2Cyy-mry5gbC8ypIR3YVGFfEpyFESummAta6sg/edit"", ""Sheet1!B:D""), 3, FALSE), ""Not Found"")"),"t r ɪ m ")</f>
        <v>t r ɪ m </v>
      </c>
    </row>
    <row r="5838">
      <c r="A5838" s="1" t="s">
        <v>5840</v>
      </c>
      <c r="B5838" s="1" t="s">
        <v>5</v>
      </c>
      <c r="C5838" s="2">
        <f>IFERROR(__xludf.DUMMYFUNCTION("IFERROR(VLOOKUP(A5838, IMPORTRANGE(""https://docs.google.com/spreadsheets/d/1AVX9GT0dgogEBStecCXMMQ29tWz3gBrtNB8yIromXbY/edit?gid=741673867"", ""out1g!A:B""), 2, FALSE), 0)"),46.0)</f>
        <v>46</v>
      </c>
      <c r="D5838" s="2" t="str">
        <f>IFERROR(__xludf.DUMMYFUNCTION("IFERROR(VLOOKUP(A5838, IMPORTRANGE(""https://docs.google.com/spreadsheets/d/1-3Vjw2Cyy-mry5gbC8ypIR3YVGFfEpyFESummAta6sg/edit"", ""Sheet1!B:D""), 2, FALSE), ""Not Found"")"),"fk")</f>
        <v>fk</v>
      </c>
      <c r="E5838" s="2" t="str">
        <f>IFERROR(__xludf.DUMMYFUNCTION("IFERROR(VLOOKUP(A5838, IMPORTRANGE(""https://docs.google.com/spreadsheets/d/1-3Vjw2Cyy-mry5gbC8ypIR3YVGFfEpyFESummAta6sg/edit"", ""Sheet1!B:D""), 3, FALSE), ""Not Found"")"),"f k ")</f>
        <v>f k </v>
      </c>
    </row>
    <row r="5839">
      <c r="A5839" s="1" t="s">
        <v>5841</v>
      </c>
      <c r="B5839" s="1" t="s">
        <v>5</v>
      </c>
      <c r="C5839" s="2">
        <f>IFERROR(__xludf.DUMMYFUNCTION("IFERROR(VLOOKUP(A5839, IMPORTRANGE(""https://docs.google.com/spreadsheets/d/1AVX9GT0dgogEBStecCXMMQ29tWz3gBrtNB8yIromXbY/edit?gid=741673867"", ""out1g!A:B""), 2, FALSE), 0)"),178.0)</f>
        <v>178</v>
      </c>
      <c r="D5839" s="2" t="str">
        <f>IFERROR(__xludf.DUMMYFUNCTION("IFERROR(VLOOKUP(A5839, IMPORTRANGE(""https://docs.google.com/spreadsheets/d/1-3Vjw2Cyy-mry5gbC8ypIR3YVGFfEpyFESummAta6sg/edit"", ""Sheet1!B:D""), 2, FALSE), ""Not Found"")"),"pɛp")</f>
        <v>pɛp</v>
      </c>
      <c r="E5839" s="2" t="str">
        <f>IFERROR(__xludf.DUMMYFUNCTION("IFERROR(VLOOKUP(A5839, IMPORTRANGE(""https://docs.google.com/spreadsheets/d/1-3Vjw2Cyy-mry5gbC8ypIR3YVGFfEpyFESummAta6sg/edit"", ""Sheet1!B:D""), 3, FALSE), ""Not Found"")"),"p ɛ p ")</f>
        <v>p ɛ p </v>
      </c>
    </row>
    <row r="5840">
      <c r="A5840" s="1" t="s">
        <v>5842</v>
      </c>
      <c r="B5840" s="1" t="s">
        <v>5</v>
      </c>
      <c r="C5840" s="2">
        <f>IFERROR(__xludf.DUMMYFUNCTION("IFERROR(VLOOKUP(A5840, IMPORTRANGE(""https://docs.google.com/spreadsheets/d/1AVX9GT0dgogEBStecCXMMQ29tWz3gBrtNB8yIromXbY/edit?gid=741673867"", ""out1g!A:B""), 2, FALSE), 0)"),2690.0)</f>
        <v>2690</v>
      </c>
      <c r="D5840" s="2" t="str">
        <f>IFERROR(__xludf.DUMMYFUNCTION("IFERROR(VLOOKUP(A5840, IMPORTRANGE(""https://docs.google.com/spreadsheets/d/1-3Vjw2Cyy-mry5gbC8ypIR3YVGFfEpyFESummAta6sg/edit"", ""Sheet1!B:D""), 2, FALSE), ""Not Found"")"),"fərðər")</f>
        <v>fərðər</v>
      </c>
      <c r="E5840" s="2" t="str">
        <f>IFERROR(__xludf.DUMMYFUNCTION("IFERROR(VLOOKUP(A5840, IMPORTRANGE(""https://docs.google.com/spreadsheets/d/1-3Vjw2Cyy-mry5gbC8ypIR3YVGFfEpyFESummAta6sg/edit"", ""Sheet1!B:D""), 3, FALSE), ""Not Found"")"),"f ə r ð ə r ")</f>
        <v>f ə r ð ə r </v>
      </c>
    </row>
    <row r="5841">
      <c r="A5841" s="1" t="s">
        <v>5843</v>
      </c>
      <c r="B5841" s="1" t="s">
        <v>5</v>
      </c>
      <c r="C5841" s="2">
        <f>IFERROR(__xludf.DUMMYFUNCTION("IFERROR(VLOOKUP(A5841, IMPORTRANGE(""https://docs.google.com/spreadsheets/d/1AVX9GT0dgogEBStecCXMMQ29tWz3gBrtNB8yIromXbY/edit?gid=741673867"", ""out1g!A:B""), 2, FALSE), 0)"),162.0)</f>
        <v>162</v>
      </c>
      <c r="D5841" s="2" t="str">
        <f>IFERROR(__xludf.DUMMYFUNCTION("IFERROR(VLOOKUP(A5841, IMPORTRANGE(""https://docs.google.com/spreadsheets/d/1-3Vjw2Cyy-mry5gbC8ypIR3YVGFfEpyFESummAta6sg/edit"", ""Sheet1!B:D""), 2, FALSE), ""Not Found"")"),"kiki")</f>
        <v>kiki</v>
      </c>
      <c r="E5841" s="2" t="str">
        <f>IFERROR(__xludf.DUMMYFUNCTION("IFERROR(VLOOKUP(A5841, IMPORTRANGE(""https://docs.google.com/spreadsheets/d/1-3Vjw2Cyy-mry5gbC8ypIR3YVGFfEpyFESummAta6sg/edit"", ""Sheet1!B:D""), 3, FALSE), ""Not Found"")"),"k i k i ")</f>
        <v>k i k i </v>
      </c>
    </row>
    <row r="5842">
      <c r="A5842" s="1" t="s">
        <v>5844</v>
      </c>
      <c r="B5842" s="1" t="s">
        <v>5</v>
      </c>
      <c r="C5842" s="2">
        <f>IFERROR(__xludf.DUMMYFUNCTION("IFERROR(VLOOKUP(A5842, IMPORTRANGE(""https://docs.google.com/spreadsheets/d/1AVX9GT0dgogEBStecCXMMQ29tWz3gBrtNB8yIromXbY/edit?gid=741673867"", ""out1g!A:B""), 2, FALSE), 0)"),138.0)</f>
        <v>138</v>
      </c>
      <c r="D5842" s="2" t="str">
        <f>IFERROR(__xludf.DUMMYFUNCTION("IFERROR(VLOOKUP(A5842, IMPORTRANGE(""https://docs.google.com/spreadsheets/d/1-3Vjw2Cyy-mry5gbC8ypIR3YVGFfEpyFESummAta6sg/edit"", ""Sheet1!B:D""), 2, FALSE), ""Not Found"")"),"pild")</f>
        <v>pild</v>
      </c>
      <c r="E5842" s="2" t="str">
        <f>IFERROR(__xludf.DUMMYFUNCTION("IFERROR(VLOOKUP(A5842, IMPORTRANGE(""https://docs.google.com/spreadsheets/d/1-3Vjw2Cyy-mry5gbC8ypIR3YVGFfEpyFESummAta6sg/edit"", ""Sheet1!B:D""), 3, FALSE), ""Not Found"")"),"p i l d ")</f>
        <v>p i l d </v>
      </c>
    </row>
    <row r="5843">
      <c r="A5843" s="1" t="s">
        <v>5845</v>
      </c>
      <c r="B5843" s="1" t="s">
        <v>5</v>
      </c>
      <c r="C5843" s="2">
        <f>IFERROR(__xludf.DUMMYFUNCTION("IFERROR(VLOOKUP(A5843, IMPORTRANGE(""https://docs.google.com/spreadsheets/d/1AVX9GT0dgogEBStecCXMMQ29tWz3gBrtNB8yIromXbY/edit?gid=741673867"", ""out1g!A:B""), 2, FALSE), 0)"),533.0)</f>
        <v>533</v>
      </c>
      <c r="D5843" s="2" t="str">
        <f>IFERROR(__xludf.DUMMYFUNCTION("IFERROR(VLOOKUP(A5843, IMPORTRANGE(""https://docs.google.com/spreadsheets/d/1-3Vjw2Cyy-mry5gbC8ypIR3YVGFfEpyFESummAta6sg/edit"", ""Sheet1!B:D""), 2, FALSE), ""Not Found"")"),"fɪksɪŋ")</f>
        <v>fɪksɪŋ</v>
      </c>
      <c r="E5843" s="2" t="str">
        <f>IFERROR(__xludf.DUMMYFUNCTION("IFERROR(VLOOKUP(A5843, IMPORTRANGE(""https://docs.google.com/spreadsheets/d/1-3Vjw2Cyy-mry5gbC8ypIR3YVGFfEpyFESummAta6sg/edit"", ""Sheet1!B:D""), 3, FALSE), ""Not Found"")"),"f ɪ k s ɪ ŋ ")</f>
        <v>f ɪ k s ɪ ŋ </v>
      </c>
    </row>
    <row r="5844">
      <c r="A5844" s="1" t="s">
        <v>5846</v>
      </c>
      <c r="B5844" s="1" t="s">
        <v>5</v>
      </c>
      <c r="C5844" s="2">
        <f>IFERROR(__xludf.DUMMYFUNCTION("IFERROR(VLOOKUP(A5844, IMPORTRANGE(""https://docs.google.com/spreadsheets/d/1AVX9GT0dgogEBStecCXMMQ29tWz3gBrtNB8yIromXbY/edit?gid=741673867"", ""out1g!A:B""), 2, FALSE), 0)"),321.0)</f>
        <v>321</v>
      </c>
      <c r="D5844" s="2" t="str">
        <f>IFERROR(__xludf.DUMMYFUNCTION("IFERROR(VLOOKUP(A5844, IMPORTRANGE(""https://docs.google.com/spreadsheets/d/1-3Vjw2Cyy-mry5gbC8ypIR3YVGFfEpyFESummAta6sg/edit"", ""Sheet1!B:D""), 2, FALSE), ""Not Found"")"),"wərmz")</f>
        <v>wərmz</v>
      </c>
      <c r="E5844" s="2" t="str">
        <f>IFERROR(__xludf.DUMMYFUNCTION("IFERROR(VLOOKUP(A5844, IMPORTRANGE(""https://docs.google.com/spreadsheets/d/1-3Vjw2Cyy-mry5gbC8ypIR3YVGFfEpyFESummAta6sg/edit"", ""Sheet1!B:D""), 3, FALSE), ""Not Found"")"),"w ə r m z ")</f>
        <v>w ə r m z </v>
      </c>
    </row>
    <row r="5845">
      <c r="A5845" s="1" t="s">
        <v>5847</v>
      </c>
      <c r="B5845" s="1" t="s">
        <v>5</v>
      </c>
      <c r="C5845" s="2">
        <f>IFERROR(__xludf.DUMMYFUNCTION("IFERROR(VLOOKUP(A5845, IMPORTRANGE(""https://docs.google.com/spreadsheets/d/1AVX9GT0dgogEBStecCXMMQ29tWz3gBrtNB8yIromXbY/edit?gid=741673867"", ""out1g!A:B""), 2, FALSE), 0)"),1053.0)</f>
        <v>1053</v>
      </c>
      <c r="D5845" s="2" t="str">
        <f>IFERROR(__xludf.DUMMYFUNCTION("IFERROR(VLOOKUP(A5845, IMPORTRANGE(""https://docs.google.com/spreadsheets/d/1-3Vjw2Cyy-mry5gbC8ypIR3YVGFfEpyFESummAta6sg/edit"", ""Sheet1!B:D""), 2, FALSE), ""Not Found"")"),"ʃaɪn")</f>
        <v>ʃaɪn</v>
      </c>
      <c r="E5845" s="2" t="str">
        <f>IFERROR(__xludf.DUMMYFUNCTION("IFERROR(VLOOKUP(A5845, IMPORTRANGE(""https://docs.google.com/spreadsheets/d/1-3Vjw2Cyy-mry5gbC8ypIR3YVGFfEpyFESummAta6sg/edit"", ""Sheet1!B:D""), 3, FALSE), ""Not Found"")"),"ʃ a ɪ n ")</f>
        <v>ʃ a ɪ n </v>
      </c>
    </row>
    <row r="5846">
      <c r="A5846" s="1" t="s">
        <v>5848</v>
      </c>
      <c r="B5846" s="1" t="s">
        <v>5</v>
      </c>
      <c r="C5846" s="2">
        <f>IFERROR(__xludf.DUMMYFUNCTION("IFERROR(VLOOKUP(A5846, IMPORTRANGE(""https://docs.google.com/spreadsheets/d/1AVX9GT0dgogEBStecCXMMQ29tWz3gBrtNB8yIromXbY/edit?gid=741673867"", ""out1g!A:B""), 2, FALSE), 0)"),232.0)</f>
        <v>232</v>
      </c>
      <c r="D5846" s="2" t="str">
        <f>IFERROR(__xludf.DUMMYFUNCTION("IFERROR(VLOOKUP(A5846, IMPORTRANGE(""https://docs.google.com/spreadsheets/d/1-3Vjw2Cyy-mry5gbC8ypIR3YVGFfEpyFESummAta6sg/edit"", ""Sheet1!B:D""), 2, FALSE), ""Not Found"")"),"waɪts")</f>
        <v>waɪts</v>
      </c>
      <c r="E5846" s="2" t="str">
        <f>IFERROR(__xludf.DUMMYFUNCTION("IFERROR(VLOOKUP(A5846, IMPORTRANGE(""https://docs.google.com/spreadsheets/d/1-3Vjw2Cyy-mry5gbC8ypIR3YVGFfEpyFESummAta6sg/edit"", ""Sheet1!B:D""), 3, FALSE), ""Not Found"")"),"w a ɪ t s ")</f>
        <v>w a ɪ t s </v>
      </c>
    </row>
    <row r="5847">
      <c r="A5847" s="1" t="s">
        <v>5849</v>
      </c>
      <c r="B5847" s="1" t="s">
        <v>5</v>
      </c>
      <c r="C5847" s="2">
        <f>IFERROR(__xludf.DUMMYFUNCTION("IFERROR(VLOOKUP(A5847, IMPORTRANGE(""https://docs.google.com/spreadsheets/d/1AVX9GT0dgogEBStecCXMMQ29tWz3gBrtNB8yIromXbY/edit?gid=741673867"", ""out1g!A:B""), 2, FALSE), 0)"),94.0)</f>
        <v>94</v>
      </c>
      <c r="D5847" s="2" t="str">
        <f>IFERROR(__xludf.DUMMYFUNCTION("IFERROR(VLOOKUP(A5847, IMPORTRANGE(""https://docs.google.com/spreadsheets/d/1-3Vjw2Cyy-mry5gbC8ypIR3YVGFfEpyFESummAta6sg/edit"", ""Sheet1!B:D""), 2, FALSE), ""Not Found"")"),"sərʤ")</f>
        <v>sərʤ</v>
      </c>
      <c r="E5847" s="2" t="str">
        <f>IFERROR(__xludf.DUMMYFUNCTION("IFERROR(VLOOKUP(A5847, IMPORTRANGE(""https://docs.google.com/spreadsheets/d/1-3Vjw2Cyy-mry5gbC8ypIR3YVGFfEpyFESummAta6sg/edit"", ""Sheet1!B:D""), 3, FALSE), ""Not Found"")"),"s ə r ʤ ")</f>
        <v>s ə r ʤ </v>
      </c>
    </row>
    <row r="5848">
      <c r="A5848" s="1" t="s">
        <v>5850</v>
      </c>
      <c r="B5848" s="1" t="s">
        <v>5</v>
      </c>
      <c r="C5848" s="2">
        <f>IFERROR(__xludf.DUMMYFUNCTION("IFERROR(VLOOKUP(A5848, IMPORTRANGE(""https://docs.google.com/spreadsheets/d/1AVX9GT0dgogEBStecCXMMQ29tWz3gBrtNB8yIromXbY/edit?gid=741673867"", ""out1g!A:B""), 2, FALSE), 0)"),377.0)</f>
        <v>377</v>
      </c>
      <c r="D5848" s="2" t="str">
        <f>IFERROR(__xludf.DUMMYFUNCTION("IFERROR(VLOOKUP(A5848, IMPORTRANGE(""https://docs.google.com/spreadsheets/d/1-3Vjw2Cyy-mry5gbC8ypIR3YVGFfEpyFESummAta6sg/edit"", ""Sheet1!B:D""), 2, FALSE), ""Not Found"")"),"kərst")</f>
        <v>kərst</v>
      </c>
      <c r="E5848" s="2" t="str">
        <f>IFERROR(__xludf.DUMMYFUNCTION("IFERROR(VLOOKUP(A5848, IMPORTRANGE(""https://docs.google.com/spreadsheets/d/1-3Vjw2Cyy-mry5gbC8ypIR3YVGFfEpyFESummAta6sg/edit"", ""Sheet1!B:D""), 3, FALSE), ""Not Found"")"),"k ə r s t ")</f>
        <v>k ə r s t </v>
      </c>
    </row>
    <row r="5849">
      <c r="A5849" s="1" t="s">
        <v>5851</v>
      </c>
      <c r="B5849" s="1" t="s">
        <v>5</v>
      </c>
      <c r="C5849" s="2">
        <f>IFERROR(__xludf.DUMMYFUNCTION("IFERROR(VLOOKUP(A5849, IMPORTRANGE(""https://docs.google.com/spreadsheets/d/1AVX9GT0dgogEBStecCXMMQ29tWz3gBrtNB8yIromXbY/edit?gid=741673867"", ""out1g!A:B""), 2, FALSE), 0)"),121.0)</f>
        <v>121</v>
      </c>
      <c r="D5849" s="2" t="str">
        <f>IFERROR(__xludf.DUMMYFUNCTION("IFERROR(VLOOKUP(A5849, IMPORTRANGE(""https://docs.google.com/spreadsheets/d/1-3Vjw2Cyy-mry5gbC8ypIR3YVGFfEpyFESummAta6sg/edit"", ""Sheet1!B:D""), 2, FALSE), ""Not Found"")"),"ti")</f>
        <v>ti</v>
      </c>
      <c r="E5849" s="2" t="str">
        <f>IFERROR(__xludf.DUMMYFUNCTION("IFERROR(VLOOKUP(A5849, IMPORTRANGE(""https://docs.google.com/spreadsheets/d/1-3Vjw2Cyy-mry5gbC8ypIR3YVGFfEpyFESummAta6sg/edit"", ""Sheet1!B:D""), 3, FALSE), ""Not Found"")"),"t i ")</f>
        <v>t i </v>
      </c>
    </row>
    <row r="5850">
      <c r="A5850" s="1" t="s">
        <v>5852</v>
      </c>
      <c r="B5850" s="1" t="s">
        <v>5</v>
      </c>
      <c r="C5850" s="2">
        <f>IFERROR(__xludf.DUMMYFUNCTION("IFERROR(VLOOKUP(A5850, IMPORTRANGE(""https://docs.google.com/spreadsheets/d/1AVX9GT0dgogEBStecCXMMQ29tWz3gBrtNB8yIromXbY/edit?gid=741673867"", ""out1g!A:B""), 2, FALSE), 0)"),110.0)</f>
        <v>110</v>
      </c>
      <c r="D5850" s="2" t="str">
        <f>IFERROR(__xludf.DUMMYFUNCTION("IFERROR(VLOOKUP(A5850, IMPORTRANGE(""https://docs.google.com/spreadsheets/d/1-3Vjw2Cyy-mry5gbC8ypIR3YVGFfEpyFESummAta6sg/edit"", ""Sheet1!B:D""), 2, FALSE), ""Not Found"")"),"puf")</f>
        <v>puf</v>
      </c>
      <c r="E5850" s="2" t="str">
        <f>IFERROR(__xludf.DUMMYFUNCTION("IFERROR(VLOOKUP(A5850, IMPORTRANGE(""https://docs.google.com/spreadsheets/d/1-3Vjw2Cyy-mry5gbC8ypIR3YVGFfEpyFESummAta6sg/edit"", ""Sheet1!B:D""), 3, FALSE), ""Not Found"")"),"p u f ")</f>
        <v>p u f </v>
      </c>
    </row>
    <row r="5851">
      <c r="A5851" s="1" t="s">
        <v>5853</v>
      </c>
      <c r="B5851" s="1" t="s">
        <v>5</v>
      </c>
      <c r="C5851" s="2">
        <f>IFERROR(__xludf.DUMMYFUNCTION("IFERROR(VLOOKUP(A5851, IMPORTRANGE(""https://docs.google.com/spreadsheets/d/1AVX9GT0dgogEBStecCXMMQ29tWz3gBrtNB8yIromXbY/edit?gid=741673867"", ""out1g!A:B""), 2, FALSE), 0)"),1391.0)</f>
        <v>1391</v>
      </c>
      <c r="D5851" s="2" t="str">
        <f>IFERROR(__xludf.DUMMYFUNCTION("IFERROR(VLOOKUP(A5851, IMPORTRANGE(""https://docs.google.com/spreadsheets/d/1-3Vjw2Cyy-mry5gbC8ypIR3YVGFfEpyFESummAta6sg/edit"", ""Sheet1!B:D""), 2, FALSE), ""Not Found"")"),"kɑrl")</f>
        <v>kɑrl</v>
      </c>
      <c r="E5851" s="2" t="str">
        <f>IFERROR(__xludf.DUMMYFUNCTION("IFERROR(VLOOKUP(A5851, IMPORTRANGE(""https://docs.google.com/spreadsheets/d/1-3Vjw2Cyy-mry5gbC8ypIR3YVGFfEpyFESummAta6sg/edit"", ""Sheet1!B:D""), 3, FALSE), ""Not Found"")"),"k ɑ r l ")</f>
        <v>k ɑ r l </v>
      </c>
    </row>
    <row r="5852">
      <c r="A5852" s="1" t="s">
        <v>5854</v>
      </c>
      <c r="B5852" s="1" t="s">
        <v>5</v>
      </c>
      <c r="C5852" s="2">
        <f>IFERROR(__xludf.DUMMYFUNCTION("IFERROR(VLOOKUP(A5852, IMPORTRANGE(""https://docs.google.com/spreadsheets/d/1AVX9GT0dgogEBStecCXMMQ29tWz3gBrtNB8yIromXbY/edit?gid=741673867"", ""out1g!A:B""), 2, FALSE), 0)"),5148.0)</f>
        <v>5148</v>
      </c>
      <c r="D5852" s="2" t="str">
        <f>IFERROR(__xludf.DUMMYFUNCTION("IFERROR(VLOOKUP(A5852, IMPORTRANGE(""https://docs.google.com/spreadsheets/d/1-3Vjw2Cyy-mry5gbC8ypIR3YVGFfEpyFESummAta6sg/edit"", ""Sheet1!B:D""), 2, FALSE), ""Not Found"")"),"ʧenʤd")</f>
        <v>ʧenʤd</v>
      </c>
      <c r="E5852" s="2" t="str">
        <f>IFERROR(__xludf.DUMMYFUNCTION("IFERROR(VLOOKUP(A5852, IMPORTRANGE(""https://docs.google.com/spreadsheets/d/1-3Vjw2Cyy-mry5gbC8ypIR3YVGFfEpyFESummAta6sg/edit"", ""Sheet1!B:D""), 3, FALSE), ""Not Found"")"),"ʧ e n ʤ d ")</f>
        <v>ʧ e n ʤ d </v>
      </c>
    </row>
    <row r="5853">
      <c r="A5853" s="1" t="s">
        <v>5855</v>
      </c>
      <c r="B5853" s="1" t="s">
        <v>5</v>
      </c>
      <c r="C5853" s="2">
        <f>IFERROR(__xludf.DUMMYFUNCTION("IFERROR(VLOOKUP(A5853, IMPORTRANGE(""https://docs.google.com/spreadsheets/d/1AVX9GT0dgogEBStecCXMMQ29tWz3gBrtNB8yIromXbY/edit?gid=741673867"", ""out1g!A:B""), 2, FALSE), 0)"),77.0)</f>
        <v>77</v>
      </c>
      <c r="D5853" s="2" t="str">
        <f>IFERROR(__xludf.DUMMYFUNCTION("IFERROR(VLOOKUP(A5853, IMPORTRANGE(""https://docs.google.com/spreadsheets/d/1-3Vjw2Cyy-mry5gbC8ypIR3YVGFfEpyFESummAta6sg/edit"", ""Sheet1!B:D""), 2, FALSE), ""Not Found"")"),"sɑb")</f>
        <v>sɑb</v>
      </c>
      <c r="E5853" s="2" t="str">
        <f>IFERROR(__xludf.DUMMYFUNCTION("IFERROR(VLOOKUP(A5853, IMPORTRANGE(""https://docs.google.com/spreadsheets/d/1-3Vjw2Cyy-mry5gbC8ypIR3YVGFfEpyFESummAta6sg/edit"", ""Sheet1!B:D""), 3, FALSE), ""Not Found"")"),"s ɑ b ")</f>
        <v>s ɑ b </v>
      </c>
    </row>
    <row r="5854">
      <c r="A5854" s="1" t="s">
        <v>5856</v>
      </c>
      <c r="B5854" s="1" t="s">
        <v>5</v>
      </c>
      <c r="C5854" s="2">
        <f>IFERROR(__xludf.DUMMYFUNCTION("IFERROR(VLOOKUP(A5854, IMPORTRANGE(""https://docs.google.com/spreadsheets/d/1AVX9GT0dgogEBStecCXMMQ29tWz3gBrtNB8yIromXbY/edit?gid=741673867"", ""out1g!A:B""), 2, FALSE), 0)"),1039.0)</f>
        <v>1039</v>
      </c>
      <c r="D5854" s="2" t="str">
        <f>IFERROR(__xludf.DUMMYFUNCTION("IFERROR(VLOOKUP(A5854, IMPORTRANGE(""https://docs.google.com/spreadsheets/d/1-3Vjw2Cyy-mry5gbC8ypIR3YVGFfEpyFESummAta6sg/edit"", ""Sheet1!B:D""), 2, FALSE), ""Not Found"")"),"pɑtər")</f>
        <v>pɑtər</v>
      </c>
      <c r="E5854" s="2" t="str">
        <f>IFERROR(__xludf.DUMMYFUNCTION("IFERROR(VLOOKUP(A5854, IMPORTRANGE(""https://docs.google.com/spreadsheets/d/1-3Vjw2Cyy-mry5gbC8ypIR3YVGFfEpyFESummAta6sg/edit"", ""Sheet1!B:D""), 3, FALSE), ""Not Found"")"),"p ɑ t ə r ")</f>
        <v>p ɑ t ə r </v>
      </c>
    </row>
    <row r="5855">
      <c r="A5855" s="1" t="s">
        <v>5857</v>
      </c>
      <c r="B5855" s="1" t="s">
        <v>5</v>
      </c>
      <c r="C5855" s="2">
        <f>IFERROR(__xludf.DUMMYFUNCTION("IFERROR(VLOOKUP(A5855, IMPORTRANGE(""https://docs.google.com/spreadsheets/d/1AVX9GT0dgogEBStecCXMMQ29tWz3gBrtNB8yIromXbY/edit?gid=741673867"", ""out1g!A:B""), 2, FALSE), 0)"),106.0)</f>
        <v>106</v>
      </c>
      <c r="D5855" s="2" t="str">
        <f>IFERROR(__xludf.DUMMYFUNCTION("IFERROR(VLOOKUP(A5855, IMPORTRANGE(""https://docs.google.com/spreadsheets/d/1-3Vjw2Cyy-mry5gbC8ypIR3YVGFfEpyFESummAta6sg/edit"", ""Sheet1!B:D""), 2, FALSE), ""Not Found"")"),"priʧɪŋ")</f>
        <v>priʧɪŋ</v>
      </c>
      <c r="E5855" s="2" t="str">
        <f>IFERROR(__xludf.DUMMYFUNCTION("IFERROR(VLOOKUP(A5855, IMPORTRANGE(""https://docs.google.com/spreadsheets/d/1-3Vjw2Cyy-mry5gbC8ypIR3YVGFfEpyFESummAta6sg/edit"", ""Sheet1!B:D""), 3, FALSE), ""Not Found"")"),"p r i ʧ ɪ ŋ ")</f>
        <v>p r i ʧ ɪ ŋ </v>
      </c>
    </row>
    <row r="5856">
      <c r="A5856" s="1" t="s">
        <v>5858</v>
      </c>
      <c r="B5856" s="1" t="s">
        <v>5</v>
      </c>
      <c r="C5856" s="2">
        <f>IFERROR(__xludf.DUMMYFUNCTION("IFERROR(VLOOKUP(A5856, IMPORTRANGE(""https://docs.google.com/spreadsheets/d/1AVX9GT0dgogEBStecCXMMQ29tWz3gBrtNB8yIromXbY/edit?gid=741673867"", ""out1g!A:B""), 2, FALSE), 0)"),424.0)</f>
        <v>424</v>
      </c>
      <c r="D5856" s="2" t="str">
        <f>IFERROR(__xludf.DUMMYFUNCTION("IFERROR(VLOOKUP(A5856, IMPORTRANGE(""https://docs.google.com/spreadsheets/d/1-3Vjw2Cyy-mry5gbC8ypIR3YVGFfEpyFESummAta6sg/edit"", ""Sheet1!B:D""), 2, FALSE), ""Not Found"")"),"pleg")</f>
        <v>pleg</v>
      </c>
      <c r="E5856" s="2" t="str">
        <f>IFERROR(__xludf.DUMMYFUNCTION("IFERROR(VLOOKUP(A5856, IMPORTRANGE(""https://docs.google.com/spreadsheets/d/1-3Vjw2Cyy-mry5gbC8ypIR3YVGFfEpyFESummAta6sg/edit"", ""Sheet1!B:D""), 3, FALSE), ""Not Found"")"),"p l e g ")</f>
        <v>p l e g </v>
      </c>
    </row>
    <row r="5857">
      <c r="A5857" s="1" t="s">
        <v>5859</v>
      </c>
      <c r="B5857" s="1" t="s">
        <v>5</v>
      </c>
      <c r="C5857" s="2">
        <f>IFERROR(__xludf.DUMMYFUNCTION("IFERROR(VLOOKUP(A5857, IMPORTRANGE(""https://docs.google.com/spreadsheets/d/1AVX9GT0dgogEBStecCXMMQ29tWz3gBrtNB8yIromXbY/edit?gid=741673867"", ""out1g!A:B""), 2, FALSE), 0)"),50.0)</f>
        <v>50</v>
      </c>
      <c r="D5857" s="2" t="str">
        <f>IFERROR(__xludf.DUMMYFUNCTION("IFERROR(VLOOKUP(A5857, IMPORTRANGE(""https://docs.google.com/spreadsheets/d/1-3Vjw2Cyy-mry5gbC8ypIR3YVGFfEpyFESummAta6sg/edit"", ""Sheet1!B:D""), 2, FALSE), ""Not Found"")"),"run")</f>
        <v>run</v>
      </c>
      <c r="E5857" s="2" t="str">
        <f>IFERROR(__xludf.DUMMYFUNCTION("IFERROR(VLOOKUP(A5857, IMPORTRANGE(""https://docs.google.com/spreadsheets/d/1-3Vjw2Cyy-mry5gbC8ypIR3YVGFfEpyFESummAta6sg/edit"", ""Sheet1!B:D""), 3, FALSE), ""Not Found"")"),"r u n ")</f>
        <v>r u n </v>
      </c>
    </row>
    <row r="5858">
      <c r="A5858" s="1" t="s">
        <v>5860</v>
      </c>
      <c r="B5858" s="1" t="s">
        <v>5</v>
      </c>
      <c r="C5858" s="2">
        <f>IFERROR(__xludf.DUMMYFUNCTION("IFERROR(VLOOKUP(A5858, IMPORTRANGE(""https://docs.google.com/spreadsheets/d/1AVX9GT0dgogEBStecCXMMQ29tWz3gBrtNB8yIromXbY/edit?gid=741673867"", ""out1g!A:B""), 2, FALSE), 0)"),104.0)</f>
        <v>104</v>
      </c>
      <c r="D5858" s="2" t="str">
        <f>IFERROR(__xludf.DUMMYFUNCTION("IFERROR(VLOOKUP(A5858, IMPORTRANGE(""https://docs.google.com/spreadsheets/d/1-3Vjw2Cyy-mry5gbC8ypIR3YVGFfEpyFESummAta6sg/edit"", ""Sheet1!B:D""), 2, FALSE), ""Not Found"")"),"skræps")</f>
        <v>skræps</v>
      </c>
      <c r="E5858" s="2" t="str">
        <f>IFERROR(__xludf.DUMMYFUNCTION("IFERROR(VLOOKUP(A5858, IMPORTRANGE(""https://docs.google.com/spreadsheets/d/1-3Vjw2Cyy-mry5gbC8ypIR3YVGFfEpyFESummAta6sg/edit"", ""Sheet1!B:D""), 3, FALSE), ""Not Found"")"),"s k r æ p s ")</f>
        <v>s k r æ p s </v>
      </c>
    </row>
    <row r="5859">
      <c r="A5859" s="1" t="s">
        <v>5861</v>
      </c>
      <c r="B5859" s="1" t="s">
        <v>5</v>
      </c>
      <c r="C5859" s="2">
        <f>IFERROR(__xludf.DUMMYFUNCTION("IFERROR(VLOOKUP(A5859, IMPORTRANGE(""https://docs.google.com/spreadsheets/d/1AVX9GT0dgogEBStecCXMMQ29tWz3gBrtNB8yIromXbY/edit?gid=741673867"", ""out1g!A:B""), 2, FALSE), 0)"),188.0)</f>
        <v>188</v>
      </c>
      <c r="D5859" s="2" t="str">
        <f>IFERROR(__xludf.DUMMYFUNCTION("IFERROR(VLOOKUP(A5859, IMPORTRANGE(""https://docs.google.com/spreadsheets/d/1-3Vjw2Cyy-mry5gbC8ypIR3YVGFfEpyFESummAta6sg/edit"", ""Sheet1!B:D""), 2, FALSE), ""Not Found"")"),"dɑks")</f>
        <v>dɑks</v>
      </c>
      <c r="E5859" s="2" t="str">
        <f>IFERROR(__xludf.DUMMYFUNCTION("IFERROR(VLOOKUP(A5859, IMPORTRANGE(""https://docs.google.com/spreadsheets/d/1-3Vjw2Cyy-mry5gbC8ypIR3YVGFfEpyFESummAta6sg/edit"", ""Sheet1!B:D""), 3, FALSE), ""Not Found"")"),"d ɑ k s ")</f>
        <v>d ɑ k s </v>
      </c>
    </row>
    <row r="5860">
      <c r="A5860" s="1" t="s">
        <v>5862</v>
      </c>
      <c r="B5860" s="1" t="s">
        <v>5</v>
      </c>
      <c r="C5860" s="2">
        <f>IFERROR(__xludf.DUMMYFUNCTION("IFERROR(VLOOKUP(A5860, IMPORTRANGE(""https://docs.google.com/spreadsheets/d/1AVX9GT0dgogEBStecCXMMQ29tWz3gBrtNB8yIromXbY/edit?gid=741673867"", ""out1g!A:B""), 2, FALSE), 0)"),107.0)</f>
        <v>107</v>
      </c>
      <c r="D5860" s="2" t="str">
        <f>IFERROR(__xludf.DUMMYFUNCTION("IFERROR(VLOOKUP(A5860, IMPORTRANGE(""https://docs.google.com/spreadsheets/d/1-3Vjw2Cyy-mry5gbC8ypIR3YVGFfEpyFESummAta6sg/edit"", ""Sheet1!B:D""), 2, FALSE), ""Not Found"")"),"straɪd")</f>
        <v>straɪd</v>
      </c>
      <c r="E5860" s="2" t="str">
        <f>IFERROR(__xludf.DUMMYFUNCTION("IFERROR(VLOOKUP(A5860, IMPORTRANGE(""https://docs.google.com/spreadsheets/d/1-3Vjw2Cyy-mry5gbC8ypIR3YVGFfEpyFESummAta6sg/edit"", ""Sheet1!B:D""), 3, FALSE), ""Not Found"")"),"s t r a ɪ d ")</f>
        <v>s t r a ɪ d </v>
      </c>
    </row>
    <row r="5861">
      <c r="A5861" s="1" t="s">
        <v>5863</v>
      </c>
      <c r="B5861" s="1" t="s">
        <v>5</v>
      </c>
      <c r="C5861" s="2">
        <f>IFERROR(__xludf.DUMMYFUNCTION("IFERROR(VLOOKUP(A5861, IMPORTRANGE(""https://docs.google.com/spreadsheets/d/1AVX9GT0dgogEBStecCXMMQ29tWz3gBrtNB8yIromXbY/edit?gid=741673867"", ""out1g!A:B""), 2, FALSE), 0)"),16356.0)</f>
        <v>16356</v>
      </c>
      <c r="D5861" s="2" t="str">
        <f>IFERROR(__xludf.DUMMYFUNCTION("IFERROR(VLOOKUP(A5861, IMPORTRANGE(""https://docs.google.com/spreadsheets/d/1-3Vjw2Cyy-mry5gbC8ypIR3YVGFfEpyFESummAta6sg/edit"", ""Sheet1!B:D""), 2, FALSE), ""Not Found"")"),"sɪz")</f>
        <v>sɪz</v>
      </c>
      <c r="E5861" s="2" t="str">
        <f>IFERROR(__xludf.DUMMYFUNCTION("IFERROR(VLOOKUP(A5861, IMPORTRANGE(""https://docs.google.com/spreadsheets/d/1-3Vjw2Cyy-mry5gbC8ypIR3YVGFfEpyFESummAta6sg/edit"", ""Sheet1!B:D""), 3, FALSE), ""Not Found"")"),"s ɪ z ")</f>
        <v>s ɪ z </v>
      </c>
    </row>
    <row r="5862">
      <c r="A5862" s="1" t="s">
        <v>5864</v>
      </c>
      <c r="B5862" s="1" t="s">
        <v>5</v>
      </c>
      <c r="C5862" s="2">
        <f>IFERROR(__xludf.DUMMYFUNCTION("IFERROR(VLOOKUP(A5862, IMPORTRANGE(""https://docs.google.com/spreadsheets/d/1AVX9GT0dgogEBStecCXMMQ29tWz3gBrtNB8yIromXbY/edit?gid=741673867"", ""out1g!A:B""), 2, FALSE), 0)"),76.0)</f>
        <v>76</v>
      </c>
      <c r="D5862" s="2" t="str">
        <f>IFERROR(__xludf.DUMMYFUNCTION("IFERROR(VLOOKUP(A5862, IMPORTRANGE(""https://docs.google.com/spreadsheets/d/1-3Vjw2Cyy-mry5gbC8ypIR3YVGFfEpyFESummAta6sg/edit"", ""Sheet1!B:D""), 2, FALSE), ""Not Found"")"),"spɪg")</f>
        <v>spɪg</v>
      </c>
      <c r="E5862" s="2" t="str">
        <f>IFERROR(__xludf.DUMMYFUNCTION("IFERROR(VLOOKUP(A5862, IMPORTRANGE(""https://docs.google.com/spreadsheets/d/1-3Vjw2Cyy-mry5gbC8ypIR3YVGFfEpyFESummAta6sg/edit"", ""Sheet1!B:D""), 3, FALSE), ""Not Found"")"),"s p ɪ g ")</f>
        <v>s p ɪ g </v>
      </c>
    </row>
    <row r="5863">
      <c r="A5863" s="1" t="s">
        <v>5865</v>
      </c>
      <c r="B5863" s="1" t="s">
        <v>5</v>
      </c>
      <c r="C5863" s="2">
        <f>IFERROR(__xludf.DUMMYFUNCTION("IFERROR(VLOOKUP(A5863, IMPORTRANGE(""https://docs.google.com/spreadsheets/d/1AVX9GT0dgogEBStecCXMMQ29tWz3gBrtNB8yIromXbY/edit?gid=741673867"", ""out1g!A:B""), 2, FALSE), 0)"),47.0)</f>
        <v>47</v>
      </c>
      <c r="D5863" s="2" t="str">
        <f>IFERROR(__xludf.DUMMYFUNCTION("IFERROR(VLOOKUP(A5863, IMPORTRANGE(""https://docs.google.com/spreadsheets/d/1-3Vjw2Cyy-mry5gbC8ypIR3YVGFfEpyFESummAta6sg/edit"", ""Sheet1!B:D""), 2, FALSE), ""Not Found"")"),"gulz")</f>
        <v>gulz</v>
      </c>
      <c r="E5863" s="2" t="str">
        <f>IFERROR(__xludf.DUMMYFUNCTION("IFERROR(VLOOKUP(A5863, IMPORTRANGE(""https://docs.google.com/spreadsheets/d/1-3Vjw2Cyy-mry5gbC8ypIR3YVGFfEpyFESummAta6sg/edit"", ""Sheet1!B:D""), 3, FALSE), ""Not Found"")"),"g u l z ")</f>
        <v>g u l z </v>
      </c>
    </row>
    <row r="5864">
      <c r="A5864" s="1" t="s">
        <v>5866</v>
      </c>
      <c r="B5864" s="1" t="s">
        <v>5</v>
      </c>
      <c r="C5864" s="2">
        <f>IFERROR(__xludf.DUMMYFUNCTION("IFERROR(VLOOKUP(A5864, IMPORTRANGE(""https://docs.google.com/spreadsheets/d/1AVX9GT0dgogEBStecCXMMQ29tWz3gBrtNB8yIromXbY/edit?gid=741673867"", ""out1g!A:B""), 2, FALSE), 0)"),47.0)</f>
        <v>47</v>
      </c>
      <c r="D5864" s="2" t="str">
        <f>IFERROR(__xludf.DUMMYFUNCTION("IFERROR(VLOOKUP(A5864, IMPORTRANGE(""https://docs.google.com/spreadsheets/d/1-3Vjw2Cyy-mry5gbC8ypIR3YVGFfEpyFESummAta6sg/edit"", ""Sheet1!B:D""), 2, FALSE), ""Not Found"")"),"kræbi")</f>
        <v>kræbi</v>
      </c>
      <c r="E5864" s="2" t="str">
        <f>IFERROR(__xludf.DUMMYFUNCTION("IFERROR(VLOOKUP(A5864, IMPORTRANGE(""https://docs.google.com/spreadsheets/d/1-3Vjw2Cyy-mry5gbC8ypIR3YVGFfEpyFESummAta6sg/edit"", ""Sheet1!B:D""), 3, FALSE), ""Not Found"")"),"k r æ b i ")</f>
        <v>k r æ b i </v>
      </c>
    </row>
    <row r="5865">
      <c r="A5865" s="1" t="s">
        <v>5867</v>
      </c>
      <c r="B5865" s="1" t="s">
        <v>5</v>
      </c>
      <c r="C5865" s="2">
        <f>IFERROR(__xludf.DUMMYFUNCTION("IFERROR(VLOOKUP(A5865, IMPORTRANGE(""https://docs.google.com/spreadsheets/d/1AVX9GT0dgogEBStecCXMMQ29tWz3gBrtNB8yIromXbY/edit?gid=741673867"", ""out1g!A:B""), 2, FALSE), 0)"),73.0)</f>
        <v>73</v>
      </c>
      <c r="D5865" s="2" t="str">
        <f>IFERROR(__xludf.DUMMYFUNCTION("IFERROR(VLOOKUP(A5865, IMPORTRANGE(""https://docs.google.com/spreadsheets/d/1-3Vjw2Cyy-mry5gbC8ypIR3YVGFfEpyFESummAta6sg/edit"", ""Sheet1!B:D""), 2, FALSE), ""Not Found"")"),"ʧɪŋk")</f>
        <v>ʧɪŋk</v>
      </c>
      <c r="E5865" s="2" t="str">
        <f>IFERROR(__xludf.DUMMYFUNCTION("IFERROR(VLOOKUP(A5865, IMPORTRANGE(""https://docs.google.com/spreadsheets/d/1-3Vjw2Cyy-mry5gbC8ypIR3YVGFfEpyFESummAta6sg/edit"", ""Sheet1!B:D""), 3, FALSE), ""Not Found"")"),"ʧ ɪ ŋ k ")</f>
        <v>ʧ ɪ ŋ k </v>
      </c>
    </row>
    <row r="5866">
      <c r="A5866" s="1" t="s">
        <v>5868</v>
      </c>
      <c r="B5866" s="1" t="s">
        <v>5</v>
      </c>
      <c r="C5866" s="2">
        <f>IFERROR(__xludf.DUMMYFUNCTION("IFERROR(VLOOKUP(A5866, IMPORTRANGE(""https://docs.google.com/spreadsheets/d/1AVX9GT0dgogEBStecCXMMQ29tWz3gBrtNB8yIromXbY/edit?gid=741673867"", ""out1g!A:B""), 2, FALSE), 0)"),103.0)</f>
        <v>103</v>
      </c>
      <c r="D5866" s="2" t="str">
        <f>IFERROR(__xludf.DUMMYFUNCTION("IFERROR(VLOOKUP(A5866, IMPORTRANGE(""https://docs.google.com/spreadsheets/d/1-3Vjw2Cyy-mry5gbC8ypIR3YVGFfEpyFESummAta6sg/edit"", ""Sheet1!B:D""), 2, FALSE), ""Not Found"")"),"stækt")</f>
        <v>stækt</v>
      </c>
      <c r="E5866" s="2" t="str">
        <f>IFERROR(__xludf.DUMMYFUNCTION("IFERROR(VLOOKUP(A5866, IMPORTRANGE(""https://docs.google.com/spreadsheets/d/1-3Vjw2Cyy-mry5gbC8ypIR3YVGFfEpyFESummAta6sg/edit"", ""Sheet1!B:D""), 3, FALSE), ""Not Found"")"),"s t æ k t ")</f>
        <v>s t æ k t </v>
      </c>
    </row>
    <row r="5867">
      <c r="A5867" s="1" t="s">
        <v>5869</v>
      </c>
      <c r="B5867" s="1" t="s">
        <v>5</v>
      </c>
      <c r="C5867" s="2">
        <f>IFERROR(__xludf.DUMMYFUNCTION("IFERROR(VLOOKUP(A5867, IMPORTRANGE(""https://docs.google.com/spreadsheets/d/1AVX9GT0dgogEBStecCXMMQ29tWz3gBrtNB8yIromXbY/edit?gid=741673867"", ""out1g!A:B""), 2, FALSE), 0)"),46.0)</f>
        <v>46</v>
      </c>
      <c r="D5867" s="2" t="str">
        <f>IFERROR(__xludf.DUMMYFUNCTION("IFERROR(VLOOKUP(A5867, IMPORTRANGE(""https://docs.google.com/spreadsheets/d/1-3Vjw2Cyy-mry5gbC8ypIR3YVGFfEpyFESummAta6sg/edit"", ""Sheet1!B:D""), 2, FALSE), ""Not Found"")"),"silɪŋ")</f>
        <v>silɪŋ</v>
      </c>
      <c r="E5867" s="2" t="str">
        <f>IFERROR(__xludf.DUMMYFUNCTION("IFERROR(VLOOKUP(A5867, IMPORTRANGE(""https://docs.google.com/spreadsheets/d/1-3Vjw2Cyy-mry5gbC8ypIR3YVGFfEpyFESummAta6sg/edit"", ""Sheet1!B:D""), 3, FALSE), ""Not Found"")"),"s i l ɪ ŋ ")</f>
        <v>s i l ɪ ŋ </v>
      </c>
    </row>
    <row r="5868">
      <c r="A5868" s="1" t="s">
        <v>5870</v>
      </c>
      <c r="B5868" s="1" t="s">
        <v>5</v>
      </c>
      <c r="C5868" s="2">
        <f>IFERROR(__xludf.DUMMYFUNCTION("IFERROR(VLOOKUP(A5868, IMPORTRANGE(""https://docs.google.com/spreadsheets/d/1AVX9GT0dgogEBStecCXMMQ29tWz3gBrtNB8yIromXbY/edit?gid=741673867"", ""out1g!A:B""), 2, FALSE), 0)"),435.0)</f>
        <v>435</v>
      </c>
      <c r="D5868" s="2" t="str">
        <f>IFERROR(__xludf.DUMMYFUNCTION("IFERROR(VLOOKUP(A5868, IMPORTRANGE(""https://docs.google.com/spreadsheets/d/1-3Vjw2Cyy-mry5gbC8ypIR3YVGFfEpyFESummAta6sg/edit"", ""Sheet1!B:D""), 2, FALSE), ""Not Found"")"),"skɛrz")</f>
        <v>skɛrz</v>
      </c>
      <c r="E5868" s="2" t="str">
        <f>IFERROR(__xludf.DUMMYFUNCTION("IFERROR(VLOOKUP(A5868, IMPORTRANGE(""https://docs.google.com/spreadsheets/d/1-3Vjw2Cyy-mry5gbC8ypIR3YVGFfEpyFESummAta6sg/edit"", ""Sheet1!B:D""), 3, FALSE), ""Not Found"")"),"s k ɛ r z ")</f>
        <v>s k ɛ r z </v>
      </c>
    </row>
    <row r="5869">
      <c r="A5869" s="1" t="s">
        <v>5871</v>
      </c>
      <c r="B5869" s="1" t="s">
        <v>5</v>
      </c>
      <c r="C5869" s="2">
        <f>IFERROR(__xludf.DUMMYFUNCTION("IFERROR(VLOOKUP(A5869, IMPORTRANGE(""https://docs.google.com/spreadsheets/d/1AVX9GT0dgogEBStecCXMMQ29tWz3gBrtNB8yIromXbY/edit?gid=741673867"", ""out1g!A:B""), 2, FALSE), 0)"),4193.0)</f>
        <v>4193</v>
      </c>
      <c r="D5869" s="2" t="str">
        <f>IFERROR(__xludf.DUMMYFUNCTION("IFERROR(VLOOKUP(A5869, IMPORTRANGE(""https://docs.google.com/spreadsheets/d/1-3Vjw2Cyy-mry5gbC8ypIR3YVGFfEpyFESummAta6sg/edit"", ""Sheet1!B:D""), 2, FALSE), ""Not Found"")"),"hɛri")</f>
        <v>hɛri</v>
      </c>
      <c r="E5869" s="2" t="str">
        <f>IFERROR(__xludf.DUMMYFUNCTION("IFERROR(VLOOKUP(A5869, IMPORTRANGE(""https://docs.google.com/spreadsheets/d/1-3Vjw2Cyy-mry5gbC8ypIR3YVGFfEpyFESummAta6sg/edit"", ""Sheet1!B:D""), 3, FALSE), ""Not Found"")"),"h ɛ r i ")</f>
        <v>h ɛ r i </v>
      </c>
    </row>
    <row r="5870">
      <c r="A5870" s="1" t="s">
        <v>5872</v>
      </c>
      <c r="B5870" s="1" t="s">
        <v>5</v>
      </c>
      <c r="C5870" s="2">
        <f>IFERROR(__xludf.DUMMYFUNCTION("IFERROR(VLOOKUP(A5870, IMPORTRANGE(""https://docs.google.com/spreadsheets/d/1AVX9GT0dgogEBStecCXMMQ29tWz3gBrtNB8yIromXbY/edit?gid=741673867"", ""out1g!A:B""), 2, FALSE), 0)"),4240.0)</f>
        <v>4240</v>
      </c>
      <c r="D5870" s="2" t="str">
        <f>IFERROR(__xludf.DUMMYFUNCTION("IFERROR(VLOOKUP(A5870, IMPORTRANGE(""https://docs.google.com/spreadsheets/d/1-3Vjw2Cyy-mry5gbC8ypIR3YVGFfEpyFESummAta6sg/edit"", ""Sheet1!B:D""), 2, FALSE), ""Not Found"")"),"smɛl")</f>
        <v>smɛl</v>
      </c>
      <c r="E5870" s="2" t="str">
        <f>IFERROR(__xludf.DUMMYFUNCTION("IFERROR(VLOOKUP(A5870, IMPORTRANGE(""https://docs.google.com/spreadsheets/d/1-3Vjw2Cyy-mry5gbC8ypIR3YVGFfEpyFESummAta6sg/edit"", ""Sheet1!B:D""), 3, FALSE), ""Not Found"")"),"s m ɛ l ")</f>
        <v>s m ɛ l </v>
      </c>
    </row>
    <row r="5871">
      <c r="A5871" s="1" t="s">
        <v>5873</v>
      </c>
      <c r="B5871" s="1" t="s">
        <v>5</v>
      </c>
      <c r="C5871" s="2">
        <f>IFERROR(__xludf.DUMMYFUNCTION("IFERROR(VLOOKUP(A5871, IMPORTRANGE(""https://docs.google.com/spreadsheets/d/1AVX9GT0dgogEBStecCXMMQ29tWz3gBrtNB8yIromXbY/edit?gid=741673867"", ""out1g!A:B""), 2, FALSE), 0)"),129.0)</f>
        <v>129</v>
      </c>
      <c r="D5871" s="2" t="str">
        <f>IFERROR(__xludf.DUMMYFUNCTION("IFERROR(VLOOKUP(A5871, IMPORTRANGE(""https://docs.google.com/spreadsheets/d/1-3Vjw2Cyy-mry5gbC8ypIR3YVGFfEpyFESummAta6sg/edit"", ""Sheet1!B:D""), 2, FALSE), ""Not Found"")"),"bjutiz")</f>
        <v>bjutiz</v>
      </c>
      <c r="E5871" s="2" t="str">
        <f>IFERROR(__xludf.DUMMYFUNCTION("IFERROR(VLOOKUP(A5871, IMPORTRANGE(""https://docs.google.com/spreadsheets/d/1-3Vjw2Cyy-mry5gbC8ypIR3YVGFfEpyFESummAta6sg/edit"", ""Sheet1!B:D""), 3, FALSE), ""Not Found"")"),"b j u t i z ")</f>
        <v>b j u t i z </v>
      </c>
    </row>
    <row r="5872">
      <c r="A5872" s="1" t="s">
        <v>5874</v>
      </c>
      <c r="B5872" s="1" t="s">
        <v>5</v>
      </c>
      <c r="C5872" s="2">
        <f>IFERROR(__xludf.DUMMYFUNCTION("IFERROR(VLOOKUP(A5872, IMPORTRANGE(""https://docs.google.com/spreadsheets/d/1AVX9GT0dgogEBStecCXMMQ29tWz3gBrtNB8yIromXbY/edit?gid=741673867"", ""out1g!A:B""), 2, FALSE), 0)"),71.0)</f>
        <v>71</v>
      </c>
      <c r="D5872" s="2" t="str">
        <f>IFERROR(__xludf.DUMMYFUNCTION("IFERROR(VLOOKUP(A5872, IMPORTRANGE(""https://docs.google.com/spreadsheets/d/1-3Vjw2Cyy-mry5gbC8ypIR3YVGFfEpyFESummAta6sg/edit"", ""Sheet1!B:D""), 2, FALSE), ""Not Found"")"),"ɔθərz")</f>
        <v>ɔθərz</v>
      </c>
      <c r="E5872" s="2" t="str">
        <f>IFERROR(__xludf.DUMMYFUNCTION("IFERROR(VLOOKUP(A5872, IMPORTRANGE(""https://docs.google.com/spreadsheets/d/1-3Vjw2Cyy-mry5gbC8ypIR3YVGFfEpyFESummAta6sg/edit"", ""Sheet1!B:D""), 3, FALSE), ""Not Found"")"),"ɔ θ ə r z ")</f>
        <v>ɔ θ ə r z </v>
      </c>
    </row>
    <row r="5873">
      <c r="A5873" s="1" t="s">
        <v>5875</v>
      </c>
      <c r="B5873" s="1" t="s">
        <v>5</v>
      </c>
      <c r="C5873" s="2">
        <f>IFERROR(__xludf.DUMMYFUNCTION("IFERROR(VLOOKUP(A5873, IMPORTRANGE(""https://docs.google.com/spreadsheets/d/1AVX9GT0dgogEBStecCXMMQ29tWz3gBrtNB8yIromXbY/edit?gid=741673867"", ""out1g!A:B""), 2, FALSE), 0)"),186.0)</f>
        <v>186</v>
      </c>
      <c r="D5873" s="2" t="str">
        <f>IFERROR(__xludf.DUMMYFUNCTION("IFERROR(VLOOKUP(A5873, IMPORTRANGE(""https://docs.google.com/spreadsheets/d/1-3Vjw2Cyy-mry5gbC8ypIR3YVGFfEpyFESummAta6sg/edit"", ""Sheet1!B:D""), 2, FALSE), ""Not Found"")"),"rufəs")</f>
        <v>rufəs</v>
      </c>
      <c r="E5873" s="2" t="str">
        <f>IFERROR(__xludf.DUMMYFUNCTION("IFERROR(VLOOKUP(A5873, IMPORTRANGE(""https://docs.google.com/spreadsheets/d/1-3Vjw2Cyy-mry5gbC8ypIR3YVGFfEpyFESummAta6sg/edit"", ""Sheet1!B:D""), 3, FALSE), ""Not Found"")"),"r u f ə s ")</f>
        <v>r u f ə s </v>
      </c>
    </row>
    <row r="5874">
      <c r="A5874" s="1" t="s">
        <v>5876</v>
      </c>
      <c r="B5874" s="1" t="s">
        <v>5</v>
      </c>
      <c r="C5874" s="2">
        <f>IFERROR(__xludf.DUMMYFUNCTION("IFERROR(VLOOKUP(A5874, IMPORTRANGE(""https://docs.google.com/spreadsheets/d/1AVX9GT0dgogEBStecCXMMQ29tWz3gBrtNB8yIromXbY/edit?gid=741673867"", ""out1g!A:B""), 2, FALSE), 0)"),465.0)</f>
        <v>465</v>
      </c>
      <c r="D5874" s="2" t="str">
        <f>IFERROR(__xludf.DUMMYFUNCTION("IFERROR(VLOOKUP(A5874, IMPORTRANGE(""https://docs.google.com/spreadsheets/d/1-3Vjw2Cyy-mry5gbC8ypIR3YVGFfEpyFESummAta6sg/edit"", ""Sheet1!B:D""), 2, FALSE), ""Not Found"")"),"wɔrz")</f>
        <v>wɔrz</v>
      </c>
      <c r="E5874" s="2" t="str">
        <f>IFERROR(__xludf.DUMMYFUNCTION("IFERROR(VLOOKUP(A5874, IMPORTRANGE(""https://docs.google.com/spreadsheets/d/1-3Vjw2Cyy-mry5gbC8ypIR3YVGFfEpyFESummAta6sg/edit"", ""Sheet1!B:D""), 3, FALSE), ""Not Found"")"),"w ɔ r z ")</f>
        <v>w ɔ r z </v>
      </c>
    </row>
    <row r="5875">
      <c r="A5875" s="1" t="s">
        <v>5877</v>
      </c>
      <c r="B5875" s="1" t="s">
        <v>5</v>
      </c>
      <c r="C5875" s="2">
        <f>IFERROR(__xludf.DUMMYFUNCTION("IFERROR(VLOOKUP(A5875, IMPORTRANGE(""https://docs.google.com/spreadsheets/d/1AVX9GT0dgogEBStecCXMMQ29tWz3gBrtNB8yIromXbY/edit?gid=741673867"", ""out1g!A:B""), 2, FALSE), 0)"),120.0)</f>
        <v>120</v>
      </c>
      <c r="D5875" s="2" t="str">
        <f>IFERROR(__xludf.DUMMYFUNCTION("IFERROR(VLOOKUP(A5875, IMPORTRANGE(""https://docs.google.com/spreadsheets/d/1-3Vjw2Cyy-mry5gbC8ypIR3YVGFfEpyFESummAta6sg/edit"", ""Sheet1!B:D""), 2, FALSE), ""Not Found"")"),"ɛpɪk")</f>
        <v>ɛpɪk</v>
      </c>
      <c r="E5875" s="2" t="str">
        <f>IFERROR(__xludf.DUMMYFUNCTION("IFERROR(VLOOKUP(A5875, IMPORTRANGE(""https://docs.google.com/spreadsheets/d/1-3Vjw2Cyy-mry5gbC8ypIR3YVGFfEpyFESummAta6sg/edit"", ""Sheet1!B:D""), 3, FALSE), ""Not Found"")"),"ɛ p ɪ k ")</f>
        <v>ɛ p ɪ k </v>
      </c>
    </row>
    <row r="5876">
      <c r="A5876" s="1" t="s">
        <v>5878</v>
      </c>
      <c r="B5876" s="1" t="s">
        <v>5</v>
      </c>
      <c r="C5876" s="2">
        <f>IFERROR(__xludf.DUMMYFUNCTION("IFERROR(VLOOKUP(A5876, IMPORTRANGE(""https://docs.google.com/spreadsheets/d/1AVX9GT0dgogEBStecCXMMQ29tWz3gBrtNB8yIromXbY/edit?gid=741673867"", ""out1g!A:B""), 2, FALSE), 0)"),95.0)</f>
        <v>95</v>
      </c>
      <c r="D5876" s="2" t="str">
        <f>IFERROR(__xludf.DUMMYFUNCTION("IFERROR(VLOOKUP(A5876, IMPORTRANGE(""https://docs.google.com/spreadsheets/d/1-3Vjw2Cyy-mry5gbC8ypIR3YVGFfEpyFESummAta6sg/edit"", ""Sheet1!B:D""), 2, FALSE), ""Not Found"")"),"fəz")</f>
        <v>fəz</v>
      </c>
      <c r="E5876" s="2" t="str">
        <f>IFERROR(__xludf.DUMMYFUNCTION("IFERROR(VLOOKUP(A5876, IMPORTRANGE(""https://docs.google.com/spreadsheets/d/1-3Vjw2Cyy-mry5gbC8ypIR3YVGFfEpyFESummAta6sg/edit"", ""Sheet1!B:D""), 3, FALSE), ""Not Found"")"),"f ə z ")</f>
        <v>f ə z </v>
      </c>
    </row>
    <row r="5877">
      <c r="A5877" s="1" t="s">
        <v>5879</v>
      </c>
      <c r="B5877" s="1" t="s">
        <v>5</v>
      </c>
      <c r="C5877" s="2">
        <f>IFERROR(__xludf.DUMMYFUNCTION("IFERROR(VLOOKUP(A5877, IMPORTRANGE(""https://docs.google.com/spreadsheets/d/1AVX9GT0dgogEBStecCXMMQ29tWz3gBrtNB8yIromXbY/edit?gid=741673867"", ""out1g!A:B""), 2, FALSE), 0)"),782.0)</f>
        <v>782</v>
      </c>
      <c r="D5877" s="2" t="str">
        <f>IFERROR(__xludf.DUMMYFUNCTION("IFERROR(VLOOKUP(A5877, IMPORTRANGE(""https://docs.google.com/spreadsheets/d/1-3Vjw2Cyy-mry5gbC8ypIR3YVGFfEpyFESummAta6sg/edit"", ""Sheet1!B:D""), 2, FALSE), ""Not Found"")"),"rɑbd")</f>
        <v>rɑbd</v>
      </c>
      <c r="E5877" s="2" t="str">
        <f>IFERROR(__xludf.DUMMYFUNCTION("IFERROR(VLOOKUP(A5877, IMPORTRANGE(""https://docs.google.com/spreadsheets/d/1-3Vjw2Cyy-mry5gbC8ypIR3YVGFfEpyFESummAta6sg/edit"", ""Sheet1!B:D""), 3, FALSE), ""Not Found"")"),"r ɑ b d ")</f>
        <v>r ɑ b d </v>
      </c>
    </row>
    <row r="5878">
      <c r="A5878" s="1" t="s">
        <v>5880</v>
      </c>
      <c r="B5878" s="1" t="s">
        <v>5</v>
      </c>
      <c r="C5878" s="2">
        <f>IFERROR(__xludf.DUMMYFUNCTION("IFERROR(VLOOKUP(A5878, IMPORTRANGE(""https://docs.google.com/spreadsheets/d/1AVX9GT0dgogEBStecCXMMQ29tWz3gBrtNB8yIromXbY/edit?gid=741673867"", ""out1g!A:B""), 2, FALSE), 0)"),1437.0)</f>
        <v>1437</v>
      </c>
      <c r="D5878" s="2" t="str">
        <f>IFERROR(__xludf.DUMMYFUNCTION("IFERROR(VLOOKUP(A5878, IMPORTRANGE(""https://docs.google.com/spreadsheets/d/1-3Vjw2Cyy-mry5gbC8ypIR3YVGFfEpyFESummAta6sg/edit"", ""Sheet1!B:D""), 2, FALSE), ""Not Found"")"),"iv")</f>
        <v>iv</v>
      </c>
      <c r="E5878" s="2" t="str">
        <f>IFERROR(__xludf.DUMMYFUNCTION("IFERROR(VLOOKUP(A5878, IMPORTRANGE(""https://docs.google.com/spreadsheets/d/1-3Vjw2Cyy-mry5gbC8ypIR3YVGFfEpyFESummAta6sg/edit"", ""Sheet1!B:D""), 3, FALSE), ""Not Found"")"),"i v ")</f>
        <v>i v </v>
      </c>
    </row>
    <row r="5879">
      <c r="A5879" s="1" t="s">
        <v>5881</v>
      </c>
      <c r="B5879" s="1" t="s">
        <v>5</v>
      </c>
      <c r="C5879" s="2">
        <f>IFERROR(__xludf.DUMMYFUNCTION("IFERROR(VLOOKUP(A5879, IMPORTRANGE(""https://docs.google.com/spreadsheets/d/1AVX9GT0dgogEBStecCXMMQ29tWz3gBrtNB8yIromXbY/edit?gid=741673867"", ""out1g!A:B""), 2, FALSE), 0)"),329.0)</f>
        <v>329</v>
      </c>
      <c r="D5879" s="2" t="str">
        <f>IFERROR(__xludf.DUMMYFUNCTION("IFERROR(VLOOKUP(A5879, IMPORTRANGE(""https://docs.google.com/spreadsheets/d/1-3Vjw2Cyy-mry5gbC8ypIR3YVGFfEpyFESummAta6sg/edit"", ""Sheet1!B:D""), 2, FALSE), ""Not Found"")"),"groʊθ")</f>
        <v>groʊθ</v>
      </c>
      <c r="E5879" s="2" t="str">
        <f>IFERROR(__xludf.DUMMYFUNCTION("IFERROR(VLOOKUP(A5879, IMPORTRANGE(""https://docs.google.com/spreadsheets/d/1-3Vjw2Cyy-mry5gbC8ypIR3YVGFfEpyFESummAta6sg/edit"", ""Sheet1!B:D""), 3, FALSE), ""Not Found"")"),"g r o ʊ θ ")</f>
        <v>g r o ʊ θ </v>
      </c>
    </row>
    <row r="5880">
      <c r="A5880" s="1" t="s">
        <v>5882</v>
      </c>
      <c r="B5880" s="1" t="s">
        <v>5</v>
      </c>
      <c r="C5880" s="2">
        <f>IFERROR(__xludf.DUMMYFUNCTION("IFERROR(VLOOKUP(A5880, IMPORTRANGE(""https://docs.google.com/spreadsheets/d/1AVX9GT0dgogEBStecCXMMQ29tWz3gBrtNB8yIromXbY/edit?gid=741673867"", ""out1g!A:B""), 2, FALSE), 0)"),34824.0)</f>
        <v>34824</v>
      </c>
      <c r="D5880" s="2" t="str">
        <f>IFERROR(__xludf.DUMMYFUNCTION("IFERROR(VLOOKUP(A5880, IMPORTRANGE(""https://docs.google.com/spreadsheets/d/1-3Vjw2Cyy-mry5gbC8ypIR3YVGFfEpyFESummAta6sg/edit"", ""Sheet1!B:D""), 2, FALSE), ""Not Found"")"),"bɪg")</f>
        <v>bɪg</v>
      </c>
      <c r="E5880" s="2" t="str">
        <f>IFERROR(__xludf.DUMMYFUNCTION("IFERROR(VLOOKUP(A5880, IMPORTRANGE(""https://docs.google.com/spreadsheets/d/1-3Vjw2Cyy-mry5gbC8ypIR3YVGFfEpyFESummAta6sg/edit"", ""Sheet1!B:D""), 3, FALSE), ""Not Found"")"),"b ɪ g ")</f>
        <v>b ɪ g </v>
      </c>
    </row>
    <row r="5881">
      <c r="A5881" s="1" t="s">
        <v>5883</v>
      </c>
      <c r="B5881" s="1" t="s">
        <v>5</v>
      </c>
      <c r="C5881" s="2">
        <f>IFERROR(__xludf.DUMMYFUNCTION("IFERROR(VLOOKUP(A5881, IMPORTRANGE(""https://docs.google.com/spreadsheets/d/1AVX9GT0dgogEBStecCXMMQ29tWz3gBrtNB8yIromXbY/edit?gid=741673867"", ""out1g!A:B""), 2, FALSE), 0)"),155.0)</f>
        <v>155</v>
      </c>
      <c r="D5881" s="2" t="str">
        <f>IFERROR(__xludf.DUMMYFUNCTION("IFERROR(VLOOKUP(A5881, IMPORTRANGE(""https://docs.google.com/spreadsheets/d/1-3Vjw2Cyy-mry5gbC8ypIR3YVGFfEpyFESummAta6sg/edit"", ""Sheet1!B:D""), 2, FALSE), ""Not Found"")"),"krud")</f>
        <v>krud</v>
      </c>
      <c r="E5881" s="2" t="str">
        <f>IFERROR(__xludf.DUMMYFUNCTION("IFERROR(VLOOKUP(A5881, IMPORTRANGE(""https://docs.google.com/spreadsheets/d/1-3Vjw2Cyy-mry5gbC8ypIR3YVGFfEpyFESummAta6sg/edit"", ""Sheet1!B:D""), 3, FALSE), ""Not Found"")"),"k r u d ")</f>
        <v>k r u d </v>
      </c>
    </row>
    <row r="5882">
      <c r="A5882" s="1" t="s">
        <v>5884</v>
      </c>
      <c r="B5882" s="1" t="s">
        <v>5</v>
      </c>
      <c r="C5882" s="2">
        <f>IFERROR(__xludf.DUMMYFUNCTION("IFERROR(VLOOKUP(A5882, IMPORTRANGE(""https://docs.google.com/spreadsheets/d/1AVX9GT0dgogEBStecCXMMQ29tWz3gBrtNB8yIromXbY/edit?gid=741673867"", ""out1g!A:B""), 2, FALSE), 0)"),3456.0)</f>
        <v>3456</v>
      </c>
      <c r="D5882" s="2" t="str">
        <f>IFERROR(__xludf.DUMMYFUNCTION("IFERROR(VLOOKUP(A5882, IMPORTRANGE(""https://docs.google.com/spreadsheets/d/1-3Vjw2Cyy-mry5gbC8ypIR3YVGFfEpyFESummAta6sg/edit"", ""Sheet1!B:D""), 2, FALSE), ""Not Found"")"),"bʊks")</f>
        <v>bʊks</v>
      </c>
      <c r="E5882" s="2" t="str">
        <f>IFERROR(__xludf.DUMMYFUNCTION("IFERROR(VLOOKUP(A5882, IMPORTRANGE(""https://docs.google.com/spreadsheets/d/1-3Vjw2Cyy-mry5gbC8ypIR3YVGFfEpyFESummAta6sg/edit"", ""Sheet1!B:D""), 3, FALSE), ""Not Found"")"),"b ʊ k s ")</f>
        <v>b ʊ k s </v>
      </c>
    </row>
    <row r="5883">
      <c r="A5883" s="1" t="s">
        <v>5885</v>
      </c>
      <c r="B5883" s="1" t="s">
        <v>5</v>
      </c>
      <c r="C5883" s="2">
        <f>IFERROR(__xludf.DUMMYFUNCTION("IFERROR(VLOOKUP(A5883, IMPORTRANGE(""https://docs.google.com/spreadsheets/d/1AVX9GT0dgogEBStecCXMMQ29tWz3gBrtNB8yIromXbY/edit?gid=741673867"", ""out1g!A:B""), 2, FALSE), 0)"),232.0)</f>
        <v>232</v>
      </c>
      <c r="D5883" s="2" t="str">
        <f>IFERROR(__xludf.DUMMYFUNCTION("IFERROR(VLOOKUP(A5883, IMPORTRANGE(""https://docs.google.com/spreadsheets/d/1-3Vjw2Cyy-mry5gbC8ypIR3YVGFfEpyFESummAta6sg/edit"", ""Sheet1!B:D""), 2, FALSE), ""Not Found"")"),"brɪtən")</f>
        <v>brɪtən</v>
      </c>
      <c r="E5883" s="2" t="str">
        <f>IFERROR(__xludf.DUMMYFUNCTION("IFERROR(VLOOKUP(A5883, IMPORTRANGE(""https://docs.google.com/spreadsheets/d/1-3Vjw2Cyy-mry5gbC8ypIR3YVGFfEpyFESummAta6sg/edit"", ""Sheet1!B:D""), 3, FALSE), ""Not Found"")"),"b r ɪ t ə n ")</f>
        <v>b r ɪ t ə n </v>
      </c>
    </row>
    <row r="5884">
      <c r="A5884" s="1" t="s">
        <v>5886</v>
      </c>
      <c r="B5884" s="1" t="s">
        <v>5</v>
      </c>
      <c r="C5884" s="2">
        <f>IFERROR(__xludf.DUMMYFUNCTION("IFERROR(VLOOKUP(A5884, IMPORTRANGE(""https://docs.google.com/spreadsheets/d/1AVX9GT0dgogEBStecCXMMQ29tWz3gBrtNB8yIromXbY/edit?gid=741673867"", ""out1g!A:B""), 2, FALSE), 0)"),1042.0)</f>
        <v>1042</v>
      </c>
      <c r="D5884" s="2" t="str">
        <f>IFERROR(__xludf.DUMMYFUNCTION("IFERROR(VLOOKUP(A5884, IMPORTRANGE(""https://docs.google.com/spreadsheets/d/1-3Vjw2Cyy-mry5gbC8ypIR3YVGFfEpyFESummAta6sg/edit"", ""Sheet1!B:D""), 2, FALSE), ""Not Found"")"),"bətər")</f>
        <v>bətər</v>
      </c>
      <c r="E5884" s="2" t="str">
        <f>IFERROR(__xludf.DUMMYFUNCTION("IFERROR(VLOOKUP(A5884, IMPORTRANGE(""https://docs.google.com/spreadsheets/d/1-3Vjw2Cyy-mry5gbC8ypIR3YVGFfEpyFESummAta6sg/edit"", ""Sheet1!B:D""), 3, FALSE), ""Not Found"")"),"b ə t ə r ")</f>
        <v>b ə t ə r </v>
      </c>
    </row>
    <row r="5885">
      <c r="A5885" s="1" t="s">
        <v>5887</v>
      </c>
      <c r="B5885" s="1" t="s">
        <v>5</v>
      </c>
      <c r="C5885" s="2">
        <f>IFERROR(__xludf.DUMMYFUNCTION("IFERROR(VLOOKUP(A5885, IMPORTRANGE(""https://docs.google.com/spreadsheets/d/1AVX9GT0dgogEBStecCXMMQ29tWz3gBrtNB8yIromXbY/edit?gid=741673867"", ""out1g!A:B""), 2, FALSE), 0)"),48.0)</f>
        <v>48</v>
      </c>
      <c r="D5885" s="2" t="str">
        <f>IFERROR(__xludf.DUMMYFUNCTION("IFERROR(VLOOKUP(A5885, IMPORTRANGE(""https://docs.google.com/spreadsheets/d/1-3Vjw2Cyy-mry5gbC8ypIR3YVGFfEpyFESummAta6sg/edit"", ""Sheet1!B:D""), 2, FALSE), ""Not Found"")"),"krənʧi")</f>
        <v>krənʧi</v>
      </c>
      <c r="E5885" s="2" t="str">
        <f>IFERROR(__xludf.DUMMYFUNCTION("IFERROR(VLOOKUP(A5885, IMPORTRANGE(""https://docs.google.com/spreadsheets/d/1-3Vjw2Cyy-mry5gbC8ypIR3YVGFfEpyFESummAta6sg/edit"", ""Sheet1!B:D""), 3, FALSE), ""Not Found"")"),"k r ə n ʧ i ")</f>
        <v>k r ə n ʧ i </v>
      </c>
    </row>
    <row r="5886">
      <c r="A5886" s="1" t="s">
        <v>5888</v>
      </c>
      <c r="B5886" s="1" t="s">
        <v>5</v>
      </c>
      <c r="C5886" s="2">
        <f>IFERROR(__xludf.DUMMYFUNCTION("IFERROR(VLOOKUP(A5886, IMPORTRANGE(""https://docs.google.com/spreadsheets/d/1AVX9GT0dgogEBStecCXMMQ29tWz3gBrtNB8yIromXbY/edit?gid=741673867"", ""out1g!A:B""), 2, FALSE), 0)"),30125.0)</f>
        <v>30125</v>
      </c>
      <c r="D5886" s="2" t="str">
        <f>IFERROR(__xludf.DUMMYFUNCTION("IFERROR(VLOOKUP(A5886, IMPORTRANGE(""https://docs.google.com/spreadsheets/d/1-3Vjw2Cyy-mry5gbC8ypIR3YVGFfEpyFESummAta6sg/edit"", ""Sheet1!B:D""), 2, FALSE), ""Not Found"")"),"kaɪnd")</f>
        <v>kaɪnd</v>
      </c>
      <c r="E5886" s="2" t="str">
        <f>IFERROR(__xludf.DUMMYFUNCTION("IFERROR(VLOOKUP(A5886, IMPORTRANGE(""https://docs.google.com/spreadsheets/d/1-3Vjw2Cyy-mry5gbC8ypIR3YVGFfEpyFESummAta6sg/edit"", ""Sheet1!B:D""), 3, FALSE), ""Not Found"")"),"k a ɪ n d ")</f>
        <v>k a ɪ n d </v>
      </c>
    </row>
    <row r="5887">
      <c r="A5887" s="1" t="s">
        <v>5889</v>
      </c>
      <c r="B5887" s="1" t="s">
        <v>5</v>
      </c>
      <c r="C5887" s="2">
        <f>IFERROR(__xludf.DUMMYFUNCTION("IFERROR(VLOOKUP(A5887, IMPORTRANGE(""https://docs.google.com/spreadsheets/d/1AVX9GT0dgogEBStecCXMMQ29tWz3gBrtNB8yIromXbY/edit?gid=741673867"", ""out1g!A:B""), 2, FALSE), 0)"),7218.0)</f>
        <v>7218</v>
      </c>
      <c r="D5887" s="2" t="str">
        <f>IFERROR(__xludf.DUMMYFUNCTION("IFERROR(VLOOKUP(A5887, IMPORTRANGE(""https://docs.google.com/spreadsheets/d/1-3Vjw2Cyy-mry5gbC8ypIR3YVGFfEpyFESummAta6sg/edit"", ""Sheet1!B:D""), 2, FALSE), ""Not Found"")"),"det")</f>
        <v>det</v>
      </c>
      <c r="E5887" s="2" t="str">
        <f>IFERROR(__xludf.DUMMYFUNCTION("IFERROR(VLOOKUP(A5887, IMPORTRANGE(""https://docs.google.com/spreadsheets/d/1-3Vjw2Cyy-mry5gbC8ypIR3YVGFfEpyFESummAta6sg/edit"", ""Sheet1!B:D""), 3, FALSE), ""Not Found"")"),"d e t ")</f>
        <v>d e t </v>
      </c>
    </row>
    <row r="5888">
      <c r="A5888" s="1" t="s">
        <v>5890</v>
      </c>
      <c r="B5888" s="1" t="s">
        <v>5</v>
      </c>
      <c r="C5888" s="2">
        <f>IFERROR(__xludf.DUMMYFUNCTION("IFERROR(VLOOKUP(A5888, IMPORTRANGE(""https://docs.google.com/spreadsheets/d/1AVX9GT0dgogEBStecCXMMQ29tWz3gBrtNB8yIromXbY/edit?gid=741673867"", ""out1g!A:B""), 2, FALSE), 0)"),4967.0)</f>
        <v>4967</v>
      </c>
      <c r="D5888" s="2" t="str">
        <f>IFERROR(__xludf.DUMMYFUNCTION("IFERROR(VLOOKUP(A5888, IMPORTRANGE(""https://docs.google.com/spreadsheets/d/1-3Vjw2Cyy-mry5gbC8ypIR3YVGFfEpyFESummAta6sg/edit"", ""Sheet1!B:D""), 2, FALSE), ""Not Found"")"),"ɛlɛs")</f>
        <v>ɛlɛs</v>
      </c>
      <c r="E5888" s="2" t="str">
        <f>IFERROR(__xludf.DUMMYFUNCTION("IFERROR(VLOOKUP(A5888, IMPORTRANGE(""https://docs.google.com/spreadsheets/d/1-3Vjw2Cyy-mry5gbC8ypIR3YVGFfEpyFESummAta6sg/edit"", ""Sheet1!B:D""), 3, FALSE), ""Not Found"")"),"ɛ l ɛ s ")</f>
        <v>ɛ l ɛ s </v>
      </c>
    </row>
    <row r="5889">
      <c r="A5889" s="1" t="s">
        <v>5891</v>
      </c>
      <c r="B5889" s="1" t="s">
        <v>5</v>
      </c>
      <c r="C5889" s="2">
        <f>IFERROR(__xludf.DUMMYFUNCTION("IFERROR(VLOOKUP(A5889, IMPORTRANGE(""https://docs.google.com/spreadsheets/d/1AVX9GT0dgogEBStecCXMMQ29tWz3gBrtNB8yIromXbY/edit?gid=741673867"", ""out1g!A:B""), 2, FALSE), 0)"),251.0)</f>
        <v>251</v>
      </c>
      <c r="D5889" s="2" t="str">
        <f>IFERROR(__xludf.DUMMYFUNCTION("IFERROR(VLOOKUP(A5889, IMPORTRANGE(""https://docs.google.com/spreadsheets/d/1-3Vjw2Cyy-mry5gbC8ypIR3YVGFfEpyFESummAta6sg/edit"", ""Sheet1!B:D""), 2, FALSE), ""Not Found"")"),"wɔlʃ")</f>
        <v>wɔlʃ</v>
      </c>
      <c r="E5889" s="2" t="str">
        <f>IFERROR(__xludf.DUMMYFUNCTION("IFERROR(VLOOKUP(A5889, IMPORTRANGE(""https://docs.google.com/spreadsheets/d/1-3Vjw2Cyy-mry5gbC8ypIR3YVGFfEpyFESummAta6sg/edit"", ""Sheet1!B:D""), 3, FALSE), ""Not Found"")"),"w ɔ l ʃ ")</f>
        <v>w ɔ l ʃ </v>
      </c>
    </row>
    <row r="5890">
      <c r="A5890" s="1" t="s">
        <v>5892</v>
      </c>
      <c r="B5890" s="1" t="s">
        <v>5</v>
      </c>
      <c r="C5890" s="2">
        <f>IFERROR(__xludf.DUMMYFUNCTION("IFERROR(VLOOKUP(A5890, IMPORTRANGE(""https://docs.google.com/spreadsheets/d/1AVX9GT0dgogEBStecCXMMQ29tWz3gBrtNB8yIromXbY/edit?gid=741673867"", ""out1g!A:B""), 2, FALSE), 0)"),192.0)</f>
        <v>192</v>
      </c>
      <c r="D5890" s="2" t="str">
        <f>IFERROR(__xludf.DUMMYFUNCTION("IFERROR(VLOOKUP(A5890, IMPORTRANGE(""https://docs.google.com/spreadsheets/d/1-3Vjw2Cyy-mry5gbC8ypIR3YVGFfEpyFESummAta6sg/edit"", ""Sheet1!B:D""), 2, FALSE), ""Not Found"")"),"kʊks")</f>
        <v>kʊks</v>
      </c>
      <c r="E5890" s="2" t="str">
        <f>IFERROR(__xludf.DUMMYFUNCTION("IFERROR(VLOOKUP(A5890, IMPORTRANGE(""https://docs.google.com/spreadsheets/d/1-3Vjw2Cyy-mry5gbC8ypIR3YVGFfEpyFESummAta6sg/edit"", ""Sheet1!B:D""), 3, FALSE), ""Not Found"")"),"k ʊ k s ")</f>
        <v>k ʊ k s </v>
      </c>
    </row>
    <row r="5891">
      <c r="A5891" s="1" t="s">
        <v>5893</v>
      </c>
      <c r="B5891" s="1" t="s">
        <v>5</v>
      </c>
      <c r="C5891" s="2">
        <f>IFERROR(__xludf.DUMMYFUNCTION("IFERROR(VLOOKUP(A5891, IMPORTRANGE(""https://docs.google.com/spreadsheets/d/1AVX9GT0dgogEBStecCXMMQ29tWz3gBrtNB8yIromXbY/edit?gid=741673867"", ""out1g!A:B""), 2, FALSE), 0)"),88.0)</f>
        <v>88</v>
      </c>
      <c r="D5891" s="2" t="str">
        <f>IFERROR(__xludf.DUMMYFUNCTION("IFERROR(VLOOKUP(A5891, IMPORTRANGE(""https://docs.google.com/spreadsheets/d/1-3Vjw2Cyy-mry5gbC8ypIR3YVGFfEpyFESummAta6sg/edit"", ""Sheet1!B:D""), 2, FALSE), ""Not Found"")"),"imərʤ")</f>
        <v>imərʤ</v>
      </c>
      <c r="E5891" s="2" t="str">
        <f>IFERROR(__xludf.DUMMYFUNCTION("IFERROR(VLOOKUP(A5891, IMPORTRANGE(""https://docs.google.com/spreadsheets/d/1-3Vjw2Cyy-mry5gbC8ypIR3YVGFfEpyFESummAta6sg/edit"", ""Sheet1!B:D""), 3, FALSE), ""Not Found"")"),"i m ə r ʤ ")</f>
        <v>i m ə r ʤ </v>
      </c>
    </row>
    <row r="5892">
      <c r="A5892" s="1" t="s">
        <v>5894</v>
      </c>
      <c r="B5892" s="1" t="s">
        <v>5</v>
      </c>
      <c r="C5892" s="2">
        <f>IFERROR(__xludf.DUMMYFUNCTION("IFERROR(VLOOKUP(A5892, IMPORTRANGE(""https://docs.google.com/spreadsheets/d/1AVX9GT0dgogEBStecCXMMQ29tWz3gBrtNB8yIromXbY/edit?gid=741673867"", ""out1g!A:B""), 2, FALSE), 0)"),62.0)</f>
        <v>62</v>
      </c>
      <c r="D5892" s="2" t="str">
        <f>IFERROR(__xludf.DUMMYFUNCTION("IFERROR(VLOOKUP(A5892, IMPORTRANGE(""https://docs.google.com/spreadsheets/d/1-3Vjw2Cyy-mry5gbC8ypIR3YVGFfEpyFESummAta6sg/edit"", ""Sheet1!B:D""), 2, FALSE), ""Not Found"")"),"skɪpi")</f>
        <v>skɪpi</v>
      </c>
      <c r="E5892" s="2" t="str">
        <f>IFERROR(__xludf.DUMMYFUNCTION("IFERROR(VLOOKUP(A5892, IMPORTRANGE(""https://docs.google.com/spreadsheets/d/1-3Vjw2Cyy-mry5gbC8ypIR3YVGFfEpyFESummAta6sg/edit"", ""Sheet1!B:D""), 3, FALSE), ""Not Found"")"),"s k ɪ p i ")</f>
        <v>s k ɪ p i </v>
      </c>
    </row>
    <row r="5893">
      <c r="A5893" s="1" t="s">
        <v>5895</v>
      </c>
      <c r="B5893" s="1" t="s">
        <v>5</v>
      </c>
      <c r="C5893" s="2">
        <f>IFERROR(__xludf.DUMMYFUNCTION("IFERROR(VLOOKUP(A5893, IMPORTRANGE(""https://docs.google.com/spreadsheets/d/1AVX9GT0dgogEBStecCXMMQ29tWz3gBrtNB8yIromXbY/edit?gid=741673867"", ""out1g!A:B""), 2, FALSE), 0)"),82.0)</f>
        <v>82</v>
      </c>
      <c r="D5893" s="2" t="str">
        <f>IFERROR(__xludf.DUMMYFUNCTION("IFERROR(VLOOKUP(A5893, IMPORTRANGE(""https://docs.google.com/spreadsheets/d/1-3Vjw2Cyy-mry5gbC8ypIR3YVGFfEpyFESummAta6sg/edit"", ""Sheet1!B:D""), 2, FALSE), ""Not Found"")"),"faʊld")</f>
        <v>faʊld</v>
      </c>
      <c r="E5893" s="2" t="str">
        <f>IFERROR(__xludf.DUMMYFUNCTION("IFERROR(VLOOKUP(A5893, IMPORTRANGE(""https://docs.google.com/spreadsheets/d/1-3Vjw2Cyy-mry5gbC8ypIR3YVGFfEpyFESummAta6sg/edit"", ""Sheet1!B:D""), 3, FALSE), ""Not Found"")"),"f a ʊ l d ")</f>
        <v>f a ʊ l d </v>
      </c>
    </row>
    <row r="5894">
      <c r="A5894" s="1" t="s">
        <v>5896</v>
      </c>
      <c r="B5894" s="1" t="s">
        <v>5</v>
      </c>
      <c r="C5894" s="2">
        <f>IFERROR(__xludf.DUMMYFUNCTION("IFERROR(VLOOKUP(A5894, IMPORTRANGE(""https://docs.google.com/spreadsheets/d/1AVX9GT0dgogEBStecCXMMQ29tWz3gBrtNB8yIromXbY/edit?gid=741673867"", ""out1g!A:B""), 2, FALSE), 0)"),1722.0)</f>
        <v>1722</v>
      </c>
      <c r="D5894" s="2" t="str">
        <f>IFERROR(__xludf.DUMMYFUNCTION("IFERROR(VLOOKUP(A5894, IMPORTRANGE(""https://docs.google.com/spreadsheets/d/1-3Vjw2Cyy-mry5gbC8ypIR3YVGFfEpyFESummAta6sg/edit"", ""Sheet1!B:D""), 2, FALSE), ""Not Found"")"),"et")</f>
        <v>et</v>
      </c>
      <c r="E5894" s="2" t="str">
        <f>IFERROR(__xludf.DUMMYFUNCTION("IFERROR(VLOOKUP(A5894, IMPORTRANGE(""https://docs.google.com/spreadsheets/d/1-3Vjw2Cyy-mry5gbC8ypIR3YVGFfEpyFESummAta6sg/edit"", ""Sheet1!B:D""), 3, FALSE), ""Not Found"")"),"e t ")</f>
        <v>e t </v>
      </c>
    </row>
    <row r="5895">
      <c r="A5895" s="1" t="s">
        <v>5897</v>
      </c>
      <c r="B5895" s="1" t="s">
        <v>5</v>
      </c>
      <c r="C5895" s="2">
        <f>IFERROR(__xludf.DUMMYFUNCTION("IFERROR(VLOOKUP(A5895, IMPORTRANGE(""https://docs.google.com/spreadsheets/d/1AVX9GT0dgogEBStecCXMMQ29tWz3gBrtNB8yIromXbY/edit?gid=741673867"", ""out1g!A:B""), 2, FALSE), 0)"),94.0)</f>
        <v>94</v>
      </c>
      <c r="D5895" s="2" t="str">
        <f>IFERROR(__xludf.DUMMYFUNCTION("IFERROR(VLOOKUP(A5895, IMPORTRANGE(""https://docs.google.com/spreadsheets/d/1-3Vjw2Cyy-mry5gbC8ypIR3YVGFfEpyFESummAta6sg/edit"", ""Sheet1!B:D""), 2, FALSE), ""Not Found"")"),"bɑp")</f>
        <v>bɑp</v>
      </c>
      <c r="E5895" s="2" t="str">
        <f>IFERROR(__xludf.DUMMYFUNCTION("IFERROR(VLOOKUP(A5895, IMPORTRANGE(""https://docs.google.com/spreadsheets/d/1-3Vjw2Cyy-mry5gbC8ypIR3YVGFfEpyFESummAta6sg/edit"", ""Sheet1!B:D""), 3, FALSE), ""Not Found"")"),"b ɑ p ")</f>
        <v>b ɑ p </v>
      </c>
    </row>
    <row r="5896">
      <c r="A5896" s="1" t="s">
        <v>5898</v>
      </c>
      <c r="B5896" s="1" t="s">
        <v>5</v>
      </c>
      <c r="C5896" s="2">
        <f>IFERROR(__xludf.DUMMYFUNCTION("IFERROR(VLOOKUP(A5896, IMPORTRANGE(""https://docs.google.com/spreadsheets/d/1AVX9GT0dgogEBStecCXMMQ29tWz3gBrtNB8yIromXbY/edit?gid=741673867"", ""out1g!A:B""), 2, FALSE), 0)"),167781.0)</f>
        <v>167781</v>
      </c>
      <c r="D5896" s="2" t="str">
        <f>IFERROR(__xludf.DUMMYFUNCTION("IFERROR(VLOOKUP(A5896, IMPORTRANGE(""https://docs.google.com/spreadsheets/d/1-3Vjw2Cyy-mry5gbC8ypIR3YVGFfEpyFESummAta6sg/edit"", ""Sheet1!B:D""), 2, FALSE), ""Not Found"")"),"oʊ")</f>
        <v>oʊ</v>
      </c>
      <c r="E5896" s="2" t="str">
        <f>IFERROR(__xludf.DUMMYFUNCTION("IFERROR(VLOOKUP(A5896, IMPORTRANGE(""https://docs.google.com/spreadsheets/d/1-3Vjw2Cyy-mry5gbC8ypIR3YVGFfEpyFESummAta6sg/edit"", ""Sheet1!B:D""), 3, FALSE), ""Not Found"")"),"o ʊ ")</f>
        <v>o ʊ </v>
      </c>
    </row>
    <row r="5897">
      <c r="A5897" s="1" t="s">
        <v>5899</v>
      </c>
      <c r="B5897" s="1" t="s">
        <v>5</v>
      </c>
      <c r="C5897" s="2">
        <f>IFERROR(__xludf.DUMMYFUNCTION("IFERROR(VLOOKUP(A5897, IMPORTRANGE(""https://docs.google.com/spreadsheets/d/1AVX9GT0dgogEBStecCXMMQ29tWz3gBrtNB8yIromXbY/edit?gid=741673867"", ""out1g!A:B""), 2, FALSE), 0)"),87.0)</f>
        <v>87</v>
      </c>
      <c r="D5897" s="2" t="str">
        <f>IFERROR(__xludf.DUMMYFUNCTION("IFERROR(VLOOKUP(A5897, IMPORTRANGE(""https://docs.google.com/spreadsheets/d/1-3Vjw2Cyy-mry5gbC8ypIR3YVGFfEpyFESummAta6sg/edit"", ""Sheet1!B:D""), 2, FALSE), ""Not Found"")"),"paʊʧ")</f>
        <v>paʊʧ</v>
      </c>
      <c r="E5897" s="2" t="str">
        <f>IFERROR(__xludf.DUMMYFUNCTION("IFERROR(VLOOKUP(A5897, IMPORTRANGE(""https://docs.google.com/spreadsheets/d/1-3Vjw2Cyy-mry5gbC8ypIR3YVGFfEpyFESummAta6sg/edit"", ""Sheet1!B:D""), 3, FALSE), ""Not Found"")"),"p a ʊ ʧ ")</f>
        <v>p a ʊ ʧ </v>
      </c>
    </row>
    <row r="5898">
      <c r="A5898" s="1" t="s">
        <v>5900</v>
      </c>
      <c r="B5898" s="1" t="s">
        <v>5</v>
      </c>
      <c r="C5898" s="2">
        <f>IFERROR(__xludf.DUMMYFUNCTION("IFERROR(VLOOKUP(A5898, IMPORTRANGE(""https://docs.google.com/spreadsheets/d/1AVX9GT0dgogEBStecCXMMQ29tWz3gBrtNB8yIromXbY/edit?gid=741673867"", ""out1g!A:B""), 2, FALSE), 0)"),523.0)</f>
        <v>523</v>
      </c>
      <c r="D5898" s="2" t="str">
        <f>IFERROR(__xludf.DUMMYFUNCTION("IFERROR(VLOOKUP(A5898, IMPORTRANGE(""https://docs.google.com/spreadsheets/d/1-3Vjw2Cyy-mry5gbC8ypIR3YVGFfEpyFESummAta6sg/edit"", ""Sheet1!B:D""), 2, FALSE), ""Not Found"")"),"bæle")</f>
        <v>bæle</v>
      </c>
      <c r="E5898" s="2" t="str">
        <f>IFERROR(__xludf.DUMMYFUNCTION("IFERROR(VLOOKUP(A5898, IMPORTRANGE(""https://docs.google.com/spreadsheets/d/1-3Vjw2Cyy-mry5gbC8ypIR3YVGFfEpyFESummAta6sg/edit"", ""Sheet1!B:D""), 3, FALSE), ""Not Found"")"),"b æ l e ")</f>
        <v>b æ l e </v>
      </c>
    </row>
    <row r="5899">
      <c r="A5899" s="1" t="s">
        <v>5901</v>
      </c>
      <c r="B5899" s="1" t="s">
        <v>5</v>
      </c>
      <c r="C5899" s="2">
        <f>IFERROR(__xludf.DUMMYFUNCTION("IFERROR(VLOOKUP(A5899, IMPORTRANGE(""https://docs.google.com/spreadsheets/d/1AVX9GT0dgogEBStecCXMMQ29tWz3gBrtNB8yIromXbY/edit?gid=741673867"", ""out1g!A:B""), 2, FALSE), 0)"),58.0)</f>
        <v>58</v>
      </c>
      <c r="D5899" s="2" t="str">
        <f>IFERROR(__xludf.DUMMYFUNCTION("IFERROR(VLOOKUP(A5899, IMPORTRANGE(""https://docs.google.com/spreadsheets/d/1-3Vjw2Cyy-mry5gbC8ypIR3YVGFfEpyFESummAta6sg/edit"", ""Sheet1!B:D""), 2, FALSE), ""Not Found"")"),"strenz")</f>
        <v>strenz</v>
      </c>
      <c r="E5899" s="2" t="str">
        <f>IFERROR(__xludf.DUMMYFUNCTION("IFERROR(VLOOKUP(A5899, IMPORTRANGE(""https://docs.google.com/spreadsheets/d/1-3Vjw2Cyy-mry5gbC8ypIR3YVGFfEpyFESummAta6sg/edit"", ""Sheet1!B:D""), 3, FALSE), ""Not Found"")"),"s t r e n z ")</f>
        <v>s t r e n z </v>
      </c>
    </row>
    <row r="5900">
      <c r="A5900" s="1" t="s">
        <v>5902</v>
      </c>
      <c r="B5900" s="1" t="s">
        <v>5</v>
      </c>
      <c r="C5900" s="2">
        <f>IFERROR(__xludf.DUMMYFUNCTION("IFERROR(VLOOKUP(A5900, IMPORTRANGE(""https://docs.google.com/spreadsheets/d/1AVX9GT0dgogEBStecCXMMQ29tWz3gBrtNB8yIromXbY/edit?gid=741673867"", ""out1g!A:B""), 2, FALSE), 0)"),270.0)</f>
        <v>270</v>
      </c>
      <c r="D5900" s="2" t="str">
        <f>IFERROR(__xludf.DUMMYFUNCTION("IFERROR(VLOOKUP(A5900, IMPORTRANGE(""https://docs.google.com/spreadsheets/d/1-3Vjw2Cyy-mry5gbC8ypIR3YVGFfEpyFESummAta6sg/edit"", ""Sheet1!B:D""), 2, FALSE), ""Not Found"")"),"spaɪs")</f>
        <v>spaɪs</v>
      </c>
      <c r="E5900" s="2" t="str">
        <f>IFERROR(__xludf.DUMMYFUNCTION("IFERROR(VLOOKUP(A5900, IMPORTRANGE(""https://docs.google.com/spreadsheets/d/1-3Vjw2Cyy-mry5gbC8ypIR3YVGFfEpyFESummAta6sg/edit"", ""Sheet1!B:D""), 3, FALSE), ""Not Found"")"),"s p a ɪ s ")</f>
        <v>s p a ɪ s </v>
      </c>
    </row>
    <row r="5901">
      <c r="A5901" s="1" t="s">
        <v>5903</v>
      </c>
      <c r="B5901" s="1" t="s">
        <v>5</v>
      </c>
      <c r="C5901" s="2">
        <f>IFERROR(__xludf.DUMMYFUNCTION("IFERROR(VLOOKUP(A5901, IMPORTRANGE(""https://docs.google.com/spreadsheets/d/1AVX9GT0dgogEBStecCXMMQ29tWz3gBrtNB8yIromXbY/edit?gid=741673867"", ""out1g!A:B""), 2, FALSE), 0)"),61.0)</f>
        <v>61</v>
      </c>
      <c r="D5901" s="2" t="str">
        <f>IFERROR(__xludf.DUMMYFUNCTION("IFERROR(VLOOKUP(A5901, IMPORTRANGE(""https://docs.google.com/spreadsheets/d/1-3Vjw2Cyy-mry5gbC8ypIR3YVGFfEpyFESummAta6sg/edit"", ""Sheet1!B:D""), 2, FALSE), ""Not Found"")"),"gɪlz")</f>
        <v>gɪlz</v>
      </c>
      <c r="E5901" s="2" t="str">
        <f>IFERROR(__xludf.DUMMYFUNCTION("IFERROR(VLOOKUP(A5901, IMPORTRANGE(""https://docs.google.com/spreadsheets/d/1-3Vjw2Cyy-mry5gbC8ypIR3YVGFfEpyFESummAta6sg/edit"", ""Sheet1!B:D""), 3, FALSE), ""Not Found"")"),"g ɪ l z ")</f>
        <v>g ɪ l z </v>
      </c>
    </row>
    <row r="5902">
      <c r="A5902" s="1" t="s">
        <v>5904</v>
      </c>
      <c r="B5902" s="1" t="s">
        <v>5</v>
      </c>
      <c r="C5902" s="2">
        <f>IFERROR(__xludf.DUMMYFUNCTION("IFERROR(VLOOKUP(A5902, IMPORTRANGE(""https://docs.google.com/spreadsheets/d/1AVX9GT0dgogEBStecCXMMQ29tWz3gBrtNB8yIromXbY/edit?gid=741673867"", ""out1g!A:B""), 2, FALSE), 0)"),1866.0)</f>
        <v>1866</v>
      </c>
      <c r="D5902" s="2" t="str">
        <f>IFERROR(__xludf.DUMMYFUNCTION("IFERROR(VLOOKUP(A5902, IMPORTRANGE(""https://docs.google.com/spreadsheets/d/1-3Vjw2Cyy-mry5gbC8ypIR3YVGFfEpyFESummAta6sg/edit"", ""Sheet1!B:D""), 2, FALSE), ""Not Found"")"),"goʊst")</f>
        <v>goʊst</v>
      </c>
      <c r="E5902" s="2" t="str">
        <f>IFERROR(__xludf.DUMMYFUNCTION("IFERROR(VLOOKUP(A5902, IMPORTRANGE(""https://docs.google.com/spreadsheets/d/1-3Vjw2Cyy-mry5gbC8ypIR3YVGFfEpyFESummAta6sg/edit"", ""Sheet1!B:D""), 3, FALSE), ""Not Found"")"),"g o ʊ s t ")</f>
        <v>g o ʊ s t </v>
      </c>
    </row>
    <row r="5903">
      <c r="A5903" s="1" t="s">
        <v>5905</v>
      </c>
      <c r="B5903" s="1" t="s">
        <v>5</v>
      </c>
      <c r="C5903" s="2">
        <f>IFERROR(__xludf.DUMMYFUNCTION("IFERROR(VLOOKUP(A5903, IMPORTRANGE(""https://docs.google.com/spreadsheets/d/1AVX9GT0dgogEBStecCXMMQ29tWz3gBrtNB8yIromXbY/edit?gid=741673867"", ""out1g!A:B""), 2, FALSE), 0)"),199.0)</f>
        <v>199</v>
      </c>
      <c r="D5903" s="2" t="str">
        <f>IFERROR(__xludf.DUMMYFUNCTION("IFERROR(VLOOKUP(A5903, IMPORTRANGE(""https://docs.google.com/spreadsheets/d/1-3Vjw2Cyy-mry5gbC8ypIR3YVGFfEpyFESummAta6sg/edit"", ""Sheet1!B:D""), 2, FALSE), ""Not Found"")"),"idən")</f>
        <v>idən</v>
      </c>
      <c r="E5903" s="2" t="str">
        <f>IFERROR(__xludf.DUMMYFUNCTION("IFERROR(VLOOKUP(A5903, IMPORTRANGE(""https://docs.google.com/spreadsheets/d/1-3Vjw2Cyy-mry5gbC8ypIR3YVGFfEpyFESummAta6sg/edit"", ""Sheet1!B:D""), 3, FALSE), ""Not Found"")"),"i d ə n ")</f>
        <v>i d ə n </v>
      </c>
    </row>
    <row r="5904">
      <c r="A5904" s="1" t="s">
        <v>5906</v>
      </c>
      <c r="B5904" s="1" t="s">
        <v>5</v>
      </c>
      <c r="C5904" s="2">
        <f>IFERROR(__xludf.DUMMYFUNCTION("IFERROR(VLOOKUP(A5904, IMPORTRANGE(""https://docs.google.com/spreadsheets/d/1AVX9GT0dgogEBStecCXMMQ29tWz3gBrtNB8yIromXbY/edit?gid=741673867"", ""out1g!A:B""), 2, FALSE), 0)"),598.0)</f>
        <v>598</v>
      </c>
      <c r="D5904" s="2" t="str">
        <f>IFERROR(__xludf.DUMMYFUNCTION("IFERROR(VLOOKUP(A5904, IMPORTRANGE(""https://docs.google.com/spreadsheets/d/1-3Vjw2Cyy-mry5gbC8ypIR3YVGFfEpyFESummAta6sg/edit"", ""Sheet1!B:D""), 2, FALSE), ""Not Found"")"),"koʊən")</f>
        <v>koʊən</v>
      </c>
      <c r="E5904" s="2" t="str">
        <f>IFERROR(__xludf.DUMMYFUNCTION("IFERROR(VLOOKUP(A5904, IMPORTRANGE(""https://docs.google.com/spreadsheets/d/1-3Vjw2Cyy-mry5gbC8ypIR3YVGFfEpyFESummAta6sg/edit"", ""Sheet1!B:D""), 3, FALSE), ""Not Found"")"),"k o ʊ ə n ")</f>
        <v>k o ʊ ə n </v>
      </c>
    </row>
    <row r="5905">
      <c r="A5905" s="1" t="s">
        <v>5907</v>
      </c>
      <c r="B5905" s="1" t="s">
        <v>5</v>
      </c>
      <c r="C5905" s="2">
        <f>IFERROR(__xludf.DUMMYFUNCTION("IFERROR(VLOOKUP(A5905, IMPORTRANGE(""https://docs.google.com/spreadsheets/d/1AVX9GT0dgogEBStecCXMMQ29tWz3gBrtNB8yIromXbY/edit?gid=741673867"", ""out1g!A:B""), 2, FALSE), 0)"),5825.0)</f>
        <v>5825</v>
      </c>
      <c r="D5905" s="2" t="str">
        <f>IFERROR(__xludf.DUMMYFUNCTION("IFERROR(VLOOKUP(A5905, IMPORTRANGE(""https://docs.google.com/spreadsheets/d/1-3Vjw2Cyy-mry5gbC8ypIR3YVGFfEpyFESummAta6sg/edit"", ""Sheet1!B:D""), 2, FALSE), ""Not Found"")"),"rəðər")</f>
        <v>rəðər</v>
      </c>
      <c r="E5905" s="2" t="str">
        <f>IFERROR(__xludf.DUMMYFUNCTION("IFERROR(VLOOKUP(A5905, IMPORTRANGE(""https://docs.google.com/spreadsheets/d/1-3Vjw2Cyy-mry5gbC8ypIR3YVGFfEpyFESummAta6sg/edit"", ""Sheet1!B:D""), 3, FALSE), ""Not Found"")"),"r ə ð ə r ")</f>
        <v>r ə ð ə r </v>
      </c>
    </row>
    <row r="5906">
      <c r="A5906" s="1" t="s">
        <v>5908</v>
      </c>
      <c r="B5906" s="1" t="s">
        <v>5</v>
      </c>
      <c r="C5906" s="2">
        <f>IFERROR(__xludf.DUMMYFUNCTION("IFERROR(VLOOKUP(A5906, IMPORTRANGE(""https://docs.google.com/spreadsheets/d/1AVX9GT0dgogEBStecCXMMQ29tWz3gBrtNB8yIromXbY/edit?gid=741673867"", ""out1g!A:B""), 2, FALSE), 0)"),263.0)</f>
        <v>263</v>
      </c>
      <c r="D5906" s="2" t="str">
        <f>IFERROR(__xludf.DUMMYFUNCTION("IFERROR(VLOOKUP(A5906, IMPORTRANGE(""https://docs.google.com/spreadsheets/d/1-3Vjw2Cyy-mry5gbC8ypIR3YVGFfEpyFESummAta6sg/edit"", ""Sheet1!B:D""), 2, FALSE), ""Not Found"")"),"kæsi")</f>
        <v>kæsi</v>
      </c>
      <c r="E5906" s="2" t="str">
        <f>IFERROR(__xludf.DUMMYFUNCTION("IFERROR(VLOOKUP(A5906, IMPORTRANGE(""https://docs.google.com/spreadsheets/d/1-3Vjw2Cyy-mry5gbC8ypIR3YVGFfEpyFESummAta6sg/edit"", ""Sheet1!B:D""), 3, FALSE), ""Not Found"")"),"k æ s i ")</f>
        <v>k æ s i </v>
      </c>
    </row>
    <row r="5907">
      <c r="A5907" s="1" t="s">
        <v>5909</v>
      </c>
      <c r="B5907" s="1" t="s">
        <v>5</v>
      </c>
      <c r="C5907" s="2">
        <f>IFERROR(__xludf.DUMMYFUNCTION("IFERROR(VLOOKUP(A5907, IMPORTRANGE(""https://docs.google.com/spreadsheets/d/1AVX9GT0dgogEBStecCXMMQ29tWz3gBrtNB8yIromXbY/edit?gid=741673867"", ""out1g!A:B""), 2, FALSE), 0)"),122.0)</f>
        <v>122</v>
      </c>
      <c r="D5907" s="2" t="str">
        <f>IFERROR(__xludf.DUMMYFUNCTION("IFERROR(VLOOKUP(A5907, IMPORTRANGE(""https://docs.google.com/spreadsheets/d/1-3Vjw2Cyy-mry5gbC8ypIR3YVGFfEpyFESummAta6sg/edit"", ""Sheet1!B:D""), 2, FALSE), ""Not Found"")"),"lɔnʧɪŋ")</f>
        <v>lɔnʧɪŋ</v>
      </c>
      <c r="E5907" s="2" t="str">
        <f>IFERROR(__xludf.DUMMYFUNCTION("IFERROR(VLOOKUP(A5907, IMPORTRANGE(""https://docs.google.com/spreadsheets/d/1-3Vjw2Cyy-mry5gbC8ypIR3YVGFfEpyFESummAta6sg/edit"", ""Sheet1!B:D""), 3, FALSE), ""Not Found"")"),"l ɔ n ʧ ɪ ŋ ")</f>
        <v>l ɔ n ʧ ɪ ŋ </v>
      </c>
    </row>
    <row r="5908">
      <c r="A5908" s="1" t="s">
        <v>5910</v>
      </c>
      <c r="B5908" s="1" t="s">
        <v>5</v>
      </c>
      <c r="C5908" s="2">
        <f>IFERROR(__xludf.DUMMYFUNCTION("IFERROR(VLOOKUP(A5908, IMPORTRANGE(""https://docs.google.com/spreadsheets/d/1AVX9GT0dgogEBStecCXMMQ29tWz3gBrtNB8yIromXbY/edit?gid=741673867"", ""out1g!A:B""), 2, FALSE), 0)"),69.0)</f>
        <v>69</v>
      </c>
      <c r="D5908" s="2" t="str">
        <f>IFERROR(__xludf.DUMMYFUNCTION("IFERROR(VLOOKUP(A5908, IMPORTRANGE(""https://docs.google.com/spreadsheets/d/1-3Vjw2Cyy-mry5gbC8ypIR3YVGFfEpyFESummAta6sg/edit"", ""Sheet1!B:D""), 2, FALSE), ""Not Found"")"),"sɔnə")</f>
        <v>sɔnə</v>
      </c>
      <c r="E5908" s="2" t="str">
        <f>IFERROR(__xludf.DUMMYFUNCTION("IFERROR(VLOOKUP(A5908, IMPORTRANGE(""https://docs.google.com/spreadsheets/d/1-3Vjw2Cyy-mry5gbC8ypIR3YVGFfEpyFESummAta6sg/edit"", ""Sheet1!B:D""), 3, FALSE), ""Not Found"")"),"s ɔ n ə ")</f>
        <v>s ɔ n ə </v>
      </c>
    </row>
    <row r="5909">
      <c r="A5909" s="1" t="s">
        <v>5911</v>
      </c>
      <c r="B5909" s="1" t="s">
        <v>5</v>
      </c>
      <c r="C5909" s="2">
        <f>IFERROR(__xludf.DUMMYFUNCTION("IFERROR(VLOOKUP(A5909, IMPORTRANGE(""https://docs.google.com/spreadsheets/d/1AVX9GT0dgogEBStecCXMMQ29tWz3gBrtNB8yIromXbY/edit?gid=741673867"", ""out1g!A:B""), 2, FALSE), 0)"),172.0)</f>
        <v>172</v>
      </c>
      <c r="D5909" s="2" t="str">
        <f>IFERROR(__xludf.DUMMYFUNCTION("IFERROR(VLOOKUP(A5909, IMPORTRANGE(""https://docs.google.com/spreadsheets/d/1-3Vjw2Cyy-mry5gbC8ypIR3YVGFfEpyFESummAta6sg/edit"", ""Sheet1!B:D""), 2, FALSE), ""Not Found"")"),"aɪvi")</f>
        <v>aɪvi</v>
      </c>
      <c r="E5909" s="2" t="str">
        <f>IFERROR(__xludf.DUMMYFUNCTION("IFERROR(VLOOKUP(A5909, IMPORTRANGE(""https://docs.google.com/spreadsheets/d/1-3Vjw2Cyy-mry5gbC8ypIR3YVGFfEpyFESummAta6sg/edit"", ""Sheet1!B:D""), 3, FALSE), ""Not Found"")"),"a ɪ v i ")</f>
        <v>a ɪ v i </v>
      </c>
    </row>
    <row r="5910">
      <c r="A5910" s="1" t="s">
        <v>5912</v>
      </c>
      <c r="B5910" s="1" t="s">
        <v>5</v>
      </c>
      <c r="C5910" s="2">
        <f>IFERROR(__xludf.DUMMYFUNCTION("IFERROR(VLOOKUP(A5910, IMPORTRANGE(""https://docs.google.com/spreadsheets/d/1AVX9GT0dgogEBStecCXMMQ29tWz3gBrtNB8yIromXbY/edit?gid=741673867"", ""out1g!A:B""), 2, FALSE), 0)"),103.0)</f>
        <v>103</v>
      </c>
      <c r="D5910" s="2" t="str">
        <f>IFERROR(__xludf.DUMMYFUNCTION("IFERROR(VLOOKUP(A5910, IMPORTRANGE(""https://docs.google.com/spreadsheets/d/1-3Vjw2Cyy-mry5gbC8ypIR3YVGFfEpyFESummAta6sg/edit"", ""Sheet1!B:D""), 2, FALSE), ""Not Found"")"),"kɑ")</f>
        <v>kɑ</v>
      </c>
      <c r="E5910" s="2" t="str">
        <f>IFERROR(__xludf.DUMMYFUNCTION("IFERROR(VLOOKUP(A5910, IMPORTRANGE(""https://docs.google.com/spreadsheets/d/1-3Vjw2Cyy-mry5gbC8ypIR3YVGFfEpyFESummAta6sg/edit"", ""Sheet1!B:D""), 3, FALSE), ""Not Found"")"),"k ɑ ")</f>
        <v>k ɑ </v>
      </c>
    </row>
    <row r="5911">
      <c r="A5911" s="1" t="s">
        <v>5913</v>
      </c>
      <c r="B5911" s="1" t="s">
        <v>5</v>
      </c>
      <c r="C5911" s="2">
        <f>IFERROR(__xludf.DUMMYFUNCTION("IFERROR(VLOOKUP(A5911, IMPORTRANGE(""https://docs.google.com/spreadsheets/d/1AVX9GT0dgogEBStecCXMMQ29tWz3gBrtNB8yIromXbY/edit?gid=741673867"", ""out1g!A:B""), 2, FALSE), 0)"),2709.0)</f>
        <v>2709</v>
      </c>
      <c r="D5911" s="2" t="str">
        <f>IFERROR(__xludf.DUMMYFUNCTION("IFERROR(VLOOKUP(A5911, IMPORTRANGE(""https://docs.google.com/spreadsheets/d/1-3Vjw2Cyy-mry5gbC8ypIR3YVGFfEpyFESummAta6sg/edit"", ""Sheet1!B:D""), 2, FALSE), ""Not Found"")"),"koʊd")</f>
        <v>koʊd</v>
      </c>
      <c r="E5911" s="2" t="str">
        <f>IFERROR(__xludf.DUMMYFUNCTION("IFERROR(VLOOKUP(A5911, IMPORTRANGE(""https://docs.google.com/spreadsheets/d/1-3Vjw2Cyy-mry5gbC8ypIR3YVGFfEpyFESummAta6sg/edit"", ""Sheet1!B:D""), 3, FALSE), ""Not Found"")"),"k o ʊ d ")</f>
        <v>k o ʊ d </v>
      </c>
    </row>
    <row r="5912">
      <c r="A5912" s="1" t="s">
        <v>5914</v>
      </c>
      <c r="B5912" s="1" t="s">
        <v>5</v>
      </c>
      <c r="C5912" s="2">
        <f>IFERROR(__xludf.DUMMYFUNCTION("IFERROR(VLOOKUP(A5912, IMPORTRANGE(""https://docs.google.com/spreadsheets/d/1AVX9GT0dgogEBStecCXMMQ29tWz3gBrtNB8yIromXbY/edit?gid=741673867"", ""out1g!A:B""), 2, FALSE), 0)"),94.0)</f>
        <v>94</v>
      </c>
      <c r="D5912" s="2" t="str">
        <f>IFERROR(__xludf.DUMMYFUNCTION("IFERROR(VLOOKUP(A5912, IMPORTRANGE(""https://docs.google.com/spreadsheets/d/1-3Vjw2Cyy-mry5gbC8ypIR3YVGFfEpyFESummAta6sg/edit"", ""Sheet1!B:D""), 2, FALSE), ""Not Found"")"),"tɔrsoʊ")</f>
        <v>tɔrsoʊ</v>
      </c>
      <c r="E5912" s="2" t="str">
        <f>IFERROR(__xludf.DUMMYFUNCTION("IFERROR(VLOOKUP(A5912, IMPORTRANGE(""https://docs.google.com/spreadsheets/d/1-3Vjw2Cyy-mry5gbC8ypIR3YVGFfEpyFESummAta6sg/edit"", ""Sheet1!B:D""), 3, FALSE), ""Not Found"")"),"t ɔ r s o ʊ ")</f>
        <v>t ɔ r s o ʊ </v>
      </c>
    </row>
    <row r="5913">
      <c r="A5913" s="1" t="s">
        <v>5915</v>
      </c>
      <c r="B5913" s="1" t="s">
        <v>5</v>
      </c>
      <c r="C5913" s="2">
        <f>IFERROR(__xludf.DUMMYFUNCTION("IFERROR(VLOOKUP(A5913, IMPORTRANGE(""https://docs.google.com/spreadsheets/d/1AVX9GT0dgogEBStecCXMMQ29tWz3gBrtNB8yIromXbY/edit?gid=741673867"", ""out1g!A:B""), 2, FALSE), 0)"),47.0)</f>
        <v>47</v>
      </c>
      <c r="D5913" s="2" t="str">
        <f>IFERROR(__xludf.DUMMYFUNCTION("IFERROR(VLOOKUP(A5913, IMPORTRANGE(""https://docs.google.com/spreadsheets/d/1-3Vjw2Cyy-mry5gbC8ypIR3YVGFfEpyFESummAta6sg/edit"", ""Sheet1!B:D""), 2, FALSE), ""Not Found"")"),"ðɛrɪn")</f>
        <v>ðɛrɪn</v>
      </c>
      <c r="E5913" s="2" t="str">
        <f>IFERROR(__xludf.DUMMYFUNCTION("IFERROR(VLOOKUP(A5913, IMPORTRANGE(""https://docs.google.com/spreadsheets/d/1-3Vjw2Cyy-mry5gbC8ypIR3YVGFfEpyFESummAta6sg/edit"", ""Sheet1!B:D""), 3, FALSE), ""Not Found"")"),"ð ɛ r ɪ n ")</f>
        <v>ð ɛ r ɪ n </v>
      </c>
    </row>
    <row r="5914">
      <c r="A5914" s="1" t="s">
        <v>5916</v>
      </c>
      <c r="B5914" s="1" t="s">
        <v>5</v>
      </c>
      <c r="C5914" s="2">
        <f>IFERROR(__xludf.DUMMYFUNCTION("IFERROR(VLOOKUP(A5914, IMPORTRANGE(""https://docs.google.com/spreadsheets/d/1AVX9GT0dgogEBStecCXMMQ29tWz3gBrtNB8yIromXbY/edit?gid=741673867"", ""out1g!A:B""), 2, FALSE), 0)"),61.0)</f>
        <v>61</v>
      </c>
      <c r="D5914" s="2" t="str">
        <f>IFERROR(__xludf.DUMMYFUNCTION("IFERROR(VLOOKUP(A5914, IMPORTRANGE(""https://docs.google.com/spreadsheets/d/1-3Vjw2Cyy-mry5gbC8ypIR3YVGFfEpyFESummAta6sg/edit"", ""Sheet1!B:D""), 2, FALSE), ""Not Found"")"),"gʊk")</f>
        <v>gʊk</v>
      </c>
      <c r="E5914" s="2" t="str">
        <f>IFERROR(__xludf.DUMMYFUNCTION("IFERROR(VLOOKUP(A5914, IMPORTRANGE(""https://docs.google.com/spreadsheets/d/1-3Vjw2Cyy-mry5gbC8ypIR3YVGFfEpyFESummAta6sg/edit"", ""Sheet1!B:D""), 3, FALSE), ""Not Found"")"),"g ʊ k ")</f>
        <v>g ʊ k </v>
      </c>
    </row>
    <row r="5915">
      <c r="A5915" s="1" t="s">
        <v>5917</v>
      </c>
      <c r="B5915" s="1" t="s">
        <v>5</v>
      </c>
      <c r="C5915" s="2">
        <f>IFERROR(__xludf.DUMMYFUNCTION("IFERROR(VLOOKUP(A5915, IMPORTRANGE(""https://docs.google.com/spreadsheets/d/1AVX9GT0dgogEBStecCXMMQ29tWz3gBrtNB8yIromXbY/edit?gid=741673867"", ""out1g!A:B""), 2, FALSE), 0)"),7371.0)</f>
        <v>7371</v>
      </c>
      <c r="D5915" s="2" t="str">
        <f>IFERROR(__xludf.DUMMYFUNCTION("IFERROR(VLOOKUP(A5915, IMPORTRANGE(""https://docs.google.com/spreadsheets/d/1-3Vjw2Cyy-mry5gbC8ypIR3YVGFfEpyFESummAta6sg/edit"", ""Sheet1!B:D""), 2, FALSE), ""Not Found"")"),"kɔfi")</f>
        <v>kɔfi</v>
      </c>
      <c r="E5915" s="2" t="str">
        <f>IFERROR(__xludf.DUMMYFUNCTION("IFERROR(VLOOKUP(A5915, IMPORTRANGE(""https://docs.google.com/spreadsheets/d/1-3Vjw2Cyy-mry5gbC8ypIR3YVGFfEpyFESummAta6sg/edit"", ""Sheet1!B:D""), 3, FALSE), ""Not Found"")"),"k ɔ f i ")</f>
        <v>k ɔ f i </v>
      </c>
    </row>
    <row r="5916">
      <c r="A5916" s="1" t="s">
        <v>5918</v>
      </c>
      <c r="B5916" s="1" t="s">
        <v>5</v>
      </c>
      <c r="C5916" s="2">
        <f>IFERROR(__xludf.DUMMYFUNCTION("IFERROR(VLOOKUP(A5916, IMPORTRANGE(""https://docs.google.com/spreadsheets/d/1AVX9GT0dgogEBStecCXMMQ29tWz3gBrtNB8yIromXbY/edit?gid=741673867"", ""out1g!A:B""), 2, FALSE), 0)"),293.0)</f>
        <v>293</v>
      </c>
      <c r="D5916" s="2" t="str">
        <f>IFERROR(__xludf.DUMMYFUNCTION("IFERROR(VLOOKUP(A5916, IMPORTRANGE(""https://docs.google.com/spreadsheets/d/1-3Vjw2Cyy-mry5gbC8ypIR3YVGFfEpyFESummAta6sg/edit"", ""Sheet1!B:D""), 2, FALSE), ""Not Found"")"),"spaɪn")</f>
        <v>spaɪn</v>
      </c>
      <c r="E5916" s="2" t="str">
        <f>IFERROR(__xludf.DUMMYFUNCTION("IFERROR(VLOOKUP(A5916, IMPORTRANGE(""https://docs.google.com/spreadsheets/d/1-3Vjw2Cyy-mry5gbC8ypIR3YVGFfEpyFESummAta6sg/edit"", ""Sheet1!B:D""), 3, FALSE), ""Not Found"")"),"s p a ɪ n ")</f>
        <v>s p a ɪ n </v>
      </c>
    </row>
    <row r="5917">
      <c r="A5917" s="1" t="s">
        <v>5919</v>
      </c>
      <c r="B5917" s="1" t="s">
        <v>5</v>
      </c>
      <c r="C5917" s="2">
        <f>IFERROR(__xludf.DUMMYFUNCTION("IFERROR(VLOOKUP(A5917, IMPORTRANGE(""https://docs.google.com/spreadsheets/d/1AVX9GT0dgogEBStecCXMMQ29tWz3gBrtNB8yIromXbY/edit?gid=741673867"", ""out1g!A:B""), 2, FALSE), 0)"),2199.0)</f>
        <v>2199</v>
      </c>
      <c r="D5917" s="2" t="str">
        <f>IFERROR(__xludf.DUMMYFUNCTION("IFERROR(VLOOKUP(A5917, IMPORTRANGE(""https://docs.google.com/spreadsheets/d/1-3Vjw2Cyy-mry5gbC8ypIR3YVGFfEpyFESummAta6sg/edit"", ""Sheet1!B:D""), 2, FALSE), ""Not Found"")"),"dev")</f>
        <v>dev</v>
      </c>
      <c r="E5917" s="2" t="str">
        <f>IFERROR(__xludf.DUMMYFUNCTION("IFERROR(VLOOKUP(A5917, IMPORTRANGE(""https://docs.google.com/spreadsheets/d/1-3Vjw2Cyy-mry5gbC8ypIR3YVGFfEpyFESummAta6sg/edit"", ""Sheet1!B:D""), 3, FALSE), ""Not Found"")"),"d e v ")</f>
        <v>d e v </v>
      </c>
    </row>
    <row r="5918">
      <c r="A5918" s="1" t="s">
        <v>5920</v>
      </c>
      <c r="B5918" s="1" t="s">
        <v>5</v>
      </c>
      <c r="C5918" s="2">
        <f>IFERROR(__xludf.DUMMYFUNCTION("IFERROR(VLOOKUP(A5918, IMPORTRANGE(""https://docs.google.com/spreadsheets/d/1AVX9GT0dgogEBStecCXMMQ29tWz3gBrtNB8yIromXbY/edit?gid=741673867"", ""out1g!A:B""), 2, FALSE), 0)"),113.0)</f>
        <v>113</v>
      </c>
      <c r="D5918" s="2" t="str">
        <f>IFERROR(__xludf.DUMMYFUNCTION("IFERROR(VLOOKUP(A5918, IMPORTRANGE(""https://docs.google.com/spreadsheets/d/1-3Vjw2Cyy-mry5gbC8ypIR3YVGFfEpyFESummAta6sg/edit"", ""Sheet1!B:D""), 2, FALSE), ""Not Found"")"),"guf")</f>
        <v>guf</v>
      </c>
      <c r="E5918" s="2" t="str">
        <f>IFERROR(__xludf.DUMMYFUNCTION("IFERROR(VLOOKUP(A5918, IMPORTRANGE(""https://docs.google.com/spreadsheets/d/1-3Vjw2Cyy-mry5gbC8ypIR3YVGFfEpyFESummAta6sg/edit"", ""Sheet1!B:D""), 3, FALSE), ""Not Found"")"),"g u f ")</f>
        <v>g u f </v>
      </c>
    </row>
    <row r="5919">
      <c r="A5919" s="1" t="s">
        <v>5921</v>
      </c>
      <c r="B5919" s="1" t="s">
        <v>5</v>
      </c>
      <c r="C5919" s="2">
        <f>IFERROR(__xludf.DUMMYFUNCTION("IFERROR(VLOOKUP(A5919, IMPORTRANGE(""https://docs.google.com/spreadsheets/d/1AVX9GT0dgogEBStecCXMMQ29tWz3gBrtNB8yIromXbY/edit?gid=741673867"", ""out1g!A:B""), 2, FALSE), 0)"),1974.0)</f>
        <v>1974</v>
      </c>
      <c r="D5919" s="2" t="str">
        <f>IFERROR(__xludf.DUMMYFUNCTION("IFERROR(VLOOKUP(A5919, IMPORTRANGE(""https://docs.google.com/spreadsheets/d/1-3Vjw2Cyy-mry5gbC8ypIR3YVGFfEpyFESummAta6sg/edit"", ""Sheet1!B:D""), 2, FALSE), ""Not Found"")"),"din")</f>
        <v>din</v>
      </c>
      <c r="E5919" s="2" t="str">
        <f>IFERROR(__xludf.DUMMYFUNCTION("IFERROR(VLOOKUP(A5919, IMPORTRANGE(""https://docs.google.com/spreadsheets/d/1-3Vjw2Cyy-mry5gbC8ypIR3YVGFfEpyFESummAta6sg/edit"", ""Sheet1!B:D""), 3, FALSE), ""Not Found"")"),"d i n ")</f>
        <v>d i n </v>
      </c>
    </row>
    <row r="5920">
      <c r="A5920" s="1" t="s">
        <v>5922</v>
      </c>
      <c r="B5920" s="1" t="s">
        <v>5</v>
      </c>
      <c r="C5920" s="2">
        <f>IFERROR(__xludf.DUMMYFUNCTION("IFERROR(VLOOKUP(A5920, IMPORTRANGE(""https://docs.google.com/spreadsheets/d/1AVX9GT0dgogEBStecCXMMQ29tWz3gBrtNB8yIromXbY/edit?gid=741673867"", ""out1g!A:B""), 2, FALSE), 0)"),64.0)</f>
        <v>64</v>
      </c>
      <c r="D5920" s="2" t="str">
        <f>IFERROR(__xludf.DUMMYFUNCTION("IFERROR(VLOOKUP(A5920, IMPORTRANGE(""https://docs.google.com/spreadsheets/d/1-3Vjw2Cyy-mry5gbC8ypIR3YVGFfEpyFESummAta6sg/edit"", ""Sheet1!B:D""), 2, FALSE), ""Not Found"")"),"jɪp")</f>
        <v>jɪp</v>
      </c>
      <c r="E5920" s="2" t="str">
        <f>IFERROR(__xludf.DUMMYFUNCTION("IFERROR(VLOOKUP(A5920, IMPORTRANGE(""https://docs.google.com/spreadsheets/d/1-3Vjw2Cyy-mry5gbC8ypIR3YVGFfEpyFESummAta6sg/edit"", ""Sheet1!B:D""), 3, FALSE), ""Not Found"")"),"j ɪ p ")</f>
        <v>j ɪ p </v>
      </c>
    </row>
    <row r="5921">
      <c r="A5921" s="1" t="s">
        <v>5923</v>
      </c>
      <c r="B5921" s="1" t="s">
        <v>5</v>
      </c>
      <c r="C5921" s="2">
        <f>IFERROR(__xludf.DUMMYFUNCTION("IFERROR(VLOOKUP(A5921, IMPORTRANGE(""https://docs.google.com/spreadsheets/d/1AVX9GT0dgogEBStecCXMMQ29tWz3gBrtNB8yIromXbY/edit?gid=741673867"", ""out1g!A:B""), 2, FALSE), 0)"),82.0)</f>
        <v>82</v>
      </c>
      <c r="D5921" s="2" t="str">
        <f>IFERROR(__xludf.DUMMYFUNCTION("IFERROR(VLOOKUP(A5921, IMPORTRANGE(""https://docs.google.com/spreadsheets/d/1-3Vjw2Cyy-mry5gbC8ypIR3YVGFfEpyFESummAta6sg/edit"", ""Sheet1!B:D""), 2, FALSE), ""Not Found"")"),"brɑs")</f>
        <v>brɑs</v>
      </c>
      <c r="E5921" s="2" t="str">
        <f>IFERROR(__xludf.DUMMYFUNCTION("IFERROR(VLOOKUP(A5921, IMPORTRANGE(""https://docs.google.com/spreadsheets/d/1-3Vjw2Cyy-mry5gbC8ypIR3YVGFfEpyFESummAta6sg/edit"", ""Sheet1!B:D""), 3, FALSE), ""Not Found"")"),"b r ɑ s ")</f>
        <v>b r ɑ s </v>
      </c>
    </row>
    <row r="5922">
      <c r="A5922" s="1" t="s">
        <v>5924</v>
      </c>
      <c r="B5922" s="1" t="s">
        <v>5</v>
      </c>
      <c r="C5922" s="2">
        <f>IFERROR(__xludf.DUMMYFUNCTION("IFERROR(VLOOKUP(A5922, IMPORTRANGE(""https://docs.google.com/spreadsheets/d/1AVX9GT0dgogEBStecCXMMQ29tWz3gBrtNB8yIromXbY/edit?gid=741673867"", ""out1g!A:B""), 2, FALSE), 0)"),55.0)</f>
        <v>55</v>
      </c>
      <c r="D5922" s="2" t="str">
        <f>IFERROR(__xludf.DUMMYFUNCTION("IFERROR(VLOOKUP(A5922, IMPORTRANGE(""https://docs.google.com/spreadsheets/d/1-3Vjw2Cyy-mry5gbC8ypIR3YVGFfEpyFESummAta6sg/edit"", ""Sheet1!B:D""), 2, FALSE), ""Not Found"")"),"sʊt")</f>
        <v>sʊt</v>
      </c>
      <c r="E5922" s="2" t="str">
        <f>IFERROR(__xludf.DUMMYFUNCTION("IFERROR(VLOOKUP(A5922, IMPORTRANGE(""https://docs.google.com/spreadsheets/d/1-3Vjw2Cyy-mry5gbC8ypIR3YVGFfEpyFESummAta6sg/edit"", ""Sheet1!B:D""), 3, FALSE), ""Not Found"")"),"s ʊ t ")</f>
        <v>s ʊ t </v>
      </c>
    </row>
    <row r="5923">
      <c r="A5923" s="1" t="s">
        <v>5925</v>
      </c>
      <c r="B5923" s="1" t="s">
        <v>5</v>
      </c>
      <c r="C5923" s="2">
        <f>IFERROR(__xludf.DUMMYFUNCTION("IFERROR(VLOOKUP(A5923, IMPORTRANGE(""https://docs.google.com/spreadsheets/d/1AVX9GT0dgogEBStecCXMMQ29tWz3gBrtNB8yIromXbY/edit?gid=741673867"", ""out1g!A:B""), 2, FALSE), 0)"),1301.0)</f>
        <v>1301</v>
      </c>
      <c r="D5923" s="2" t="str">
        <f>IFERROR(__xludf.DUMMYFUNCTION("IFERROR(VLOOKUP(A5923, IMPORTRANGE(""https://docs.google.com/spreadsheets/d/1-3Vjw2Cyy-mry5gbC8ypIR3YVGFfEpyFESummAta6sg/edit"", ""Sheet1!B:D""), 2, FALSE), ""Not Found"")"),"kaʊ")</f>
        <v>kaʊ</v>
      </c>
      <c r="E5923" s="2" t="str">
        <f>IFERROR(__xludf.DUMMYFUNCTION("IFERROR(VLOOKUP(A5923, IMPORTRANGE(""https://docs.google.com/spreadsheets/d/1-3Vjw2Cyy-mry5gbC8ypIR3YVGFfEpyFESummAta6sg/edit"", ""Sheet1!B:D""), 3, FALSE), ""Not Found"")"),"k a ʊ ")</f>
        <v>k a ʊ </v>
      </c>
    </row>
    <row r="5924">
      <c r="A5924" s="1" t="s">
        <v>5926</v>
      </c>
      <c r="B5924" s="1" t="s">
        <v>5</v>
      </c>
      <c r="C5924" s="2">
        <f>IFERROR(__xludf.DUMMYFUNCTION("IFERROR(VLOOKUP(A5924, IMPORTRANGE(""https://docs.google.com/spreadsheets/d/1AVX9GT0dgogEBStecCXMMQ29tWz3gBrtNB8yIromXbY/edit?gid=741673867"", ""out1g!A:B""), 2, FALSE), 0)"),124.0)</f>
        <v>124</v>
      </c>
      <c r="D5924" s="2" t="str">
        <f>IFERROR(__xludf.DUMMYFUNCTION("IFERROR(VLOOKUP(A5924, IMPORTRANGE(""https://docs.google.com/spreadsheets/d/1-3Vjw2Cyy-mry5gbC8ypIR3YVGFfEpyFESummAta6sg/edit"", ""Sheet1!B:D""), 2, FALSE), ""Not Found"")"),"daɪvər")</f>
        <v>daɪvər</v>
      </c>
      <c r="E5924" s="2" t="str">
        <f>IFERROR(__xludf.DUMMYFUNCTION("IFERROR(VLOOKUP(A5924, IMPORTRANGE(""https://docs.google.com/spreadsheets/d/1-3Vjw2Cyy-mry5gbC8ypIR3YVGFfEpyFESummAta6sg/edit"", ""Sheet1!B:D""), 3, FALSE), ""Not Found"")"),"d a ɪ v ə r ")</f>
        <v>d a ɪ v ə r </v>
      </c>
    </row>
    <row r="5925">
      <c r="A5925" s="1" t="s">
        <v>5927</v>
      </c>
      <c r="B5925" s="1" t="s">
        <v>5</v>
      </c>
      <c r="C5925" s="2">
        <f>IFERROR(__xludf.DUMMYFUNCTION("IFERROR(VLOOKUP(A5925, IMPORTRANGE(""https://docs.google.com/spreadsheets/d/1AVX9GT0dgogEBStecCXMMQ29tWz3gBrtNB8yIromXbY/edit?gid=741673867"", ""out1g!A:B""), 2, FALSE), 0)"),141.0)</f>
        <v>141</v>
      </c>
      <c r="D5925" s="2" t="str">
        <f>IFERROR(__xludf.DUMMYFUNCTION("IFERROR(VLOOKUP(A5925, IMPORTRANGE(""https://docs.google.com/spreadsheets/d/1-3Vjw2Cyy-mry5gbC8ypIR3YVGFfEpyFESummAta6sg/edit"", ""Sheet1!B:D""), 2, FALSE), ""Not Found"")"),"wuf")</f>
        <v>wuf</v>
      </c>
      <c r="E5925" s="2" t="str">
        <f>IFERROR(__xludf.DUMMYFUNCTION("IFERROR(VLOOKUP(A5925, IMPORTRANGE(""https://docs.google.com/spreadsheets/d/1-3Vjw2Cyy-mry5gbC8ypIR3YVGFfEpyFESummAta6sg/edit"", ""Sheet1!B:D""), 3, FALSE), ""Not Found"")"),"w u f ")</f>
        <v>w u f </v>
      </c>
    </row>
    <row r="5926">
      <c r="A5926" s="1" t="s">
        <v>5928</v>
      </c>
      <c r="B5926" s="1" t="s">
        <v>5</v>
      </c>
      <c r="C5926" s="2">
        <f>IFERROR(__xludf.DUMMYFUNCTION("IFERROR(VLOOKUP(A5926, IMPORTRANGE(""https://docs.google.com/spreadsheets/d/1AVX9GT0dgogEBStecCXMMQ29tWz3gBrtNB8yIromXbY/edit?gid=741673867"", ""out1g!A:B""), 2, FALSE), 0)"),412.0)</f>
        <v>412</v>
      </c>
      <c r="D5926" s="2" t="str">
        <f>IFERROR(__xludf.DUMMYFUNCTION("IFERROR(VLOOKUP(A5926, IMPORTRANGE(""https://docs.google.com/spreadsheets/d/1-3Vjw2Cyy-mry5gbC8ypIR3YVGFfEpyFESummAta6sg/edit"", ""Sheet1!B:D""), 2, FALSE), ""Not Found"")"),"riʧɪŋ")</f>
        <v>riʧɪŋ</v>
      </c>
      <c r="E5926" s="2" t="str">
        <f>IFERROR(__xludf.DUMMYFUNCTION("IFERROR(VLOOKUP(A5926, IMPORTRANGE(""https://docs.google.com/spreadsheets/d/1-3Vjw2Cyy-mry5gbC8ypIR3YVGFfEpyFESummAta6sg/edit"", ""Sheet1!B:D""), 3, FALSE), ""Not Found"")"),"r i ʧ ɪ ŋ ")</f>
        <v>r i ʧ ɪ ŋ </v>
      </c>
    </row>
    <row r="5927">
      <c r="A5927" s="1" t="s">
        <v>5929</v>
      </c>
      <c r="B5927" s="1" t="s">
        <v>5</v>
      </c>
      <c r="C5927" s="2">
        <f>IFERROR(__xludf.DUMMYFUNCTION("IFERROR(VLOOKUP(A5927, IMPORTRANGE(""https://docs.google.com/spreadsheets/d/1AVX9GT0dgogEBStecCXMMQ29tWz3gBrtNB8yIromXbY/edit?gid=741673867"", ""out1g!A:B""), 2, FALSE), 0)"),265.0)</f>
        <v>265</v>
      </c>
      <c r="D5927" s="2" t="str">
        <f>IFERROR(__xludf.DUMMYFUNCTION("IFERROR(VLOOKUP(A5927, IMPORTRANGE(""https://docs.google.com/spreadsheets/d/1-3Vjw2Cyy-mry5gbC8ypIR3YVGFfEpyFESummAta6sg/edit"", ""Sheet1!B:D""), 2, FALSE), ""Not Found"")"),"lif")</f>
        <v>lif</v>
      </c>
      <c r="E5927" s="2" t="str">
        <f>IFERROR(__xludf.DUMMYFUNCTION("IFERROR(VLOOKUP(A5927, IMPORTRANGE(""https://docs.google.com/spreadsheets/d/1-3Vjw2Cyy-mry5gbC8ypIR3YVGFfEpyFESummAta6sg/edit"", ""Sheet1!B:D""), 3, FALSE), ""Not Found"")"),"l i f ")</f>
        <v>l i f </v>
      </c>
    </row>
    <row r="5928">
      <c r="A5928" s="1" t="s">
        <v>5930</v>
      </c>
      <c r="B5928" s="1" t="s">
        <v>5</v>
      </c>
      <c r="C5928" s="2">
        <f>IFERROR(__xludf.DUMMYFUNCTION("IFERROR(VLOOKUP(A5928, IMPORTRANGE(""https://docs.google.com/spreadsheets/d/1AVX9GT0dgogEBStecCXMMQ29tWz3gBrtNB8yIromXbY/edit?gid=741673867"", ""out1g!A:B""), 2, FALSE), 0)"),95.0)</f>
        <v>95</v>
      </c>
      <c r="D5928" s="2" t="str">
        <f>IFERROR(__xludf.DUMMYFUNCTION("IFERROR(VLOOKUP(A5928, IMPORTRANGE(""https://docs.google.com/spreadsheets/d/1-3Vjw2Cyy-mry5gbC8ypIR3YVGFfEpyFESummAta6sg/edit"", ""Sheet1!B:D""), 2, FALSE), ""Not Found"")"),"gaʊnz")</f>
        <v>gaʊnz</v>
      </c>
      <c r="E5928" s="2" t="str">
        <f>IFERROR(__xludf.DUMMYFUNCTION("IFERROR(VLOOKUP(A5928, IMPORTRANGE(""https://docs.google.com/spreadsheets/d/1-3Vjw2Cyy-mry5gbC8ypIR3YVGFfEpyFESummAta6sg/edit"", ""Sheet1!B:D""), 3, FALSE), ""Not Found"")"),"g a ʊ n z ")</f>
        <v>g a ʊ n z </v>
      </c>
    </row>
    <row r="5929">
      <c r="A5929" s="1" t="s">
        <v>5931</v>
      </c>
      <c r="B5929" s="1" t="s">
        <v>5</v>
      </c>
      <c r="C5929" s="2">
        <f>IFERROR(__xludf.DUMMYFUNCTION("IFERROR(VLOOKUP(A5929, IMPORTRANGE(""https://docs.google.com/spreadsheets/d/1AVX9GT0dgogEBStecCXMMQ29tWz3gBrtNB8yIromXbY/edit?gid=741673867"", ""out1g!A:B""), 2, FALSE), 0)"),8412.0)</f>
        <v>8412</v>
      </c>
      <c r="D5929" s="2" t="str">
        <f>IFERROR(__xludf.DUMMYFUNCTION("IFERROR(VLOOKUP(A5929, IMPORTRANGE(""https://docs.google.com/spreadsheets/d/1-3Vjw2Cyy-mry5gbC8ypIR3YVGFfEpyFESummAta6sg/edit"", ""Sheet1!B:D""), 2, FALSE), ""Not Found"")"),"ʃut")</f>
        <v>ʃut</v>
      </c>
      <c r="E5929" s="2" t="str">
        <f>IFERROR(__xludf.DUMMYFUNCTION("IFERROR(VLOOKUP(A5929, IMPORTRANGE(""https://docs.google.com/spreadsheets/d/1-3Vjw2Cyy-mry5gbC8ypIR3YVGFfEpyFESummAta6sg/edit"", ""Sheet1!B:D""), 3, FALSE), ""Not Found"")"),"ʃ u t ")</f>
        <v>ʃ u t </v>
      </c>
    </row>
    <row r="5930">
      <c r="A5930" s="1" t="s">
        <v>5932</v>
      </c>
      <c r="B5930" s="1" t="s">
        <v>5</v>
      </c>
      <c r="C5930" s="2">
        <f>IFERROR(__xludf.DUMMYFUNCTION("IFERROR(VLOOKUP(A5930, IMPORTRANGE(""https://docs.google.com/spreadsheets/d/1AVX9GT0dgogEBStecCXMMQ29tWz3gBrtNB8yIromXbY/edit?gid=741673867"", ""out1g!A:B""), 2, FALSE), 0)"),1617.0)</f>
        <v>1617</v>
      </c>
      <c r="D5930" s="2" t="str">
        <f>IFERROR(__xludf.DUMMYFUNCTION("IFERROR(VLOOKUP(A5930, IMPORTRANGE(""https://docs.google.com/spreadsheets/d/1-3Vjw2Cyy-mry5gbC8ypIR3YVGFfEpyFESummAta6sg/edit"", ""Sheet1!B:D""), 2, FALSE), ""Not Found"")"),"brev")</f>
        <v>brev</v>
      </c>
      <c r="E5930" s="2" t="str">
        <f>IFERROR(__xludf.DUMMYFUNCTION("IFERROR(VLOOKUP(A5930, IMPORTRANGE(""https://docs.google.com/spreadsheets/d/1-3Vjw2Cyy-mry5gbC8ypIR3YVGFfEpyFESummAta6sg/edit"", ""Sheet1!B:D""), 3, FALSE), ""Not Found"")"),"b r e v ")</f>
        <v>b r e v </v>
      </c>
    </row>
    <row r="5931">
      <c r="A5931" s="1" t="s">
        <v>5933</v>
      </c>
      <c r="B5931" s="1" t="s">
        <v>5</v>
      </c>
      <c r="C5931" s="2">
        <f>IFERROR(__xludf.DUMMYFUNCTION("IFERROR(VLOOKUP(A5931, IMPORTRANGE(""https://docs.google.com/spreadsheets/d/1AVX9GT0dgogEBStecCXMMQ29tWz3gBrtNB8yIromXbY/edit?gid=741673867"", ""out1g!A:B""), 2, FALSE), 0)"),485.0)</f>
        <v>485</v>
      </c>
      <c r="D5931" s="2" t="str">
        <f>IFERROR(__xludf.DUMMYFUNCTION("IFERROR(VLOOKUP(A5931, IMPORTRANGE(""https://docs.google.com/spreadsheets/d/1-3Vjw2Cyy-mry5gbC8ypIR3YVGFfEpyFESummAta6sg/edit"", ""Sheet1!B:D""), 2, FALSE), ""Not Found"")"),"kʊkt")</f>
        <v>kʊkt</v>
      </c>
      <c r="E5931" s="2" t="str">
        <f>IFERROR(__xludf.DUMMYFUNCTION("IFERROR(VLOOKUP(A5931, IMPORTRANGE(""https://docs.google.com/spreadsheets/d/1-3Vjw2Cyy-mry5gbC8ypIR3YVGFfEpyFESummAta6sg/edit"", ""Sheet1!B:D""), 3, FALSE), ""Not Found"")"),"k ʊ k t ")</f>
        <v>k ʊ k t </v>
      </c>
    </row>
    <row r="5932">
      <c r="A5932" s="1" t="s">
        <v>5934</v>
      </c>
      <c r="B5932" s="1" t="s">
        <v>5</v>
      </c>
      <c r="C5932" s="2">
        <f>IFERROR(__xludf.DUMMYFUNCTION("IFERROR(VLOOKUP(A5932, IMPORTRANGE(""https://docs.google.com/spreadsheets/d/1AVX9GT0dgogEBStecCXMMQ29tWz3gBrtNB8yIromXbY/edit?gid=741673867"", ""out1g!A:B""), 2, FALSE), 0)"),162.0)</f>
        <v>162</v>
      </c>
      <c r="D5932" s="2" t="str">
        <f>IFERROR(__xludf.DUMMYFUNCTION("IFERROR(VLOOKUP(A5932, IMPORTRANGE(""https://docs.google.com/spreadsheets/d/1-3Vjw2Cyy-mry5gbC8ypIR3YVGFfEpyFESummAta6sg/edit"", ""Sheet1!B:D""), 2, FALSE), ""Not Found"")"),"kræbz")</f>
        <v>kræbz</v>
      </c>
      <c r="E5932" s="2" t="str">
        <f>IFERROR(__xludf.DUMMYFUNCTION("IFERROR(VLOOKUP(A5932, IMPORTRANGE(""https://docs.google.com/spreadsheets/d/1-3Vjw2Cyy-mry5gbC8ypIR3YVGFfEpyFESummAta6sg/edit"", ""Sheet1!B:D""), 3, FALSE), ""Not Found"")"),"k r æ b z ")</f>
        <v>k r æ b z </v>
      </c>
    </row>
    <row r="5933">
      <c r="A5933" s="1" t="s">
        <v>5935</v>
      </c>
      <c r="B5933" s="1" t="s">
        <v>5</v>
      </c>
      <c r="C5933" s="2">
        <f>IFERROR(__xludf.DUMMYFUNCTION("IFERROR(VLOOKUP(A5933, IMPORTRANGE(""https://docs.google.com/spreadsheets/d/1AVX9GT0dgogEBStecCXMMQ29tWz3gBrtNB8yIromXbY/edit?gid=741673867"", ""out1g!A:B""), 2, FALSE), 0)"),519.0)</f>
        <v>519</v>
      </c>
      <c r="D5933" s="2" t="str">
        <f>IFERROR(__xludf.DUMMYFUNCTION("IFERROR(VLOOKUP(A5933, IMPORTRANGE(""https://docs.google.com/spreadsheets/d/1-3Vjw2Cyy-mry5gbC8ypIR3YVGFfEpyFESummAta6sg/edit"", ""Sheet1!B:D""), 2, FALSE), ""Not Found"")"),"brɪk")</f>
        <v>brɪk</v>
      </c>
      <c r="E5933" s="2" t="str">
        <f>IFERROR(__xludf.DUMMYFUNCTION("IFERROR(VLOOKUP(A5933, IMPORTRANGE(""https://docs.google.com/spreadsheets/d/1-3Vjw2Cyy-mry5gbC8ypIR3YVGFfEpyFESummAta6sg/edit"", ""Sheet1!B:D""), 3, FALSE), ""Not Found"")"),"b r ɪ k ")</f>
        <v>b r ɪ k </v>
      </c>
    </row>
    <row r="5934">
      <c r="A5934" s="1" t="s">
        <v>5936</v>
      </c>
      <c r="B5934" s="1" t="s">
        <v>5</v>
      </c>
      <c r="C5934" s="2">
        <f>IFERROR(__xludf.DUMMYFUNCTION("IFERROR(VLOOKUP(A5934, IMPORTRANGE(""https://docs.google.com/spreadsheets/d/1AVX9GT0dgogEBStecCXMMQ29tWz3gBrtNB8yIromXbY/edit?gid=741673867"", ""out1g!A:B""), 2, FALSE), 0)"),547.0)</f>
        <v>547</v>
      </c>
      <c r="D5934" s="2" t="str">
        <f>IFERROR(__xludf.DUMMYFUNCTION("IFERROR(VLOOKUP(A5934, IMPORTRANGE(""https://docs.google.com/spreadsheets/d/1-3Vjw2Cyy-mry5gbC8ypIR3YVGFfEpyFESummAta6sg/edit"", ""Sheet1!B:D""), 2, FALSE), ""Not Found"")"),"kæθi")</f>
        <v>kæθi</v>
      </c>
      <c r="E5934" s="2" t="str">
        <f>IFERROR(__xludf.DUMMYFUNCTION("IFERROR(VLOOKUP(A5934, IMPORTRANGE(""https://docs.google.com/spreadsheets/d/1-3Vjw2Cyy-mry5gbC8ypIR3YVGFfEpyFESummAta6sg/edit"", ""Sheet1!B:D""), 3, FALSE), ""Not Found"")"),"k æ θ i ")</f>
        <v>k æ θ i </v>
      </c>
    </row>
    <row r="5935">
      <c r="A5935" s="1" t="s">
        <v>5937</v>
      </c>
      <c r="B5935" s="1" t="s">
        <v>5</v>
      </c>
      <c r="C5935" s="2">
        <f>IFERROR(__xludf.DUMMYFUNCTION("IFERROR(VLOOKUP(A5935, IMPORTRANGE(""https://docs.google.com/spreadsheets/d/1AVX9GT0dgogEBStecCXMMQ29tWz3gBrtNB8yIromXbY/edit?gid=741673867"", ""out1g!A:B""), 2, FALSE), 0)"),85.0)</f>
        <v>85</v>
      </c>
      <c r="D5935" s="2" t="str">
        <f>IFERROR(__xludf.DUMMYFUNCTION("IFERROR(VLOOKUP(A5935, IMPORTRANGE(""https://docs.google.com/spreadsheets/d/1-3Vjw2Cyy-mry5gbC8ypIR3YVGFfEpyFESummAta6sg/edit"", ""Sheet1!B:D""), 2, FALSE), ""Not Found"")"),"kɑmp")</f>
        <v>kɑmp</v>
      </c>
      <c r="E5935" s="2" t="str">
        <f>IFERROR(__xludf.DUMMYFUNCTION("IFERROR(VLOOKUP(A5935, IMPORTRANGE(""https://docs.google.com/spreadsheets/d/1-3Vjw2Cyy-mry5gbC8ypIR3YVGFfEpyFESummAta6sg/edit"", ""Sheet1!B:D""), 3, FALSE), ""Not Found"")"),"k ɑ m p ")</f>
        <v>k ɑ m p </v>
      </c>
    </row>
    <row r="5936">
      <c r="A5936" s="1" t="s">
        <v>5938</v>
      </c>
      <c r="B5936" s="1" t="s">
        <v>5</v>
      </c>
      <c r="C5936" s="2">
        <f>IFERROR(__xludf.DUMMYFUNCTION("IFERROR(VLOOKUP(A5936, IMPORTRANGE(""https://docs.google.com/spreadsheets/d/1AVX9GT0dgogEBStecCXMMQ29tWz3gBrtNB8yIromXbY/edit?gid=741673867"", ""out1g!A:B""), 2, FALSE), 0)"),2772.0)</f>
        <v>2772</v>
      </c>
      <c r="D5936" s="2" t="str">
        <f>IFERROR(__xludf.DUMMYFUNCTION("IFERROR(VLOOKUP(A5936, IMPORTRANGE(""https://docs.google.com/spreadsheets/d/1-3Vjw2Cyy-mry5gbC8ypIR3YVGFfEpyFESummAta6sg/edit"", ""Sheet1!B:D""), 2, FALSE), ""Not Found"")"),"sɛl")</f>
        <v>sɛl</v>
      </c>
      <c r="E5936" s="2" t="str">
        <f>IFERROR(__xludf.DUMMYFUNCTION("IFERROR(VLOOKUP(A5936, IMPORTRANGE(""https://docs.google.com/spreadsheets/d/1-3Vjw2Cyy-mry5gbC8ypIR3YVGFfEpyFESummAta6sg/edit"", ""Sheet1!B:D""), 3, FALSE), ""Not Found"")"),"s ɛ l ")</f>
        <v>s ɛ l </v>
      </c>
    </row>
    <row r="5937">
      <c r="A5937" s="1" t="s">
        <v>5939</v>
      </c>
      <c r="B5937" s="1" t="s">
        <v>5</v>
      </c>
      <c r="C5937" s="2">
        <f>IFERROR(__xludf.DUMMYFUNCTION("IFERROR(VLOOKUP(A5937, IMPORTRANGE(""https://docs.google.com/spreadsheets/d/1AVX9GT0dgogEBStecCXMMQ29tWz3gBrtNB8yIromXbY/edit?gid=741673867"", ""out1g!A:B""), 2, FALSE), 0)"),161.0)</f>
        <v>161</v>
      </c>
      <c r="D5937" s="2" t="str">
        <f>IFERROR(__xludf.DUMMYFUNCTION("IFERROR(VLOOKUP(A5937, IMPORTRANGE(""https://docs.google.com/spreadsheets/d/1-3Vjw2Cyy-mry5gbC8ypIR3YVGFfEpyFESummAta6sg/edit"", ""Sheet1!B:D""), 2, FALSE), ""Not Found"")"),"bæθs")</f>
        <v>bæθs</v>
      </c>
      <c r="E5937" s="2" t="str">
        <f>IFERROR(__xludf.DUMMYFUNCTION("IFERROR(VLOOKUP(A5937, IMPORTRANGE(""https://docs.google.com/spreadsheets/d/1-3Vjw2Cyy-mry5gbC8ypIR3YVGFfEpyFESummAta6sg/edit"", ""Sheet1!B:D""), 3, FALSE), ""Not Found"")"),"b æ θ s ")</f>
        <v>b æ θ s </v>
      </c>
    </row>
    <row r="5938">
      <c r="A5938" s="1" t="s">
        <v>5940</v>
      </c>
      <c r="B5938" s="1" t="s">
        <v>5</v>
      </c>
      <c r="C5938" s="2">
        <f>IFERROR(__xludf.DUMMYFUNCTION("IFERROR(VLOOKUP(A5938, IMPORTRANGE(""https://docs.google.com/spreadsheets/d/1AVX9GT0dgogEBStecCXMMQ29tWz3gBrtNB8yIromXbY/edit?gid=741673867"", ""out1g!A:B""), 2, FALSE), 0)"),15812.0)</f>
        <v>15812</v>
      </c>
      <c r="D5938" s="2" t="str">
        <f>IFERROR(__xludf.DUMMYFUNCTION("IFERROR(VLOOKUP(A5938, IMPORTRANGE(""https://docs.google.com/spreadsheets/d/1-3Vjw2Cyy-mry5gbC8ypIR3YVGFfEpyFESummAta6sg/edit"", ""Sheet1!B:D""), 2, FALSE), ""Not Found"")"),"kɔz")</f>
        <v>kɔz</v>
      </c>
      <c r="E5938" s="2" t="str">
        <f>IFERROR(__xludf.DUMMYFUNCTION("IFERROR(VLOOKUP(A5938, IMPORTRANGE(""https://docs.google.com/spreadsheets/d/1-3Vjw2Cyy-mry5gbC8ypIR3YVGFfEpyFESummAta6sg/edit"", ""Sheet1!B:D""), 3, FALSE), ""Not Found"")"),"k ɔ z ")</f>
        <v>k ɔ z </v>
      </c>
    </row>
    <row r="5939">
      <c r="A5939" s="1" t="s">
        <v>5941</v>
      </c>
      <c r="B5939" s="1" t="s">
        <v>5</v>
      </c>
      <c r="C5939" s="2">
        <f>IFERROR(__xludf.DUMMYFUNCTION("IFERROR(VLOOKUP(A5939, IMPORTRANGE(""https://docs.google.com/spreadsheets/d/1AVX9GT0dgogEBStecCXMMQ29tWz3gBrtNB8yIromXbY/edit?gid=741673867"", ""out1g!A:B""), 2, FALSE), 0)"),768.0)</f>
        <v>768</v>
      </c>
      <c r="D5939" s="2" t="str">
        <f>IFERROR(__xludf.DUMMYFUNCTION("IFERROR(VLOOKUP(A5939, IMPORTRANGE(""https://docs.google.com/spreadsheets/d/1-3Vjw2Cyy-mry5gbC8ypIR3YVGFfEpyFESummAta6sg/edit"", ""Sheet1!B:D""), 2, FALSE), ""Not Found"")"),"bɛnd")</f>
        <v>bɛnd</v>
      </c>
      <c r="E5939" s="2" t="str">
        <f>IFERROR(__xludf.DUMMYFUNCTION("IFERROR(VLOOKUP(A5939, IMPORTRANGE(""https://docs.google.com/spreadsheets/d/1-3Vjw2Cyy-mry5gbC8ypIR3YVGFfEpyFESummAta6sg/edit"", ""Sheet1!B:D""), 3, FALSE), ""Not Found"")"),"b ɛ n d ")</f>
        <v>b ɛ n d </v>
      </c>
    </row>
    <row r="5940">
      <c r="A5940" s="1" t="s">
        <v>5942</v>
      </c>
      <c r="B5940" s="1" t="s">
        <v>5</v>
      </c>
      <c r="C5940" s="2">
        <f>IFERROR(__xludf.DUMMYFUNCTION("IFERROR(VLOOKUP(A5940, IMPORTRANGE(""https://docs.google.com/spreadsheets/d/1AVX9GT0dgogEBStecCXMMQ29tWz3gBrtNB8yIromXbY/edit?gid=741673867"", ""out1g!A:B""), 2, FALSE), 0)"),90.0)</f>
        <v>90</v>
      </c>
      <c r="D5940" s="2" t="str">
        <f>IFERROR(__xludf.DUMMYFUNCTION("IFERROR(VLOOKUP(A5940, IMPORTRANGE(""https://docs.google.com/spreadsheets/d/1-3Vjw2Cyy-mry5gbC8ypIR3YVGFfEpyFESummAta6sg/edit"", ""Sheet1!B:D""), 2, FALSE), ""Not Found"")"),"wɪnɪŋz")</f>
        <v>wɪnɪŋz</v>
      </c>
      <c r="E5940" s="2" t="str">
        <f>IFERROR(__xludf.DUMMYFUNCTION("IFERROR(VLOOKUP(A5940, IMPORTRANGE(""https://docs.google.com/spreadsheets/d/1-3Vjw2Cyy-mry5gbC8ypIR3YVGFfEpyFESummAta6sg/edit"", ""Sheet1!B:D""), 3, FALSE), ""Not Found"")"),"w ɪ n ɪ ŋ z ")</f>
        <v>w ɪ n ɪ ŋ z </v>
      </c>
    </row>
    <row r="5941">
      <c r="A5941" s="1" t="s">
        <v>5943</v>
      </c>
      <c r="B5941" s="1" t="s">
        <v>5</v>
      </c>
      <c r="C5941" s="2">
        <f>IFERROR(__xludf.DUMMYFUNCTION("IFERROR(VLOOKUP(A5941, IMPORTRANGE(""https://docs.google.com/spreadsheets/d/1AVX9GT0dgogEBStecCXMMQ29tWz3gBrtNB8yIromXbY/edit?gid=741673867"", ""out1g!A:B""), 2, FALSE), 0)"),87.0)</f>
        <v>87</v>
      </c>
      <c r="D5941" s="2" t="str">
        <f>IFERROR(__xludf.DUMMYFUNCTION("IFERROR(VLOOKUP(A5941, IMPORTRANGE(""https://docs.google.com/spreadsheets/d/1-3Vjw2Cyy-mry5gbC8ypIR3YVGFfEpyFESummAta6sg/edit"", ""Sheet1!B:D""), 2, FALSE), ""Not Found"")"),"lɑkɪt")</f>
        <v>lɑkɪt</v>
      </c>
      <c r="E5941" s="2" t="str">
        <f>IFERROR(__xludf.DUMMYFUNCTION("IFERROR(VLOOKUP(A5941, IMPORTRANGE(""https://docs.google.com/spreadsheets/d/1-3Vjw2Cyy-mry5gbC8ypIR3YVGFfEpyFESummAta6sg/edit"", ""Sheet1!B:D""), 3, FALSE), ""Not Found"")"),"l ɑ k ɪ t ")</f>
        <v>l ɑ k ɪ t </v>
      </c>
    </row>
    <row r="5942">
      <c r="A5942" s="1" t="s">
        <v>5944</v>
      </c>
      <c r="B5942" s="1" t="s">
        <v>5</v>
      </c>
      <c r="C5942" s="2">
        <f>IFERROR(__xludf.DUMMYFUNCTION("IFERROR(VLOOKUP(A5942, IMPORTRANGE(""https://docs.google.com/spreadsheets/d/1AVX9GT0dgogEBStecCXMMQ29tWz3gBrtNB8yIromXbY/edit?gid=741673867"", ""out1g!A:B""), 2, FALSE), 0)"),8437.0)</f>
        <v>8437</v>
      </c>
      <c r="D5942" s="2" t="str">
        <f>IFERROR(__xludf.DUMMYFUNCTION("IFERROR(VLOOKUP(A5942, IMPORTRANGE(""https://docs.google.com/spreadsheets/d/1-3Vjw2Cyy-mry5gbC8ypIR3YVGFfEpyFESummAta6sg/edit"", ""Sheet1!B:D""), 2, FALSE), ""Not Found"")"),"sɪk")</f>
        <v>sɪk</v>
      </c>
      <c r="E5942" s="2" t="str">
        <f>IFERROR(__xludf.DUMMYFUNCTION("IFERROR(VLOOKUP(A5942, IMPORTRANGE(""https://docs.google.com/spreadsheets/d/1-3Vjw2Cyy-mry5gbC8ypIR3YVGFfEpyFESummAta6sg/edit"", ""Sheet1!B:D""), 3, FALSE), ""Not Found"")"),"s ɪ k ")</f>
        <v>s ɪ k </v>
      </c>
    </row>
    <row r="5943">
      <c r="A5943" s="1" t="s">
        <v>5945</v>
      </c>
      <c r="B5943" s="1" t="s">
        <v>5</v>
      </c>
      <c r="C5943" s="2">
        <f>IFERROR(__xludf.DUMMYFUNCTION("IFERROR(VLOOKUP(A5943, IMPORTRANGE(""https://docs.google.com/spreadsheets/d/1AVX9GT0dgogEBStecCXMMQ29tWz3gBrtNB8yIromXbY/edit?gid=741673867"", ""out1g!A:B""), 2, FALSE), 0)"),169.0)</f>
        <v>169</v>
      </c>
      <c r="D5943" s="2" t="str">
        <f>IFERROR(__xludf.DUMMYFUNCTION("IFERROR(VLOOKUP(A5943, IMPORTRANGE(""https://docs.google.com/spreadsheets/d/1-3Vjw2Cyy-mry5gbC8ypIR3YVGFfEpyFESummAta6sg/edit"", ""Sheet1!B:D""), 2, FALSE), ""Not Found"")"),"stɔrd")</f>
        <v>stɔrd</v>
      </c>
      <c r="E5943" s="2" t="str">
        <f>IFERROR(__xludf.DUMMYFUNCTION("IFERROR(VLOOKUP(A5943, IMPORTRANGE(""https://docs.google.com/spreadsheets/d/1-3Vjw2Cyy-mry5gbC8ypIR3YVGFfEpyFESummAta6sg/edit"", ""Sheet1!B:D""), 3, FALSE), ""Not Found"")"),"s t ɔ r d ")</f>
        <v>s t ɔ r d </v>
      </c>
    </row>
    <row r="5944">
      <c r="A5944" s="1" t="s">
        <v>5946</v>
      </c>
      <c r="B5944" s="1" t="s">
        <v>5</v>
      </c>
      <c r="C5944" s="2">
        <f>IFERROR(__xludf.DUMMYFUNCTION("IFERROR(VLOOKUP(A5944, IMPORTRANGE(""https://docs.google.com/spreadsheets/d/1AVX9GT0dgogEBStecCXMMQ29tWz3gBrtNB8yIromXbY/edit?gid=741673867"", ""out1g!A:B""), 2, FALSE), 0)"),66.0)</f>
        <v>66</v>
      </c>
      <c r="D5944" s="2" t="str">
        <f>IFERROR(__xludf.DUMMYFUNCTION("IFERROR(VLOOKUP(A5944, IMPORTRANGE(""https://docs.google.com/spreadsheets/d/1-3Vjw2Cyy-mry5gbC8ypIR3YVGFfEpyFESummAta6sg/edit"", ""Sheet1!B:D""), 2, FALSE), ""Not Found"")"),"ʧɪpər")</f>
        <v>ʧɪpər</v>
      </c>
      <c r="E5944" s="2" t="str">
        <f>IFERROR(__xludf.DUMMYFUNCTION("IFERROR(VLOOKUP(A5944, IMPORTRANGE(""https://docs.google.com/spreadsheets/d/1-3Vjw2Cyy-mry5gbC8ypIR3YVGFfEpyFESummAta6sg/edit"", ""Sheet1!B:D""), 3, FALSE), ""Not Found"")"),"ʧ ɪ p ə r ")</f>
        <v>ʧ ɪ p ə r </v>
      </c>
    </row>
    <row r="5945">
      <c r="A5945" s="1" t="s">
        <v>5947</v>
      </c>
      <c r="B5945" s="1" t="s">
        <v>5</v>
      </c>
      <c r="C5945" s="2">
        <f>IFERROR(__xludf.DUMMYFUNCTION("IFERROR(VLOOKUP(A5945, IMPORTRANGE(""https://docs.google.com/spreadsheets/d/1AVX9GT0dgogEBStecCXMMQ29tWz3gBrtNB8yIromXbY/edit?gid=741673867"", ""out1g!A:B""), 2, FALSE), 0)"),54.0)</f>
        <v>54</v>
      </c>
      <c r="D5945" s="2" t="str">
        <f>IFERROR(__xludf.DUMMYFUNCTION("IFERROR(VLOOKUP(A5945, IMPORTRANGE(""https://docs.google.com/spreadsheets/d/1-3Vjw2Cyy-mry5gbC8ypIR3YVGFfEpyFESummAta6sg/edit"", ""Sheet1!B:D""), 2, FALSE), ""Not Found"")"),"tir")</f>
        <v>tir</v>
      </c>
      <c r="E5945" s="2" t="str">
        <f>IFERROR(__xludf.DUMMYFUNCTION("IFERROR(VLOOKUP(A5945, IMPORTRANGE(""https://docs.google.com/spreadsheets/d/1-3Vjw2Cyy-mry5gbC8ypIR3YVGFfEpyFESummAta6sg/edit"", ""Sheet1!B:D""), 3, FALSE), ""Not Found"")"),"t i r ")</f>
        <v>t i r </v>
      </c>
    </row>
    <row r="5946">
      <c r="A5946" s="1" t="s">
        <v>5948</v>
      </c>
      <c r="B5946" s="1" t="s">
        <v>5</v>
      </c>
      <c r="C5946" s="2">
        <f>IFERROR(__xludf.DUMMYFUNCTION("IFERROR(VLOOKUP(A5946, IMPORTRANGE(""https://docs.google.com/spreadsheets/d/1AVX9GT0dgogEBStecCXMMQ29tWz3gBrtNB8yIromXbY/edit?gid=741673867"", ""out1g!A:B""), 2, FALSE), 0)"),147.0)</f>
        <v>147</v>
      </c>
      <c r="D5946" s="2" t="str">
        <f>IFERROR(__xludf.DUMMYFUNCTION("IFERROR(VLOOKUP(A5946, IMPORTRANGE(""https://docs.google.com/spreadsheets/d/1-3Vjw2Cyy-mry5gbC8ypIR3YVGFfEpyFESummAta6sg/edit"", ""Sheet1!B:D""), 2, FALSE), ""Not Found"")"),"wɪtər")</f>
        <v>wɪtər</v>
      </c>
      <c r="E5946" s="2" t="str">
        <f>IFERROR(__xludf.DUMMYFUNCTION("IFERROR(VLOOKUP(A5946, IMPORTRANGE(""https://docs.google.com/spreadsheets/d/1-3Vjw2Cyy-mry5gbC8ypIR3YVGFfEpyFESummAta6sg/edit"", ""Sheet1!B:D""), 3, FALSE), ""Not Found"")"),"w ɪ t ə r ")</f>
        <v>w ɪ t ə r </v>
      </c>
    </row>
    <row r="5947">
      <c r="A5947" s="1" t="s">
        <v>5949</v>
      </c>
      <c r="B5947" s="1" t="s">
        <v>5</v>
      </c>
      <c r="C5947" s="2">
        <f>IFERROR(__xludf.DUMMYFUNCTION("IFERROR(VLOOKUP(A5947, IMPORTRANGE(""https://docs.google.com/spreadsheets/d/1AVX9GT0dgogEBStecCXMMQ29tWz3gBrtNB8yIromXbY/edit?gid=741673867"", ""out1g!A:B""), 2, FALSE), 0)"),71.0)</f>
        <v>71</v>
      </c>
      <c r="D5947" s="2" t="str">
        <f>IFERROR(__xludf.DUMMYFUNCTION("IFERROR(VLOOKUP(A5947, IMPORTRANGE(""https://docs.google.com/spreadsheets/d/1-3Vjw2Cyy-mry5gbC8ypIR3YVGFfEpyFESummAta6sg/edit"", ""Sheet1!B:D""), 2, FALSE), ""Not Found"")"),"saɪtɪŋz")</f>
        <v>saɪtɪŋz</v>
      </c>
      <c r="E5947" s="2" t="str">
        <f>IFERROR(__xludf.DUMMYFUNCTION("IFERROR(VLOOKUP(A5947, IMPORTRANGE(""https://docs.google.com/spreadsheets/d/1-3Vjw2Cyy-mry5gbC8ypIR3YVGFfEpyFESummAta6sg/edit"", ""Sheet1!B:D""), 3, FALSE), ""Not Found"")"),"s a ɪ t ɪ ŋ z ")</f>
        <v>s a ɪ t ɪ ŋ z </v>
      </c>
    </row>
    <row r="5948">
      <c r="A5948" s="1" t="s">
        <v>5950</v>
      </c>
      <c r="B5948" s="1" t="s">
        <v>5</v>
      </c>
      <c r="C5948" s="2">
        <f>IFERROR(__xludf.DUMMYFUNCTION("IFERROR(VLOOKUP(A5948, IMPORTRANGE(""https://docs.google.com/spreadsheets/d/1AVX9GT0dgogEBStecCXMMQ29tWz3gBrtNB8yIromXbY/edit?gid=741673867"", ""out1g!A:B""), 2, FALSE), 0)"),225.0)</f>
        <v>225</v>
      </c>
      <c r="D5948" s="2" t="str">
        <f>IFERROR(__xludf.DUMMYFUNCTION("IFERROR(VLOOKUP(A5948, IMPORTRANGE(""https://docs.google.com/spreadsheets/d/1-3Vjw2Cyy-mry5gbC8ypIR3YVGFfEpyFESummAta6sg/edit"", ""Sheet1!B:D""), 2, FALSE), ""Not Found"")"),"ɑlə")</f>
        <v>ɑlə</v>
      </c>
      <c r="E5948" s="2" t="str">
        <f>IFERROR(__xludf.DUMMYFUNCTION("IFERROR(VLOOKUP(A5948, IMPORTRANGE(""https://docs.google.com/spreadsheets/d/1-3Vjw2Cyy-mry5gbC8ypIR3YVGFfEpyFESummAta6sg/edit"", ""Sheet1!B:D""), 3, FALSE), ""Not Found"")"),"ɑ l ə ")</f>
        <v>ɑ l ə </v>
      </c>
    </row>
    <row r="5949">
      <c r="A5949" s="1" t="s">
        <v>5951</v>
      </c>
      <c r="B5949" s="1" t="s">
        <v>5</v>
      </c>
      <c r="C5949" s="2">
        <f>IFERROR(__xludf.DUMMYFUNCTION("IFERROR(VLOOKUP(A5949, IMPORTRANGE(""https://docs.google.com/spreadsheets/d/1AVX9GT0dgogEBStecCXMMQ29tWz3gBrtNB8yIromXbY/edit?gid=741673867"", ""out1g!A:B""), 2, FALSE), 0)"),4909.0)</f>
        <v>4909</v>
      </c>
      <c r="D5949" s="2" t="str">
        <f>IFERROR(__xludf.DUMMYFUNCTION("IFERROR(VLOOKUP(A5949, IMPORTRANGE(""https://docs.google.com/spreadsheets/d/1-3Vjw2Cyy-mry5gbC8ypIR3YVGFfEpyFESummAta6sg/edit"", ""Sheet1!B:D""), 2, FALSE), ""Not Found"")"),"smɑrt")</f>
        <v>smɑrt</v>
      </c>
      <c r="E5949" s="2" t="str">
        <f>IFERROR(__xludf.DUMMYFUNCTION("IFERROR(VLOOKUP(A5949, IMPORTRANGE(""https://docs.google.com/spreadsheets/d/1-3Vjw2Cyy-mry5gbC8ypIR3YVGFfEpyFESummAta6sg/edit"", ""Sheet1!B:D""), 3, FALSE), ""Not Found"")"),"s m ɑ r t ")</f>
        <v>s m ɑ r t </v>
      </c>
    </row>
    <row r="5950">
      <c r="A5950" s="1" t="s">
        <v>5952</v>
      </c>
      <c r="B5950" s="1" t="s">
        <v>5</v>
      </c>
      <c r="C5950" s="2">
        <f>IFERROR(__xludf.DUMMYFUNCTION("IFERROR(VLOOKUP(A5950, IMPORTRANGE(""https://docs.google.com/spreadsheets/d/1AVX9GT0dgogEBStecCXMMQ29tWz3gBrtNB8yIromXbY/edit?gid=741673867"", ""out1g!A:B""), 2, FALSE), 0)"),375.0)</f>
        <v>375</v>
      </c>
      <c r="D5950" s="2" t="str">
        <f>IFERROR(__xludf.DUMMYFUNCTION("IFERROR(VLOOKUP(A5950, IMPORTRANGE(""https://docs.google.com/spreadsheets/d/1-3Vjw2Cyy-mry5gbC8ypIR3YVGFfEpyFESummAta6sg/edit"", ""Sheet1!B:D""), 2, FALSE), ""Not Found"")"),"brutəl")</f>
        <v>brutəl</v>
      </c>
      <c r="E5950" s="2" t="str">
        <f>IFERROR(__xludf.DUMMYFUNCTION("IFERROR(VLOOKUP(A5950, IMPORTRANGE(""https://docs.google.com/spreadsheets/d/1-3Vjw2Cyy-mry5gbC8ypIR3YVGFfEpyFESummAta6sg/edit"", ""Sheet1!B:D""), 3, FALSE), ""Not Found"")"),"b r u t ə l ")</f>
        <v>b r u t ə l </v>
      </c>
    </row>
    <row r="5951">
      <c r="A5951" s="1" t="s">
        <v>5953</v>
      </c>
      <c r="B5951" s="1" t="s">
        <v>5</v>
      </c>
      <c r="C5951" s="2">
        <f>IFERROR(__xludf.DUMMYFUNCTION("IFERROR(VLOOKUP(A5951, IMPORTRANGE(""https://docs.google.com/spreadsheets/d/1AVX9GT0dgogEBStecCXMMQ29tWz3gBrtNB8yIromXbY/edit?gid=741673867"", ""out1g!A:B""), 2, FALSE), 0)"),215.0)</f>
        <v>215</v>
      </c>
      <c r="D5951" s="2" t="str">
        <f>IFERROR(__xludf.DUMMYFUNCTION("IFERROR(VLOOKUP(A5951, IMPORTRANGE(""https://docs.google.com/spreadsheets/d/1-3Vjw2Cyy-mry5gbC8ypIR3YVGFfEpyFESummAta6sg/edit"", ""Sheet1!B:D""), 2, FALSE), ""Not Found"")"),"splæʃ")</f>
        <v>splæʃ</v>
      </c>
      <c r="E5951" s="2" t="str">
        <f>IFERROR(__xludf.DUMMYFUNCTION("IFERROR(VLOOKUP(A5951, IMPORTRANGE(""https://docs.google.com/spreadsheets/d/1-3Vjw2Cyy-mry5gbC8ypIR3YVGFfEpyFESummAta6sg/edit"", ""Sheet1!B:D""), 3, FALSE), ""Not Found"")"),"s p l æ ʃ ")</f>
        <v>s p l æ ʃ </v>
      </c>
    </row>
    <row r="5952">
      <c r="A5952" s="1" t="s">
        <v>5954</v>
      </c>
      <c r="B5952" s="1" t="s">
        <v>5</v>
      </c>
      <c r="C5952" s="2">
        <f>IFERROR(__xludf.DUMMYFUNCTION("IFERROR(VLOOKUP(A5952, IMPORTRANGE(""https://docs.google.com/spreadsheets/d/1AVX9GT0dgogEBStecCXMMQ29tWz3gBrtNB8yIromXbY/edit?gid=741673867"", ""out1g!A:B""), 2, FALSE), 0)"),154.0)</f>
        <v>154</v>
      </c>
      <c r="D5952" s="2" t="str">
        <f>IFERROR(__xludf.DUMMYFUNCTION("IFERROR(VLOOKUP(A5952, IMPORTRANGE(""https://docs.google.com/spreadsheets/d/1-3Vjw2Cyy-mry5gbC8ypIR3YVGFfEpyFESummAta6sg/edit"", ""Sheet1!B:D""), 2, FALSE), ""Not Found"")"),"esæp")</f>
        <v>esæp</v>
      </c>
      <c r="E5952" s="2" t="str">
        <f>IFERROR(__xludf.DUMMYFUNCTION("IFERROR(VLOOKUP(A5952, IMPORTRANGE(""https://docs.google.com/spreadsheets/d/1-3Vjw2Cyy-mry5gbC8ypIR3YVGFfEpyFESummAta6sg/edit"", ""Sheet1!B:D""), 3, FALSE), ""Not Found"")"),"e s æ p ")</f>
        <v>e s æ p </v>
      </c>
    </row>
    <row r="5953">
      <c r="A5953" s="1" t="s">
        <v>5955</v>
      </c>
      <c r="B5953" s="1" t="s">
        <v>5</v>
      </c>
      <c r="C5953" s="2">
        <f>IFERROR(__xludf.DUMMYFUNCTION("IFERROR(VLOOKUP(A5953, IMPORTRANGE(""https://docs.google.com/spreadsheets/d/1AVX9GT0dgogEBStecCXMMQ29tWz3gBrtNB8yIromXbY/edit?gid=741673867"", ""out1g!A:B""), 2, FALSE), 0)"),134.0)</f>
        <v>134</v>
      </c>
      <c r="D5953" s="2" t="str">
        <f>IFERROR(__xludf.DUMMYFUNCTION("IFERROR(VLOOKUP(A5953, IMPORTRANGE(""https://docs.google.com/spreadsheets/d/1-3Vjw2Cyy-mry5gbC8ypIR3YVGFfEpyFESummAta6sg/edit"", ""Sheet1!B:D""), 2, FALSE), ""Not Found"")"),"rumərz")</f>
        <v>rumərz</v>
      </c>
      <c r="E5953" s="2" t="str">
        <f>IFERROR(__xludf.DUMMYFUNCTION("IFERROR(VLOOKUP(A5953, IMPORTRANGE(""https://docs.google.com/spreadsheets/d/1-3Vjw2Cyy-mry5gbC8ypIR3YVGFfEpyFESummAta6sg/edit"", ""Sheet1!B:D""), 3, FALSE), ""Not Found"")"),"r u m ə r z ")</f>
        <v>r u m ə r z </v>
      </c>
    </row>
    <row r="5954">
      <c r="A5954" s="1" t="s">
        <v>5956</v>
      </c>
      <c r="B5954" s="1" t="s">
        <v>5</v>
      </c>
      <c r="C5954" s="2">
        <f>IFERROR(__xludf.DUMMYFUNCTION("IFERROR(VLOOKUP(A5954, IMPORTRANGE(""https://docs.google.com/spreadsheets/d/1AVX9GT0dgogEBStecCXMMQ29tWz3gBrtNB8yIromXbY/edit?gid=741673867"", ""out1g!A:B""), 2, FALSE), 0)"),65.0)</f>
        <v>65</v>
      </c>
      <c r="D5954" s="2" t="str">
        <f>IFERROR(__xludf.DUMMYFUNCTION("IFERROR(VLOOKUP(A5954, IMPORTRANGE(""https://docs.google.com/spreadsheets/d/1-3Vjw2Cyy-mry5gbC8ypIR3YVGFfEpyFESummAta6sg/edit"", ""Sheet1!B:D""), 2, FALSE), ""Not Found"")"),"dɑʤər")</f>
        <v>dɑʤər</v>
      </c>
      <c r="E5954" s="2" t="str">
        <f>IFERROR(__xludf.DUMMYFUNCTION("IFERROR(VLOOKUP(A5954, IMPORTRANGE(""https://docs.google.com/spreadsheets/d/1-3Vjw2Cyy-mry5gbC8ypIR3YVGFfEpyFESummAta6sg/edit"", ""Sheet1!B:D""), 3, FALSE), ""Not Found"")"),"d ɑ ʤ ə r ")</f>
        <v>d ɑ ʤ ə r </v>
      </c>
    </row>
    <row r="5955">
      <c r="A5955" s="1" t="s">
        <v>5957</v>
      </c>
      <c r="B5955" s="1" t="s">
        <v>5</v>
      </c>
      <c r="C5955" s="2">
        <f>IFERROR(__xludf.DUMMYFUNCTION("IFERROR(VLOOKUP(A5955, IMPORTRANGE(""https://docs.google.com/spreadsheets/d/1AVX9GT0dgogEBStecCXMMQ29tWz3gBrtNB8yIromXbY/edit?gid=741673867"", ""out1g!A:B""), 2, FALSE), 0)"),285.0)</f>
        <v>285</v>
      </c>
      <c r="D5955" s="2" t="str">
        <f>IFERROR(__xludf.DUMMYFUNCTION("IFERROR(VLOOKUP(A5955, IMPORTRANGE(""https://docs.google.com/spreadsheets/d/1-3Vjw2Cyy-mry5gbC8ypIR3YVGFfEpyFESummAta6sg/edit"", ""Sheet1!B:D""), 2, FALSE), ""Not Found"")"),"fɪtɪŋ")</f>
        <v>fɪtɪŋ</v>
      </c>
      <c r="E5955" s="2" t="str">
        <f>IFERROR(__xludf.DUMMYFUNCTION("IFERROR(VLOOKUP(A5955, IMPORTRANGE(""https://docs.google.com/spreadsheets/d/1-3Vjw2Cyy-mry5gbC8ypIR3YVGFfEpyFESummAta6sg/edit"", ""Sheet1!B:D""), 3, FALSE), ""Not Found"")"),"f ɪ t ɪ ŋ ")</f>
        <v>f ɪ t ɪ ŋ </v>
      </c>
    </row>
    <row r="5956">
      <c r="A5956" s="1" t="s">
        <v>5958</v>
      </c>
      <c r="B5956" s="1" t="s">
        <v>5</v>
      </c>
      <c r="C5956" s="2">
        <f>IFERROR(__xludf.DUMMYFUNCTION("IFERROR(VLOOKUP(A5956, IMPORTRANGE(""https://docs.google.com/spreadsheets/d/1AVX9GT0dgogEBStecCXMMQ29tWz3gBrtNB8yIromXbY/edit?gid=741673867"", ""out1g!A:B""), 2, FALSE), 0)"),75966.0)</f>
        <v>75966</v>
      </c>
      <c r="D5956" s="2" t="str">
        <f>IFERROR(__xludf.DUMMYFUNCTION("IFERROR(VLOOKUP(A5956, IMPORTRANGE(""https://docs.google.com/spreadsheets/d/1-3Vjw2Cyy-mry5gbC8ypIR3YVGFfEpyFESummAta6sg/edit"", ""Sheet1!B:D""), 2, FALSE), ""Not Found"")"),"ðɛn")</f>
        <v>ðɛn</v>
      </c>
      <c r="E5956" s="2" t="str">
        <f>IFERROR(__xludf.DUMMYFUNCTION("IFERROR(VLOOKUP(A5956, IMPORTRANGE(""https://docs.google.com/spreadsheets/d/1-3Vjw2Cyy-mry5gbC8ypIR3YVGFfEpyFESummAta6sg/edit"", ""Sheet1!B:D""), 3, FALSE), ""Not Found"")"),"ð ɛ n ")</f>
        <v>ð ɛ n </v>
      </c>
    </row>
    <row r="5957">
      <c r="A5957" s="1" t="s">
        <v>5959</v>
      </c>
      <c r="B5957" s="1" t="s">
        <v>5</v>
      </c>
      <c r="C5957" s="2">
        <f>IFERROR(__xludf.DUMMYFUNCTION("IFERROR(VLOOKUP(A5957, IMPORTRANGE(""https://docs.google.com/spreadsheets/d/1AVX9GT0dgogEBStecCXMMQ29tWz3gBrtNB8yIromXbY/edit?gid=741673867"", ""out1g!A:B""), 2, FALSE), 0)"),51.0)</f>
        <v>51</v>
      </c>
      <c r="D5957" s="2" t="str">
        <f>IFERROR(__xludf.DUMMYFUNCTION("IFERROR(VLOOKUP(A5957, IMPORTRANGE(""https://docs.google.com/spreadsheets/d/1-3Vjw2Cyy-mry5gbC8ypIR3YVGFfEpyFESummAta6sg/edit"", ""Sheet1!B:D""), 2, FALSE), ""Not Found"")"),"pəs")</f>
        <v>pəs</v>
      </c>
      <c r="E5957" s="2" t="str">
        <f>IFERROR(__xludf.DUMMYFUNCTION("IFERROR(VLOOKUP(A5957, IMPORTRANGE(""https://docs.google.com/spreadsheets/d/1-3Vjw2Cyy-mry5gbC8ypIR3YVGFfEpyFESummAta6sg/edit"", ""Sheet1!B:D""), 3, FALSE), ""Not Found"")"),"p ə s ")</f>
        <v>p ə s </v>
      </c>
    </row>
    <row r="5958">
      <c r="A5958" s="1" t="s">
        <v>5960</v>
      </c>
      <c r="B5958" s="1" t="s">
        <v>5</v>
      </c>
      <c r="C5958" s="2">
        <f>IFERROR(__xludf.DUMMYFUNCTION("IFERROR(VLOOKUP(A5958, IMPORTRANGE(""https://docs.google.com/spreadsheets/d/1AVX9GT0dgogEBStecCXMMQ29tWz3gBrtNB8yIromXbY/edit?gid=741673867"", ""out1g!A:B""), 2, FALSE), 0)"),351.0)</f>
        <v>351</v>
      </c>
      <c r="D5958" s="2" t="str">
        <f>IFERROR(__xludf.DUMMYFUNCTION("IFERROR(VLOOKUP(A5958, IMPORTRANGE(""https://docs.google.com/spreadsheets/d/1-3Vjw2Cyy-mry5gbC8ypIR3YVGFfEpyFESummAta6sg/edit"", ""Sheet1!B:D""), 2, FALSE), ""Not Found"")"),"plɛʤ")</f>
        <v>plɛʤ</v>
      </c>
      <c r="E5958" s="2" t="str">
        <f>IFERROR(__xludf.DUMMYFUNCTION("IFERROR(VLOOKUP(A5958, IMPORTRANGE(""https://docs.google.com/spreadsheets/d/1-3Vjw2Cyy-mry5gbC8ypIR3YVGFfEpyFESummAta6sg/edit"", ""Sheet1!B:D""), 3, FALSE), ""Not Found"")"),"p l ɛ ʤ ")</f>
        <v>p l ɛ ʤ </v>
      </c>
    </row>
    <row r="5959">
      <c r="A5959" s="1" t="s">
        <v>5961</v>
      </c>
      <c r="B5959" s="1" t="s">
        <v>5</v>
      </c>
      <c r="C5959" s="2">
        <f>IFERROR(__xludf.DUMMYFUNCTION("IFERROR(VLOOKUP(A5959, IMPORTRANGE(""https://docs.google.com/spreadsheets/d/1AVX9GT0dgogEBStecCXMMQ29tWz3gBrtNB8yIromXbY/edit?gid=741673867"", ""out1g!A:B""), 2, FALSE), 0)"),136.0)</f>
        <v>136</v>
      </c>
      <c r="D5959" s="2" t="str">
        <f>IFERROR(__xludf.DUMMYFUNCTION("IFERROR(VLOOKUP(A5959, IMPORTRANGE(""https://docs.google.com/spreadsheets/d/1-3Vjw2Cyy-mry5gbC8ypIR3YVGFfEpyFESummAta6sg/edit"", ""Sheet1!B:D""), 2, FALSE), ""Not Found"")"),"læs")</f>
        <v>læs</v>
      </c>
      <c r="E5959" s="2" t="str">
        <f>IFERROR(__xludf.DUMMYFUNCTION("IFERROR(VLOOKUP(A5959, IMPORTRANGE(""https://docs.google.com/spreadsheets/d/1-3Vjw2Cyy-mry5gbC8ypIR3YVGFfEpyFESummAta6sg/edit"", ""Sheet1!B:D""), 3, FALSE), ""Not Found"")"),"l æ s ")</f>
        <v>l æ s </v>
      </c>
    </row>
    <row r="5960">
      <c r="A5960" s="1" t="s">
        <v>5962</v>
      </c>
      <c r="B5960" s="1" t="s">
        <v>5</v>
      </c>
      <c r="C5960" s="2">
        <f>IFERROR(__xludf.DUMMYFUNCTION("IFERROR(VLOOKUP(A5960, IMPORTRANGE(""https://docs.google.com/spreadsheets/d/1AVX9GT0dgogEBStecCXMMQ29tWz3gBrtNB8yIromXbY/edit?gid=741673867"", ""out1g!A:B""), 2, FALSE), 0)"),52.0)</f>
        <v>52</v>
      </c>
      <c r="D5960" s="2" t="str">
        <f>IFERROR(__xludf.DUMMYFUNCTION("IFERROR(VLOOKUP(A5960, IMPORTRANGE(""https://docs.google.com/spreadsheets/d/1-3Vjw2Cyy-mry5gbC8ypIR3YVGFfEpyFESummAta6sg/edit"", ""Sheet1!B:D""), 2, FALSE), ""Not Found"")"),"ʧaɪ")</f>
        <v>ʧaɪ</v>
      </c>
      <c r="E5960" s="2" t="str">
        <f>IFERROR(__xludf.DUMMYFUNCTION("IFERROR(VLOOKUP(A5960, IMPORTRANGE(""https://docs.google.com/spreadsheets/d/1-3Vjw2Cyy-mry5gbC8ypIR3YVGFfEpyFESummAta6sg/edit"", ""Sheet1!B:D""), 3, FALSE), ""Not Found"")"),"ʧ a ɪ ")</f>
        <v>ʧ a ɪ </v>
      </c>
    </row>
    <row r="5961">
      <c r="A5961" s="1" t="s">
        <v>5963</v>
      </c>
      <c r="B5961" s="1" t="s">
        <v>5</v>
      </c>
      <c r="C5961" s="2">
        <f>IFERROR(__xludf.DUMMYFUNCTION("IFERROR(VLOOKUP(A5961, IMPORTRANGE(""https://docs.google.com/spreadsheets/d/1AVX9GT0dgogEBStecCXMMQ29tWz3gBrtNB8yIromXbY/edit?gid=741673867"", ""out1g!A:B""), 2, FALSE), 0)"),87.0)</f>
        <v>87</v>
      </c>
      <c r="D5961" s="2" t="str">
        <f>IFERROR(__xludf.DUMMYFUNCTION("IFERROR(VLOOKUP(A5961, IMPORTRANGE(""https://docs.google.com/spreadsheets/d/1-3Vjw2Cyy-mry5gbC8ypIR3YVGFfEpyFESummAta6sg/edit"", ""Sheet1!B:D""), 2, FALSE), ""Not Found"")"),"pest")</f>
        <v>pest</v>
      </c>
      <c r="E5961" s="2" t="str">
        <f>IFERROR(__xludf.DUMMYFUNCTION("IFERROR(VLOOKUP(A5961, IMPORTRANGE(""https://docs.google.com/spreadsheets/d/1-3Vjw2Cyy-mry5gbC8ypIR3YVGFfEpyFESummAta6sg/edit"", ""Sheet1!B:D""), 3, FALSE), ""Not Found"")"),"p e s t ")</f>
        <v>p e s t </v>
      </c>
    </row>
    <row r="5962">
      <c r="A5962" s="1" t="s">
        <v>5964</v>
      </c>
      <c r="B5962" s="1" t="s">
        <v>5</v>
      </c>
      <c r="C5962" s="2">
        <f>IFERROR(__xludf.DUMMYFUNCTION("IFERROR(VLOOKUP(A5962, IMPORTRANGE(""https://docs.google.com/spreadsheets/d/1AVX9GT0dgogEBStecCXMMQ29tWz3gBrtNB8yIromXbY/edit?gid=741673867"", ""out1g!A:B""), 2, FALSE), 0)"),950.0)</f>
        <v>950</v>
      </c>
      <c r="D5962" s="2" t="str">
        <f>IFERROR(__xludf.DUMMYFUNCTION("IFERROR(VLOOKUP(A5962, IMPORTRANGE(""https://docs.google.com/spreadsheets/d/1-3Vjw2Cyy-mry5gbC8ypIR3YVGFfEpyFESummAta6sg/edit"", ""Sheet1!B:D""), 2, FALSE), ""Not Found"")"),"vaɪs")</f>
        <v>vaɪs</v>
      </c>
      <c r="E5962" s="2" t="str">
        <f>IFERROR(__xludf.DUMMYFUNCTION("IFERROR(VLOOKUP(A5962, IMPORTRANGE(""https://docs.google.com/spreadsheets/d/1-3Vjw2Cyy-mry5gbC8ypIR3YVGFfEpyFESummAta6sg/edit"", ""Sheet1!B:D""), 3, FALSE), ""Not Found"")"),"v a ɪ s ")</f>
        <v>v a ɪ s </v>
      </c>
    </row>
    <row r="5963">
      <c r="A5963" s="1" t="s">
        <v>5965</v>
      </c>
      <c r="B5963" s="1" t="s">
        <v>5</v>
      </c>
      <c r="C5963" s="2">
        <f>IFERROR(__xludf.DUMMYFUNCTION("IFERROR(VLOOKUP(A5963, IMPORTRANGE(""https://docs.google.com/spreadsheets/d/1AVX9GT0dgogEBStecCXMMQ29tWz3gBrtNB8yIromXbY/edit?gid=741673867"", ""out1g!A:B""), 2, FALSE), 0)"),3290.0)</f>
        <v>3290</v>
      </c>
      <c r="D5963" s="2" t="str">
        <f>IFERROR(__xludf.DUMMYFUNCTION("IFERROR(VLOOKUP(A5963, IMPORTRANGE(""https://docs.google.com/spreadsheets/d/1-3Vjw2Cyy-mry5gbC8ypIR3YVGFfEpyFESummAta6sg/edit"", ""Sheet1!B:D""), 2, FALSE), ""Not Found"")"),"gɪvz")</f>
        <v>gɪvz</v>
      </c>
      <c r="E5963" s="2" t="str">
        <f>IFERROR(__xludf.DUMMYFUNCTION("IFERROR(VLOOKUP(A5963, IMPORTRANGE(""https://docs.google.com/spreadsheets/d/1-3Vjw2Cyy-mry5gbC8ypIR3YVGFfEpyFESummAta6sg/edit"", ""Sheet1!B:D""), 3, FALSE), ""Not Found"")"),"g ɪ v z ")</f>
        <v>g ɪ v z </v>
      </c>
    </row>
    <row r="5964">
      <c r="A5964" s="1" t="s">
        <v>5966</v>
      </c>
      <c r="B5964" s="1" t="s">
        <v>5</v>
      </c>
      <c r="C5964" s="2">
        <f>IFERROR(__xludf.DUMMYFUNCTION("IFERROR(VLOOKUP(A5964, IMPORTRANGE(""https://docs.google.com/spreadsheets/d/1AVX9GT0dgogEBStecCXMMQ29tWz3gBrtNB8yIromXbY/edit?gid=741673867"", ""out1g!A:B""), 2, FALSE), 0)"),145.0)</f>
        <v>145</v>
      </c>
      <c r="D5964" s="2" t="str">
        <f>IFERROR(__xludf.DUMMYFUNCTION("IFERROR(VLOOKUP(A5964, IMPORTRANGE(""https://docs.google.com/spreadsheets/d/1-3Vjw2Cyy-mry5gbC8ypIR3YVGFfEpyFESummAta6sg/edit"", ""Sheet1!B:D""), 2, FALSE), ""Not Found"")"),"ʃedz")</f>
        <v>ʃedz</v>
      </c>
      <c r="E5964" s="2" t="str">
        <f>IFERROR(__xludf.DUMMYFUNCTION("IFERROR(VLOOKUP(A5964, IMPORTRANGE(""https://docs.google.com/spreadsheets/d/1-3Vjw2Cyy-mry5gbC8ypIR3YVGFfEpyFESummAta6sg/edit"", ""Sheet1!B:D""), 3, FALSE), ""Not Found"")"),"ʃ e d z ")</f>
        <v>ʃ e d z </v>
      </c>
    </row>
    <row r="5965">
      <c r="A5965" s="1" t="s">
        <v>5967</v>
      </c>
      <c r="B5965" s="1" t="s">
        <v>5</v>
      </c>
      <c r="C5965" s="2">
        <f>IFERROR(__xludf.DUMMYFUNCTION("IFERROR(VLOOKUP(A5965, IMPORTRANGE(""https://docs.google.com/spreadsheets/d/1AVX9GT0dgogEBStecCXMMQ29tWz3gBrtNB8yIromXbY/edit?gid=741673867"", ""out1g!A:B""), 2, FALSE), 0)"),215.0)</f>
        <v>215</v>
      </c>
      <c r="D5965" s="2" t="str">
        <f>IFERROR(__xludf.DUMMYFUNCTION("IFERROR(VLOOKUP(A5965, IMPORTRANGE(""https://docs.google.com/spreadsheets/d/1-3Vjw2Cyy-mry5gbC8ypIR3YVGFfEpyFESummAta6sg/edit"", ""Sheet1!B:D""), 2, FALSE), ""Not Found"")"),"tizɪŋ")</f>
        <v>tizɪŋ</v>
      </c>
      <c r="E5965" s="2" t="str">
        <f>IFERROR(__xludf.DUMMYFUNCTION("IFERROR(VLOOKUP(A5965, IMPORTRANGE(""https://docs.google.com/spreadsheets/d/1-3Vjw2Cyy-mry5gbC8ypIR3YVGFfEpyFESummAta6sg/edit"", ""Sheet1!B:D""), 3, FALSE), ""Not Found"")"),"t i z ɪ ŋ ")</f>
        <v>t i z ɪ ŋ </v>
      </c>
    </row>
    <row r="5966">
      <c r="A5966" s="1" t="s">
        <v>5968</v>
      </c>
      <c r="B5966" s="1" t="s">
        <v>5</v>
      </c>
      <c r="C5966" s="2">
        <f>IFERROR(__xludf.DUMMYFUNCTION("IFERROR(VLOOKUP(A5966, IMPORTRANGE(""https://docs.google.com/spreadsheets/d/1AVX9GT0dgogEBStecCXMMQ29tWz3gBrtNB8yIromXbY/edit?gid=741673867"", ""out1g!A:B""), 2, FALSE), 0)"),78.0)</f>
        <v>78</v>
      </c>
      <c r="D5966" s="2" t="str">
        <f>IFERROR(__xludf.DUMMYFUNCTION("IFERROR(VLOOKUP(A5966, IMPORTRANGE(""https://docs.google.com/spreadsheets/d/1-3Vjw2Cyy-mry5gbC8ypIR3YVGFfEpyFESummAta6sg/edit"", ""Sheet1!B:D""), 2, FALSE), ""Not Found"")"),"rɛm")</f>
        <v>rɛm</v>
      </c>
      <c r="E5966" s="2" t="str">
        <f>IFERROR(__xludf.DUMMYFUNCTION("IFERROR(VLOOKUP(A5966, IMPORTRANGE(""https://docs.google.com/spreadsheets/d/1-3Vjw2Cyy-mry5gbC8ypIR3YVGFfEpyFESummAta6sg/edit"", ""Sheet1!B:D""), 3, FALSE), ""Not Found"")"),"r ɛ m ")</f>
        <v>r ɛ m </v>
      </c>
    </row>
    <row r="5967">
      <c r="A5967" s="1" t="s">
        <v>5969</v>
      </c>
      <c r="B5967" s="1" t="s">
        <v>5</v>
      </c>
      <c r="C5967" s="2">
        <f>IFERROR(__xludf.DUMMYFUNCTION("IFERROR(VLOOKUP(A5967, IMPORTRANGE(""https://docs.google.com/spreadsheets/d/1AVX9GT0dgogEBStecCXMMQ29tWz3gBrtNB8yIromXbY/edit?gid=741673867"", ""out1g!A:B""), 2, FALSE), 0)"),58.0)</f>
        <v>58</v>
      </c>
      <c r="D5967" s="2" t="str">
        <f>IFERROR(__xludf.DUMMYFUNCTION("IFERROR(VLOOKUP(A5967, IMPORTRANGE(""https://docs.google.com/spreadsheets/d/1-3Vjw2Cyy-mry5gbC8ypIR3YVGFfEpyFESummAta6sg/edit"", ""Sheet1!B:D""), 2, FALSE), ""Not Found"")"),"kərn")</f>
        <v>kərn</v>
      </c>
      <c r="E5967" s="2" t="str">
        <f>IFERROR(__xludf.DUMMYFUNCTION("IFERROR(VLOOKUP(A5967, IMPORTRANGE(""https://docs.google.com/spreadsheets/d/1-3Vjw2Cyy-mry5gbC8ypIR3YVGFfEpyFESummAta6sg/edit"", ""Sheet1!B:D""), 3, FALSE), ""Not Found"")"),"k ə r n ")</f>
        <v>k ə r n </v>
      </c>
    </row>
    <row r="5968">
      <c r="A5968" s="1" t="s">
        <v>5970</v>
      </c>
      <c r="B5968" s="1" t="s">
        <v>5</v>
      </c>
      <c r="C5968" s="2">
        <f>IFERROR(__xludf.DUMMYFUNCTION("IFERROR(VLOOKUP(A5968, IMPORTRANGE(""https://docs.google.com/spreadsheets/d/1AVX9GT0dgogEBStecCXMMQ29tWz3gBrtNB8yIromXbY/edit?gid=741673867"", ""out1g!A:B""), 2, FALSE), 0)"),561.0)</f>
        <v>561</v>
      </c>
      <c r="D5968" s="2" t="str">
        <f>IFERROR(__xludf.DUMMYFUNCTION("IFERROR(VLOOKUP(A5968, IMPORTRANGE(""https://docs.google.com/spreadsheets/d/1-3Vjw2Cyy-mry5gbC8ypIR3YVGFfEpyFESummAta6sg/edit"", ""Sheet1!B:D""), 2, FALSE), ""Not Found"")"),"lætən")</f>
        <v>lætən</v>
      </c>
      <c r="E5968" s="2" t="str">
        <f>IFERROR(__xludf.DUMMYFUNCTION("IFERROR(VLOOKUP(A5968, IMPORTRANGE(""https://docs.google.com/spreadsheets/d/1-3Vjw2Cyy-mry5gbC8ypIR3YVGFfEpyFESummAta6sg/edit"", ""Sheet1!B:D""), 3, FALSE), ""Not Found"")"),"l æ t ə n ")</f>
        <v>l æ t ə n </v>
      </c>
    </row>
    <row r="5969">
      <c r="A5969" s="1" t="s">
        <v>5971</v>
      </c>
      <c r="B5969" s="1" t="s">
        <v>5</v>
      </c>
      <c r="C5969" s="2">
        <f>IFERROR(__xludf.DUMMYFUNCTION("IFERROR(VLOOKUP(A5969, IMPORTRANGE(""https://docs.google.com/spreadsheets/d/1AVX9GT0dgogEBStecCXMMQ29tWz3gBrtNB8yIromXbY/edit?gid=741673867"", ""out1g!A:B""), 2, FALSE), 0)"),212.0)</f>
        <v>212</v>
      </c>
      <c r="D5969" s="2" t="str">
        <f>IFERROR(__xludf.DUMMYFUNCTION("IFERROR(VLOOKUP(A5969, IMPORTRANGE(""https://docs.google.com/spreadsheets/d/1-3Vjw2Cyy-mry5gbC8ypIR3YVGFfEpyFESummAta6sg/edit"", ""Sheet1!B:D""), 2, FALSE), ""Not Found"")"),"kæstɪŋ")</f>
        <v>kæstɪŋ</v>
      </c>
      <c r="E5969" s="2" t="str">
        <f>IFERROR(__xludf.DUMMYFUNCTION("IFERROR(VLOOKUP(A5969, IMPORTRANGE(""https://docs.google.com/spreadsheets/d/1-3Vjw2Cyy-mry5gbC8ypIR3YVGFfEpyFESummAta6sg/edit"", ""Sheet1!B:D""), 3, FALSE), ""Not Found"")"),"k æ s t ɪ ŋ ")</f>
        <v>k æ s t ɪ ŋ </v>
      </c>
    </row>
    <row r="5970">
      <c r="A5970" s="1" t="s">
        <v>5972</v>
      </c>
      <c r="B5970" s="1" t="s">
        <v>5</v>
      </c>
      <c r="C5970" s="2">
        <f>IFERROR(__xludf.DUMMYFUNCTION("IFERROR(VLOOKUP(A5970, IMPORTRANGE(""https://docs.google.com/spreadsheets/d/1AVX9GT0dgogEBStecCXMMQ29tWz3gBrtNB8yIromXbY/edit?gid=741673867"", ""out1g!A:B""), 2, FALSE), 0)"),181.0)</f>
        <v>181</v>
      </c>
      <c r="D5970" s="2" t="str">
        <f>IFERROR(__xludf.DUMMYFUNCTION("IFERROR(VLOOKUP(A5970, IMPORTRANGE(""https://docs.google.com/spreadsheets/d/1-3Vjw2Cyy-mry5gbC8ypIR3YVGFfEpyFESummAta6sg/edit"", ""Sheet1!B:D""), 2, FALSE), ""Not Found"")"),"pɑts")</f>
        <v>pɑts</v>
      </c>
      <c r="E5970" s="2" t="str">
        <f>IFERROR(__xludf.DUMMYFUNCTION("IFERROR(VLOOKUP(A5970, IMPORTRANGE(""https://docs.google.com/spreadsheets/d/1-3Vjw2Cyy-mry5gbC8ypIR3YVGFfEpyFESummAta6sg/edit"", ""Sheet1!B:D""), 3, FALSE), ""Not Found"")"),"p ɑ t s ")</f>
        <v>p ɑ t s </v>
      </c>
    </row>
    <row r="5971">
      <c r="A5971" s="1" t="s">
        <v>5973</v>
      </c>
      <c r="B5971" s="1" t="s">
        <v>5</v>
      </c>
      <c r="C5971" s="2">
        <f>IFERROR(__xludf.DUMMYFUNCTION("IFERROR(VLOOKUP(A5971, IMPORTRANGE(""https://docs.google.com/spreadsheets/d/1AVX9GT0dgogEBStecCXMMQ29tWz3gBrtNB8yIromXbY/edit?gid=741673867"", ""out1g!A:B""), 2, FALSE), 0)"),96.0)</f>
        <v>96</v>
      </c>
      <c r="D5971" s="2" t="str">
        <f>IFERROR(__xludf.DUMMYFUNCTION("IFERROR(VLOOKUP(A5971, IMPORTRANGE(""https://docs.google.com/spreadsheets/d/1-3Vjw2Cyy-mry5gbC8ypIR3YVGFfEpyFESummAta6sg/edit"", ""Sheet1!B:D""), 2, FALSE), ""Not Found"")"),"wɑt")</f>
        <v>wɑt</v>
      </c>
      <c r="E5971" s="2" t="str">
        <f>IFERROR(__xludf.DUMMYFUNCTION("IFERROR(VLOOKUP(A5971, IMPORTRANGE(""https://docs.google.com/spreadsheets/d/1-3Vjw2Cyy-mry5gbC8ypIR3YVGFfEpyFESummAta6sg/edit"", ""Sheet1!B:D""), 3, FALSE), ""Not Found"")"),"w ɑ t ")</f>
        <v>w ɑ t </v>
      </c>
    </row>
    <row r="5972">
      <c r="A5972" s="1" t="s">
        <v>5974</v>
      </c>
      <c r="B5972" s="1" t="s">
        <v>5</v>
      </c>
      <c r="C5972" s="2">
        <f>IFERROR(__xludf.DUMMYFUNCTION("IFERROR(VLOOKUP(A5972, IMPORTRANGE(""https://docs.google.com/spreadsheets/d/1AVX9GT0dgogEBStecCXMMQ29tWz3gBrtNB8yIromXbY/edit?gid=741673867"", ""out1g!A:B""), 2, FALSE), 0)"),166.0)</f>
        <v>166</v>
      </c>
      <c r="D5972" s="2" t="str">
        <f>IFERROR(__xludf.DUMMYFUNCTION("IFERROR(VLOOKUP(A5972, IMPORTRANGE(""https://docs.google.com/spreadsheets/d/1-3Vjw2Cyy-mry5gbC8ypIR3YVGFfEpyFESummAta6sg/edit"", ""Sheet1!B:D""), 2, FALSE), ""Not Found"")"),"ril")</f>
        <v>ril</v>
      </c>
      <c r="E5972" s="2" t="str">
        <f>IFERROR(__xludf.DUMMYFUNCTION("IFERROR(VLOOKUP(A5972, IMPORTRANGE(""https://docs.google.com/spreadsheets/d/1-3Vjw2Cyy-mry5gbC8ypIR3YVGFfEpyFESummAta6sg/edit"", ""Sheet1!B:D""), 3, FALSE), ""Not Found"")"),"r i l ")</f>
        <v>r i l </v>
      </c>
    </row>
    <row r="5973">
      <c r="A5973" s="1" t="s">
        <v>5975</v>
      </c>
      <c r="B5973" s="1" t="s">
        <v>5</v>
      </c>
      <c r="C5973" s="2">
        <f>IFERROR(__xludf.DUMMYFUNCTION("IFERROR(VLOOKUP(A5973, IMPORTRANGE(""https://docs.google.com/spreadsheets/d/1AVX9GT0dgogEBStecCXMMQ29tWz3gBrtNB8yIromXbY/edit?gid=741673867"", ""out1g!A:B""), 2, FALSE), 0)"),579.0)</f>
        <v>579</v>
      </c>
      <c r="D5973" s="2" t="str">
        <f>IFERROR(__xludf.DUMMYFUNCTION("IFERROR(VLOOKUP(A5973, IMPORTRANGE(""https://docs.google.com/spreadsheets/d/1-3Vjw2Cyy-mry5gbC8ypIR3YVGFfEpyFESummAta6sg/edit"", ""Sheet1!B:D""), 2, FALSE), ""Not Found"")"),"slət")</f>
        <v>slət</v>
      </c>
      <c r="E5973" s="2" t="str">
        <f>IFERROR(__xludf.DUMMYFUNCTION("IFERROR(VLOOKUP(A5973, IMPORTRANGE(""https://docs.google.com/spreadsheets/d/1-3Vjw2Cyy-mry5gbC8ypIR3YVGFfEpyFESummAta6sg/edit"", ""Sheet1!B:D""), 3, FALSE), ""Not Found"")"),"s l ə t ")</f>
        <v>s l ə t </v>
      </c>
    </row>
    <row r="5974">
      <c r="A5974" s="1" t="s">
        <v>5976</v>
      </c>
      <c r="B5974" s="1" t="s">
        <v>5</v>
      </c>
      <c r="C5974" s="2">
        <f>IFERROR(__xludf.DUMMYFUNCTION("IFERROR(VLOOKUP(A5974, IMPORTRANGE(""https://docs.google.com/spreadsheets/d/1AVX9GT0dgogEBStecCXMMQ29tWz3gBrtNB8yIromXbY/edit?gid=741673867"", ""out1g!A:B""), 2, FALSE), 0)"),4258.0)</f>
        <v>4258</v>
      </c>
      <c r="D5974" s="2" t="str">
        <f>IFERROR(__xludf.DUMMYFUNCTION("IFERROR(VLOOKUP(A5974, IMPORTRANGE(""https://docs.google.com/spreadsheets/d/1-3Vjw2Cyy-mry5gbC8ypIR3YVGFfEpyFESummAta6sg/edit"", ""Sheet1!B:D""), 2, FALSE), ""Not Found"")"),"fɪʃ")</f>
        <v>fɪʃ</v>
      </c>
      <c r="E5974" s="2" t="str">
        <f>IFERROR(__xludf.DUMMYFUNCTION("IFERROR(VLOOKUP(A5974, IMPORTRANGE(""https://docs.google.com/spreadsheets/d/1-3Vjw2Cyy-mry5gbC8ypIR3YVGFfEpyFESummAta6sg/edit"", ""Sheet1!B:D""), 3, FALSE), ""Not Found"")"),"f ɪ ʃ ")</f>
        <v>f ɪ ʃ </v>
      </c>
    </row>
    <row r="5975">
      <c r="A5975" s="1" t="s">
        <v>5977</v>
      </c>
      <c r="B5975" s="1" t="s">
        <v>5</v>
      </c>
      <c r="C5975" s="2">
        <f>IFERROR(__xludf.DUMMYFUNCTION("IFERROR(VLOOKUP(A5975, IMPORTRANGE(""https://docs.google.com/spreadsheets/d/1AVX9GT0dgogEBStecCXMMQ29tWz3gBrtNB8yIromXbY/edit?gid=741673867"", ""out1g!A:B""), 2, FALSE), 0)"),4909.0)</f>
        <v>4909</v>
      </c>
      <c r="D5975" s="2" t="str">
        <f>IFERROR(__xludf.DUMMYFUNCTION("IFERROR(VLOOKUP(A5975, IMPORTRANGE(""https://docs.google.com/spreadsheets/d/1-3Vjw2Cyy-mry5gbC8ypIR3YVGFfEpyFESummAta6sg/edit"", ""Sheet1!B:D""), 2, FALSE), ""Not Found"")"),"kərnəl")</f>
        <v>kərnəl</v>
      </c>
      <c r="E5975" s="2" t="str">
        <f>IFERROR(__xludf.DUMMYFUNCTION("IFERROR(VLOOKUP(A5975, IMPORTRANGE(""https://docs.google.com/spreadsheets/d/1-3Vjw2Cyy-mry5gbC8ypIR3YVGFfEpyFESummAta6sg/edit"", ""Sheet1!B:D""), 3, FALSE), ""Not Found"")"),"k ə r n ə l ")</f>
        <v>k ə r n ə l </v>
      </c>
    </row>
    <row r="5976">
      <c r="A5976" s="1" t="s">
        <v>5978</v>
      </c>
      <c r="B5976" s="1" t="s">
        <v>5</v>
      </c>
      <c r="C5976" s="2">
        <f>IFERROR(__xludf.DUMMYFUNCTION("IFERROR(VLOOKUP(A5976, IMPORTRANGE(""https://docs.google.com/spreadsheets/d/1AVX9GT0dgogEBStecCXMMQ29tWz3gBrtNB8yIromXbY/edit?gid=741673867"", ""out1g!A:B""), 2, FALSE), 0)"),250.0)</f>
        <v>250</v>
      </c>
      <c r="D5976" s="2" t="str">
        <f>IFERROR(__xludf.DUMMYFUNCTION("IFERROR(VLOOKUP(A5976, IMPORTRANGE(""https://docs.google.com/spreadsheets/d/1-3Vjw2Cyy-mry5gbC8ypIR3YVGFfEpyFESummAta6sg/edit"", ""Sheet1!B:D""), 2, FALSE), ""Not Found"")"),"trækt")</f>
        <v>trækt</v>
      </c>
      <c r="E5976" s="2" t="str">
        <f>IFERROR(__xludf.DUMMYFUNCTION("IFERROR(VLOOKUP(A5976, IMPORTRANGE(""https://docs.google.com/spreadsheets/d/1-3Vjw2Cyy-mry5gbC8ypIR3YVGFfEpyFESummAta6sg/edit"", ""Sheet1!B:D""), 3, FALSE), ""Not Found"")"),"t r æ k t ")</f>
        <v>t r æ k t </v>
      </c>
    </row>
    <row r="5977">
      <c r="A5977" s="1" t="s">
        <v>5979</v>
      </c>
      <c r="B5977" s="1" t="s">
        <v>5</v>
      </c>
      <c r="C5977" s="2">
        <f>IFERROR(__xludf.DUMMYFUNCTION("IFERROR(VLOOKUP(A5977, IMPORTRANGE(""https://docs.google.com/spreadsheets/d/1AVX9GT0dgogEBStecCXMMQ29tWz3gBrtNB8yIromXbY/edit?gid=741673867"", ""out1g!A:B""), 2, FALSE), 0)"),77.0)</f>
        <v>77</v>
      </c>
      <c r="D5977" s="2" t="str">
        <f>IFERROR(__xludf.DUMMYFUNCTION("IFERROR(VLOOKUP(A5977, IMPORTRANGE(""https://docs.google.com/spreadsheets/d/1-3Vjw2Cyy-mry5gbC8ypIR3YVGFfEpyFESummAta6sg/edit"", ""Sheet1!B:D""), 2, FALSE), ""Not Found"")"),"həriɪŋ")</f>
        <v>həriɪŋ</v>
      </c>
      <c r="E5977" s="2" t="str">
        <f>IFERROR(__xludf.DUMMYFUNCTION("IFERROR(VLOOKUP(A5977, IMPORTRANGE(""https://docs.google.com/spreadsheets/d/1-3Vjw2Cyy-mry5gbC8ypIR3YVGFfEpyFESummAta6sg/edit"", ""Sheet1!B:D""), 3, FALSE), ""Not Found"")"),"h ə r i ɪ ŋ ")</f>
        <v>h ə r i ɪ ŋ </v>
      </c>
    </row>
    <row r="5978">
      <c r="A5978" s="1" t="s">
        <v>5980</v>
      </c>
      <c r="B5978" s="1" t="s">
        <v>5</v>
      </c>
      <c r="C5978" s="2">
        <f>IFERROR(__xludf.DUMMYFUNCTION("IFERROR(VLOOKUP(A5978, IMPORTRANGE(""https://docs.google.com/spreadsheets/d/1AVX9GT0dgogEBStecCXMMQ29tWz3gBrtNB8yIromXbY/edit?gid=741673867"", ""out1g!A:B""), 2, FALSE), 0)"),313.0)</f>
        <v>313</v>
      </c>
      <c r="D5978" s="2" t="str">
        <f>IFERROR(__xludf.DUMMYFUNCTION("IFERROR(VLOOKUP(A5978, IMPORTRANGE(""https://docs.google.com/spreadsheets/d/1-3Vjw2Cyy-mry5gbC8ypIR3YVGFfEpyFESummAta6sg/edit"", ""Sheet1!B:D""), 2, FALSE), ""Not Found"")"),"jɛld")</f>
        <v>jɛld</v>
      </c>
      <c r="E5978" s="2" t="str">
        <f>IFERROR(__xludf.DUMMYFUNCTION("IFERROR(VLOOKUP(A5978, IMPORTRANGE(""https://docs.google.com/spreadsheets/d/1-3Vjw2Cyy-mry5gbC8ypIR3YVGFfEpyFESummAta6sg/edit"", ""Sheet1!B:D""), 3, FALSE), ""Not Found"")"),"j ɛ l d ")</f>
        <v>j ɛ l d </v>
      </c>
    </row>
    <row r="5979">
      <c r="A5979" s="1" t="s">
        <v>5981</v>
      </c>
      <c r="B5979" s="1" t="s">
        <v>5</v>
      </c>
      <c r="C5979" s="2">
        <f>IFERROR(__xludf.DUMMYFUNCTION("IFERROR(VLOOKUP(A5979, IMPORTRANGE(""https://docs.google.com/spreadsheets/d/1AVX9GT0dgogEBStecCXMMQ29tWz3gBrtNB8yIromXbY/edit?gid=741673867"", ""out1g!A:B""), 2, FALSE), 0)"),79.0)</f>
        <v>79</v>
      </c>
      <c r="D5979" s="2" t="str">
        <f>IFERROR(__xludf.DUMMYFUNCTION("IFERROR(VLOOKUP(A5979, IMPORTRANGE(""https://docs.google.com/spreadsheets/d/1-3Vjw2Cyy-mry5gbC8ypIR3YVGFfEpyFESummAta6sg/edit"", ""Sheet1!B:D""), 2, FALSE), ""Not Found"")"),"kraʊt")</f>
        <v>kraʊt</v>
      </c>
      <c r="E5979" s="2" t="str">
        <f>IFERROR(__xludf.DUMMYFUNCTION("IFERROR(VLOOKUP(A5979, IMPORTRANGE(""https://docs.google.com/spreadsheets/d/1-3Vjw2Cyy-mry5gbC8ypIR3YVGFfEpyFESummAta6sg/edit"", ""Sheet1!B:D""), 3, FALSE), ""Not Found"")"),"k r a ʊ t ")</f>
        <v>k r a ʊ t </v>
      </c>
    </row>
    <row r="5980">
      <c r="A5980" s="1" t="s">
        <v>5982</v>
      </c>
      <c r="B5980" s="1" t="s">
        <v>5</v>
      </c>
      <c r="C5980" s="2">
        <f>IFERROR(__xludf.DUMMYFUNCTION("IFERROR(VLOOKUP(A5980, IMPORTRANGE(""https://docs.google.com/spreadsheets/d/1AVX9GT0dgogEBStecCXMMQ29tWz3gBrtNB8yIromXbY/edit?gid=741673867"", ""out1g!A:B""), 2, FALSE), 0)"),73.0)</f>
        <v>73</v>
      </c>
      <c r="D5980" s="2" t="str">
        <f>IFERROR(__xludf.DUMMYFUNCTION("IFERROR(VLOOKUP(A5980, IMPORTRANGE(""https://docs.google.com/spreadsheets/d/1-3Vjw2Cyy-mry5gbC8ypIR3YVGFfEpyFESummAta6sg/edit"", ""Sheet1!B:D""), 2, FALSE), ""Not Found"")"),"gɔz")</f>
        <v>gɔz</v>
      </c>
      <c r="E5980" s="2" t="str">
        <f>IFERROR(__xludf.DUMMYFUNCTION("IFERROR(VLOOKUP(A5980, IMPORTRANGE(""https://docs.google.com/spreadsheets/d/1-3Vjw2Cyy-mry5gbC8ypIR3YVGFfEpyFESummAta6sg/edit"", ""Sheet1!B:D""), 3, FALSE), ""Not Found"")"),"g ɔ z ")</f>
        <v>g ɔ z </v>
      </c>
    </row>
    <row r="5981">
      <c r="A5981" s="1" t="s">
        <v>5983</v>
      </c>
      <c r="B5981" s="1" t="s">
        <v>5</v>
      </c>
      <c r="C5981" s="2">
        <f>IFERROR(__xludf.DUMMYFUNCTION("IFERROR(VLOOKUP(A5981, IMPORTRANGE(""https://docs.google.com/spreadsheets/d/1AVX9GT0dgogEBStecCXMMQ29tWz3gBrtNB8yIromXbY/edit?gid=741673867"", ""out1g!A:B""), 2, FALSE), 0)"),131.0)</f>
        <v>131</v>
      </c>
      <c r="D5981" s="2" t="str">
        <f>IFERROR(__xludf.DUMMYFUNCTION("IFERROR(VLOOKUP(A5981, IMPORTRANGE(""https://docs.google.com/spreadsheets/d/1-3Vjw2Cyy-mry5gbC8ypIR3YVGFfEpyFESummAta6sg/edit"", ""Sheet1!B:D""), 2, FALSE), ""Not Found"")"),"eʤɪŋ")</f>
        <v>eʤɪŋ</v>
      </c>
      <c r="E5981" s="2" t="str">
        <f>IFERROR(__xludf.DUMMYFUNCTION("IFERROR(VLOOKUP(A5981, IMPORTRANGE(""https://docs.google.com/spreadsheets/d/1-3Vjw2Cyy-mry5gbC8ypIR3YVGFfEpyFESummAta6sg/edit"", ""Sheet1!B:D""), 3, FALSE), ""Not Found"")"),"e ʤ ɪ ŋ ")</f>
        <v>e ʤ ɪ ŋ </v>
      </c>
    </row>
    <row r="5982">
      <c r="A5982" s="1" t="s">
        <v>5984</v>
      </c>
      <c r="B5982" s="1" t="s">
        <v>5</v>
      </c>
      <c r="C5982" s="2">
        <f>IFERROR(__xludf.DUMMYFUNCTION("IFERROR(VLOOKUP(A5982, IMPORTRANGE(""https://docs.google.com/spreadsheets/d/1AVX9GT0dgogEBStecCXMMQ29tWz3gBrtNB8yIromXbY/edit?gid=741673867"", ""out1g!A:B""), 2, FALSE), 0)"),117.0)</f>
        <v>117</v>
      </c>
      <c r="D5982" s="2" t="str">
        <f>IFERROR(__xludf.DUMMYFUNCTION("IFERROR(VLOOKUP(A5982, IMPORTRANGE(""https://docs.google.com/spreadsheets/d/1-3Vjw2Cyy-mry5gbC8ypIR3YVGFfEpyFESummAta6sg/edit"", ""Sheet1!B:D""), 2, FALSE), ""Not Found"")"),"kaɪt")</f>
        <v>kaɪt</v>
      </c>
      <c r="E5982" s="2" t="str">
        <f>IFERROR(__xludf.DUMMYFUNCTION("IFERROR(VLOOKUP(A5982, IMPORTRANGE(""https://docs.google.com/spreadsheets/d/1-3Vjw2Cyy-mry5gbC8ypIR3YVGFfEpyFESummAta6sg/edit"", ""Sheet1!B:D""), 3, FALSE), ""Not Found"")"),"k a ɪ t ")</f>
        <v>k a ɪ t </v>
      </c>
    </row>
    <row r="5983">
      <c r="A5983" s="1" t="s">
        <v>5985</v>
      </c>
      <c r="B5983" s="1" t="s">
        <v>5</v>
      </c>
      <c r="C5983" s="2">
        <f>IFERROR(__xludf.DUMMYFUNCTION("IFERROR(VLOOKUP(A5983, IMPORTRANGE(""https://docs.google.com/spreadsheets/d/1AVX9GT0dgogEBStecCXMMQ29tWz3gBrtNB8yIromXbY/edit?gid=741673867"", ""out1g!A:B""), 2, FALSE), 0)"),228.0)</f>
        <v>228</v>
      </c>
      <c r="D5983" s="2" t="str">
        <f>IFERROR(__xludf.DUMMYFUNCTION("IFERROR(VLOOKUP(A5983, IMPORTRANGE(""https://docs.google.com/spreadsheets/d/1-3Vjw2Cyy-mry5gbC8ypIR3YVGFfEpyFESummAta6sg/edit"", ""Sheet1!B:D""), 2, FALSE), ""Not Found"")"),"kin")</f>
        <v>kin</v>
      </c>
      <c r="E5983" s="2" t="str">
        <f>IFERROR(__xludf.DUMMYFUNCTION("IFERROR(VLOOKUP(A5983, IMPORTRANGE(""https://docs.google.com/spreadsheets/d/1-3Vjw2Cyy-mry5gbC8ypIR3YVGFfEpyFESummAta6sg/edit"", ""Sheet1!B:D""), 3, FALSE), ""Not Found"")"),"k i n ")</f>
        <v>k i n </v>
      </c>
    </row>
    <row r="5984">
      <c r="A5984" s="1" t="s">
        <v>5986</v>
      </c>
      <c r="B5984" s="1" t="s">
        <v>5</v>
      </c>
      <c r="C5984" s="2">
        <f>IFERROR(__xludf.DUMMYFUNCTION("IFERROR(VLOOKUP(A5984, IMPORTRANGE(""https://docs.google.com/spreadsheets/d/1AVX9GT0dgogEBStecCXMMQ29tWz3gBrtNB8yIromXbY/edit?gid=741673867"", ""out1g!A:B""), 2, FALSE), 0)"),21063.0)</f>
        <v>21063</v>
      </c>
      <c r="D5984" s="2" t="str">
        <f>IFERROR(__xludf.DUMMYFUNCTION("IFERROR(VLOOKUP(A5984, IMPORTRANGE(""https://docs.google.com/spreadsheets/d/1-3Vjw2Cyy-mry5gbC8ypIR3YVGFfEpyFESummAta6sg/edit"", ""Sheet1!B:D""), 2, FALSE), ""Not Found"")"),"ʤɑb")</f>
        <v>ʤɑb</v>
      </c>
      <c r="E5984" s="2" t="str">
        <f>IFERROR(__xludf.DUMMYFUNCTION("IFERROR(VLOOKUP(A5984, IMPORTRANGE(""https://docs.google.com/spreadsheets/d/1-3Vjw2Cyy-mry5gbC8ypIR3YVGFfEpyFESummAta6sg/edit"", ""Sheet1!B:D""), 3, FALSE), ""Not Found"")"),"ʤ ɑ b ")</f>
        <v>ʤ ɑ b </v>
      </c>
    </row>
    <row r="5985">
      <c r="A5985" s="1" t="s">
        <v>5987</v>
      </c>
      <c r="B5985" s="1" t="s">
        <v>5</v>
      </c>
      <c r="C5985" s="2">
        <f>IFERROR(__xludf.DUMMYFUNCTION("IFERROR(VLOOKUP(A5985, IMPORTRANGE(""https://docs.google.com/spreadsheets/d/1AVX9GT0dgogEBStecCXMMQ29tWz3gBrtNB8yIromXbY/edit?gid=741673867"", ""out1g!A:B""), 2, FALSE), 0)"),100.0)</f>
        <v>100</v>
      </c>
      <c r="D5985" s="2" t="str">
        <f>IFERROR(__xludf.DUMMYFUNCTION("IFERROR(VLOOKUP(A5985, IMPORTRANGE(""https://docs.google.com/spreadsheets/d/1-3Vjw2Cyy-mry5gbC8ypIR3YVGFfEpyFESummAta6sg/edit"", ""Sheet1!B:D""), 2, FALSE), ""Not Found"")"),"stekaʊt")</f>
        <v>stekaʊt</v>
      </c>
      <c r="E5985" s="2" t="str">
        <f>IFERROR(__xludf.DUMMYFUNCTION("IFERROR(VLOOKUP(A5985, IMPORTRANGE(""https://docs.google.com/spreadsheets/d/1-3Vjw2Cyy-mry5gbC8ypIR3YVGFfEpyFESummAta6sg/edit"", ""Sheet1!B:D""), 3, FALSE), ""Not Found"")"),"s t e k a ʊ t ")</f>
        <v>s t e k a ʊ t </v>
      </c>
    </row>
    <row r="5986">
      <c r="A5986" s="1" t="s">
        <v>5988</v>
      </c>
      <c r="B5986" s="1" t="s">
        <v>5</v>
      </c>
      <c r="C5986" s="2">
        <f>IFERROR(__xludf.DUMMYFUNCTION("IFERROR(VLOOKUP(A5986, IMPORTRANGE(""https://docs.google.com/spreadsheets/d/1AVX9GT0dgogEBStecCXMMQ29tWz3gBrtNB8yIromXbY/edit?gid=741673867"", ""out1g!A:B""), 2, FALSE), 0)"),156.0)</f>
        <v>156</v>
      </c>
      <c r="D5986" s="2" t="str">
        <f>IFERROR(__xludf.DUMMYFUNCTION("IFERROR(VLOOKUP(A5986, IMPORTRANGE(""https://docs.google.com/spreadsheets/d/1-3Vjw2Cyy-mry5gbC8ypIR3YVGFfEpyFESummAta6sg/edit"", ""Sheet1!B:D""), 2, FALSE), ""Not Found"")"),"faɪbər")</f>
        <v>faɪbər</v>
      </c>
      <c r="E5986" s="2" t="str">
        <f>IFERROR(__xludf.DUMMYFUNCTION("IFERROR(VLOOKUP(A5986, IMPORTRANGE(""https://docs.google.com/spreadsheets/d/1-3Vjw2Cyy-mry5gbC8ypIR3YVGFfEpyFESummAta6sg/edit"", ""Sheet1!B:D""), 3, FALSE), ""Not Found"")"),"f a ɪ b ə r ")</f>
        <v>f a ɪ b ə r </v>
      </c>
    </row>
    <row r="5987">
      <c r="A5987" s="1" t="s">
        <v>5989</v>
      </c>
      <c r="B5987" s="1" t="s">
        <v>5</v>
      </c>
      <c r="C5987" s="2">
        <f>IFERROR(__xludf.DUMMYFUNCTION("IFERROR(VLOOKUP(A5987, IMPORTRANGE(""https://docs.google.com/spreadsheets/d/1AVX9GT0dgogEBStecCXMMQ29tWz3gBrtNB8yIromXbY/edit?gid=741673867"", ""out1g!A:B""), 2, FALSE), 0)"),309.0)</f>
        <v>309</v>
      </c>
      <c r="D5987" s="2" t="str">
        <f>IFERROR(__xludf.DUMMYFUNCTION("IFERROR(VLOOKUP(A5987, IMPORTRANGE(""https://docs.google.com/spreadsheets/d/1-3Vjw2Cyy-mry5gbC8ypIR3YVGFfEpyFESummAta6sg/edit"", ""Sheet1!B:D""), 2, FALSE), ""Not Found"")"),"æntik")</f>
        <v>æntik</v>
      </c>
      <c r="E5987" s="2" t="str">
        <f>IFERROR(__xludf.DUMMYFUNCTION("IFERROR(VLOOKUP(A5987, IMPORTRANGE(""https://docs.google.com/spreadsheets/d/1-3Vjw2Cyy-mry5gbC8ypIR3YVGFfEpyFESummAta6sg/edit"", ""Sheet1!B:D""), 3, FALSE), ""Not Found"")"),"æ n t i k ")</f>
        <v>æ n t i k </v>
      </c>
    </row>
    <row r="5988">
      <c r="A5988" s="1" t="s">
        <v>5990</v>
      </c>
      <c r="B5988" s="1" t="s">
        <v>5</v>
      </c>
      <c r="C5988" s="2">
        <f>IFERROR(__xludf.DUMMYFUNCTION("IFERROR(VLOOKUP(A5988, IMPORTRANGE(""https://docs.google.com/spreadsheets/d/1AVX9GT0dgogEBStecCXMMQ29tWz3gBrtNB8yIromXbY/edit?gid=741673867"", ""out1g!A:B""), 2, FALSE), 0)"),4377.0)</f>
        <v>4377</v>
      </c>
      <c r="D5988" s="2" t="str">
        <f>IFERROR(__xludf.DUMMYFUNCTION("IFERROR(VLOOKUP(A5988, IMPORTRANGE(""https://docs.google.com/spreadsheets/d/1-3Vjw2Cyy-mry5gbC8ypIR3YVGFfEpyFESummAta6sg/edit"", ""Sheet1!B:D""), 2, FALSE), ""Not Found"")"),"toʊtəli")</f>
        <v>toʊtəli</v>
      </c>
      <c r="E5988" s="2" t="str">
        <f>IFERROR(__xludf.DUMMYFUNCTION("IFERROR(VLOOKUP(A5988, IMPORTRANGE(""https://docs.google.com/spreadsheets/d/1-3Vjw2Cyy-mry5gbC8ypIR3YVGFfEpyFESummAta6sg/edit"", ""Sheet1!B:D""), 3, FALSE), ""Not Found"")"),"t o ʊ t ə l i ")</f>
        <v>t o ʊ t ə l i </v>
      </c>
    </row>
    <row r="5989">
      <c r="A5989" s="1" t="s">
        <v>5991</v>
      </c>
      <c r="B5989" s="1" t="s">
        <v>5</v>
      </c>
      <c r="C5989" s="2">
        <f>IFERROR(__xludf.DUMMYFUNCTION("IFERROR(VLOOKUP(A5989, IMPORTRANGE(""https://docs.google.com/spreadsheets/d/1AVX9GT0dgogEBStecCXMMQ29tWz3gBrtNB8yIromXbY/edit?gid=741673867"", ""out1g!A:B""), 2, FALSE), 0)"),105.0)</f>
        <v>105</v>
      </c>
      <c r="D5989" s="2" t="str">
        <f>IFERROR(__xludf.DUMMYFUNCTION("IFERROR(VLOOKUP(A5989, IMPORTRANGE(""https://docs.google.com/spreadsheets/d/1-3Vjw2Cyy-mry5gbC8ypIR3YVGFfEpyFESummAta6sg/edit"", ""Sheet1!B:D""), 2, FALSE), ""Not Found"")"),"spɔɪlz")</f>
        <v>spɔɪlz</v>
      </c>
      <c r="E5989" s="2" t="str">
        <f>IFERROR(__xludf.DUMMYFUNCTION("IFERROR(VLOOKUP(A5989, IMPORTRANGE(""https://docs.google.com/spreadsheets/d/1-3Vjw2Cyy-mry5gbC8ypIR3YVGFfEpyFESummAta6sg/edit"", ""Sheet1!B:D""), 3, FALSE), ""Not Found"")"),"s p ɔ ɪ l z ")</f>
        <v>s p ɔ ɪ l z </v>
      </c>
    </row>
    <row r="5990">
      <c r="A5990" s="1" t="s">
        <v>5992</v>
      </c>
      <c r="B5990" s="1" t="s">
        <v>5</v>
      </c>
      <c r="C5990" s="2">
        <f>IFERROR(__xludf.DUMMYFUNCTION("IFERROR(VLOOKUP(A5990, IMPORTRANGE(""https://docs.google.com/spreadsheets/d/1AVX9GT0dgogEBStecCXMMQ29tWz3gBrtNB8yIromXbY/edit?gid=741673867"", ""out1g!A:B""), 2, FALSE), 0)"),5322.0)</f>
        <v>5322</v>
      </c>
      <c r="D5990" s="2" t="str">
        <f>IFERROR(__xludf.DUMMYFUNCTION("IFERROR(VLOOKUP(A5990, IMPORTRANGE(""https://docs.google.com/spreadsheets/d/1-3Vjw2Cyy-mry5gbC8ypIR3YVGFfEpyFESummAta6sg/edit"", ""Sheet1!B:D""), 2, FALSE), ""Not Found"")"),"mɛri")</f>
        <v>mɛri</v>
      </c>
      <c r="E5990" s="2" t="str">
        <f>IFERROR(__xludf.DUMMYFUNCTION("IFERROR(VLOOKUP(A5990, IMPORTRANGE(""https://docs.google.com/spreadsheets/d/1-3Vjw2Cyy-mry5gbC8ypIR3YVGFfEpyFESummAta6sg/edit"", ""Sheet1!B:D""), 3, FALSE), ""Not Found"")"),"m ɛ r i ")</f>
        <v>m ɛ r i </v>
      </c>
    </row>
    <row r="5991">
      <c r="A5991" s="1" t="s">
        <v>5993</v>
      </c>
      <c r="B5991" s="1" t="s">
        <v>5</v>
      </c>
      <c r="C5991" s="2">
        <f>IFERROR(__xludf.DUMMYFUNCTION("IFERROR(VLOOKUP(A5991, IMPORTRANGE(""https://docs.google.com/spreadsheets/d/1AVX9GT0dgogEBStecCXMMQ29tWz3gBrtNB8yIromXbY/edit?gid=741673867"", ""out1g!A:B""), 2, FALSE), 0)"),766.0)</f>
        <v>766</v>
      </c>
      <c r="D5991" s="2" t="str">
        <f>IFERROR(__xludf.DUMMYFUNCTION("IFERROR(VLOOKUP(A5991, IMPORTRANGE(""https://docs.google.com/spreadsheets/d/1-3Vjw2Cyy-mry5gbC8ypIR3YVGFfEpyFESummAta6sg/edit"", ""Sheet1!B:D""), 2, FALSE), ""Not Found"")"),"hoʊst")</f>
        <v>hoʊst</v>
      </c>
      <c r="E5991" s="2" t="str">
        <f>IFERROR(__xludf.DUMMYFUNCTION("IFERROR(VLOOKUP(A5991, IMPORTRANGE(""https://docs.google.com/spreadsheets/d/1-3Vjw2Cyy-mry5gbC8ypIR3YVGFfEpyFESummAta6sg/edit"", ""Sheet1!B:D""), 3, FALSE), ""Not Found"")"),"h o ʊ s t ")</f>
        <v>h o ʊ s t </v>
      </c>
    </row>
    <row r="5992">
      <c r="A5992" s="1" t="s">
        <v>5994</v>
      </c>
      <c r="B5992" s="1" t="s">
        <v>5</v>
      </c>
      <c r="C5992" s="2">
        <f>IFERROR(__xludf.DUMMYFUNCTION("IFERROR(VLOOKUP(A5992, IMPORTRANGE(""https://docs.google.com/spreadsheets/d/1AVX9GT0dgogEBStecCXMMQ29tWz3gBrtNB8yIromXbY/edit?gid=741673867"", ""out1g!A:B""), 2, FALSE), 0)"),68.0)</f>
        <v>68</v>
      </c>
      <c r="D5992" s="2" t="str">
        <f>IFERROR(__xludf.DUMMYFUNCTION("IFERROR(VLOOKUP(A5992, IMPORTRANGE(""https://docs.google.com/spreadsheets/d/1-3Vjw2Cyy-mry5gbC8ypIR3YVGFfEpyFESummAta6sg/edit"", ""Sheet1!B:D""), 2, FALSE), ""Not Found"")"),"lips")</f>
        <v>lips</v>
      </c>
      <c r="E5992" s="2" t="str">
        <f>IFERROR(__xludf.DUMMYFUNCTION("IFERROR(VLOOKUP(A5992, IMPORTRANGE(""https://docs.google.com/spreadsheets/d/1-3Vjw2Cyy-mry5gbC8ypIR3YVGFfEpyFESummAta6sg/edit"", ""Sheet1!B:D""), 3, FALSE), ""Not Found"")"),"l i p s ")</f>
        <v>l i p s </v>
      </c>
    </row>
    <row r="5993">
      <c r="A5993" s="1" t="s">
        <v>5995</v>
      </c>
      <c r="B5993" s="1" t="s">
        <v>5</v>
      </c>
      <c r="C5993" s="2">
        <f>IFERROR(__xludf.DUMMYFUNCTION("IFERROR(VLOOKUP(A5993, IMPORTRANGE(""https://docs.google.com/spreadsheets/d/1AVX9GT0dgogEBStecCXMMQ29tWz3gBrtNB8yIromXbY/edit?gid=741673867"", ""out1g!A:B""), 2, FALSE), 0)"),350.0)</f>
        <v>350</v>
      </c>
      <c r="D5993" s="2" t="str">
        <f>IFERROR(__xludf.DUMMYFUNCTION("IFERROR(VLOOKUP(A5993, IMPORTRANGE(""https://docs.google.com/spreadsheets/d/1-3Vjw2Cyy-mry5gbC8ypIR3YVGFfEpyFESummAta6sg/edit"", ""Sheet1!B:D""), 2, FALSE), ""Not Found"")"),"sɑroʊ")</f>
        <v>sɑroʊ</v>
      </c>
      <c r="E5993" s="2" t="str">
        <f>IFERROR(__xludf.DUMMYFUNCTION("IFERROR(VLOOKUP(A5993, IMPORTRANGE(""https://docs.google.com/spreadsheets/d/1-3Vjw2Cyy-mry5gbC8ypIR3YVGFfEpyFESummAta6sg/edit"", ""Sheet1!B:D""), 3, FALSE), ""Not Found"")"),"s ɑ r o ʊ ")</f>
        <v>s ɑ r o ʊ </v>
      </c>
    </row>
    <row r="5994">
      <c r="A5994" s="1" t="s">
        <v>5996</v>
      </c>
      <c r="B5994" s="1" t="s">
        <v>5</v>
      </c>
      <c r="C5994" s="2">
        <f>IFERROR(__xludf.DUMMYFUNCTION("IFERROR(VLOOKUP(A5994, IMPORTRANGE(""https://docs.google.com/spreadsheets/d/1AVX9GT0dgogEBStecCXMMQ29tWz3gBrtNB8yIromXbY/edit?gid=741673867"", ""out1g!A:B""), 2, FALSE), 0)"),138.0)</f>
        <v>138</v>
      </c>
      <c r="D5994" s="2" t="str">
        <f>IFERROR(__xludf.DUMMYFUNCTION("IFERROR(VLOOKUP(A5994, IMPORTRANGE(""https://docs.google.com/spreadsheets/d/1-3Vjw2Cyy-mry5gbC8ypIR3YVGFfEpyFESummAta6sg/edit"", ""Sheet1!B:D""), 2, FALSE), ""Not Found"")"),"hoʊlə")</f>
        <v>hoʊlə</v>
      </c>
      <c r="E5994" s="2" t="str">
        <f>IFERROR(__xludf.DUMMYFUNCTION("IFERROR(VLOOKUP(A5994, IMPORTRANGE(""https://docs.google.com/spreadsheets/d/1-3Vjw2Cyy-mry5gbC8ypIR3YVGFfEpyFESummAta6sg/edit"", ""Sheet1!B:D""), 3, FALSE), ""Not Found"")"),"h o ʊ l ə ")</f>
        <v>h o ʊ l ə </v>
      </c>
    </row>
    <row r="5995">
      <c r="A5995" s="1" t="s">
        <v>5997</v>
      </c>
      <c r="B5995" s="1" t="s">
        <v>5</v>
      </c>
      <c r="C5995" s="2">
        <f>IFERROR(__xludf.DUMMYFUNCTION("IFERROR(VLOOKUP(A5995, IMPORTRANGE(""https://docs.google.com/spreadsheets/d/1AVX9GT0dgogEBStecCXMMQ29tWz3gBrtNB8yIromXbY/edit?gid=741673867"", ""out1g!A:B""), 2, FALSE), 0)"),440.0)</f>
        <v>440</v>
      </c>
      <c r="D5995" s="2" t="str">
        <f>IFERROR(__xludf.DUMMYFUNCTION("IFERROR(VLOOKUP(A5995, IMPORTRANGE(""https://docs.google.com/spreadsheets/d/1-3Vjw2Cyy-mry5gbC8ypIR3YVGFfEpyFESummAta6sg/edit"", ""Sheet1!B:D""), 2, FALSE), ""Not Found"")"),"rɪg")</f>
        <v>rɪg</v>
      </c>
      <c r="E5995" s="2" t="str">
        <f>IFERROR(__xludf.DUMMYFUNCTION("IFERROR(VLOOKUP(A5995, IMPORTRANGE(""https://docs.google.com/spreadsheets/d/1-3Vjw2Cyy-mry5gbC8ypIR3YVGFfEpyFESummAta6sg/edit"", ""Sheet1!B:D""), 3, FALSE), ""Not Found"")"),"r ɪ g ")</f>
        <v>r ɪ g </v>
      </c>
    </row>
    <row r="5996">
      <c r="A5996" s="1" t="s">
        <v>5998</v>
      </c>
      <c r="B5996" s="1" t="s">
        <v>5</v>
      </c>
      <c r="C5996" s="2">
        <f>IFERROR(__xludf.DUMMYFUNCTION("IFERROR(VLOOKUP(A5996, IMPORTRANGE(""https://docs.google.com/spreadsheets/d/1AVX9GT0dgogEBStecCXMMQ29tWz3gBrtNB8yIromXbY/edit?gid=741673867"", ""out1g!A:B""), 2, FALSE), 0)"),371.0)</f>
        <v>371</v>
      </c>
      <c r="D5996" s="2" t="str">
        <f>IFERROR(__xludf.DUMMYFUNCTION("IFERROR(VLOOKUP(A5996, IMPORTRANGE(""https://docs.google.com/spreadsheets/d/1-3Vjw2Cyy-mry5gbC8ypIR3YVGFfEpyFESummAta6sg/edit"", ""Sheet1!B:D""), 2, FALSE), ""Not Found"")"),"bɛgd")</f>
        <v>bɛgd</v>
      </c>
      <c r="E5996" s="2" t="str">
        <f>IFERROR(__xludf.DUMMYFUNCTION("IFERROR(VLOOKUP(A5996, IMPORTRANGE(""https://docs.google.com/spreadsheets/d/1-3Vjw2Cyy-mry5gbC8ypIR3YVGFfEpyFESummAta6sg/edit"", ""Sheet1!B:D""), 3, FALSE), ""Not Found"")"),"b ɛ g d ")</f>
        <v>b ɛ g d </v>
      </c>
    </row>
    <row r="5997">
      <c r="A5997" s="1" t="s">
        <v>5999</v>
      </c>
      <c r="B5997" s="1" t="s">
        <v>5</v>
      </c>
      <c r="C5997" s="2">
        <f>IFERROR(__xludf.DUMMYFUNCTION("IFERROR(VLOOKUP(A5997, IMPORTRANGE(""https://docs.google.com/spreadsheets/d/1AVX9GT0dgogEBStecCXMMQ29tWz3gBrtNB8yIromXbY/edit?gid=741673867"", ""out1g!A:B""), 2, FALSE), 0)"),71.0)</f>
        <v>71</v>
      </c>
      <c r="D5997" s="2" t="str">
        <f>IFERROR(__xludf.DUMMYFUNCTION("IFERROR(VLOOKUP(A5997, IMPORTRANGE(""https://docs.google.com/spreadsheets/d/1-3Vjw2Cyy-mry5gbC8ypIR3YVGFfEpyFESummAta6sg/edit"", ""Sheet1!B:D""), 2, FALSE), ""Not Found"")"),"ʧɪld")</f>
        <v>ʧɪld</v>
      </c>
      <c r="E5997" s="2" t="str">
        <f>IFERROR(__xludf.DUMMYFUNCTION("IFERROR(VLOOKUP(A5997, IMPORTRANGE(""https://docs.google.com/spreadsheets/d/1-3Vjw2Cyy-mry5gbC8ypIR3YVGFfEpyFESummAta6sg/edit"", ""Sheet1!B:D""), 3, FALSE), ""Not Found"")"),"ʧ ɪ l d ")</f>
        <v>ʧ ɪ l d </v>
      </c>
    </row>
    <row r="5998">
      <c r="A5998" s="1" t="s">
        <v>6000</v>
      </c>
      <c r="B5998" s="1" t="s">
        <v>5</v>
      </c>
      <c r="C5998" s="2">
        <f>IFERROR(__xludf.DUMMYFUNCTION("IFERROR(VLOOKUP(A5998, IMPORTRANGE(""https://docs.google.com/spreadsheets/d/1AVX9GT0dgogEBStecCXMMQ29tWz3gBrtNB8yIromXbY/edit?gid=741673867"", ""out1g!A:B""), 2, FALSE), 0)"),99.0)</f>
        <v>99</v>
      </c>
      <c r="D5998" s="2" t="str">
        <f>IFERROR(__xludf.DUMMYFUNCTION("IFERROR(VLOOKUP(A5998, IMPORTRANGE(""https://docs.google.com/spreadsheets/d/1-3Vjw2Cyy-mry5gbC8ypIR3YVGFfEpyFESummAta6sg/edit"", ""Sheet1!B:D""), 2, FALSE), ""Not Found"")"),"di")</f>
        <v>di</v>
      </c>
      <c r="E5998" s="2" t="str">
        <f>IFERROR(__xludf.DUMMYFUNCTION("IFERROR(VLOOKUP(A5998, IMPORTRANGE(""https://docs.google.com/spreadsheets/d/1-3Vjw2Cyy-mry5gbC8ypIR3YVGFfEpyFESummAta6sg/edit"", ""Sheet1!B:D""), 3, FALSE), ""Not Found"")"),"d i ")</f>
        <v>d i </v>
      </c>
    </row>
    <row r="5999">
      <c r="A5999" s="1" t="s">
        <v>6001</v>
      </c>
      <c r="B5999" s="1" t="s">
        <v>5</v>
      </c>
      <c r="C5999" s="2">
        <f>IFERROR(__xludf.DUMMYFUNCTION("IFERROR(VLOOKUP(A5999, IMPORTRANGE(""https://docs.google.com/spreadsheets/d/1AVX9GT0dgogEBStecCXMMQ29tWz3gBrtNB8yIromXbY/edit?gid=741673867"", ""out1g!A:B""), 2, FALSE), 0)"),45.0)</f>
        <v>45</v>
      </c>
      <c r="D5999" s="2" t="str">
        <f>IFERROR(__xludf.DUMMYFUNCTION("IFERROR(VLOOKUP(A5999, IMPORTRANGE(""https://docs.google.com/spreadsheets/d/1-3Vjw2Cyy-mry5gbC8ypIR3YVGFfEpyFESummAta6sg/edit"", ""Sheet1!B:D""), 2, FALSE), ""Not Found"")"),"baɪ")</f>
        <v>baɪ</v>
      </c>
      <c r="E5999" s="2" t="str">
        <f>IFERROR(__xludf.DUMMYFUNCTION("IFERROR(VLOOKUP(A5999, IMPORTRANGE(""https://docs.google.com/spreadsheets/d/1-3Vjw2Cyy-mry5gbC8ypIR3YVGFfEpyFESummAta6sg/edit"", ""Sheet1!B:D""), 3, FALSE), ""Not Found"")"),"b a ɪ ")</f>
        <v>b a ɪ </v>
      </c>
    </row>
    <row r="6000">
      <c r="A6000" s="1" t="s">
        <v>6002</v>
      </c>
      <c r="B6000" s="1" t="s">
        <v>5</v>
      </c>
      <c r="C6000" s="2">
        <f>IFERROR(__xludf.DUMMYFUNCTION("IFERROR(VLOOKUP(A6000, IMPORTRANGE(""https://docs.google.com/spreadsheets/d/1AVX9GT0dgogEBStecCXMMQ29tWz3gBrtNB8yIromXbY/edit?gid=741673867"", ""out1g!A:B""), 2, FALSE), 0)"),151.0)</f>
        <v>151</v>
      </c>
      <c r="D6000" s="2" t="str">
        <f>IFERROR(__xludf.DUMMYFUNCTION("IFERROR(VLOOKUP(A6000, IMPORTRANGE(""https://docs.google.com/spreadsheets/d/1-3Vjw2Cyy-mry5gbC8ypIR3YVGFfEpyFESummAta6sg/edit"", ""Sheet1!B:D""), 2, FALSE), ""Not Found"")"),"raɪmz")</f>
        <v>raɪmz</v>
      </c>
      <c r="E6000" s="2" t="str">
        <f>IFERROR(__xludf.DUMMYFUNCTION("IFERROR(VLOOKUP(A6000, IMPORTRANGE(""https://docs.google.com/spreadsheets/d/1-3Vjw2Cyy-mry5gbC8ypIR3YVGFfEpyFESummAta6sg/edit"", ""Sheet1!B:D""), 3, FALSE), ""Not Found"")"),"r a ɪ m z ")</f>
        <v>r a ɪ m z </v>
      </c>
    </row>
    <row r="6001">
      <c r="A6001" s="1" t="s">
        <v>6003</v>
      </c>
      <c r="B6001" s="1" t="s">
        <v>5</v>
      </c>
      <c r="C6001" s="2">
        <f>IFERROR(__xludf.DUMMYFUNCTION("IFERROR(VLOOKUP(A6001, IMPORTRANGE(""https://docs.google.com/spreadsheets/d/1AVX9GT0dgogEBStecCXMMQ29tWz3gBrtNB8yIromXbY/edit?gid=741673867"", ""out1g!A:B""), 2, FALSE), 0)"),755.0)</f>
        <v>755</v>
      </c>
      <c r="D6001" s="2" t="str">
        <f>IFERROR(__xludf.DUMMYFUNCTION("IFERROR(VLOOKUP(A6001, IMPORTRANGE(""https://docs.google.com/spreadsheets/d/1-3Vjw2Cyy-mry5gbC8ypIR3YVGFfEpyFESummAta6sg/edit"", ""Sheet1!B:D""), 2, FALSE), ""Not Found"")"),"ʧæn")</f>
        <v>ʧæn</v>
      </c>
      <c r="E6001" s="2" t="str">
        <f>IFERROR(__xludf.DUMMYFUNCTION("IFERROR(VLOOKUP(A6001, IMPORTRANGE(""https://docs.google.com/spreadsheets/d/1-3Vjw2Cyy-mry5gbC8ypIR3YVGFfEpyFESummAta6sg/edit"", ""Sheet1!B:D""), 3, FALSE), ""Not Found"")"),"ʧ æ n ")</f>
        <v>ʧ æ n </v>
      </c>
    </row>
    <row r="6002">
      <c r="A6002" s="1" t="s">
        <v>6004</v>
      </c>
      <c r="B6002" s="1" t="s">
        <v>5</v>
      </c>
      <c r="C6002" s="2">
        <f>IFERROR(__xludf.DUMMYFUNCTION("IFERROR(VLOOKUP(A6002, IMPORTRANGE(""https://docs.google.com/spreadsheets/d/1AVX9GT0dgogEBStecCXMMQ29tWz3gBrtNB8yIromXbY/edit?gid=741673867"", ""out1g!A:B""), 2, FALSE), 0)"),103739.0)</f>
        <v>103739</v>
      </c>
      <c r="D6002" s="2" t="str">
        <f>IFERROR(__xludf.DUMMYFUNCTION("IFERROR(VLOOKUP(A6002, IMPORTRANGE(""https://docs.google.com/spreadsheets/d/1-3Vjw2Cyy-mry5gbC8ypIR3YVGFfEpyFESummAta6sg/edit"", ""Sheet1!B:D""), 2, FALSE), ""Not Found"")"),"wɪn")</f>
        <v>wɪn</v>
      </c>
      <c r="E6002" s="2" t="str">
        <f>IFERROR(__xludf.DUMMYFUNCTION("IFERROR(VLOOKUP(A6002, IMPORTRANGE(""https://docs.google.com/spreadsheets/d/1-3Vjw2Cyy-mry5gbC8ypIR3YVGFfEpyFESummAta6sg/edit"", ""Sheet1!B:D""), 3, FALSE), ""Not Found"")"),"w ɪ n ")</f>
        <v>w ɪ n </v>
      </c>
    </row>
    <row r="6003">
      <c r="A6003" s="1" t="s">
        <v>6005</v>
      </c>
      <c r="B6003" s="1" t="s">
        <v>5</v>
      </c>
      <c r="C6003" s="2">
        <f>IFERROR(__xludf.DUMMYFUNCTION("IFERROR(VLOOKUP(A6003, IMPORTRANGE(""https://docs.google.com/spreadsheets/d/1AVX9GT0dgogEBStecCXMMQ29tWz3gBrtNB8yIromXbY/edit?gid=741673867"", ""out1g!A:B""), 2, FALSE), 0)"),54.0)</f>
        <v>54</v>
      </c>
      <c r="D6003" s="2" t="str">
        <f>IFERROR(__xludf.DUMMYFUNCTION("IFERROR(VLOOKUP(A6003, IMPORTRANGE(""https://docs.google.com/spreadsheets/d/1-3Vjw2Cyy-mry5gbC8ypIR3YVGFfEpyFESummAta6sg/edit"", ""Sheet1!B:D""), 2, FALSE), ""Not Found"")"),"lɑrgoʊ")</f>
        <v>lɑrgoʊ</v>
      </c>
      <c r="E6003" s="2" t="str">
        <f>IFERROR(__xludf.DUMMYFUNCTION("IFERROR(VLOOKUP(A6003, IMPORTRANGE(""https://docs.google.com/spreadsheets/d/1-3Vjw2Cyy-mry5gbC8ypIR3YVGFfEpyFESummAta6sg/edit"", ""Sheet1!B:D""), 3, FALSE), ""Not Found"")"),"l ɑ r g o ʊ ")</f>
        <v>l ɑ r g o ʊ </v>
      </c>
    </row>
    <row r="6004">
      <c r="A6004" s="1" t="s">
        <v>6006</v>
      </c>
      <c r="B6004" s="1" t="s">
        <v>5</v>
      </c>
      <c r="C6004" s="2">
        <f>IFERROR(__xludf.DUMMYFUNCTION("IFERROR(VLOOKUP(A6004, IMPORTRANGE(""https://docs.google.com/spreadsheets/d/1AVX9GT0dgogEBStecCXMMQ29tWz3gBrtNB8yIromXbY/edit?gid=741673867"", ""out1g!A:B""), 2, FALSE), 0)"),588.0)</f>
        <v>588</v>
      </c>
      <c r="D6004" s="2" t="str">
        <f>IFERROR(__xludf.DUMMYFUNCTION("IFERROR(VLOOKUP(A6004, IMPORTRANGE(""https://docs.google.com/spreadsheets/d/1-3Vjw2Cyy-mry5gbC8ypIR3YVGFfEpyFESummAta6sg/edit"", ""Sheet1!B:D""), 2, FALSE), ""Not Found"")"),"mænər")</f>
        <v>mænər</v>
      </c>
      <c r="E6004" s="2" t="str">
        <f>IFERROR(__xludf.DUMMYFUNCTION("IFERROR(VLOOKUP(A6004, IMPORTRANGE(""https://docs.google.com/spreadsheets/d/1-3Vjw2Cyy-mry5gbC8ypIR3YVGFfEpyFESummAta6sg/edit"", ""Sheet1!B:D""), 3, FALSE), ""Not Found"")"),"m æ n ə r ")</f>
        <v>m æ n ə r </v>
      </c>
    </row>
    <row r="6005">
      <c r="A6005" s="1" t="s">
        <v>6007</v>
      </c>
      <c r="B6005" s="1" t="s">
        <v>5</v>
      </c>
      <c r="C6005" s="2">
        <f>IFERROR(__xludf.DUMMYFUNCTION("IFERROR(VLOOKUP(A6005, IMPORTRANGE(""https://docs.google.com/spreadsheets/d/1AVX9GT0dgogEBStecCXMMQ29tWz3gBrtNB8yIromXbY/edit?gid=741673867"", ""out1g!A:B""), 2, FALSE), 0)"),4183.0)</f>
        <v>4183</v>
      </c>
      <c r="D6005" s="2" t="str">
        <f>IFERROR(__xludf.DUMMYFUNCTION("IFERROR(VLOOKUP(A6005, IMPORTRANGE(""https://docs.google.com/spreadsheets/d/1-3Vjw2Cyy-mry5gbC8ypIR3YVGFfEpyFESummAta6sg/edit"", ""Sheet1!B:D""), 2, FALSE), ""Not Found"")"),"mɑrk")</f>
        <v>mɑrk</v>
      </c>
      <c r="E6005" s="2" t="str">
        <f>IFERROR(__xludf.DUMMYFUNCTION("IFERROR(VLOOKUP(A6005, IMPORTRANGE(""https://docs.google.com/spreadsheets/d/1-3Vjw2Cyy-mry5gbC8ypIR3YVGFfEpyFESummAta6sg/edit"", ""Sheet1!B:D""), 3, FALSE), ""Not Found"")"),"m ɑ r k ")</f>
        <v>m ɑ r k </v>
      </c>
    </row>
    <row r="6006">
      <c r="A6006" s="1" t="s">
        <v>6008</v>
      </c>
      <c r="B6006" s="1" t="s">
        <v>5</v>
      </c>
      <c r="C6006" s="2">
        <f>IFERROR(__xludf.DUMMYFUNCTION("IFERROR(VLOOKUP(A6006, IMPORTRANGE(""https://docs.google.com/spreadsheets/d/1AVX9GT0dgogEBStecCXMMQ29tWz3gBrtNB8yIromXbY/edit?gid=741673867"", ""out1g!A:B""), 2, FALSE), 0)"),59.0)</f>
        <v>59</v>
      </c>
      <c r="D6006" s="2" t="str">
        <f>IFERROR(__xludf.DUMMYFUNCTION("IFERROR(VLOOKUP(A6006, IMPORTRANGE(""https://docs.google.com/spreadsheets/d/1-3Vjw2Cyy-mry5gbC8ypIR3YVGFfEpyFESummAta6sg/edit"", ""Sheet1!B:D""), 2, FALSE), ""Not Found"")"),"fitəl")</f>
        <v>fitəl</v>
      </c>
      <c r="E6006" s="2" t="str">
        <f>IFERROR(__xludf.DUMMYFUNCTION("IFERROR(VLOOKUP(A6006, IMPORTRANGE(""https://docs.google.com/spreadsheets/d/1-3Vjw2Cyy-mry5gbC8ypIR3YVGFfEpyFESummAta6sg/edit"", ""Sheet1!B:D""), 3, FALSE), ""Not Found"")"),"f i t ə l ")</f>
        <v>f i t ə l </v>
      </c>
    </row>
    <row r="6007">
      <c r="A6007" s="1" t="s">
        <v>6009</v>
      </c>
      <c r="B6007" s="1" t="s">
        <v>5</v>
      </c>
      <c r="C6007" s="2">
        <f>IFERROR(__xludf.DUMMYFUNCTION("IFERROR(VLOOKUP(A6007, IMPORTRANGE(""https://docs.google.com/spreadsheets/d/1AVX9GT0dgogEBStecCXMMQ29tWz3gBrtNB8yIromXbY/edit?gid=741673867"", ""out1g!A:B""), 2, FALSE), 0)"),2659.0)</f>
        <v>2659</v>
      </c>
      <c r="D6007" s="2" t="str">
        <f>IFERROR(__xludf.DUMMYFUNCTION("IFERROR(VLOOKUP(A6007, IMPORTRANGE(""https://docs.google.com/spreadsheets/d/1-3Vjw2Cyy-mry5gbC8ypIR3YVGFfEpyFESummAta6sg/edit"", ""Sheet1!B:D""), 2, FALSE), ""Not Found"")"),"wɔrm")</f>
        <v>wɔrm</v>
      </c>
      <c r="E6007" s="2" t="str">
        <f>IFERROR(__xludf.DUMMYFUNCTION("IFERROR(VLOOKUP(A6007, IMPORTRANGE(""https://docs.google.com/spreadsheets/d/1-3Vjw2Cyy-mry5gbC8ypIR3YVGFfEpyFESummAta6sg/edit"", ""Sheet1!B:D""), 3, FALSE), ""Not Found"")"),"w ɔ r m ")</f>
        <v>w ɔ r m </v>
      </c>
    </row>
    <row r="6008">
      <c r="A6008" s="1" t="s">
        <v>6010</v>
      </c>
      <c r="B6008" s="1" t="s">
        <v>5</v>
      </c>
      <c r="C6008" s="2">
        <f>IFERROR(__xludf.DUMMYFUNCTION("IFERROR(VLOOKUP(A6008, IMPORTRANGE(""https://docs.google.com/spreadsheets/d/1AVX9GT0dgogEBStecCXMMQ29tWz3gBrtNB8yIromXbY/edit?gid=741673867"", ""out1g!A:B""), 2, FALSE), 0)"),108.0)</f>
        <v>108</v>
      </c>
      <c r="D6008" s="2" t="str">
        <f>IFERROR(__xludf.DUMMYFUNCTION("IFERROR(VLOOKUP(A6008, IMPORTRANGE(""https://docs.google.com/spreadsheets/d/1-3Vjw2Cyy-mry5gbC8ypIR3YVGFfEpyFESummAta6sg/edit"", ""Sheet1!B:D""), 2, FALSE), ""Not Found"")"),"snɔt")</f>
        <v>snɔt</v>
      </c>
      <c r="E6008" s="2" t="str">
        <f>IFERROR(__xludf.DUMMYFUNCTION("IFERROR(VLOOKUP(A6008, IMPORTRANGE(""https://docs.google.com/spreadsheets/d/1-3Vjw2Cyy-mry5gbC8ypIR3YVGFfEpyFESummAta6sg/edit"", ""Sheet1!B:D""), 3, FALSE), ""Not Found"")"),"s n ɔ t ")</f>
        <v>s n ɔ t </v>
      </c>
    </row>
    <row r="6009">
      <c r="A6009" s="1" t="s">
        <v>6011</v>
      </c>
      <c r="B6009" s="1" t="s">
        <v>5</v>
      </c>
      <c r="C6009" s="2">
        <f>IFERROR(__xludf.DUMMYFUNCTION("IFERROR(VLOOKUP(A6009, IMPORTRANGE(""https://docs.google.com/spreadsheets/d/1AVX9GT0dgogEBStecCXMMQ29tWz3gBrtNB8yIromXbY/edit?gid=741673867"", ""out1g!A:B""), 2, FALSE), 0)"),48.0)</f>
        <v>48</v>
      </c>
      <c r="D6009" s="2" t="str">
        <f>IFERROR(__xludf.DUMMYFUNCTION("IFERROR(VLOOKUP(A6009, IMPORTRANGE(""https://docs.google.com/spreadsheets/d/1-3Vjw2Cyy-mry5gbC8ypIR3YVGFfEpyFESummAta6sg/edit"", ""Sheet1!B:D""), 2, FALSE), ""Not Found"")"),"draɪz")</f>
        <v>draɪz</v>
      </c>
      <c r="E6009" s="2" t="str">
        <f>IFERROR(__xludf.DUMMYFUNCTION("IFERROR(VLOOKUP(A6009, IMPORTRANGE(""https://docs.google.com/spreadsheets/d/1-3Vjw2Cyy-mry5gbC8ypIR3YVGFfEpyFESummAta6sg/edit"", ""Sheet1!B:D""), 3, FALSE), ""Not Found"")"),"d r a ɪ z ")</f>
        <v>d r a ɪ z </v>
      </c>
    </row>
    <row r="6010">
      <c r="A6010" s="1" t="s">
        <v>6012</v>
      </c>
      <c r="B6010" s="1" t="s">
        <v>5</v>
      </c>
      <c r="C6010" s="2">
        <f>IFERROR(__xludf.DUMMYFUNCTION("IFERROR(VLOOKUP(A6010, IMPORTRANGE(""https://docs.google.com/spreadsheets/d/1AVX9GT0dgogEBStecCXMMQ29tWz3gBrtNB8yIromXbY/edit?gid=741673867"", ""out1g!A:B""), 2, FALSE), 0)"),194.0)</f>
        <v>194</v>
      </c>
      <c r="D6010" s="2" t="str">
        <f>IFERROR(__xludf.DUMMYFUNCTION("IFERROR(VLOOKUP(A6010, IMPORTRANGE(""https://docs.google.com/spreadsheets/d/1-3Vjw2Cyy-mry5gbC8ypIR3YVGFfEpyFESummAta6sg/edit"", ""Sheet1!B:D""), 2, FALSE), ""Not Found"")"),"jək")</f>
        <v>jək</v>
      </c>
      <c r="E6010" s="2" t="str">
        <f>IFERROR(__xludf.DUMMYFUNCTION("IFERROR(VLOOKUP(A6010, IMPORTRANGE(""https://docs.google.com/spreadsheets/d/1-3Vjw2Cyy-mry5gbC8ypIR3YVGFfEpyFESummAta6sg/edit"", ""Sheet1!B:D""), 3, FALSE), ""Not Found"")"),"j ə k ")</f>
        <v>j ə k </v>
      </c>
    </row>
    <row r="6011">
      <c r="A6011" s="1" t="s">
        <v>6013</v>
      </c>
      <c r="B6011" s="1" t="s">
        <v>5</v>
      </c>
      <c r="C6011" s="2">
        <f>IFERROR(__xludf.DUMMYFUNCTION("IFERROR(VLOOKUP(A6011, IMPORTRANGE(""https://docs.google.com/spreadsheets/d/1AVX9GT0dgogEBStecCXMMQ29tWz3gBrtNB8yIromXbY/edit?gid=741673867"", ""out1g!A:B""), 2, FALSE), 0)"),67.0)</f>
        <v>67</v>
      </c>
      <c r="D6011" s="2" t="str">
        <f>IFERROR(__xludf.DUMMYFUNCTION("IFERROR(VLOOKUP(A6011, IMPORTRANGE(""https://docs.google.com/spreadsheets/d/1-3Vjw2Cyy-mry5gbC8ypIR3YVGFfEpyFESummAta6sg/edit"", ""Sheet1!B:D""), 2, FALSE), ""Not Found"")"),"bruʧ")</f>
        <v>bruʧ</v>
      </c>
      <c r="E6011" s="2" t="str">
        <f>IFERROR(__xludf.DUMMYFUNCTION("IFERROR(VLOOKUP(A6011, IMPORTRANGE(""https://docs.google.com/spreadsheets/d/1-3Vjw2Cyy-mry5gbC8ypIR3YVGFfEpyFESummAta6sg/edit"", ""Sheet1!B:D""), 3, FALSE), ""Not Found"")"),"b r u ʧ ")</f>
        <v>b r u ʧ </v>
      </c>
    </row>
    <row r="6012">
      <c r="A6012" s="1" t="s">
        <v>6014</v>
      </c>
      <c r="B6012" s="1" t="s">
        <v>5</v>
      </c>
      <c r="C6012" s="2">
        <f>IFERROR(__xludf.DUMMYFUNCTION("IFERROR(VLOOKUP(A6012, IMPORTRANGE(""https://docs.google.com/spreadsheets/d/1AVX9GT0dgogEBStecCXMMQ29tWz3gBrtNB8yIromXbY/edit?gid=741673867"", ""out1g!A:B""), 2, FALSE), 0)"),81.0)</f>
        <v>81</v>
      </c>
      <c r="D6012" s="2" t="str">
        <f>IFERROR(__xludf.DUMMYFUNCTION("IFERROR(VLOOKUP(A6012, IMPORTRANGE(""https://docs.google.com/spreadsheets/d/1-3Vjw2Cyy-mry5gbC8ypIR3YVGFfEpyFESummAta6sg/edit"", ""Sheet1!B:D""), 2, FALSE), ""Not Found"")"),"bəts")</f>
        <v>bəts</v>
      </c>
      <c r="E6012" s="2" t="str">
        <f>IFERROR(__xludf.DUMMYFUNCTION("IFERROR(VLOOKUP(A6012, IMPORTRANGE(""https://docs.google.com/spreadsheets/d/1-3Vjw2Cyy-mry5gbC8ypIR3YVGFfEpyFESummAta6sg/edit"", ""Sheet1!B:D""), 3, FALSE), ""Not Found"")"),"b ə t s ")</f>
        <v>b ə t s </v>
      </c>
    </row>
    <row r="6013">
      <c r="A6013" s="1" t="s">
        <v>6015</v>
      </c>
      <c r="B6013" s="1" t="s">
        <v>5</v>
      </c>
      <c r="C6013" s="2">
        <f>IFERROR(__xludf.DUMMYFUNCTION("IFERROR(VLOOKUP(A6013, IMPORTRANGE(""https://docs.google.com/spreadsheets/d/1AVX9GT0dgogEBStecCXMMQ29tWz3gBrtNB8yIromXbY/edit?gid=741673867"", ""out1g!A:B""), 2, FALSE), 0)"),169.0)</f>
        <v>169</v>
      </c>
      <c r="D6013" s="2" t="str">
        <f>IFERROR(__xludf.DUMMYFUNCTION("IFERROR(VLOOKUP(A6013, IMPORTRANGE(""https://docs.google.com/spreadsheets/d/1-3Vjw2Cyy-mry5gbC8ypIR3YVGFfEpyFESummAta6sg/edit"", ""Sheet1!B:D""), 2, FALSE), ""Not Found"")"),"bɔɪld")</f>
        <v>bɔɪld</v>
      </c>
      <c r="E6013" s="2" t="str">
        <f>IFERROR(__xludf.DUMMYFUNCTION("IFERROR(VLOOKUP(A6013, IMPORTRANGE(""https://docs.google.com/spreadsheets/d/1-3Vjw2Cyy-mry5gbC8ypIR3YVGFfEpyFESummAta6sg/edit"", ""Sheet1!B:D""), 3, FALSE), ""Not Found"")"),"b ɔ ɪ l d ")</f>
        <v>b ɔ ɪ l d </v>
      </c>
    </row>
    <row r="6014">
      <c r="A6014" s="1" t="s">
        <v>6016</v>
      </c>
      <c r="B6014" s="1" t="s">
        <v>5</v>
      </c>
      <c r="C6014" s="2">
        <f>IFERROR(__xludf.DUMMYFUNCTION("IFERROR(VLOOKUP(A6014, IMPORTRANGE(""https://docs.google.com/spreadsheets/d/1AVX9GT0dgogEBStecCXMMQ29tWz3gBrtNB8yIromXbY/edit?gid=741673867"", ""out1g!A:B""), 2, FALSE), 0)"),1407.0)</f>
        <v>1407</v>
      </c>
      <c r="D6014" s="2" t="str">
        <f>IFERROR(__xludf.DUMMYFUNCTION("IFERROR(VLOOKUP(A6014, IMPORTRANGE(""https://docs.google.com/spreadsheets/d/1-3Vjw2Cyy-mry5gbC8ypIR3YVGFfEpyFESummAta6sg/edit"", ""Sheet1!B:D""), 2, FALSE), ""Not Found"")"),"spɔrts")</f>
        <v>spɔrts</v>
      </c>
      <c r="E6014" s="2" t="str">
        <f>IFERROR(__xludf.DUMMYFUNCTION("IFERROR(VLOOKUP(A6014, IMPORTRANGE(""https://docs.google.com/spreadsheets/d/1-3Vjw2Cyy-mry5gbC8ypIR3YVGFfEpyFESummAta6sg/edit"", ""Sheet1!B:D""), 3, FALSE), ""Not Found"")"),"s p ɔ r t s ")</f>
        <v>s p ɔ r t s </v>
      </c>
    </row>
    <row r="6015">
      <c r="A6015" s="1" t="s">
        <v>6017</v>
      </c>
      <c r="B6015" s="1" t="s">
        <v>5</v>
      </c>
      <c r="C6015" s="2">
        <f>IFERROR(__xludf.DUMMYFUNCTION("IFERROR(VLOOKUP(A6015, IMPORTRANGE(""https://docs.google.com/spreadsheets/d/1AVX9GT0dgogEBStecCXMMQ29tWz3gBrtNB8yIromXbY/edit?gid=741673867"", ""out1g!A:B""), 2, FALSE), 0)"),198.0)</f>
        <v>198</v>
      </c>
      <c r="D6015" s="2" t="str">
        <f>IFERROR(__xludf.DUMMYFUNCTION("IFERROR(VLOOKUP(A6015, IMPORTRANGE(""https://docs.google.com/spreadsheets/d/1-3Vjw2Cyy-mry5gbC8ypIR3YVGFfEpyFESummAta6sg/edit"", ""Sheet1!B:D""), 2, FALSE), ""Not Found"")"),"soʊɪŋ")</f>
        <v>soʊɪŋ</v>
      </c>
      <c r="E6015" s="2" t="str">
        <f>IFERROR(__xludf.DUMMYFUNCTION("IFERROR(VLOOKUP(A6015, IMPORTRANGE(""https://docs.google.com/spreadsheets/d/1-3Vjw2Cyy-mry5gbC8ypIR3YVGFfEpyFESummAta6sg/edit"", ""Sheet1!B:D""), 3, FALSE), ""Not Found"")"),"s o ʊ ɪ ŋ ")</f>
        <v>s o ʊ ɪ ŋ </v>
      </c>
    </row>
    <row r="6016">
      <c r="A6016" s="1" t="s">
        <v>6018</v>
      </c>
      <c r="B6016" s="1" t="s">
        <v>5</v>
      </c>
      <c r="C6016" s="2">
        <f>IFERROR(__xludf.DUMMYFUNCTION("IFERROR(VLOOKUP(A6016, IMPORTRANGE(""https://docs.google.com/spreadsheets/d/1AVX9GT0dgogEBStecCXMMQ29tWz3gBrtNB8yIromXbY/edit?gid=741673867"", ""out1g!A:B""), 2, FALSE), 0)"),1485.0)</f>
        <v>1485</v>
      </c>
      <c r="D6016" s="2" t="str">
        <f>IFERROR(__xludf.DUMMYFUNCTION("IFERROR(VLOOKUP(A6016, IMPORTRANGE(""https://docs.google.com/spreadsheets/d/1-3Vjw2Cyy-mry5gbC8ypIR3YVGFfEpyFESummAta6sg/edit"", ""Sheet1!B:D""), 2, FALSE), ""Not Found"")"),"lɔs")</f>
        <v>lɔs</v>
      </c>
      <c r="E6016" s="2" t="str">
        <f>IFERROR(__xludf.DUMMYFUNCTION("IFERROR(VLOOKUP(A6016, IMPORTRANGE(""https://docs.google.com/spreadsheets/d/1-3Vjw2Cyy-mry5gbC8ypIR3YVGFfEpyFESummAta6sg/edit"", ""Sheet1!B:D""), 3, FALSE), ""Not Found"")"),"l ɔ s ")</f>
        <v>l ɔ s </v>
      </c>
    </row>
    <row r="6017">
      <c r="A6017" s="1" t="s">
        <v>6019</v>
      </c>
      <c r="B6017" s="1" t="s">
        <v>5</v>
      </c>
      <c r="C6017" s="2">
        <f>IFERROR(__xludf.DUMMYFUNCTION("IFERROR(VLOOKUP(A6017, IMPORTRANGE(""https://docs.google.com/spreadsheets/d/1AVX9GT0dgogEBStecCXMMQ29tWz3gBrtNB8yIromXbY/edit?gid=741673867"", ""out1g!A:B""), 2, FALSE), 0)"),868.0)</f>
        <v>868</v>
      </c>
      <c r="D6017" s="2" t="str">
        <f>IFERROR(__xludf.DUMMYFUNCTION("IFERROR(VLOOKUP(A6017, IMPORTRANGE(""https://docs.google.com/spreadsheets/d/1-3Vjw2Cyy-mry5gbC8ypIR3YVGFfEpyFESummAta6sg/edit"", ""Sheet1!B:D""), 2, FALSE), ""Not Found"")"),"lɔz")</f>
        <v>lɔz</v>
      </c>
      <c r="E6017" s="2" t="str">
        <f>IFERROR(__xludf.DUMMYFUNCTION("IFERROR(VLOOKUP(A6017, IMPORTRANGE(""https://docs.google.com/spreadsheets/d/1-3Vjw2Cyy-mry5gbC8ypIR3YVGFfEpyFESummAta6sg/edit"", ""Sheet1!B:D""), 3, FALSE), ""Not Found"")"),"l ɔ z ")</f>
        <v>l ɔ z </v>
      </c>
    </row>
    <row r="6018">
      <c r="A6018" s="1" t="s">
        <v>6020</v>
      </c>
      <c r="B6018" s="1" t="s">
        <v>5</v>
      </c>
      <c r="C6018" s="2">
        <f>IFERROR(__xludf.DUMMYFUNCTION("IFERROR(VLOOKUP(A6018, IMPORTRANGE(""https://docs.google.com/spreadsheets/d/1AVX9GT0dgogEBStecCXMMQ29tWz3gBrtNB8yIromXbY/edit?gid=741673867"", ""out1g!A:B""), 2, FALSE), 0)"),324.0)</f>
        <v>324</v>
      </c>
      <c r="D6018" s="2" t="str">
        <f>IFERROR(__xludf.DUMMYFUNCTION("IFERROR(VLOOKUP(A6018, IMPORTRANGE(""https://docs.google.com/spreadsheets/d/1-3Vjw2Cyy-mry5gbC8ypIR3YVGFfEpyFESummAta6sg/edit"", ""Sheet1!B:D""), 2, FALSE), ""Not Found"")"),"bin")</f>
        <v>bin</v>
      </c>
      <c r="E6018" s="2" t="str">
        <f>IFERROR(__xludf.DUMMYFUNCTION("IFERROR(VLOOKUP(A6018, IMPORTRANGE(""https://docs.google.com/spreadsheets/d/1-3Vjw2Cyy-mry5gbC8ypIR3YVGFfEpyFESummAta6sg/edit"", ""Sheet1!B:D""), 3, FALSE), ""Not Found"")"),"b i n ")</f>
        <v>b i n </v>
      </c>
    </row>
    <row r="6019">
      <c r="A6019" s="1" t="s">
        <v>6021</v>
      </c>
      <c r="B6019" s="1" t="s">
        <v>5</v>
      </c>
      <c r="C6019" s="2">
        <f>IFERROR(__xludf.DUMMYFUNCTION("IFERROR(VLOOKUP(A6019, IMPORTRANGE(""https://docs.google.com/spreadsheets/d/1AVX9GT0dgogEBStecCXMMQ29tWz3gBrtNB8yIromXbY/edit?gid=741673867"", ""out1g!A:B""), 2, FALSE), 0)"),158.0)</f>
        <v>158</v>
      </c>
      <c r="D6019" s="2" t="str">
        <f>IFERROR(__xludf.DUMMYFUNCTION("IFERROR(VLOOKUP(A6019, IMPORTRANGE(""https://docs.google.com/spreadsheets/d/1-3Vjw2Cyy-mry5gbC8ypIR3YVGFfEpyFESummAta6sg/edit"", ""Sheet1!B:D""), 2, FALSE), ""Not Found"")"),"ripər")</f>
        <v>ripər</v>
      </c>
      <c r="E6019" s="2" t="str">
        <f>IFERROR(__xludf.DUMMYFUNCTION("IFERROR(VLOOKUP(A6019, IMPORTRANGE(""https://docs.google.com/spreadsheets/d/1-3Vjw2Cyy-mry5gbC8ypIR3YVGFfEpyFESummAta6sg/edit"", ""Sheet1!B:D""), 3, FALSE), ""Not Found"")"),"r i p ə r ")</f>
        <v>r i p ə r </v>
      </c>
    </row>
    <row r="6020">
      <c r="A6020" s="1" t="s">
        <v>6022</v>
      </c>
      <c r="B6020" s="1" t="s">
        <v>5</v>
      </c>
      <c r="C6020" s="2">
        <f>IFERROR(__xludf.DUMMYFUNCTION("IFERROR(VLOOKUP(A6020, IMPORTRANGE(""https://docs.google.com/spreadsheets/d/1AVX9GT0dgogEBStecCXMMQ29tWz3gBrtNB8yIromXbY/edit?gid=741673867"", ""out1g!A:B""), 2, FALSE), 0)"),64.0)</f>
        <v>64</v>
      </c>
      <c r="D6020" s="2" t="str">
        <f>IFERROR(__xludf.DUMMYFUNCTION("IFERROR(VLOOKUP(A6020, IMPORTRANGE(""https://docs.google.com/spreadsheets/d/1-3Vjw2Cyy-mry5gbC8ypIR3YVGFfEpyFESummAta6sg/edit"", ""Sheet1!B:D""), 2, FALSE), ""Not Found"")"),"grevli")</f>
        <v>grevli</v>
      </c>
      <c r="E6020" s="2" t="str">
        <f>IFERROR(__xludf.DUMMYFUNCTION("IFERROR(VLOOKUP(A6020, IMPORTRANGE(""https://docs.google.com/spreadsheets/d/1-3Vjw2Cyy-mry5gbC8ypIR3YVGFfEpyFESummAta6sg/edit"", ""Sheet1!B:D""), 3, FALSE), ""Not Found"")"),"g r e v l i ")</f>
        <v>g r e v l i </v>
      </c>
    </row>
    <row r="6021">
      <c r="A6021" s="1" t="s">
        <v>6023</v>
      </c>
      <c r="B6021" s="1" t="s">
        <v>5</v>
      </c>
      <c r="C6021" s="2">
        <f>IFERROR(__xludf.DUMMYFUNCTION("IFERROR(VLOOKUP(A6021, IMPORTRANGE(""https://docs.google.com/spreadsheets/d/1AVX9GT0dgogEBStecCXMMQ29tWz3gBrtNB8yIromXbY/edit?gid=741673867"", ""out1g!A:B""), 2, FALSE), 0)"),444.0)</f>
        <v>444</v>
      </c>
      <c r="D6021" s="2" t="str">
        <f>IFERROR(__xludf.DUMMYFUNCTION("IFERROR(VLOOKUP(A6021, IMPORTRANGE(""https://docs.google.com/spreadsheets/d/1-3Vjw2Cyy-mry5gbC8ypIR3YVGFfEpyFESummAta6sg/edit"", ""Sheet1!B:D""), 2, FALSE), ""Not Found"")"),"flu")</f>
        <v>flu</v>
      </c>
      <c r="E6021" s="2" t="str">
        <f>IFERROR(__xludf.DUMMYFUNCTION("IFERROR(VLOOKUP(A6021, IMPORTRANGE(""https://docs.google.com/spreadsheets/d/1-3Vjw2Cyy-mry5gbC8ypIR3YVGFfEpyFESummAta6sg/edit"", ""Sheet1!B:D""), 3, FALSE), ""Not Found"")"),"f l u ")</f>
        <v>f l u </v>
      </c>
    </row>
    <row r="6022">
      <c r="A6022" s="1" t="s">
        <v>6024</v>
      </c>
      <c r="B6022" s="1" t="s">
        <v>5</v>
      </c>
      <c r="C6022" s="2">
        <f>IFERROR(__xludf.DUMMYFUNCTION("IFERROR(VLOOKUP(A6022, IMPORTRANGE(""https://docs.google.com/spreadsheets/d/1AVX9GT0dgogEBStecCXMMQ29tWz3gBrtNB8yIromXbY/edit?gid=741673867"", ""out1g!A:B""), 2, FALSE), 0)"),1108.0)</f>
        <v>1108</v>
      </c>
      <c r="D6022" s="2" t="str">
        <f>IFERROR(__xludf.DUMMYFUNCTION("IFERROR(VLOOKUP(A6022, IMPORTRANGE(""https://docs.google.com/spreadsheets/d/1-3Vjw2Cyy-mry5gbC8ypIR3YVGFfEpyFESummAta6sg/edit"", ""Sheet1!B:D""), 2, FALSE), ""Not Found"")"),"frut")</f>
        <v>frut</v>
      </c>
      <c r="E6022" s="2" t="str">
        <f>IFERROR(__xludf.DUMMYFUNCTION("IFERROR(VLOOKUP(A6022, IMPORTRANGE(""https://docs.google.com/spreadsheets/d/1-3Vjw2Cyy-mry5gbC8ypIR3YVGFfEpyFESummAta6sg/edit"", ""Sheet1!B:D""), 3, FALSE), ""Not Found"")"),"f r u t ")</f>
        <v>f r u t </v>
      </c>
    </row>
    <row r="6023">
      <c r="A6023" s="1" t="s">
        <v>6025</v>
      </c>
      <c r="B6023" s="1" t="s">
        <v>5</v>
      </c>
      <c r="C6023" s="2">
        <f>IFERROR(__xludf.DUMMYFUNCTION("IFERROR(VLOOKUP(A6023, IMPORTRANGE(""https://docs.google.com/spreadsheets/d/1AVX9GT0dgogEBStecCXMMQ29tWz3gBrtNB8yIromXbY/edit?gid=741673867"", ""out1g!A:B""), 2, FALSE), 0)"),131.0)</f>
        <v>131</v>
      </c>
      <c r="D6023" s="2" t="str">
        <f>IFERROR(__xludf.DUMMYFUNCTION("IFERROR(VLOOKUP(A6023, IMPORTRANGE(""https://docs.google.com/spreadsheets/d/1-3Vjw2Cyy-mry5gbC8ypIR3YVGFfEpyFESummAta6sg/edit"", ""Sheet1!B:D""), 2, FALSE), ""Not Found"")"),"æbu")</f>
        <v>æbu</v>
      </c>
      <c r="E6023" s="2" t="str">
        <f>IFERROR(__xludf.DUMMYFUNCTION("IFERROR(VLOOKUP(A6023, IMPORTRANGE(""https://docs.google.com/spreadsheets/d/1-3Vjw2Cyy-mry5gbC8ypIR3YVGFfEpyFESummAta6sg/edit"", ""Sheet1!B:D""), 3, FALSE), ""Not Found"")"),"æ b u ")</f>
        <v>æ b u </v>
      </c>
    </row>
    <row r="6024">
      <c r="A6024" s="1" t="s">
        <v>6026</v>
      </c>
      <c r="B6024" s="1" t="s">
        <v>5</v>
      </c>
      <c r="C6024" s="2">
        <f>IFERROR(__xludf.DUMMYFUNCTION("IFERROR(VLOOKUP(A6024, IMPORTRANGE(""https://docs.google.com/spreadsheets/d/1AVX9GT0dgogEBStecCXMMQ29tWz3gBrtNB8yIromXbY/edit?gid=741673867"", ""out1g!A:B""), 2, FALSE), 0)"),68.0)</f>
        <v>68</v>
      </c>
      <c r="D6024" s="2" t="str">
        <f>IFERROR(__xludf.DUMMYFUNCTION("IFERROR(VLOOKUP(A6024, IMPORTRANGE(""https://docs.google.com/spreadsheets/d/1-3Vjw2Cyy-mry5gbC8ypIR3YVGFfEpyFESummAta6sg/edit"", ""Sheet1!B:D""), 2, FALSE), ""Not Found"")"),"skɛriər")</f>
        <v>skɛriər</v>
      </c>
      <c r="E6024" s="2" t="str">
        <f>IFERROR(__xludf.DUMMYFUNCTION("IFERROR(VLOOKUP(A6024, IMPORTRANGE(""https://docs.google.com/spreadsheets/d/1-3Vjw2Cyy-mry5gbC8ypIR3YVGFfEpyFESummAta6sg/edit"", ""Sheet1!B:D""), 3, FALSE), ""Not Found"")"),"s k ɛ r i ə r ")</f>
        <v>s k ɛ r i ə r </v>
      </c>
    </row>
    <row r="6025">
      <c r="A6025" s="1" t="s">
        <v>6027</v>
      </c>
      <c r="B6025" s="1" t="s">
        <v>5</v>
      </c>
      <c r="C6025" s="2">
        <f>IFERROR(__xludf.DUMMYFUNCTION("IFERROR(VLOOKUP(A6025, IMPORTRANGE(""https://docs.google.com/spreadsheets/d/1AVX9GT0dgogEBStecCXMMQ29tWz3gBrtNB8yIromXbY/edit?gid=741673867"", ""out1g!A:B""), 2, FALSE), 0)"),125.0)</f>
        <v>125</v>
      </c>
      <c r="D6025" s="2" t="str">
        <f>IFERROR(__xludf.DUMMYFUNCTION("IFERROR(VLOOKUP(A6025, IMPORTRANGE(""https://docs.google.com/spreadsheets/d/1-3Vjw2Cyy-mry5gbC8ypIR3YVGFfEpyFESummAta6sg/edit"", ""Sheet1!B:D""), 2, FALSE), ""Not Found"")"),"sɪmz")</f>
        <v>sɪmz</v>
      </c>
      <c r="E6025" s="2" t="str">
        <f>IFERROR(__xludf.DUMMYFUNCTION("IFERROR(VLOOKUP(A6025, IMPORTRANGE(""https://docs.google.com/spreadsheets/d/1-3Vjw2Cyy-mry5gbC8ypIR3YVGFfEpyFESummAta6sg/edit"", ""Sheet1!B:D""), 3, FALSE), ""Not Found"")"),"s ɪ m z ")</f>
        <v>s ɪ m z </v>
      </c>
    </row>
    <row r="6026">
      <c r="A6026" s="1" t="s">
        <v>6028</v>
      </c>
      <c r="B6026" s="1" t="s">
        <v>5</v>
      </c>
      <c r="C6026" s="2">
        <f>IFERROR(__xludf.DUMMYFUNCTION("IFERROR(VLOOKUP(A6026, IMPORTRANGE(""https://docs.google.com/spreadsheets/d/1AVX9GT0dgogEBStecCXMMQ29tWz3gBrtNB8yIromXbY/edit?gid=741673867"", ""out1g!A:B""), 2, FALSE), 0)"),11599.0)</f>
        <v>11599</v>
      </c>
      <c r="D6026" s="2" t="str">
        <f>IFERROR(__xludf.DUMMYFUNCTION("IFERROR(VLOOKUP(A6026, IMPORTRANGE(""https://docs.google.com/spreadsheets/d/1-3Vjw2Cyy-mry5gbC8ypIR3YVGFfEpyFESummAta6sg/edit"", ""Sheet1!B:D""), 2, FALSE), ""Not Found"")"),"ʃɑt")</f>
        <v>ʃɑt</v>
      </c>
      <c r="E6026" s="2" t="str">
        <f>IFERROR(__xludf.DUMMYFUNCTION("IFERROR(VLOOKUP(A6026, IMPORTRANGE(""https://docs.google.com/spreadsheets/d/1-3Vjw2Cyy-mry5gbC8ypIR3YVGFfEpyFESummAta6sg/edit"", ""Sheet1!B:D""), 3, FALSE), ""Not Found"")"),"ʃ ɑ t ")</f>
        <v>ʃ ɑ t </v>
      </c>
    </row>
    <row r="6027">
      <c r="A6027" s="1" t="s">
        <v>6029</v>
      </c>
      <c r="B6027" s="1" t="s">
        <v>5</v>
      </c>
      <c r="C6027" s="2">
        <f>IFERROR(__xludf.DUMMYFUNCTION("IFERROR(VLOOKUP(A6027, IMPORTRANGE(""https://docs.google.com/spreadsheets/d/1AVX9GT0dgogEBStecCXMMQ29tWz3gBrtNB8yIromXbY/edit?gid=741673867"", ""out1g!A:B""), 2, FALSE), 0)"),11029.0)</f>
        <v>11029</v>
      </c>
      <c r="D6027" s="2" t="str">
        <f>IFERROR(__xludf.DUMMYFUNCTION("IFERROR(VLOOKUP(A6027, IMPORTRANGE(""https://docs.google.com/spreadsheets/d/1-3Vjw2Cyy-mry5gbC8ypIR3YVGFfEpyFESummAta6sg/edit"", ""Sheet1!B:D""), 2, FALSE), ""Not Found"")"),"æst")</f>
        <v>æst</v>
      </c>
      <c r="E6027" s="2" t="str">
        <f>IFERROR(__xludf.DUMMYFUNCTION("IFERROR(VLOOKUP(A6027, IMPORTRANGE(""https://docs.google.com/spreadsheets/d/1-3Vjw2Cyy-mry5gbC8ypIR3YVGFfEpyFESummAta6sg/edit"", ""Sheet1!B:D""), 3, FALSE), ""Not Found"")"),"æ s t ")</f>
        <v>æ s t </v>
      </c>
    </row>
    <row r="6028">
      <c r="A6028" s="1" t="s">
        <v>6030</v>
      </c>
      <c r="B6028" s="1" t="s">
        <v>5</v>
      </c>
      <c r="C6028" s="2">
        <f>IFERROR(__xludf.DUMMYFUNCTION("IFERROR(VLOOKUP(A6028, IMPORTRANGE(""https://docs.google.com/spreadsheets/d/1AVX9GT0dgogEBStecCXMMQ29tWz3gBrtNB8yIromXbY/edit?gid=741673867"", ""out1g!A:B""), 2, FALSE), 0)"),524.0)</f>
        <v>524</v>
      </c>
      <c r="D6028" s="2" t="str">
        <f>IFERROR(__xludf.DUMMYFUNCTION("IFERROR(VLOOKUP(A6028, IMPORTRANGE(""https://docs.google.com/spreadsheets/d/1-3Vjw2Cyy-mry5gbC8ypIR3YVGFfEpyFESummAta6sg/edit"", ""Sheet1!B:D""), 2, FALSE), ""Not Found"")"),"ʤip")</f>
        <v>ʤip</v>
      </c>
      <c r="E6028" s="2" t="str">
        <f>IFERROR(__xludf.DUMMYFUNCTION("IFERROR(VLOOKUP(A6028, IMPORTRANGE(""https://docs.google.com/spreadsheets/d/1-3Vjw2Cyy-mry5gbC8ypIR3YVGFfEpyFESummAta6sg/edit"", ""Sheet1!B:D""), 3, FALSE), ""Not Found"")"),"ʤ i p ")</f>
        <v>ʤ i p </v>
      </c>
    </row>
    <row r="6029">
      <c r="A6029" s="1" t="s">
        <v>6031</v>
      </c>
      <c r="B6029" s="1" t="s">
        <v>5</v>
      </c>
      <c r="C6029" s="2">
        <f>IFERROR(__xludf.DUMMYFUNCTION("IFERROR(VLOOKUP(A6029, IMPORTRANGE(""https://docs.google.com/spreadsheets/d/1AVX9GT0dgogEBStecCXMMQ29tWz3gBrtNB8yIromXbY/edit?gid=741673867"", ""out1g!A:B""), 2, FALSE), 0)"),8018.0)</f>
        <v>8018</v>
      </c>
      <c r="D6029" s="2" t="str">
        <f>IFERROR(__xludf.DUMMYFUNCTION("IFERROR(VLOOKUP(A6029, IMPORTRANGE(""https://docs.google.com/spreadsheets/d/1-3Vjw2Cyy-mry5gbC8ypIR3YVGFfEpyFESummAta6sg/edit"", ""Sheet1!B:D""), 2, FALSE), ""Not Found"")"),"daɪd")</f>
        <v>daɪd</v>
      </c>
      <c r="E6029" s="2" t="str">
        <f>IFERROR(__xludf.DUMMYFUNCTION("IFERROR(VLOOKUP(A6029, IMPORTRANGE(""https://docs.google.com/spreadsheets/d/1-3Vjw2Cyy-mry5gbC8ypIR3YVGFfEpyFESummAta6sg/edit"", ""Sheet1!B:D""), 3, FALSE), ""Not Found"")"),"d a ɪ d ")</f>
        <v>d a ɪ d </v>
      </c>
    </row>
    <row r="6030">
      <c r="A6030" s="1" t="s">
        <v>6032</v>
      </c>
      <c r="B6030" s="1" t="s">
        <v>5</v>
      </c>
      <c r="C6030" s="2">
        <f>IFERROR(__xludf.DUMMYFUNCTION("IFERROR(VLOOKUP(A6030, IMPORTRANGE(""https://docs.google.com/spreadsheets/d/1AVX9GT0dgogEBStecCXMMQ29tWz3gBrtNB8yIromXbY/edit?gid=741673867"", ""out1g!A:B""), 2, FALSE), 0)"),1327.0)</f>
        <v>1327</v>
      </c>
      <c r="D6030" s="2" t="str">
        <f>IFERROR(__xludf.DUMMYFUNCTION("IFERROR(VLOOKUP(A6030, IMPORTRANGE(""https://docs.google.com/spreadsheets/d/1-3Vjw2Cyy-mry5gbC8ypIR3YVGFfEpyFESummAta6sg/edit"", ""Sheet1!B:D""), 2, FALSE), ""Not Found"")"),"ði")</f>
        <v>ði</v>
      </c>
      <c r="E6030" s="2" t="str">
        <f>IFERROR(__xludf.DUMMYFUNCTION("IFERROR(VLOOKUP(A6030, IMPORTRANGE(""https://docs.google.com/spreadsheets/d/1-3Vjw2Cyy-mry5gbC8ypIR3YVGFfEpyFESummAta6sg/edit"", ""Sheet1!B:D""), 3, FALSE), ""Not Found"")"),"ð i ")</f>
        <v>ð i </v>
      </c>
    </row>
    <row r="6031">
      <c r="A6031" s="1" t="s">
        <v>6033</v>
      </c>
      <c r="B6031" s="1" t="s">
        <v>5</v>
      </c>
      <c r="C6031" s="2">
        <f>IFERROR(__xludf.DUMMYFUNCTION("IFERROR(VLOOKUP(A6031, IMPORTRANGE(""https://docs.google.com/spreadsheets/d/1AVX9GT0dgogEBStecCXMMQ29tWz3gBrtNB8yIromXbY/edit?gid=741673867"", ""out1g!A:B""), 2, FALSE), 0)"),152523.0)</f>
        <v>152523</v>
      </c>
      <c r="D6031" s="2" t="str">
        <f>IFERROR(__xludf.DUMMYFUNCTION("IFERROR(VLOOKUP(A6031, IMPORTRANGE(""https://docs.google.com/spreadsheets/d/1-3Vjw2Cyy-mry5gbC8ypIR3YVGFfEpyFESummAta6sg/edit"", ""Sheet1!B:D""), 2, FALSE), ""Not Found"")"),"wɛl")</f>
        <v>wɛl</v>
      </c>
      <c r="E6031" s="2" t="str">
        <f>IFERROR(__xludf.DUMMYFUNCTION("IFERROR(VLOOKUP(A6031, IMPORTRANGE(""https://docs.google.com/spreadsheets/d/1-3Vjw2Cyy-mry5gbC8ypIR3YVGFfEpyFESummAta6sg/edit"", ""Sheet1!B:D""), 3, FALSE), ""Not Found"")"),"w ɛ l ")</f>
        <v>w ɛ l </v>
      </c>
    </row>
    <row r="6032">
      <c r="A6032" s="1" t="s">
        <v>6034</v>
      </c>
      <c r="B6032" s="1" t="s">
        <v>5</v>
      </c>
      <c r="C6032" s="2">
        <f>IFERROR(__xludf.DUMMYFUNCTION("IFERROR(VLOOKUP(A6032, IMPORTRANGE(""https://docs.google.com/spreadsheets/d/1AVX9GT0dgogEBStecCXMMQ29tWz3gBrtNB8yIromXbY/edit?gid=741673867"", ""out1g!A:B""), 2, FALSE), 0)"),91.0)</f>
        <v>91</v>
      </c>
      <c r="D6032" s="2" t="str">
        <f>IFERROR(__xludf.DUMMYFUNCTION("IFERROR(VLOOKUP(A6032, IMPORTRANGE(""https://docs.google.com/spreadsheets/d/1-3Vjw2Cyy-mry5gbC8ypIR3YVGFfEpyFESummAta6sg/edit"", ""Sheet1!B:D""), 2, FALSE), ""Not Found"")"),"gaɪdz")</f>
        <v>gaɪdz</v>
      </c>
      <c r="E6032" s="2" t="str">
        <f>IFERROR(__xludf.DUMMYFUNCTION("IFERROR(VLOOKUP(A6032, IMPORTRANGE(""https://docs.google.com/spreadsheets/d/1-3Vjw2Cyy-mry5gbC8ypIR3YVGFfEpyFESummAta6sg/edit"", ""Sheet1!B:D""), 3, FALSE), ""Not Found"")"),"g a ɪ d z ")</f>
        <v>g a ɪ d z </v>
      </c>
    </row>
    <row r="6033">
      <c r="A6033" s="1" t="s">
        <v>6035</v>
      </c>
      <c r="B6033" s="1" t="s">
        <v>5</v>
      </c>
      <c r="C6033" s="2">
        <f>IFERROR(__xludf.DUMMYFUNCTION("IFERROR(VLOOKUP(A6033, IMPORTRANGE(""https://docs.google.com/spreadsheets/d/1AVX9GT0dgogEBStecCXMMQ29tWz3gBrtNB8yIromXbY/edit?gid=741673867"", ""out1g!A:B""), 2, FALSE), 0)"),71.0)</f>
        <v>71</v>
      </c>
      <c r="D6033" s="2" t="str">
        <f>IFERROR(__xludf.DUMMYFUNCTION("IFERROR(VLOOKUP(A6033, IMPORTRANGE(""https://docs.google.com/spreadsheets/d/1-3Vjw2Cyy-mry5gbC8ypIR3YVGFfEpyFESummAta6sg/edit"", ""Sheet1!B:D""), 2, FALSE), ""Not Found"")"),"wɪgz")</f>
        <v>wɪgz</v>
      </c>
      <c r="E6033" s="2" t="str">
        <f>IFERROR(__xludf.DUMMYFUNCTION("IFERROR(VLOOKUP(A6033, IMPORTRANGE(""https://docs.google.com/spreadsheets/d/1-3Vjw2Cyy-mry5gbC8ypIR3YVGFfEpyFESummAta6sg/edit"", ""Sheet1!B:D""), 3, FALSE), ""Not Found"")"),"w ɪ g z ")</f>
        <v>w ɪ g z </v>
      </c>
    </row>
    <row r="6034">
      <c r="A6034" s="1" t="s">
        <v>6036</v>
      </c>
      <c r="B6034" s="1" t="s">
        <v>5</v>
      </c>
      <c r="C6034" s="2">
        <f>IFERROR(__xludf.DUMMYFUNCTION("IFERROR(VLOOKUP(A6034, IMPORTRANGE(""https://docs.google.com/spreadsheets/d/1AVX9GT0dgogEBStecCXMMQ29tWz3gBrtNB8yIromXbY/edit?gid=741673867"", ""out1g!A:B""), 2, FALSE), 0)"),16064.0)</f>
        <v>16064</v>
      </c>
      <c r="D6034" s="2" t="str">
        <f>IFERROR(__xludf.DUMMYFUNCTION("IFERROR(VLOOKUP(A6034, IMPORTRANGE(""https://docs.google.com/spreadsheets/d/1-3Vjw2Cyy-mry5gbC8ypIR3YVGFfEpyFESummAta6sg/edit"", ""Sheet1!B:D""), 2, FALSE), ""Not Found"")"),"sɪns")</f>
        <v>sɪns</v>
      </c>
      <c r="E6034" s="2" t="str">
        <f>IFERROR(__xludf.DUMMYFUNCTION("IFERROR(VLOOKUP(A6034, IMPORTRANGE(""https://docs.google.com/spreadsheets/d/1-3Vjw2Cyy-mry5gbC8ypIR3YVGFfEpyFESummAta6sg/edit"", ""Sheet1!B:D""), 3, FALSE), ""Not Found"")"),"s ɪ n s ")</f>
        <v>s ɪ n s </v>
      </c>
    </row>
    <row r="6035">
      <c r="A6035" s="1" t="s">
        <v>6037</v>
      </c>
      <c r="B6035" s="1" t="s">
        <v>5</v>
      </c>
      <c r="C6035" s="2">
        <f>IFERROR(__xludf.DUMMYFUNCTION("IFERROR(VLOOKUP(A6035, IMPORTRANGE(""https://docs.google.com/spreadsheets/d/1AVX9GT0dgogEBStecCXMMQ29tWz3gBrtNB8yIromXbY/edit?gid=741673867"", ""out1g!A:B""), 2, FALSE), 0)"),618.0)</f>
        <v>618</v>
      </c>
      <c r="D6035" s="2" t="str">
        <f>IFERROR(__xludf.DUMMYFUNCTION("IFERROR(VLOOKUP(A6035, IMPORTRANGE(""https://docs.google.com/spreadsheets/d/1-3Vjw2Cyy-mry5gbC8ypIR3YVGFfEpyFESummAta6sg/edit"", ""Sheet1!B:D""), 2, FALSE), ""Not Found"")"),"əsaɪnd")</f>
        <v>əsaɪnd</v>
      </c>
      <c r="E6035" s="2" t="str">
        <f>IFERROR(__xludf.DUMMYFUNCTION("IFERROR(VLOOKUP(A6035, IMPORTRANGE(""https://docs.google.com/spreadsheets/d/1-3Vjw2Cyy-mry5gbC8ypIR3YVGFfEpyFESummAta6sg/edit"", ""Sheet1!B:D""), 3, FALSE), ""Not Found"")"),"ə s a ɪ n d ")</f>
        <v>ə s a ɪ n d </v>
      </c>
    </row>
    <row r="6036">
      <c r="A6036" s="1" t="s">
        <v>6038</v>
      </c>
      <c r="B6036" s="1" t="s">
        <v>5</v>
      </c>
      <c r="C6036" s="2">
        <f>IFERROR(__xludf.DUMMYFUNCTION("IFERROR(VLOOKUP(A6036, IMPORTRANGE(""https://docs.google.com/spreadsheets/d/1AVX9GT0dgogEBStecCXMMQ29tWz3gBrtNB8yIromXbY/edit?gid=741673867"", ""out1g!A:B""), 2, FALSE), 0)"),10626.0)</f>
        <v>10626</v>
      </c>
      <c r="D6036" s="2" t="str">
        <f>IFERROR(__xludf.DUMMYFUNCTION("IFERROR(VLOOKUP(A6036, IMPORTRANGE(""https://docs.google.com/spreadsheets/d/1-3Vjw2Cyy-mry5gbC8ypIR3YVGFfEpyFESummAta6sg/edit"", ""Sheet1!B:D""), 2, FALSE), ""Not Found"")"),"gərlz")</f>
        <v>gərlz</v>
      </c>
      <c r="E6036" s="2" t="str">
        <f>IFERROR(__xludf.DUMMYFUNCTION("IFERROR(VLOOKUP(A6036, IMPORTRANGE(""https://docs.google.com/spreadsheets/d/1-3Vjw2Cyy-mry5gbC8ypIR3YVGFfEpyFESummAta6sg/edit"", ""Sheet1!B:D""), 3, FALSE), ""Not Found"")"),"g ə r l z ")</f>
        <v>g ə r l z </v>
      </c>
    </row>
    <row r="6037">
      <c r="A6037" s="1" t="s">
        <v>6039</v>
      </c>
      <c r="B6037" s="1" t="s">
        <v>5</v>
      </c>
      <c r="C6037" s="2">
        <f>IFERROR(__xludf.DUMMYFUNCTION("IFERROR(VLOOKUP(A6037, IMPORTRANGE(""https://docs.google.com/spreadsheets/d/1AVX9GT0dgogEBStecCXMMQ29tWz3gBrtNB8yIromXbY/edit?gid=741673867"", ""out1g!A:B""), 2, FALSE), 0)"),70.0)</f>
        <v>70</v>
      </c>
      <c r="D6037" s="2" t="str">
        <f>IFERROR(__xludf.DUMMYFUNCTION("IFERROR(VLOOKUP(A6037, IMPORTRANGE(""https://docs.google.com/spreadsheets/d/1-3Vjw2Cyy-mry5gbC8ypIR3YVGFfEpyFESummAta6sg/edit"", ""Sheet1!B:D""), 2, FALSE), ""Not Found"")"),"fæt")</f>
        <v>fæt</v>
      </c>
      <c r="E6037" s="2" t="str">
        <f>IFERROR(__xludf.DUMMYFUNCTION("IFERROR(VLOOKUP(A6037, IMPORTRANGE(""https://docs.google.com/spreadsheets/d/1-3Vjw2Cyy-mry5gbC8ypIR3YVGFfEpyFESummAta6sg/edit"", ""Sheet1!B:D""), 3, FALSE), ""Not Found"")"),"f æ t ")</f>
        <v>f æ t </v>
      </c>
    </row>
    <row r="6038">
      <c r="A6038" s="1" t="s">
        <v>6040</v>
      </c>
      <c r="B6038" s="1" t="s">
        <v>5</v>
      </c>
      <c r="C6038" s="2">
        <f>IFERROR(__xludf.DUMMYFUNCTION("IFERROR(VLOOKUP(A6038, IMPORTRANGE(""https://docs.google.com/spreadsheets/d/1AVX9GT0dgogEBStecCXMMQ29tWz3gBrtNB8yIromXbY/edit?gid=741673867"", ""out1g!A:B""), 2, FALSE), 0)"),180.0)</f>
        <v>180</v>
      </c>
      <c r="D6038" s="2" t="str">
        <f>IFERROR(__xludf.DUMMYFUNCTION("IFERROR(VLOOKUP(A6038, IMPORTRANGE(""https://docs.google.com/spreadsheets/d/1-3Vjw2Cyy-mry5gbC8ypIR3YVGFfEpyFESummAta6sg/edit"", ""Sheet1!B:D""), 2, FALSE), ""Not Found"")"),"pɛk")</f>
        <v>pɛk</v>
      </c>
      <c r="E6038" s="2" t="str">
        <f>IFERROR(__xludf.DUMMYFUNCTION("IFERROR(VLOOKUP(A6038, IMPORTRANGE(""https://docs.google.com/spreadsheets/d/1-3Vjw2Cyy-mry5gbC8ypIR3YVGFfEpyFESummAta6sg/edit"", ""Sheet1!B:D""), 3, FALSE), ""Not Found"")"),"p ɛ k ")</f>
        <v>p ɛ k </v>
      </c>
    </row>
    <row r="6039">
      <c r="A6039" s="1" t="s">
        <v>6041</v>
      </c>
      <c r="B6039" s="1" t="s">
        <v>5</v>
      </c>
      <c r="C6039" s="2">
        <f>IFERROR(__xludf.DUMMYFUNCTION("IFERROR(VLOOKUP(A6039, IMPORTRANGE(""https://docs.google.com/spreadsheets/d/1AVX9GT0dgogEBStecCXMMQ29tWz3gBrtNB8yIromXbY/edit?gid=741673867"", ""out1g!A:B""), 2, FALSE), 0)"),7876.0)</f>
        <v>7876</v>
      </c>
      <c r="D6039" s="2" t="str">
        <f>IFERROR(__xludf.DUMMYFUNCTION("IFERROR(VLOOKUP(A6039, IMPORTRANGE(""https://docs.google.com/spreadsheets/d/1-3Vjw2Cyy-mry5gbC8ypIR3YVGFfEpyFESummAta6sg/edit"", ""Sheet1!B:D""), 2, FALSE), ""Not Found"")"),"fud")</f>
        <v>fud</v>
      </c>
      <c r="E6039" s="2" t="str">
        <f>IFERROR(__xludf.DUMMYFUNCTION("IFERROR(VLOOKUP(A6039, IMPORTRANGE(""https://docs.google.com/spreadsheets/d/1-3Vjw2Cyy-mry5gbC8ypIR3YVGFfEpyFESummAta6sg/edit"", ""Sheet1!B:D""), 3, FALSE), ""Not Found"")"),"f u d ")</f>
        <v>f u d </v>
      </c>
    </row>
    <row r="6040">
      <c r="A6040" s="1" t="s">
        <v>6042</v>
      </c>
      <c r="B6040" s="1" t="s">
        <v>5</v>
      </c>
      <c r="C6040" s="2">
        <f>IFERROR(__xludf.DUMMYFUNCTION("IFERROR(VLOOKUP(A6040, IMPORTRANGE(""https://docs.google.com/spreadsheets/d/1AVX9GT0dgogEBStecCXMMQ29tWz3gBrtNB8yIromXbY/edit?gid=741673867"", ""out1g!A:B""), 2, FALSE), 0)"),249.0)</f>
        <v>249</v>
      </c>
      <c r="D6040" s="2" t="str">
        <f>IFERROR(__xludf.DUMMYFUNCTION("IFERROR(VLOOKUP(A6040, IMPORTRANGE(""https://docs.google.com/spreadsheets/d/1-3Vjw2Cyy-mry5gbC8ypIR3YVGFfEpyFESummAta6sg/edit"", ""Sheet1!B:D""), 2, FALSE), ""Not Found"")"),"steks")</f>
        <v>steks</v>
      </c>
      <c r="E6040" s="2" t="str">
        <f>IFERROR(__xludf.DUMMYFUNCTION("IFERROR(VLOOKUP(A6040, IMPORTRANGE(""https://docs.google.com/spreadsheets/d/1-3Vjw2Cyy-mry5gbC8ypIR3YVGFfEpyFESummAta6sg/edit"", ""Sheet1!B:D""), 3, FALSE), ""Not Found"")"),"s t e k s ")</f>
        <v>s t e k s </v>
      </c>
    </row>
    <row r="6041">
      <c r="A6041" s="1" t="s">
        <v>6043</v>
      </c>
      <c r="B6041" s="1" t="s">
        <v>5</v>
      </c>
      <c r="C6041" s="2">
        <f>IFERROR(__xludf.DUMMYFUNCTION("IFERROR(VLOOKUP(A6041, IMPORTRANGE(""https://docs.google.com/spreadsheets/d/1AVX9GT0dgogEBStecCXMMQ29tWz3gBrtNB8yIromXbY/edit?gid=741673867"", ""out1g!A:B""), 2, FALSE), 0)"),64.0)</f>
        <v>64</v>
      </c>
      <c r="D6041" s="2" t="str">
        <f>IFERROR(__xludf.DUMMYFUNCTION("IFERROR(VLOOKUP(A6041, IMPORTRANGE(""https://docs.google.com/spreadsheets/d/1-3Vjw2Cyy-mry5gbC8ypIR3YVGFfEpyFESummAta6sg/edit"", ""Sheet1!B:D""), 2, FALSE), ""Not Found"")"),"wækɪŋ")</f>
        <v>wækɪŋ</v>
      </c>
      <c r="E6041" s="2" t="str">
        <f>IFERROR(__xludf.DUMMYFUNCTION("IFERROR(VLOOKUP(A6041, IMPORTRANGE(""https://docs.google.com/spreadsheets/d/1-3Vjw2Cyy-mry5gbC8ypIR3YVGFfEpyFESummAta6sg/edit"", ""Sheet1!B:D""), 3, FALSE), ""Not Found"")"),"w æ k ɪ ŋ ")</f>
        <v>w æ k ɪ ŋ </v>
      </c>
    </row>
    <row r="6042">
      <c r="A6042" s="1" t="s">
        <v>6044</v>
      </c>
      <c r="B6042" s="1" t="s">
        <v>5</v>
      </c>
      <c r="C6042" s="2">
        <f>IFERROR(__xludf.DUMMYFUNCTION("IFERROR(VLOOKUP(A6042, IMPORTRANGE(""https://docs.google.com/spreadsheets/d/1AVX9GT0dgogEBStecCXMMQ29tWz3gBrtNB8yIromXbY/edit?gid=741673867"", ""out1g!A:B""), 2, FALSE), 0)"),112.0)</f>
        <v>112</v>
      </c>
      <c r="D6042" s="2" t="str">
        <f>IFERROR(__xludf.DUMMYFUNCTION("IFERROR(VLOOKUP(A6042, IMPORTRANGE(""https://docs.google.com/spreadsheets/d/1-3Vjw2Cyy-mry5gbC8ypIR3YVGFfEpyFESummAta6sg/edit"", ""Sheet1!B:D""), 2, FALSE), ""Not Found"")"),"fɛroʊ")</f>
        <v>fɛroʊ</v>
      </c>
      <c r="E6042" s="2" t="str">
        <f>IFERROR(__xludf.DUMMYFUNCTION("IFERROR(VLOOKUP(A6042, IMPORTRANGE(""https://docs.google.com/spreadsheets/d/1-3Vjw2Cyy-mry5gbC8ypIR3YVGFfEpyFESummAta6sg/edit"", ""Sheet1!B:D""), 3, FALSE), ""Not Found"")"),"f ɛ r o ʊ ")</f>
        <v>f ɛ r o ʊ </v>
      </c>
    </row>
    <row r="6043">
      <c r="A6043" s="1" t="s">
        <v>6045</v>
      </c>
      <c r="B6043" s="1" t="s">
        <v>5</v>
      </c>
      <c r="C6043" s="2">
        <f>IFERROR(__xludf.DUMMYFUNCTION("IFERROR(VLOOKUP(A6043, IMPORTRANGE(""https://docs.google.com/spreadsheets/d/1AVX9GT0dgogEBStecCXMMQ29tWz3gBrtNB8yIromXbY/edit?gid=741673867"", ""out1g!A:B""), 2, FALSE), 0)"),19011.0)</f>
        <v>19011</v>
      </c>
      <c r="D6043" s="2" t="str">
        <f>IFERROR(__xludf.DUMMYFUNCTION("IFERROR(VLOOKUP(A6043, IMPORTRANGE(""https://docs.google.com/spreadsheets/d/1-3Vjw2Cyy-mry5gbC8ypIR3YVGFfEpyFESummAta6sg/edit"", ""Sheet1!B:D""), 2, FALSE), ""Not Found"")"),"mɛn")</f>
        <v>mɛn</v>
      </c>
      <c r="E6043" s="2" t="str">
        <f>IFERROR(__xludf.DUMMYFUNCTION("IFERROR(VLOOKUP(A6043, IMPORTRANGE(""https://docs.google.com/spreadsheets/d/1-3Vjw2Cyy-mry5gbC8ypIR3YVGFfEpyFESummAta6sg/edit"", ""Sheet1!B:D""), 3, FALSE), ""Not Found"")"),"m ɛ n ")</f>
        <v>m ɛ n </v>
      </c>
    </row>
    <row r="6044">
      <c r="A6044" s="1" t="s">
        <v>6046</v>
      </c>
      <c r="B6044" s="1" t="s">
        <v>5</v>
      </c>
      <c r="C6044" s="2">
        <f>IFERROR(__xludf.DUMMYFUNCTION("IFERROR(VLOOKUP(A6044, IMPORTRANGE(""https://docs.google.com/spreadsheets/d/1AVX9GT0dgogEBStecCXMMQ29tWz3gBrtNB8yIromXbY/edit?gid=741673867"", ""out1g!A:B""), 2, FALSE), 0)"),109.0)</f>
        <v>109</v>
      </c>
      <c r="D6044" s="2" t="str">
        <f>IFERROR(__xludf.DUMMYFUNCTION("IFERROR(VLOOKUP(A6044, IMPORTRANGE(""https://docs.google.com/spreadsheets/d/1-3Vjw2Cyy-mry5gbC8ypIR3YVGFfEpyFESummAta6sg/edit"", ""Sheet1!B:D""), 2, FALSE), ""Not Found"")"),"kæʧi")</f>
        <v>kæʧi</v>
      </c>
      <c r="E6044" s="2" t="str">
        <f>IFERROR(__xludf.DUMMYFUNCTION("IFERROR(VLOOKUP(A6044, IMPORTRANGE(""https://docs.google.com/spreadsheets/d/1-3Vjw2Cyy-mry5gbC8ypIR3YVGFfEpyFESummAta6sg/edit"", ""Sheet1!B:D""), 3, FALSE), ""Not Found"")"),"k æ ʧ i ")</f>
        <v>k æ ʧ i </v>
      </c>
    </row>
    <row r="6045">
      <c r="A6045" s="1" t="s">
        <v>6047</v>
      </c>
      <c r="B6045" s="1" t="s">
        <v>5</v>
      </c>
      <c r="C6045" s="2">
        <f>IFERROR(__xludf.DUMMYFUNCTION("IFERROR(VLOOKUP(A6045, IMPORTRANGE(""https://docs.google.com/spreadsheets/d/1AVX9GT0dgogEBStecCXMMQ29tWz3gBrtNB8yIromXbY/edit?gid=741673867"", ""out1g!A:B""), 2, FALSE), 0)"),73.0)</f>
        <v>73</v>
      </c>
      <c r="D6045" s="2" t="str">
        <f>IFERROR(__xludf.DUMMYFUNCTION("IFERROR(VLOOKUP(A6045, IMPORTRANGE(""https://docs.google.com/spreadsheets/d/1-3Vjw2Cyy-mry5gbC8ypIR3YVGFfEpyFESummAta6sg/edit"", ""Sheet1!B:D""), 2, FALSE), ""Not Found"")"),"wɪslər")</f>
        <v>wɪslər</v>
      </c>
      <c r="E6045" s="2" t="str">
        <f>IFERROR(__xludf.DUMMYFUNCTION("IFERROR(VLOOKUP(A6045, IMPORTRANGE(""https://docs.google.com/spreadsheets/d/1-3Vjw2Cyy-mry5gbC8ypIR3YVGFfEpyFESummAta6sg/edit"", ""Sheet1!B:D""), 3, FALSE), ""Not Found"")"),"w ɪ s l ə r ")</f>
        <v>w ɪ s l ə r </v>
      </c>
    </row>
    <row r="6046">
      <c r="A6046" s="1" t="s">
        <v>6048</v>
      </c>
      <c r="B6046" s="1" t="s">
        <v>5</v>
      </c>
      <c r="C6046" s="2">
        <f>IFERROR(__xludf.DUMMYFUNCTION("IFERROR(VLOOKUP(A6046, IMPORTRANGE(""https://docs.google.com/spreadsheets/d/1AVX9GT0dgogEBStecCXMMQ29tWz3gBrtNB8yIromXbY/edit?gid=741673867"", ""out1g!A:B""), 2, FALSE), 0)"),4666.0)</f>
        <v>4666</v>
      </c>
      <c r="D6046" s="2" t="str">
        <f>IFERROR(__xludf.DUMMYFUNCTION("IFERROR(VLOOKUP(A6046, IMPORTRANGE(""https://docs.google.com/spreadsheets/d/1-3Vjw2Cyy-mry5gbC8ypIR3YVGFfEpyFESummAta6sg/edit"", ""Sheet1!B:D""), 2, FALSE), ""Not Found"")"),"bɑb")</f>
        <v>bɑb</v>
      </c>
      <c r="E6046" s="2" t="str">
        <f>IFERROR(__xludf.DUMMYFUNCTION("IFERROR(VLOOKUP(A6046, IMPORTRANGE(""https://docs.google.com/spreadsheets/d/1-3Vjw2Cyy-mry5gbC8ypIR3YVGFfEpyFESummAta6sg/edit"", ""Sheet1!B:D""), 3, FALSE), ""Not Found"")"),"b ɑ b ")</f>
        <v>b ɑ b </v>
      </c>
    </row>
    <row r="6047">
      <c r="A6047" s="1" t="s">
        <v>6049</v>
      </c>
      <c r="B6047" s="1" t="s">
        <v>5</v>
      </c>
      <c r="C6047" s="2">
        <f>IFERROR(__xludf.DUMMYFUNCTION("IFERROR(VLOOKUP(A6047, IMPORTRANGE(""https://docs.google.com/spreadsheets/d/1AVX9GT0dgogEBStecCXMMQ29tWz3gBrtNB8yIromXbY/edit?gid=741673867"", ""out1g!A:B""), 2, FALSE), 0)"),579.0)</f>
        <v>579</v>
      </c>
      <c r="D6047" s="2" t="str">
        <f>IFERROR(__xludf.DUMMYFUNCTION("IFERROR(VLOOKUP(A6047, IMPORTRANGE(""https://docs.google.com/spreadsheets/d/1-3Vjw2Cyy-mry5gbC8ypIR3YVGFfEpyFESummAta6sg/edit"", ""Sheet1!B:D""), 2, FALSE), ""Not Found"")"),"əlaɪk")</f>
        <v>əlaɪk</v>
      </c>
      <c r="E6047" s="2" t="str">
        <f>IFERROR(__xludf.DUMMYFUNCTION("IFERROR(VLOOKUP(A6047, IMPORTRANGE(""https://docs.google.com/spreadsheets/d/1-3Vjw2Cyy-mry5gbC8ypIR3YVGFfEpyFESummAta6sg/edit"", ""Sheet1!B:D""), 3, FALSE), ""Not Found"")"),"ə l a ɪ k ")</f>
        <v>ə l a ɪ k </v>
      </c>
    </row>
    <row r="6048">
      <c r="A6048" s="1" t="s">
        <v>6050</v>
      </c>
      <c r="B6048" s="1" t="s">
        <v>5</v>
      </c>
      <c r="C6048" s="2">
        <f>IFERROR(__xludf.DUMMYFUNCTION("IFERROR(VLOOKUP(A6048, IMPORTRANGE(""https://docs.google.com/spreadsheets/d/1AVX9GT0dgogEBStecCXMMQ29tWz3gBrtNB8yIromXbY/edit?gid=741673867"", ""out1g!A:B""), 2, FALSE), 0)"),497.0)</f>
        <v>497</v>
      </c>
      <c r="D6048" s="2" t="str">
        <f>IFERROR(__xludf.DUMMYFUNCTION("IFERROR(VLOOKUP(A6048, IMPORTRANGE(""https://docs.google.com/spreadsheets/d/1-3Vjw2Cyy-mry5gbC8ypIR3YVGFfEpyFESummAta6sg/edit"", ""Sheet1!B:D""), 2, FALSE), ""Not Found"")"),"kɔɪn")</f>
        <v>kɔɪn</v>
      </c>
      <c r="E6048" s="2" t="str">
        <f>IFERROR(__xludf.DUMMYFUNCTION("IFERROR(VLOOKUP(A6048, IMPORTRANGE(""https://docs.google.com/spreadsheets/d/1-3Vjw2Cyy-mry5gbC8ypIR3YVGFfEpyFESummAta6sg/edit"", ""Sheet1!B:D""), 3, FALSE), ""Not Found"")"),"k ɔ ɪ n ")</f>
        <v>k ɔ ɪ n </v>
      </c>
    </row>
    <row r="6049">
      <c r="A6049" s="1" t="s">
        <v>6051</v>
      </c>
      <c r="B6049" s="1" t="s">
        <v>5</v>
      </c>
      <c r="C6049" s="2">
        <f>IFERROR(__xludf.DUMMYFUNCTION("IFERROR(VLOOKUP(A6049, IMPORTRANGE(""https://docs.google.com/spreadsheets/d/1AVX9GT0dgogEBStecCXMMQ29tWz3gBrtNB8yIromXbY/edit?gid=741673867"", ""out1g!A:B""), 2, FALSE), 0)"),41.0)</f>
        <v>41</v>
      </c>
      <c r="D6049" s="2" t="str">
        <f>IFERROR(__xludf.DUMMYFUNCTION("IFERROR(VLOOKUP(A6049, IMPORTRANGE(""https://docs.google.com/spreadsheets/d/1-3Vjw2Cyy-mry5gbC8ypIR3YVGFfEpyFESummAta6sg/edit"", ""Sheet1!B:D""), 2, FALSE), ""Not Found"")"),"haʊ")</f>
        <v>haʊ</v>
      </c>
      <c r="E6049" s="2" t="str">
        <f>IFERROR(__xludf.DUMMYFUNCTION("IFERROR(VLOOKUP(A6049, IMPORTRANGE(""https://docs.google.com/spreadsheets/d/1-3Vjw2Cyy-mry5gbC8ypIR3YVGFfEpyFESummAta6sg/edit"", ""Sheet1!B:D""), 3, FALSE), ""Not Found"")"),"h a ʊ ")</f>
        <v>h a ʊ </v>
      </c>
    </row>
    <row r="6050">
      <c r="A6050" s="1" t="s">
        <v>6052</v>
      </c>
      <c r="B6050" s="1" t="s">
        <v>5</v>
      </c>
      <c r="C6050" s="2">
        <f>IFERROR(__xludf.DUMMYFUNCTION("IFERROR(VLOOKUP(A6050, IMPORTRANGE(""https://docs.google.com/spreadsheets/d/1AVX9GT0dgogEBStecCXMMQ29tWz3gBrtNB8yIromXbY/edit?gid=741673867"", ""out1g!A:B""), 2, FALSE), 0)"),137.0)</f>
        <v>137</v>
      </c>
      <c r="D6050" s="2" t="str">
        <f>IFERROR(__xludf.DUMMYFUNCTION("IFERROR(VLOOKUP(A6050, IMPORTRANGE(""https://docs.google.com/spreadsheets/d/1-3Vjw2Cyy-mry5gbC8ypIR3YVGFfEpyFESummAta6sg/edit"", ""Sheet1!B:D""), 2, FALSE), ""Not Found"")"),"ɪŋ")</f>
        <v>ɪŋ</v>
      </c>
      <c r="E6050" s="2" t="str">
        <f>IFERROR(__xludf.DUMMYFUNCTION("IFERROR(VLOOKUP(A6050, IMPORTRANGE(""https://docs.google.com/spreadsheets/d/1-3Vjw2Cyy-mry5gbC8ypIR3YVGFfEpyFESummAta6sg/edit"", ""Sheet1!B:D""), 3, FALSE), ""Not Found"")"),"ɪ ŋ ")</f>
        <v>ɪ ŋ </v>
      </c>
    </row>
    <row r="6051">
      <c r="A6051" s="1" t="s">
        <v>6053</v>
      </c>
      <c r="B6051" s="1" t="s">
        <v>5</v>
      </c>
      <c r="C6051" s="2">
        <f>IFERROR(__xludf.DUMMYFUNCTION("IFERROR(VLOOKUP(A6051, IMPORTRANGE(""https://docs.google.com/spreadsheets/d/1AVX9GT0dgogEBStecCXMMQ29tWz3gBrtNB8yIromXbY/edit?gid=741673867"", ""out1g!A:B""), 2, FALSE), 0)"),368.0)</f>
        <v>368</v>
      </c>
      <c r="D6051" s="2" t="str">
        <f>IFERROR(__xludf.DUMMYFUNCTION("IFERROR(VLOOKUP(A6051, IMPORTRANGE(""https://docs.google.com/spreadsheets/d/1-3Vjw2Cyy-mry5gbC8ypIR3YVGFfEpyFESummAta6sg/edit"", ""Sheet1!B:D""), 2, FALSE), ""Not Found"")"),"ræli")</f>
        <v>ræli</v>
      </c>
      <c r="E6051" s="2" t="str">
        <f>IFERROR(__xludf.DUMMYFUNCTION("IFERROR(VLOOKUP(A6051, IMPORTRANGE(""https://docs.google.com/spreadsheets/d/1-3Vjw2Cyy-mry5gbC8ypIR3YVGFfEpyFESummAta6sg/edit"", ""Sheet1!B:D""), 3, FALSE), ""Not Found"")"),"r æ l i ")</f>
        <v>r æ l i </v>
      </c>
    </row>
    <row r="6052">
      <c r="A6052" s="1" t="s">
        <v>6054</v>
      </c>
      <c r="B6052" s="1" t="s">
        <v>5</v>
      </c>
      <c r="C6052" s="2">
        <f>IFERROR(__xludf.DUMMYFUNCTION("IFERROR(VLOOKUP(A6052, IMPORTRANGE(""https://docs.google.com/spreadsheets/d/1AVX9GT0dgogEBStecCXMMQ29tWz3gBrtNB8yIromXbY/edit?gid=741673867"", ""out1g!A:B""), 2, FALSE), 0)"),1993.0)</f>
        <v>1993</v>
      </c>
      <c r="D6052" s="2" t="str">
        <f>IFERROR(__xludf.DUMMYFUNCTION("IFERROR(VLOOKUP(A6052, IMPORTRANGE(""https://docs.google.com/spreadsheets/d/1-3Vjw2Cyy-mry5gbC8ypIR3YVGFfEpyFESummAta6sg/edit"", ""Sheet1!B:D""), 2, FALSE), ""Not Found"")"),"wɛli")</f>
        <v>wɛli</v>
      </c>
      <c r="E6052" s="2" t="str">
        <f>IFERROR(__xludf.DUMMYFUNCTION("IFERROR(VLOOKUP(A6052, IMPORTRANGE(""https://docs.google.com/spreadsheets/d/1-3Vjw2Cyy-mry5gbC8ypIR3YVGFfEpyFESummAta6sg/edit"", ""Sheet1!B:D""), 3, FALSE), ""Not Found"")"),"w ɛ l i ")</f>
        <v>w ɛ l i </v>
      </c>
    </row>
    <row r="6053">
      <c r="A6053" s="1" t="s">
        <v>6055</v>
      </c>
      <c r="B6053" s="1" t="s">
        <v>5</v>
      </c>
      <c r="C6053" s="2">
        <f>IFERROR(__xludf.DUMMYFUNCTION("IFERROR(VLOOKUP(A6053, IMPORTRANGE(""https://docs.google.com/spreadsheets/d/1AVX9GT0dgogEBStecCXMMQ29tWz3gBrtNB8yIromXbY/edit?gid=741673867"", ""out1g!A:B""), 2, FALSE), 0)"),52.0)</f>
        <v>52</v>
      </c>
      <c r="D6053" s="2" t="str">
        <f>IFERROR(__xludf.DUMMYFUNCTION("IFERROR(VLOOKUP(A6053, IMPORTRANGE(""https://docs.google.com/spreadsheets/d/1-3Vjw2Cyy-mry5gbC8ypIR3YVGFfEpyFESummAta6sg/edit"", ""Sheet1!B:D""), 2, FALSE), ""Not Found"")"),"bits")</f>
        <v>bits</v>
      </c>
      <c r="E6053" s="2" t="str">
        <f>IFERROR(__xludf.DUMMYFUNCTION("IFERROR(VLOOKUP(A6053, IMPORTRANGE(""https://docs.google.com/spreadsheets/d/1-3Vjw2Cyy-mry5gbC8ypIR3YVGFfEpyFESummAta6sg/edit"", ""Sheet1!B:D""), 3, FALSE), ""Not Found"")"),"b i t s ")</f>
        <v>b i t s </v>
      </c>
    </row>
    <row r="6054">
      <c r="A6054" s="1" t="s">
        <v>6056</v>
      </c>
      <c r="B6054" s="1" t="s">
        <v>5</v>
      </c>
      <c r="C6054" s="2">
        <f>IFERROR(__xludf.DUMMYFUNCTION("IFERROR(VLOOKUP(A6054, IMPORTRANGE(""https://docs.google.com/spreadsheets/d/1AVX9GT0dgogEBStecCXMMQ29tWz3gBrtNB8yIromXbY/edit?gid=741673867"", ""out1g!A:B""), 2, FALSE), 0)"),185.0)</f>
        <v>185</v>
      </c>
      <c r="D6054" s="2" t="str">
        <f>IFERROR(__xludf.DUMMYFUNCTION("IFERROR(VLOOKUP(A6054, IMPORTRANGE(""https://docs.google.com/spreadsheets/d/1-3Vjw2Cyy-mry5gbC8ypIR3YVGFfEpyFESummAta6sg/edit"", ""Sheet1!B:D""), 2, FALSE), ""Not Found"")"),"lɔgz")</f>
        <v>lɔgz</v>
      </c>
      <c r="E6054" s="2" t="str">
        <f>IFERROR(__xludf.DUMMYFUNCTION("IFERROR(VLOOKUP(A6054, IMPORTRANGE(""https://docs.google.com/spreadsheets/d/1-3Vjw2Cyy-mry5gbC8ypIR3YVGFfEpyFESummAta6sg/edit"", ""Sheet1!B:D""), 3, FALSE), ""Not Found"")"),"l ɔ g z ")</f>
        <v>l ɔ g z </v>
      </c>
    </row>
    <row r="6055">
      <c r="A6055" s="1" t="s">
        <v>6057</v>
      </c>
      <c r="B6055" s="1" t="s">
        <v>5</v>
      </c>
      <c r="C6055" s="2">
        <f>IFERROR(__xludf.DUMMYFUNCTION("IFERROR(VLOOKUP(A6055, IMPORTRANGE(""https://docs.google.com/spreadsheets/d/1AVX9GT0dgogEBStecCXMMQ29tWz3gBrtNB8yIromXbY/edit?gid=741673867"", ""out1g!A:B""), 2, FALSE), 0)"),2619.0)</f>
        <v>2619</v>
      </c>
      <c r="D6055" s="2" t="str">
        <f>IFERROR(__xludf.DUMMYFUNCTION("IFERROR(VLOOKUP(A6055, IMPORTRANGE(""https://docs.google.com/spreadsheets/d/1-3Vjw2Cyy-mry5gbC8ypIR3YVGFfEpyFESummAta6sg/edit"", ""Sheet1!B:D""), 2, FALSE), ""Not Found"")"),"ɛ")</f>
        <v>ɛ</v>
      </c>
      <c r="E6055" s="2" t="str">
        <f>IFERROR(__xludf.DUMMYFUNCTION("IFERROR(VLOOKUP(A6055, IMPORTRANGE(""https://docs.google.com/spreadsheets/d/1-3Vjw2Cyy-mry5gbC8ypIR3YVGFfEpyFESummAta6sg/edit"", ""Sheet1!B:D""), 3, FALSE), ""Not Found"")"),"ɛ ")</f>
        <v>ɛ </v>
      </c>
    </row>
    <row r="6056">
      <c r="A6056" s="1" t="s">
        <v>6058</v>
      </c>
      <c r="B6056" s="1" t="s">
        <v>5</v>
      </c>
      <c r="C6056" s="2">
        <f>IFERROR(__xludf.DUMMYFUNCTION("IFERROR(VLOOKUP(A6056, IMPORTRANGE(""https://docs.google.com/spreadsheets/d/1AVX9GT0dgogEBStecCXMMQ29tWz3gBrtNB8yIromXbY/edit?gid=741673867"", ""out1g!A:B""), 2, FALSE), 0)"),540.0)</f>
        <v>540</v>
      </c>
      <c r="D6056" s="2" t="str">
        <f>IFERROR(__xludf.DUMMYFUNCTION("IFERROR(VLOOKUP(A6056, IMPORTRANGE(""https://docs.google.com/spreadsheets/d/1-3Vjw2Cyy-mry5gbC8ypIR3YVGFfEpyFESummAta6sg/edit"", ""Sheet1!B:D""), 2, FALSE), ""Not Found"")"),"draʊn")</f>
        <v>draʊn</v>
      </c>
      <c r="E6056" s="2" t="str">
        <f>IFERROR(__xludf.DUMMYFUNCTION("IFERROR(VLOOKUP(A6056, IMPORTRANGE(""https://docs.google.com/spreadsheets/d/1-3Vjw2Cyy-mry5gbC8ypIR3YVGFfEpyFESummAta6sg/edit"", ""Sheet1!B:D""), 3, FALSE), ""Not Found"")"),"d r a ʊ n ")</f>
        <v>d r a ʊ n </v>
      </c>
    </row>
    <row r="6057">
      <c r="A6057" s="1" t="s">
        <v>6059</v>
      </c>
      <c r="B6057" s="1" t="s">
        <v>5</v>
      </c>
      <c r="C6057" s="2">
        <f>IFERROR(__xludf.DUMMYFUNCTION("IFERROR(VLOOKUP(A6057, IMPORTRANGE(""https://docs.google.com/spreadsheets/d/1AVX9GT0dgogEBStecCXMMQ29tWz3gBrtNB8yIromXbY/edit?gid=741673867"", ""out1g!A:B""), 2, FALSE), 0)"),112.0)</f>
        <v>112</v>
      </c>
      <c r="D6057" s="2" t="str">
        <f>IFERROR(__xludf.DUMMYFUNCTION("IFERROR(VLOOKUP(A6057, IMPORTRANGE(""https://docs.google.com/spreadsheets/d/1-3Vjw2Cyy-mry5gbC8ypIR3YVGFfEpyFESummAta6sg/edit"", ""Sheet1!B:D""), 2, FALSE), ""Not Found"")"),"daɪər")</f>
        <v>daɪər</v>
      </c>
      <c r="E6057" s="2" t="str">
        <f>IFERROR(__xludf.DUMMYFUNCTION("IFERROR(VLOOKUP(A6057, IMPORTRANGE(""https://docs.google.com/spreadsheets/d/1-3Vjw2Cyy-mry5gbC8ypIR3YVGFfEpyFESummAta6sg/edit"", ""Sheet1!B:D""), 3, FALSE), ""Not Found"")"),"d a ɪ ə r ")</f>
        <v>d a ɪ ə r </v>
      </c>
    </row>
    <row r="6058">
      <c r="A6058" s="1" t="s">
        <v>6060</v>
      </c>
      <c r="B6058" s="1" t="s">
        <v>5</v>
      </c>
      <c r="C6058" s="2">
        <f>IFERROR(__xludf.DUMMYFUNCTION("IFERROR(VLOOKUP(A6058, IMPORTRANGE(""https://docs.google.com/spreadsheets/d/1AVX9GT0dgogEBStecCXMMQ29tWz3gBrtNB8yIromXbY/edit?gid=741673867"", ""out1g!A:B""), 2, FALSE), 0)"),160.0)</f>
        <v>160</v>
      </c>
      <c r="D6058" s="2" t="str">
        <f>IFERROR(__xludf.DUMMYFUNCTION("IFERROR(VLOOKUP(A6058, IMPORTRANGE(""https://docs.google.com/spreadsheets/d/1-3Vjw2Cyy-mry5gbC8ypIR3YVGFfEpyFESummAta6sg/edit"", ""Sheet1!B:D""), 2, FALSE), ""Not Found"")"),"bɑmərz")</f>
        <v>bɑmərz</v>
      </c>
      <c r="E6058" s="2" t="str">
        <f>IFERROR(__xludf.DUMMYFUNCTION("IFERROR(VLOOKUP(A6058, IMPORTRANGE(""https://docs.google.com/spreadsheets/d/1-3Vjw2Cyy-mry5gbC8ypIR3YVGFfEpyFESummAta6sg/edit"", ""Sheet1!B:D""), 3, FALSE), ""Not Found"")"),"b ɑ m ə r z ")</f>
        <v>b ɑ m ə r z </v>
      </c>
    </row>
    <row r="6059">
      <c r="A6059" s="1" t="s">
        <v>6061</v>
      </c>
      <c r="B6059" s="1" t="s">
        <v>5</v>
      </c>
      <c r="C6059" s="2">
        <f>IFERROR(__xludf.DUMMYFUNCTION("IFERROR(VLOOKUP(A6059, IMPORTRANGE(""https://docs.google.com/spreadsheets/d/1AVX9GT0dgogEBStecCXMMQ29tWz3gBrtNB8yIromXbY/edit?gid=741673867"", ""out1g!A:B""), 2, FALSE), 0)"),375.0)</f>
        <v>375</v>
      </c>
      <c r="D6059" s="2" t="str">
        <f>IFERROR(__xludf.DUMMYFUNCTION("IFERROR(VLOOKUP(A6059, IMPORTRANGE(""https://docs.google.com/spreadsheets/d/1-3Vjw2Cyy-mry5gbC8ypIR3YVGFfEpyFESummAta6sg/edit"", ""Sheet1!B:D""), 2, FALSE), ""Not Found"")"),"bɑðərz")</f>
        <v>bɑðərz</v>
      </c>
      <c r="E6059" s="2" t="str">
        <f>IFERROR(__xludf.DUMMYFUNCTION("IFERROR(VLOOKUP(A6059, IMPORTRANGE(""https://docs.google.com/spreadsheets/d/1-3Vjw2Cyy-mry5gbC8ypIR3YVGFfEpyFESummAta6sg/edit"", ""Sheet1!B:D""), 3, FALSE), ""Not Found"")"),"b ɑ ð ə r z ")</f>
        <v>b ɑ ð ə r z </v>
      </c>
    </row>
    <row r="6060">
      <c r="A6060" s="1" t="s">
        <v>6062</v>
      </c>
      <c r="B6060" s="1" t="s">
        <v>5</v>
      </c>
      <c r="C6060" s="2">
        <f>IFERROR(__xludf.DUMMYFUNCTION("IFERROR(VLOOKUP(A6060, IMPORTRANGE(""https://docs.google.com/spreadsheets/d/1AVX9GT0dgogEBStecCXMMQ29tWz3gBrtNB8yIromXbY/edit?gid=741673867"", ""out1g!A:B""), 2, FALSE), 0)"),68.0)</f>
        <v>68</v>
      </c>
      <c r="D6060" s="2" t="str">
        <f>IFERROR(__xludf.DUMMYFUNCTION("IFERROR(VLOOKUP(A6060, IMPORTRANGE(""https://docs.google.com/spreadsheets/d/1-3Vjw2Cyy-mry5gbC8ypIR3YVGFfEpyFESummAta6sg/edit"", ""Sheet1!B:D""), 2, FALSE), ""Not Found"")"),"ɛstets")</f>
        <v>ɛstets</v>
      </c>
      <c r="E6060" s="2" t="str">
        <f>IFERROR(__xludf.DUMMYFUNCTION("IFERROR(VLOOKUP(A6060, IMPORTRANGE(""https://docs.google.com/spreadsheets/d/1-3Vjw2Cyy-mry5gbC8ypIR3YVGFfEpyFESummAta6sg/edit"", ""Sheet1!B:D""), 3, FALSE), ""Not Found"")"),"ɛ s t e t s ")</f>
        <v>ɛ s t e t s </v>
      </c>
    </row>
    <row r="6061">
      <c r="A6061" s="1" t="s">
        <v>6063</v>
      </c>
      <c r="B6061" s="1" t="s">
        <v>5</v>
      </c>
      <c r="C6061" s="2">
        <f>IFERROR(__xludf.DUMMYFUNCTION("IFERROR(VLOOKUP(A6061, IMPORTRANGE(""https://docs.google.com/spreadsheets/d/1AVX9GT0dgogEBStecCXMMQ29tWz3gBrtNB8yIromXbY/edit?gid=741673867"", ""out1g!A:B""), 2, FALSE), 0)"),354.0)</f>
        <v>354</v>
      </c>
      <c r="D6061" s="2" t="str">
        <f>IFERROR(__xludf.DUMMYFUNCTION("IFERROR(VLOOKUP(A6061, IMPORTRANGE(""https://docs.google.com/spreadsheets/d/1-3Vjw2Cyy-mry5gbC8ypIR3YVGFfEpyFESummAta6sg/edit"", ""Sheet1!B:D""), 2, FALSE), ""Not Found"")"),"gris")</f>
        <v>gris</v>
      </c>
      <c r="E6061" s="2" t="str">
        <f>IFERROR(__xludf.DUMMYFUNCTION("IFERROR(VLOOKUP(A6061, IMPORTRANGE(""https://docs.google.com/spreadsheets/d/1-3Vjw2Cyy-mry5gbC8ypIR3YVGFfEpyFESummAta6sg/edit"", ""Sheet1!B:D""), 3, FALSE), ""Not Found"")"),"g r i s ")</f>
        <v>g r i s </v>
      </c>
    </row>
    <row r="6062">
      <c r="A6062" s="1" t="s">
        <v>6064</v>
      </c>
      <c r="B6062" s="1" t="s">
        <v>5</v>
      </c>
      <c r="C6062" s="2">
        <f>IFERROR(__xludf.DUMMYFUNCTION("IFERROR(VLOOKUP(A6062, IMPORTRANGE(""https://docs.google.com/spreadsheets/d/1AVX9GT0dgogEBStecCXMMQ29tWz3gBrtNB8yIromXbY/edit?gid=741673867"", ""out1g!A:B""), 2, FALSE), 0)"),233.0)</f>
        <v>233</v>
      </c>
      <c r="D6062" s="2" t="str">
        <f>IFERROR(__xludf.DUMMYFUNCTION("IFERROR(VLOOKUP(A6062, IMPORTRANGE(""https://docs.google.com/spreadsheets/d/1-3Vjw2Cyy-mry5gbC8ypIR3YVGFfEpyFESummAta6sg/edit"", ""Sheet1!B:D""), 2, FALSE), ""Not Found"")"),"fəks")</f>
        <v>fəks</v>
      </c>
      <c r="E6062" s="2" t="str">
        <f>IFERROR(__xludf.DUMMYFUNCTION("IFERROR(VLOOKUP(A6062, IMPORTRANGE(""https://docs.google.com/spreadsheets/d/1-3Vjw2Cyy-mry5gbC8ypIR3YVGFfEpyFESummAta6sg/edit"", ""Sheet1!B:D""), 3, FALSE), ""Not Found"")"),"f ə k s ")</f>
        <v>f ə k s </v>
      </c>
    </row>
    <row r="6063">
      <c r="A6063" s="1" t="s">
        <v>6065</v>
      </c>
      <c r="B6063" s="1" t="s">
        <v>5</v>
      </c>
      <c r="C6063" s="2">
        <f>IFERROR(__xludf.DUMMYFUNCTION("IFERROR(VLOOKUP(A6063, IMPORTRANGE(""https://docs.google.com/spreadsheets/d/1AVX9GT0dgogEBStecCXMMQ29tWz3gBrtNB8yIromXbY/edit?gid=741673867"", ""out1g!A:B""), 2, FALSE), 0)"),95.0)</f>
        <v>95</v>
      </c>
      <c r="D6063" s="2" t="str">
        <f>IFERROR(__xludf.DUMMYFUNCTION("IFERROR(VLOOKUP(A6063, IMPORTRANGE(""https://docs.google.com/spreadsheets/d/1-3Vjw2Cyy-mry5gbC8ypIR3YVGFfEpyFESummAta6sg/edit"", ""Sheet1!B:D""), 2, FALSE), ""Not Found"")"),"wəs")</f>
        <v>wəs</v>
      </c>
      <c r="E6063" s="2" t="str">
        <f>IFERROR(__xludf.DUMMYFUNCTION("IFERROR(VLOOKUP(A6063, IMPORTRANGE(""https://docs.google.com/spreadsheets/d/1-3Vjw2Cyy-mry5gbC8ypIR3YVGFfEpyFESummAta6sg/edit"", ""Sheet1!B:D""), 3, FALSE), ""Not Found"")"),"w ə s ")</f>
        <v>w ə s </v>
      </c>
    </row>
    <row r="6064">
      <c r="A6064" s="1" t="s">
        <v>6066</v>
      </c>
      <c r="B6064" s="1" t="s">
        <v>5</v>
      </c>
      <c r="C6064" s="2">
        <f>IFERROR(__xludf.DUMMYFUNCTION("IFERROR(VLOOKUP(A6064, IMPORTRANGE(""https://docs.google.com/spreadsheets/d/1AVX9GT0dgogEBStecCXMMQ29tWz3gBrtNB8yIromXbY/edit?gid=741673867"", ""out1g!A:B""), 2, FALSE), 0)"),74.0)</f>
        <v>74</v>
      </c>
      <c r="D6064" s="2" t="str">
        <f>IFERROR(__xludf.DUMMYFUNCTION("IFERROR(VLOOKUP(A6064, IMPORTRANGE(""https://docs.google.com/spreadsheets/d/1-3Vjw2Cyy-mry5gbC8ypIR3YVGFfEpyFESummAta6sg/edit"", ""Sheet1!B:D""), 2, FALSE), ""Not Found"")"),"rəmi")</f>
        <v>rəmi</v>
      </c>
      <c r="E6064" s="2" t="str">
        <f>IFERROR(__xludf.DUMMYFUNCTION("IFERROR(VLOOKUP(A6064, IMPORTRANGE(""https://docs.google.com/spreadsheets/d/1-3Vjw2Cyy-mry5gbC8ypIR3YVGFfEpyFESummAta6sg/edit"", ""Sheet1!B:D""), 3, FALSE), ""Not Found"")"),"r ə m i ")</f>
        <v>r ə m i </v>
      </c>
    </row>
    <row r="6065">
      <c r="A6065" s="1" t="s">
        <v>6067</v>
      </c>
      <c r="B6065" s="1" t="s">
        <v>5</v>
      </c>
      <c r="C6065" s="2">
        <f>IFERROR(__xludf.DUMMYFUNCTION("IFERROR(VLOOKUP(A6065, IMPORTRANGE(""https://docs.google.com/spreadsheets/d/1AVX9GT0dgogEBStecCXMMQ29tWz3gBrtNB8yIromXbY/edit?gid=741673867"", ""out1g!A:B""), 2, FALSE), 0)"),116.0)</f>
        <v>116</v>
      </c>
      <c r="D6065" s="2" t="str">
        <f>IFERROR(__xludf.DUMMYFUNCTION("IFERROR(VLOOKUP(A6065, IMPORTRANGE(""https://docs.google.com/spreadsheets/d/1-3Vjw2Cyy-mry5gbC8ypIR3YVGFfEpyFESummAta6sg/edit"", ""Sheet1!B:D""), 2, FALSE), ""Not Found"")"),"ʤərki")</f>
        <v>ʤərki</v>
      </c>
      <c r="E6065" s="2" t="str">
        <f>IFERROR(__xludf.DUMMYFUNCTION("IFERROR(VLOOKUP(A6065, IMPORTRANGE(""https://docs.google.com/spreadsheets/d/1-3Vjw2Cyy-mry5gbC8ypIR3YVGFfEpyFESummAta6sg/edit"", ""Sheet1!B:D""), 3, FALSE), ""Not Found"")"),"ʤ ə r k i ")</f>
        <v>ʤ ə r k i </v>
      </c>
    </row>
    <row r="6066">
      <c r="A6066" s="1" t="s">
        <v>6068</v>
      </c>
      <c r="B6066" s="1" t="s">
        <v>5</v>
      </c>
      <c r="C6066" s="2">
        <f>IFERROR(__xludf.DUMMYFUNCTION("IFERROR(VLOOKUP(A6066, IMPORTRANGE(""https://docs.google.com/spreadsheets/d/1AVX9GT0dgogEBStecCXMMQ29tWz3gBrtNB8yIromXbY/edit?gid=741673867"", ""out1g!A:B""), 2, FALSE), 0)"),1940.0)</f>
        <v>1940</v>
      </c>
      <c r="D6066" s="2" t="str">
        <f>IFERROR(__xludf.DUMMYFUNCTION("IFERROR(VLOOKUP(A6066, IMPORTRANGE(""https://docs.google.com/spreadsheets/d/1-3Vjw2Cyy-mry5gbC8ypIR3YVGFfEpyFESummAta6sg/edit"", ""Sheet1!B:D""), 2, FALSE), ""Not Found"")"),"spiʧ")</f>
        <v>spiʧ</v>
      </c>
      <c r="E6066" s="2" t="str">
        <f>IFERROR(__xludf.DUMMYFUNCTION("IFERROR(VLOOKUP(A6066, IMPORTRANGE(""https://docs.google.com/spreadsheets/d/1-3Vjw2Cyy-mry5gbC8ypIR3YVGFfEpyFESummAta6sg/edit"", ""Sheet1!B:D""), 3, FALSE), ""Not Found"")"),"s p i ʧ ")</f>
        <v>s p i ʧ </v>
      </c>
    </row>
    <row r="6067">
      <c r="A6067" s="1" t="s">
        <v>6069</v>
      </c>
      <c r="B6067" s="1" t="s">
        <v>5</v>
      </c>
      <c r="C6067" s="2">
        <f>IFERROR(__xludf.DUMMYFUNCTION("IFERROR(VLOOKUP(A6067, IMPORTRANGE(""https://docs.google.com/spreadsheets/d/1AVX9GT0dgogEBStecCXMMQ29tWz3gBrtNB8yIromXbY/edit?gid=741673867"", ""out1g!A:B""), 2, FALSE), 0)"),289.0)</f>
        <v>289</v>
      </c>
      <c r="D6067" s="2" t="str">
        <f>IFERROR(__xludf.DUMMYFUNCTION("IFERROR(VLOOKUP(A6067, IMPORTRANGE(""https://docs.google.com/spreadsheets/d/1-3Vjw2Cyy-mry5gbC8ypIR3YVGFfEpyFESummAta6sg/edit"", ""Sheet1!B:D""), 2, FALSE), ""Not Found"")"),"skup")</f>
        <v>skup</v>
      </c>
      <c r="E6067" s="2" t="str">
        <f>IFERROR(__xludf.DUMMYFUNCTION("IFERROR(VLOOKUP(A6067, IMPORTRANGE(""https://docs.google.com/spreadsheets/d/1-3Vjw2Cyy-mry5gbC8ypIR3YVGFfEpyFESummAta6sg/edit"", ""Sheet1!B:D""), 3, FALSE), ""Not Found"")"),"s k u p ")</f>
        <v>s k u p </v>
      </c>
    </row>
    <row r="6068">
      <c r="A6068" s="1" t="s">
        <v>6070</v>
      </c>
      <c r="B6068" s="1" t="s">
        <v>5</v>
      </c>
      <c r="C6068" s="2">
        <f>IFERROR(__xludf.DUMMYFUNCTION("IFERROR(VLOOKUP(A6068, IMPORTRANGE(""https://docs.google.com/spreadsheets/d/1AVX9GT0dgogEBStecCXMMQ29tWz3gBrtNB8yIromXbY/edit?gid=741673867"", ""out1g!A:B""), 2, FALSE), 0)"),440.0)</f>
        <v>440</v>
      </c>
      <c r="D6068" s="2" t="str">
        <f>IFERROR(__xludf.DUMMYFUNCTION("IFERROR(VLOOKUP(A6068, IMPORTRANGE(""https://docs.google.com/spreadsheets/d/1-3Vjw2Cyy-mry5gbC8ypIR3YVGFfEpyFESummAta6sg/edit"", ""Sheet1!B:D""), 2, FALSE), ""Not Found"")"),"sɛtəp")</f>
        <v>sɛtəp</v>
      </c>
      <c r="E6068" s="2" t="str">
        <f>IFERROR(__xludf.DUMMYFUNCTION("IFERROR(VLOOKUP(A6068, IMPORTRANGE(""https://docs.google.com/spreadsheets/d/1-3Vjw2Cyy-mry5gbC8ypIR3YVGFfEpyFESummAta6sg/edit"", ""Sheet1!B:D""), 3, FALSE), ""Not Found"")"),"s ɛ t ə p ")</f>
        <v>s ɛ t ə p </v>
      </c>
    </row>
    <row r="6069">
      <c r="A6069" s="1" t="s">
        <v>6071</v>
      </c>
      <c r="B6069" s="1" t="s">
        <v>5</v>
      </c>
      <c r="C6069" s="2">
        <f>IFERROR(__xludf.DUMMYFUNCTION("IFERROR(VLOOKUP(A6069, IMPORTRANGE(""https://docs.google.com/spreadsheets/d/1AVX9GT0dgogEBStecCXMMQ29tWz3gBrtNB8yIromXbY/edit?gid=741673867"", ""out1g!A:B""), 2, FALSE), 0)"),5226.0)</f>
        <v>5226</v>
      </c>
      <c r="D6069" s="2" t="str">
        <f>IFERROR(__xludf.DUMMYFUNCTION("IFERROR(VLOOKUP(A6069, IMPORTRANGE(""https://docs.google.com/spreadsheets/d/1-3Vjw2Cyy-mry5gbC8ypIR3YVGFfEpyFESummAta6sg/edit"", ""Sheet1!B:D""), 2, FALSE), ""Not Found"")"),"tɔkt")</f>
        <v>tɔkt</v>
      </c>
      <c r="E6069" s="2" t="str">
        <f>IFERROR(__xludf.DUMMYFUNCTION("IFERROR(VLOOKUP(A6069, IMPORTRANGE(""https://docs.google.com/spreadsheets/d/1-3Vjw2Cyy-mry5gbC8ypIR3YVGFfEpyFESummAta6sg/edit"", ""Sheet1!B:D""), 3, FALSE), ""Not Found"")"),"t ɔ k t ")</f>
        <v>t ɔ k t </v>
      </c>
    </row>
    <row r="6070">
      <c r="A6070" s="1" t="s">
        <v>6072</v>
      </c>
      <c r="B6070" s="1" t="s">
        <v>5</v>
      </c>
      <c r="C6070" s="2">
        <f>IFERROR(__xludf.DUMMYFUNCTION("IFERROR(VLOOKUP(A6070, IMPORTRANGE(""https://docs.google.com/spreadsheets/d/1AVX9GT0dgogEBStecCXMMQ29tWz3gBrtNB8yIromXbY/edit?gid=741673867"", ""out1g!A:B""), 2, FALSE), 0)"),69.0)</f>
        <v>69</v>
      </c>
      <c r="D6070" s="2" t="str">
        <f>IFERROR(__xludf.DUMMYFUNCTION("IFERROR(VLOOKUP(A6070, IMPORTRANGE(""https://docs.google.com/spreadsheets/d/1-3Vjw2Cyy-mry5gbC8ypIR3YVGFfEpyFESummAta6sg/edit"", ""Sheet1!B:D""), 2, FALSE), ""Not Found"")"),"dədz")</f>
        <v>dədz</v>
      </c>
      <c r="E6070" s="2" t="str">
        <f>IFERROR(__xludf.DUMMYFUNCTION("IFERROR(VLOOKUP(A6070, IMPORTRANGE(""https://docs.google.com/spreadsheets/d/1-3Vjw2Cyy-mry5gbC8ypIR3YVGFfEpyFESummAta6sg/edit"", ""Sheet1!B:D""), 3, FALSE), ""Not Found"")"),"d ə d z ")</f>
        <v>d ə d z </v>
      </c>
    </row>
    <row r="6071">
      <c r="A6071" s="1" t="s">
        <v>6073</v>
      </c>
      <c r="B6071" s="1" t="s">
        <v>5</v>
      </c>
      <c r="C6071" s="2">
        <f>IFERROR(__xludf.DUMMYFUNCTION("IFERROR(VLOOKUP(A6071, IMPORTRANGE(""https://docs.google.com/spreadsheets/d/1AVX9GT0dgogEBStecCXMMQ29tWz3gBrtNB8yIromXbY/edit?gid=741673867"", ""out1g!A:B""), 2, FALSE), 0)"),47.0)</f>
        <v>47</v>
      </c>
      <c r="D6071" s="2" t="str">
        <f>IFERROR(__xludf.DUMMYFUNCTION("IFERROR(VLOOKUP(A6071, IMPORTRANGE(""https://docs.google.com/spreadsheets/d/1-3Vjw2Cyy-mry5gbC8ypIR3YVGFfEpyFESummAta6sg/edit"", ""Sheet1!B:D""), 2, FALSE), ""Not Found"")"),"tɑk")</f>
        <v>tɑk</v>
      </c>
      <c r="E6071" s="2" t="str">
        <f>IFERROR(__xludf.DUMMYFUNCTION("IFERROR(VLOOKUP(A6071, IMPORTRANGE(""https://docs.google.com/spreadsheets/d/1-3Vjw2Cyy-mry5gbC8ypIR3YVGFfEpyFESummAta6sg/edit"", ""Sheet1!B:D""), 3, FALSE), ""Not Found"")"),"t ɑ k ")</f>
        <v>t ɑ k </v>
      </c>
    </row>
    <row r="6072">
      <c r="A6072" s="1" t="s">
        <v>6074</v>
      </c>
      <c r="B6072" s="1" t="s">
        <v>5</v>
      </c>
      <c r="C6072" s="2">
        <f>IFERROR(__xludf.DUMMYFUNCTION("IFERROR(VLOOKUP(A6072, IMPORTRANGE(""https://docs.google.com/spreadsheets/d/1AVX9GT0dgogEBStecCXMMQ29tWz3gBrtNB8yIromXbY/edit?gid=741673867"", ""out1g!A:B""), 2, FALSE), 0)"),2455.0)</f>
        <v>2455</v>
      </c>
      <c r="D6072" s="2" t="str">
        <f>IFERROR(__xludf.DUMMYFUNCTION("IFERROR(VLOOKUP(A6072, IMPORTRANGE(""https://docs.google.com/spreadsheets/d/1-3Vjw2Cyy-mry5gbC8ypIR3YVGFfEpyFESummAta6sg/edit"", ""Sheet1!B:D""), 2, FALSE), ""Not Found"")"),"rul")</f>
        <v>rul</v>
      </c>
      <c r="E6072" s="2" t="str">
        <f>IFERROR(__xludf.DUMMYFUNCTION("IFERROR(VLOOKUP(A6072, IMPORTRANGE(""https://docs.google.com/spreadsheets/d/1-3Vjw2Cyy-mry5gbC8ypIR3YVGFfEpyFESummAta6sg/edit"", ""Sheet1!B:D""), 3, FALSE), ""Not Found"")"),"r u l ")</f>
        <v>r u l </v>
      </c>
    </row>
    <row r="6073">
      <c r="A6073" s="1" t="s">
        <v>6075</v>
      </c>
      <c r="B6073" s="1" t="s">
        <v>5</v>
      </c>
      <c r="C6073" s="2">
        <f>IFERROR(__xludf.DUMMYFUNCTION("IFERROR(VLOOKUP(A6073, IMPORTRANGE(""https://docs.google.com/spreadsheets/d/1AVX9GT0dgogEBStecCXMMQ29tWz3gBrtNB8yIromXbY/edit?gid=741673867"", ""out1g!A:B""), 2, FALSE), 0)"),90.0)</f>
        <v>90</v>
      </c>
      <c r="D6073" s="2" t="str">
        <f>IFERROR(__xludf.DUMMYFUNCTION("IFERROR(VLOOKUP(A6073, IMPORTRANGE(""https://docs.google.com/spreadsheets/d/1-3Vjw2Cyy-mry5gbC8ypIR3YVGFfEpyFESummAta6sg/edit"", ""Sheet1!B:D""), 2, FALSE), ""Not Found"")"),"hɪroʊ")</f>
        <v>hɪroʊ</v>
      </c>
      <c r="E6073" s="2" t="str">
        <f>IFERROR(__xludf.DUMMYFUNCTION("IFERROR(VLOOKUP(A6073, IMPORTRANGE(""https://docs.google.com/spreadsheets/d/1-3Vjw2Cyy-mry5gbC8ypIR3YVGFfEpyFESummAta6sg/edit"", ""Sheet1!B:D""), 3, FALSE), ""Not Found"")"),"h ɪ r o ʊ ")</f>
        <v>h ɪ r o ʊ </v>
      </c>
    </row>
    <row r="6074">
      <c r="A6074" s="1" t="s">
        <v>6076</v>
      </c>
      <c r="B6074" s="1" t="s">
        <v>5</v>
      </c>
      <c r="C6074" s="2">
        <f>IFERROR(__xludf.DUMMYFUNCTION("IFERROR(VLOOKUP(A6074, IMPORTRANGE(""https://docs.google.com/spreadsheets/d/1AVX9GT0dgogEBStecCXMMQ29tWz3gBrtNB8yIromXbY/edit?gid=741673867"", ""out1g!A:B""), 2, FALSE), 0)"),4705.0)</f>
        <v>4705</v>
      </c>
      <c r="D6074" s="2" t="str">
        <f>IFERROR(__xludf.DUMMYFUNCTION("IFERROR(VLOOKUP(A6074, IMPORTRANGE(""https://docs.google.com/spreadsheets/d/1-3Vjw2Cyy-mry5gbC8ypIR3YVGFfEpyFESummAta6sg/edit"", ""Sheet1!B:D""), 2, FALSE), ""Not Found"")"),"sɛl")</f>
        <v>sɛl</v>
      </c>
      <c r="E6074" s="2" t="str">
        <f>IFERROR(__xludf.DUMMYFUNCTION("IFERROR(VLOOKUP(A6074, IMPORTRANGE(""https://docs.google.com/spreadsheets/d/1-3Vjw2Cyy-mry5gbC8ypIR3YVGFfEpyFESummAta6sg/edit"", ""Sheet1!B:D""), 3, FALSE), ""Not Found"")"),"s ɛ l ")</f>
        <v>s ɛ l </v>
      </c>
    </row>
    <row r="6075">
      <c r="A6075" s="1" t="s">
        <v>6077</v>
      </c>
      <c r="B6075" s="1" t="s">
        <v>5</v>
      </c>
      <c r="C6075" s="2">
        <f>IFERROR(__xludf.DUMMYFUNCTION("IFERROR(VLOOKUP(A6075, IMPORTRANGE(""https://docs.google.com/spreadsheets/d/1AVX9GT0dgogEBStecCXMMQ29tWz3gBrtNB8yIromXbY/edit?gid=741673867"", ""out1g!A:B""), 2, FALSE), 0)"),78.0)</f>
        <v>78</v>
      </c>
      <c r="D6075" s="2" t="str">
        <f>IFERROR(__xludf.DUMMYFUNCTION("IFERROR(VLOOKUP(A6075, IMPORTRANGE(""https://docs.google.com/spreadsheets/d/1-3Vjw2Cyy-mry5gbC8ypIR3YVGFfEpyFESummAta6sg/edit"", ""Sheet1!B:D""), 2, FALSE), ""Not Found"")"),"mæg")</f>
        <v>mæg</v>
      </c>
      <c r="E6075" s="2" t="str">
        <f>IFERROR(__xludf.DUMMYFUNCTION("IFERROR(VLOOKUP(A6075, IMPORTRANGE(""https://docs.google.com/spreadsheets/d/1-3Vjw2Cyy-mry5gbC8ypIR3YVGFfEpyFESummAta6sg/edit"", ""Sheet1!B:D""), 3, FALSE), ""Not Found"")"),"m æ g ")</f>
        <v>m æ g </v>
      </c>
    </row>
    <row r="6076">
      <c r="A6076" s="1" t="s">
        <v>6078</v>
      </c>
      <c r="B6076" s="1" t="s">
        <v>5</v>
      </c>
      <c r="C6076" s="2">
        <f>IFERROR(__xludf.DUMMYFUNCTION("IFERROR(VLOOKUP(A6076, IMPORTRANGE(""https://docs.google.com/spreadsheets/d/1AVX9GT0dgogEBStecCXMMQ29tWz3gBrtNB8yIromXbY/edit?gid=741673867"", ""out1g!A:B""), 2, FALSE), 0)"),436.0)</f>
        <v>436</v>
      </c>
      <c r="D6076" s="2" t="str">
        <f>IFERROR(__xludf.DUMMYFUNCTION("IFERROR(VLOOKUP(A6076, IMPORTRANGE(""https://docs.google.com/spreadsheets/d/1-3Vjw2Cyy-mry5gbC8ypIR3YVGFfEpyFESummAta6sg/edit"", ""Sheet1!B:D""), 2, FALSE), ""Not Found"")"),"bæŋɪŋ")</f>
        <v>bæŋɪŋ</v>
      </c>
      <c r="E6076" s="2" t="str">
        <f>IFERROR(__xludf.DUMMYFUNCTION("IFERROR(VLOOKUP(A6076, IMPORTRANGE(""https://docs.google.com/spreadsheets/d/1-3Vjw2Cyy-mry5gbC8ypIR3YVGFfEpyFESummAta6sg/edit"", ""Sheet1!B:D""), 3, FALSE), ""Not Found"")"),"b æ ŋ ɪ ŋ ")</f>
        <v>b æ ŋ ɪ ŋ </v>
      </c>
    </row>
    <row r="6077">
      <c r="A6077" s="1" t="s">
        <v>6079</v>
      </c>
      <c r="B6077" s="1" t="s">
        <v>5</v>
      </c>
      <c r="C6077" s="2">
        <f>IFERROR(__xludf.DUMMYFUNCTION("IFERROR(VLOOKUP(A6077, IMPORTRANGE(""https://docs.google.com/spreadsheets/d/1AVX9GT0dgogEBStecCXMMQ29tWz3gBrtNB8yIromXbY/edit?gid=741673867"", ""out1g!A:B""), 2, FALSE), 0)"),86.0)</f>
        <v>86</v>
      </c>
      <c r="D6077" s="2" t="str">
        <f>IFERROR(__xludf.DUMMYFUNCTION("IFERROR(VLOOKUP(A6077, IMPORTRANGE(""https://docs.google.com/spreadsheets/d/1-3Vjw2Cyy-mry5gbC8ypIR3YVGFfEpyFESummAta6sg/edit"", ""Sheet1!B:D""), 2, FALSE), ""Not Found"")"),"unə")</f>
        <v>unə</v>
      </c>
      <c r="E6077" s="2" t="str">
        <f>IFERROR(__xludf.DUMMYFUNCTION("IFERROR(VLOOKUP(A6077, IMPORTRANGE(""https://docs.google.com/spreadsheets/d/1-3Vjw2Cyy-mry5gbC8ypIR3YVGFfEpyFESummAta6sg/edit"", ""Sheet1!B:D""), 3, FALSE), ""Not Found"")"),"u n ə ")</f>
        <v>u n ə </v>
      </c>
    </row>
    <row r="6078">
      <c r="A6078" s="1" t="s">
        <v>6080</v>
      </c>
      <c r="B6078" s="1" t="s">
        <v>5</v>
      </c>
      <c r="C6078" s="2">
        <f>IFERROR(__xludf.DUMMYFUNCTION("IFERROR(VLOOKUP(A6078, IMPORTRANGE(""https://docs.google.com/spreadsheets/d/1AVX9GT0dgogEBStecCXMMQ29tWz3gBrtNB8yIromXbY/edit?gid=741673867"", ""out1g!A:B""), 2, FALSE), 0)"),432.0)</f>
        <v>432</v>
      </c>
      <c r="D6078" s="2" t="str">
        <f>IFERROR(__xludf.DUMMYFUNCTION("IFERROR(VLOOKUP(A6078, IMPORTRANGE(""https://docs.google.com/spreadsheets/d/1-3Vjw2Cyy-mry5gbC8ypIR3YVGFfEpyFESummAta6sg/edit"", ""Sheet1!B:D""), 2, FALSE), ""Not Found"")"),"roʊld")</f>
        <v>roʊld</v>
      </c>
      <c r="E6078" s="2" t="str">
        <f>IFERROR(__xludf.DUMMYFUNCTION("IFERROR(VLOOKUP(A6078, IMPORTRANGE(""https://docs.google.com/spreadsheets/d/1-3Vjw2Cyy-mry5gbC8ypIR3YVGFfEpyFESummAta6sg/edit"", ""Sheet1!B:D""), 3, FALSE), ""Not Found"")"),"r o ʊ l d ")</f>
        <v>r o ʊ l d </v>
      </c>
    </row>
    <row r="6079">
      <c r="A6079" s="1" t="s">
        <v>6081</v>
      </c>
      <c r="B6079" s="1" t="s">
        <v>5</v>
      </c>
      <c r="C6079" s="2">
        <f>IFERROR(__xludf.DUMMYFUNCTION("IFERROR(VLOOKUP(A6079, IMPORTRANGE(""https://docs.google.com/spreadsheets/d/1AVX9GT0dgogEBStecCXMMQ29tWz3gBrtNB8yIromXbY/edit?gid=741673867"", ""out1g!A:B""), 2, FALSE), 0)"),51.0)</f>
        <v>51</v>
      </c>
      <c r="D6079" s="2" t="str">
        <f>IFERROR(__xludf.DUMMYFUNCTION("IFERROR(VLOOKUP(A6079, IMPORTRANGE(""https://docs.google.com/spreadsheets/d/1-3Vjw2Cyy-mry5gbC8ypIR3YVGFfEpyFESummAta6sg/edit"", ""Sheet1!B:D""), 2, FALSE), ""Not Found"")"),"pərm")</f>
        <v>pərm</v>
      </c>
      <c r="E6079" s="2" t="str">
        <f>IFERROR(__xludf.DUMMYFUNCTION("IFERROR(VLOOKUP(A6079, IMPORTRANGE(""https://docs.google.com/spreadsheets/d/1-3Vjw2Cyy-mry5gbC8ypIR3YVGFfEpyFESummAta6sg/edit"", ""Sheet1!B:D""), 3, FALSE), ""Not Found"")"),"p ə r m ")</f>
        <v>p ə r m </v>
      </c>
    </row>
    <row r="6080">
      <c r="A6080" s="1" t="s">
        <v>6082</v>
      </c>
      <c r="B6080" s="1" t="s">
        <v>5</v>
      </c>
      <c r="C6080" s="2">
        <f>IFERROR(__xludf.DUMMYFUNCTION("IFERROR(VLOOKUP(A6080, IMPORTRANGE(""https://docs.google.com/spreadsheets/d/1AVX9GT0dgogEBStecCXMMQ29tWz3gBrtNB8yIromXbY/edit?gid=741673867"", ""out1g!A:B""), 2, FALSE), 0)"),53.0)</f>
        <v>53</v>
      </c>
      <c r="D6080" s="2" t="str">
        <f>IFERROR(__xludf.DUMMYFUNCTION("IFERROR(VLOOKUP(A6080, IMPORTRANGE(""https://docs.google.com/spreadsheets/d/1-3Vjw2Cyy-mry5gbC8ypIR3YVGFfEpyFESummAta6sg/edit"", ""Sheet1!B:D""), 2, FALSE), ""Not Found"")"),"loʊki")</f>
        <v>loʊki</v>
      </c>
      <c r="E6080" s="2" t="str">
        <f>IFERROR(__xludf.DUMMYFUNCTION("IFERROR(VLOOKUP(A6080, IMPORTRANGE(""https://docs.google.com/spreadsheets/d/1-3Vjw2Cyy-mry5gbC8ypIR3YVGFfEpyFESummAta6sg/edit"", ""Sheet1!B:D""), 3, FALSE), ""Not Found"")"),"l o ʊ k i ")</f>
        <v>l o ʊ k i </v>
      </c>
    </row>
    <row r="6081">
      <c r="A6081" s="1" t="s">
        <v>6083</v>
      </c>
      <c r="B6081" s="1" t="s">
        <v>5</v>
      </c>
      <c r="C6081" s="2">
        <f>IFERROR(__xludf.DUMMYFUNCTION("IFERROR(VLOOKUP(A6081, IMPORTRANGE(""https://docs.google.com/spreadsheets/d/1AVX9GT0dgogEBStecCXMMQ29tWz3gBrtNB8yIromXbY/edit?gid=741673867"", ""out1g!A:B""), 2, FALSE), 0)"),145.0)</f>
        <v>145</v>
      </c>
      <c r="D6081" s="2" t="str">
        <f>IFERROR(__xludf.DUMMYFUNCTION("IFERROR(VLOOKUP(A6081, IMPORTRANGE(""https://docs.google.com/spreadsheets/d/1-3Vjw2Cyy-mry5gbC8ypIR3YVGFfEpyFESummAta6sg/edit"", ""Sheet1!B:D""), 2, FALSE), ""Not Found"")"),"twen")</f>
        <v>twen</v>
      </c>
      <c r="E6081" s="2" t="str">
        <f>IFERROR(__xludf.DUMMYFUNCTION("IFERROR(VLOOKUP(A6081, IMPORTRANGE(""https://docs.google.com/spreadsheets/d/1-3Vjw2Cyy-mry5gbC8ypIR3YVGFfEpyFESummAta6sg/edit"", ""Sheet1!B:D""), 3, FALSE), ""Not Found"")"),"t w e n ")</f>
        <v>t w e n </v>
      </c>
    </row>
    <row r="6082">
      <c r="A6082" s="1" t="s">
        <v>6084</v>
      </c>
      <c r="B6082" s="1" t="s">
        <v>5</v>
      </c>
      <c r="C6082" s="2">
        <f>IFERROR(__xludf.DUMMYFUNCTION("IFERROR(VLOOKUP(A6082, IMPORTRANGE(""https://docs.google.com/spreadsheets/d/1AVX9GT0dgogEBStecCXMMQ29tWz3gBrtNB8yIromXbY/edit?gid=741673867"", ""out1g!A:B""), 2, FALSE), 0)"),1233.0)</f>
        <v>1233</v>
      </c>
      <c r="D6082" s="2" t="str">
        <f>IFERROR(__xludf.DUMMYFUNCTION("IFERROR(VLOOKUP(A6082, IMPORTRANGE(""https://docs.google.com/spreadsheets/d/1-3Vjw2Cyy-mry5gbC8ypIR3YVGFfEpyFESummAta6sg/edit"", ""Sheet1!B:D""), 2, FALSE), ""Not Found"")"),"mɪrər")</f>
        <v>mɪrər</v>
      </c>
      <c r="E6082" s="2" t="str">
        <f>IFERROR(__xludf.DUMMYFUNCTION("IFERROR(VLOOKUP(A6082, IMPORTRANGE(""https://docs.google.com/spreadsheets/d/1-3Vjw2Cyy-mry5gbC8ypIR3YVGFfEpyFESummAta6sg/edit"", ""Sheet1!B:D""), 3, FALSE), ""Not Found"")"),"m ɪ r ə r ")</f>
        <v>m ɪ r ə r </v>
      </c>
    </row>
    <row r="6083">
      <c r="A6083" s="1" t="s">
        <v>6085</v>
      </c>
      <c r="B6083" s="1" t="s">
        <v>5</v>
      </c>
      <c r="C6083" s="2">
        <f>IFERROR(__xludf.DUMMYFUNCTION("IFERROR(VLOOKUP(A6083, IMPORTRANGE(""https://docs.google.com/spreadsheets/d/1AVX9GT0dgogEBStecCXMMQ29tWz3gBrtNB8yIromXbY/edit?gid=741673867"", ""out1g!A:B""), 2, FALSE), 0)"),453.0)</f>
        <v>453</v>
      </c>
      <c r="D6083" s="2" t="str">
        <f>IFERROR(__xludf.DUMMYFUNCTION("IFERROR(VLOOKUP(A6083, IMPORTRANGE(""https://docs.google.com/spreadsheets/d/1-3Vjw2Cyy-mry5gbC8ypIR3YVGFfEpyFESummAta6sg/edit"", ""Sheet1!B:D""), 2, FALSE), ""Not Found"")"),"lidərz")</f>
        <v>lidərz</v>
      </c>
      <c r="E6083" s="2" t="str">
        <f>IFERROR(__xludf.DUMMYFUNCTION("IFERROR(VLOOKUP(A6083, IMPORTRANGE(""https://docs.google.com/spreadsheets/d/1-3Vjw2Cyy-mry5gbC8ypIR3YVGFfEpyFESummAta6sg/edit"", ""Sheet1!B:D""), 3, FALSE), ""Not Found"")"),"l i d ə r z ")</f>
        <v>l i d ə r z </v>
      </c>
    </row>
    <row r="6084">
      <c r="A6084" s="1" t="s">
        <v>6086</v>
      </c>
      <c r="B6084" s="1" t="s">
        <v>5</v>
      </c>
      <c r="C6084" s="2">
        <f>IFERROR(__xludf.DUMMYFUNCTION("IFERROR(VLOOKUP(A6084, IMPORTRANGE(""https://docs.google.com/spreadsheets/d/1AVX9GT0dgogEBStecCXMMQ29tWz3gBrtNB8yIromXbY/edit?gid=741673867"", ""out1g!A:B""), 2, FALSE), 0)"),10535.0)</f>
        <v>10535</v>
      </c>
      <c r="D6084" s="2" t="str">
        <f>IFERROR(__xludf.DUMMYFUNCTION("IFERROR(VLOOKUP(A6084, IMPORTRANGE(""https://docs.google.com/spreadsheets/d/1-3Vjw2Cyy-mry5gbC8ypIR3YVGFfEpyFESummAta6sg/edit"", ""Sheet1!B:D""), 2, FALSE), ""Not Found"")"),"ɑ")</f>
        <v>ɑ</v>
      </c>
      <c r="E6084" s="2" t="str">
        <f>IFERROR(__xludf.DUMMYFUNCTION("IFERROR(VLOOKUP(A6084, IMPORTRANGE(""https://docs.google.com/spreadsheets/d/1-3Vjw2Cyy-mry5gbC8ypIR3YVGFfEpyFESummAta6sg/edit"", ""Sheet1!B:D""), 3, FALSE), ""Not Found"")"),"ɑ ")</f>
        <v>ɑ </v>
      </c>
    </row>
    <row r="6085">
      <c r="A6085" s="1" t="s">
        <v>6087</v>
      </c>
      <c r="B6085" s="1" t="s">
        <v>5</v>
      </c>
      <c r="C6085" s="2">
        <f>IFERROR(__xludf.DUMMYFUNCTION("IFERROR(VLOOKUP(A6085, IMPORTRANGE(""https://docs.google.com/spreadsheets/d/1AVX9GT0dgogEBStecCXMMQ29tWz3gBrtNB8yIromXbY/edit?gid=741673867"", ""out1g!A:B""), 2, FALSE), 0)"),121.0)</f>
        <v>121</v>
      </c>
      <c r="D6085" s="2" t="str">
        <f>IFERROR(__xludf.DUMMYFUNCTION("IFERROR(VLOOKUP(A6085, IMPORTRANGE(""https://docs.google.com/spreadsheets/d/1-3Vjw2Cyy-mry5gbC8ypIR3YVGFfEpyFESummAta6sg/edit"", ""Sheet1!B:D""), 2, FALSE), ""Not Found"")"),"kaʊntləs")</f>
        <v>kaʊntləs</v>
      </c>
      <c r="E6085" s="2" t="str">
        <f>IFERROR(__xludf.DUMMYFUNCTION("IFERROR(VLOOKUP(A6085, IMPORTRANGE(""https://docs.google.com/spreadsheets/d/1-3Vjw2Cyy-mry5gbC8ypIR3YVGFfEpyFESummAta6sg/edit"", ""Sheet1!B:D""), 3, FALSE), ""Not Found"")"),"k a ʊ n t l ə s ")</f>
        <v>k a ʊ n t l ə s </v>
      </c>
    </row>
    <row r="6086">
      <c r="A6086" s="1" t="s">
        <v>6088</v>
      </c>
      <c r="B6086" s="1" t="s">
        <v>5</v>
      </c>
      <c r="C6086" s="2">
        <f>IFERROR(__xludf.DUMMYFUNCTION("IFERROR(VLOOKUP(A6086, IMPORTRANGE(""https://docs.google.com/spreadsheets/d/1AVX9GT0dgogEBStecCXMMQ29tWz3gBrtNB8yIromXbY/edit?gid=741673867"", ""out1g!A:B""), 2, FALSE), 0)"),58.0)</f>
        <v>58</v>
      </c>
      <c r="D6086" s="2" t="str">
        <f>IFERROR(__xludf.DUMMYFUNCTION("IFERROR(VLOOKUP(A6086, IMPORTRANGE(""https://docs.google.com/spreadsheets/d/1-3Vjw2Cyy-mry5gbC8ypIR3YVGFfEpyFESummAta6sg/edit"", ""Sheet1!B:D""), 2, FALSE), ""Not Found"")"),"hɔrd")</f>
        <v>hɔrd</v>
      </c>
      <c r="E6086" s="2" t="str">
        <f>IFERROR(__xludf.DUMMYFUNCTION("IFERROR(VLOOKUP(A6086, IMPORTRANGE(""https://docs.google.com/spreadsheets/d/1-3Vjw2Cyy-mry5gbC8ypIR3YVGFfEpyFESummAta6sg/edit"", ""Sheet1!B:D""), 3, FALSE), ""Not Found"")"),"h ɔ r d ")</f>
        <v>h ɔ r d </v>
      </c>
    </row>
    <row r="6087">
      <c r="A6087" s="1" t="s">
        <v>6089</v>
      </c>
      <c r="B6087" s="1" t="s">
        <v>5</v>
      </c>
      <c r="C6087" s="2">
        <f>IFERROR(__xludf.DUMMYFUNCTION("IFERROR(VLOOKUP(A6087, IMPORTRANGE(""https://docs.google.com/spreadsheets/d/1AVX9GT0dgogEBStecCXMMQ29tWz3gBrtNB8yIromXbY/edit?gid=741673867"", ""out1g!A:B""), 2, FALSE), 0)"),320.0)</f>
        <v>320</v>
      </c>
      <c r="D6087" s="2" t="str">
        <f>IFERROR(__xludf.DUMMYFUNCTION("IFERROR(VLOOKUP(A6087, IMPORTRANGE(""https://docs.google.com/spreadsheets/d/1-3Vjw2Cyy-mry5gbC8ypIR3YVGFfEpyFESummAta6sg/edit"", ""Sheet1!B:D""), 2, FALSE), ""Not Found"")"),"kluz")</f>
        <v>kluz</v>
      </c>
      <c r="E6087" s="2" t="str">
        <f>IFERROR(__xludf.DUMMYFUNCTION("IFERROR(VLOOKUP(A6087, IMPORTRANGE(""https://docs.google.com/spreadsheets/d/1-3Vjw2Cyy-mry5gbC8ypIR3YVGFfEpyFESummAta6sg/edit"", ""Sheet1!B:D""), 3, FALSE), ""Not Found"")"),"k l u z ")</f>
        <v>k l u z </v>
      </c>
    </row>
    <row r="6088">
      <c r="A6088" s="1" t="s">
        <v>6090</v>
      </c>
      <c r="B6088" s="1" t="s">
        <v>5</v>
      </c>
      <c r="C6088" s="2">
        <f>IFERROR(__xludf.DUMMYFUNCTION("IFERROR(VLOOKUP(A6088, IMPORTRANGE(""https://docs.google.com/spreadsheets/d/1AVX9GT0dgogEBStecCXMMQ29tWz3gBrtNB8yIromXbY/edit?gid=741673867"", ""out1g!A:B""), 2, FALSE), 0)"),7551.0)</f>
        <v>7551</v>
      </c>
      <c r="D6088" s="2" t="str">
        <f>IFERROR(__xludf.DUMMYFUNCTION("IFERROR(VLOOKUP(A6088, IMPORTRANGE(""https://docs.google.com/spreadsheets/d/1-3Vjw2Cyy-mry5gbC8ypIR3YVGFfEpyFESummAta6sg/edit"", ""Sheet1!B:D""), 2, FALSE), ""Not Found"")"),"rɛd")</f>
        <v>rɛd</v>
      </c>
      <c r="E6088" s="2" t="str">
        <f>IFERROR(__xludf.DUMMYFUNCTION("IFERROR(VLOOKUP(A6088, IMPORTRANGE(""https://docs.google.com/spreadsheets/d/1-3Vjw2Cyy-mry5gbC8ypIR3YVGFfEpyFESummAta6sg/edit"", ""Sheet1!B:D""), 3, FALSE), ""Not Found"")"),"r ɛ d ")</f>
        <v>r ɛ d </v>
      </c>
    </row>
    <row r="6089">
      <c r="A6089" s="1" t="s">
        <v>6091</v>
      </c>
      <c r="B6089" s="1" t="s">
        <v>5</v>
      </c>
      <c r="C6089" s="2">
        <f>IFERROR(__xludf.DUMMYFUNCTION("IFERROR(VLOOKUP(A6089, IMPORTRANGE(""https://docs.google.com/spreadsheets/d/1AVX9GT0dgogEBStecCXMMQ29tWz3gBrtNB8yIromXbY/edit?gid=741673867"", ""out1g!A:B""), 2, FALSE), 0)"),77.0)</f>
        <v>77</v>
      </c>
      <c r="D6089" s="2" t="str">
        <f>IFERROR(__xludf.DUMMYFUNCTION("IFERROR(VLOOKUP(A6089, IMPORTRANGE(""https://docs.google.com/spreadsheets/d/1-3Vjw2Cyy-mry5gbC8ypIR3YVGFfEpyFESummAta6sg/edit"", ""Sheet1!B:D""), 2, FALSE), ""Not Found"")"),"twərp")</f>
        <v>twərp</v>
      </c>
      <c r="E6089" s="2" t="str">
        <f>IFERROR(__xludf.DUMMYFUNCTION("IFERROR(VLOOKUP(A6089, IMPORTRANGE(""https://docs.google.com/spreadsheets/d/1-3Vjw2Cyy-mry5gbC8ypIR3YVGFfEpyFESummAta6sg/edit"", ""Sheet1!B:D""), 3, FALSE), ""Not Found"")"),"t w ə r p ")</f>
        <v>t w ə r p </v>
      </c>
    </row>
    <row r="6090">
      <c r="A6090" s="1" t="s">
        <v>6092</v>
      </c>
      <c r="B6090" s="1" t="s">
        <v>5</v>
      </c>
      <c r="C6090" s="2">
        <f>IFERROR(__xludf.DUMMYFUNCTION("IFERROR(VLOOKUP(A6090, IMPORTRANGE(""https://docs.google.com/spreadsheets/d/1AVX9GT0dgogEBStecCXMMQ29tWz3gBrtNB8yIromXbY/edit?gid=741673867"", ""out1g!A:B""), 2, FALSE), 0)"),114687.0)</f>
        <v>114687</v>
      </c>
      <c r="D6090" s="2" t="str">
        <f>IFERROR(__xludf.DUMMYFUNCTION("IFERROR(VLOOKUP(A6090, IMPORTRANGE(""https://docs.google.com/spreadsheets/d/1-3Vjw2Cyy-mry5gbC8ypIR3YVGFfEpyFESummAta6sg/edit"", ""Sheet1!B:D""), 2, FALSE), ""Not Found"")"),"waɪ")</f>
        <v>waɪ</v>
      </c>
      <c r="E6090" s="2" t="str">
        <f>IFERROR(__xludf.DUMMYFUNCTION("IFERROR(VLOOKUP(A6090, IMPORTRANGE(""https://docs.google.com/spreadsheets/d/1-3Vjw2Cyy-mry5gbC8ypIR3YVGFfEpyFESummAta6sg/edit"", ""Sheet1!B:D""), 3, FALSE), ""Not Found"")"),"w a ɪ ")</f>
        <v>w a ɪ </v>
      </c>
    </row>
    <row r="6091">
      <c r="A6091" s="1" t="s">
        <v>6093</v>
      </c>
      <c r="B6091" s="1" t="s">
        <v>5</v>
      </c>
      <c r="C6091" s="2">
        <f>IFERROR(__xludf.DUMMYFUNCTION("IFERROR(VLOOKUP(A6091, IMPORTRANGE(""https://docs.google.com/spreadsheets/d/1AVX9GT0dgogEBStecCXMMQ29tWz3gBrtNB8yIromXbY/edit?gid=741673867"", ""out1g!A:B""), 2, FALSE), 0)"),33.0)</f>
        <v>33</v>
      </c>
      <c r="D6091" s="2" t="str">
        <f>IFERROR(__xludf.DUMMYFUNCTION("IFERROR(VLOOKUP(A6091, IMPORTRANGE(""https://docs.google.com/spreadsheets/d/1-3Vjw2Cyy-mry5gbC8ypIR3YVGFfEpyFESummAta6sg/edit"", ""Sheet1!B:D""), 2, FALSE), ""Not Found"")"),"ərend")</f>
        <v>ərend</v>
      </c>
      <c r="E6091" s="2" t="str">
        <f>IFERROR(__xludf.DUMMYFUNCTION("IFERROR(VLOOKUP(A6091, IMPORTRANGE(""https://docs.google.com/spreadsheets/d/1-3Vjw2Cyy-mry5gbC8ypIR3YVGFfEpyFESummAta6sg/edit"", ""Sheet1!B:D""), 3, FALSE), ""Not Found"")"),"ə r e n d ")</f>
        <v>ə r e n d </v>
      </c>
    </row>
    <row r="6092">
      <c r="A6092" s="1" t="s">
        <v>6094</v>
      </c>
      <c r="B6092" s="1" t="s">
        <v>5</v>
      </c>
      <c r="C6092" s="2">
        <f>IFERROR(__xludf.DUMMYFUNCTION("IFERROR(VLOOKUP(A6092, IMPORTRANGE(""https://docs.google.com/spreadsheets/d/1AVX9GT0dgogEBStecCXMMQ29tWz3gBrtNB8yIromXbY/edit?gid=741673867"", ""out1g!A:B""), 2, FALSE), 0)"),81.0)</f>
        <v>81</v>
      </c>
      <c r="D6092" s="2" t="str">
        <f>IFERROR(__xludf.DUMMYFUNCTION("IFERROR(VLOOKUP(A6092, IMPORTRANGE(""https://docs.google.com/spreadsheets/d/1-3Vjw2Cyy-mry5gbC8ypIR3YVGFfEpyFESummAta6sg/edit"", ""Sheet1!B:D""), 2, FALSE), ""Not Found"")"),"piks")</f>
        <v>piks</v>
      </c>
      <c r="E6092" s="2" t="str">
        <f>IFERROR(__xludf.DUMMYFUNCTION("IFERROR(VLOOKUP(A6092, IMPORTRANGE(""https://docs.google.com/spreadsheets/d/1-3Vjw2Cyy-mry5gbC8ypIR3YVGFfEpyFESummAta6sg/edit"", ""Sheet1!B:D""), 3, FALSE), ""Not Found"")"),"p i k s ")</f>
        <v>p i k s </v>
      </c>
    </row>
    <row r="6093">
      <c r="A6093" s="1" t="s">
        <v>6095</v>
      </c>
      <c r="B6093" s="1" t="s">
        <v>5</v>
      </c>
      <c r="C6093" s="2">
        <f>IFERROR(__xludf.DUMMYFUNCTION("IFERROR(VLOOKUP(A6093, IMPORTRANGE(""https://docs.google.com/spreadsheets/d/1AVX9GT0dgogEBStecCXMMQ29tWz3gBrtNB8yIromXbY/edit?gid=741673867"", ""out1g!A:B""), 2, FALSE), 0)"),38.0)</f>
        <v>38</v>
      </c>
      <c r="D6093" s="2" t="str">
        <f>IFERROR(__xludf.DUMMYFUNCTION("IFERROR(VLOOKUP(A6093, IMPORTRANGE(""https://docs.google.com/spreadsheets/d/1-3Vjw2Cyy-mry5gbC8ypIR3YVGFfEpyFESummAta6sg/edit"", ""Sheet1!B:D""), 2, FALSE), ""Not Found"")"),"kɑrli")</f>
        <v>kɑrli</v>
      </c>
      <c r="E6093" s="2" t="str">
        <f>IFERROR(__xludf.DUMMYFUNCTION("IFERROR(VLOOKUP(A6093, IMPORTRANGE(""https://docs.google.com/spreadsheets/d/1-3Vjw2Cyy-mry5gbC8ypIR3YVGFfEpyFESummAta6sg/edit"", ""Sheet1!B:D""), 3, FALSE), ""Not Found"")"),"k ɑ r l i ")</f>
        <v>k ɑ r l i </v>
      </c>
    </row>
    <row r="6094">
      <c r="A6094" s="1" t="s">
        <v>6096</v>
      </c>
      <c r="B6094" s="1" t="s">
        <v>5</v>
      </c>
      <c r="C6094" s="2">
        <f>IFERROR(__xludf.DUMMYFUNCTION("IFERROR(VLOOKUP(A6094, IMPORTRANGE(""https://docs.google.com/spreadsheets/d/1AVX9GT0dgogEBStecCXMMQ29tWz3gBrtNB8yIromXbY/edit?gid=741673867"", ""out1g!A:B""), 2, FALSE), 0)"),370.0)</f>
        <v>370</v>
      </c>
      <c r="D6094" s="2" t="str">
        <f>IFERROR(__xludf.DUMMYFUNCTION("IFERROR(VLOOKUP(A6094, IMPORTRANGE(""https://docs.google.com/spreadsheets/d/1-3Vjw2Cyy-mry5gbC8ypIR3YVGFfEpyFESummAta6sg/edit"", ""Sheet1!B:D""), 2, FALSE), ""Not Found"")"),"tɪk")</f>
        <v>tɪk</v>
      </c>
      <c r="E6094" s="2" t="str">
        <f>IFERROR(__xludf.DUMMYFUNCTION("IFERROR(VLOOKUP(A6094, IMPORTRANGE(""https://docs.google.com/spreadsheets/d/1-3Vjw2Cyy-mry5gbC8ypIR3YVGFfEpyFESummAta6sg/edit"", ""Sheet1!B:D""), 3, FALSE), ""Not Found"")"),"t ɪ k ")</f>
        <v>t ɪ k </v>
      </c>
    </row>
    <row r="6095">
      <c r="A6095" s="1" t="s">
        <v>6097</v>
      </c>
      <c r="B6095" s="1" t="s">
        <v>5</v>
      </c>
      <c r="C6095" s="2">
        <f>IFERROR(__xludf.DUMMYFUNCTION("IFERROR(VLOOKUP(A6095, IMPORTRANGE(""https://docs.google.com/spreadsheets/d/1AVX9GT0dgogEBStecCXMMQ29tWz3gBrtNB8yIromXbY/edit?gid=741673867"", ""out1g!A:B""), 2, FALSE), 0)"),151.0)</f>
        <v>151</v>
      </c>
      <c r="D6095" s="2" t="str">
        <f>IFERROR(__xludf.DUMMYFUNCTION("IFERROR(VLOOKUP(A6095, IMPORTRANGE(""https://docs.google.com/spreadsheets/d/1-3Vjw2Cyy-mry5gbC8ypIR3YVGFfEpyFESummAta6sg/edit"", ""Sheet1!B:D""), 2, FALSE), ""Not Found"")"),"prɔf")</f>
        <v>prɔf</v>
      </c>
      <c r="E6095" s="2" t="str">
        <f>IFERROR(__xludf.DUMMYFUNCTION("IFERROR(VLOOKUP(A6095, IMPORTRANGE(""https://docs.google.com/spreadsheets/d/1-3Vjw2Cyy-mry5gbC8ypIR3YVGFfEpyFESummAta6sg/edit"", ""Sheet1!B:D""), 3, FALSE), ""Not Found"")"),"p r ɔ f ")</f>
        <v>p r ɔ f </v>
      </c>
    </row>
    <row r="6096">
      <c r="A6096" s="1" t="s">
        <v>6098</v>
      </c>
      <c r="B6096" s="1" t="s">
        <v>5</v>
      </c>
      <c r="C6096" s="2">
        <f>IFERROR(__xludf.DUMMYFUNCTION("IFERROR(VLOOKUP(A6096, IMPORTRANGE(""https://docs.google.com/spreadsheets/d/1AVX9GT0dgogEBStecCXMMQ29tWz3gBrtNB8yIromXbY/edit?gid=741673867"", ""out1g!A:B""), 2, FALSE), 0)"),115.0)</f>
        <v>115</v>
      </c>
      <c r="D6096" s="2" t="str">
        <f>IFERROR(__xludf.DUMMYFUNCTION("IFERROR(VLOOKUP(A6096, IMPORTRANGE(""https://docs.google.com/spreadsheets/d/1-3Vjw2Cyy-mry5gbC8ypIR3YVGFfEpyFESummAta6sg/edit"", ""Sheet1!B:D""), 2, FALSE), ""Not Found"")"),"θɪnər")</f>
        <v>θɪnər</v>
      </c>
      <c r="E6096" s="2" t="str">
        <f>IFERROR(__xludf.DUMMYFUNCTION("IFERROR(VLOOKUP(A6096, IMPORTRANGE(""https://docs.google.com/spreadsheets/d/1-3Vjw2Cyy-mry5gbC8ypIR3YVGFfEpyFESummAta6sg/edit"", ""Sheet1!B:D""), 3, FALSE), ""Not Found"")"),"θ ɪ n ə r ")</f>
        <v>θ ɪ n ə r </v>
      </c>
    </row>
    <row r="6097">
      <c r="A6097" s="1" t="s">
        <v>6099</v>
      </c>
      <c r="B6097" s="1" t="s">
        <v>5</v>
      </c>
      <c r="C6097" s="2">
        <f>IFERROR(__xludf.DUMMYFUNCTION("IFERROR(VLOOKUP(A6097, IMPORTRANGE(""https://docs.google.com/spreadsheets/d/1AVX9GT0dgogEBStecCXMMQ29tWz3gBrtNB8yIromXbY/edit?gid=741673867"", ""out1g!A:B""), 2, FALSE), 0)"),85.0)</f>
        <v>85</v>
      </c>
      <c r="D6097" s="2" t="str">
        <f>IFERROR(__xludf.DUMMYFUNCTION("IFERROR(VLOOKUP(A6097, IMPORTRANGE(""https://docs.google.com/spreadsheets/d/1-3Vjw2Cyy-mry5gbC8ypIR3YVGFfEpyFESummAta6sg/edit"", ""Sheet1!B:D""), 2, FALSE), ""Not Found"")"),"frɪnʤ")</f>
        <v>frɪnʤ</v>
      </c>
      <c r="E6097" s="2" t="str">
        <f>IFERROR(__xludf.DUMMYFUNCTION("IFERROR(VLOOKUP(A6097, IMPORTRANGE(""https://docs.google.com/spreadsheets/d/1-3Vjw2Cyy-mry5gbC8ypIR3YVGFfEpyFESummAta6sg/edit"", ""Sheet1!B:D""), 3, FALSE), ""Not Found"")"),"f r ɪ n ʤ ")</f>
        <v>f r ɪ n ʤ </v>
      </c>
    </row>
    <row r="6098">
      <c r="A6098" s="1" t="s">
        <v>6100</v>
      </c>
      <c r="B6098" s="1" t="s">
        <v>5</v>
      </c>
      <c r="C6098" s="2">
        <f>IFERROR(__xludf.DUMMYFUNCTION("IFERROR(VLOOKUP(A6098, IMPORTRANGE(""https://docs.google.com/spreadsheets/d/1AVX9GT0dgogEBStecCXMMQ29tWz3gBrtNB8yIromXbY/edit?gid=741673867"", ""out1g!A:B""), 2, FALSE), 0)"),149.0)</f>
        <v>149</v>
      </c>
      <c r="D6098" s="2" t="str">
        <f>IFERROR(__xludf.DUMMYFUNCTION("IFERROR(VLOOKUP(A6098, IMPORTRANGE(""https://docs.google.com/spreadsheets/d/1-3Vjw2Cyy-mry5gbC8ypIR3YVGFfEpyFESummAta6sg/edit"", ""Sheet1!B:D""), 2, FALSE), ""Not Found"")"),"dæmp")</f>
        <v>dæmp</v>
      </c>
      <c r="E6098" s="2" t="str">
        <f>IFERROR(__xludf.DUMMYFUNCTION("IFERROR(VLOOKUP(A6098, IMPORTRANGE(""https://docs.google.com/spreadsheets/d/1-3Vjw2Cyy-mry5gbC8ypIR3YVGFfEpyFESummAta6sg/edit"", ""Sheet1!B:D""), 3, FALSE), ""Not Found"")"),"d æ m p ")</f>
        <v>d æ m p </v>
      </c>
    </row>
    <row r="6099">
      <c r="A6099" s="1" t="s">
        <v>6101</v>
      </c>
      <c r="B6099" s="1" t="s">
        <v>5</v>
      </c>
      <c r="C6099" s="2">
        <f>IFERROR(__xludf.DUMMYFUNCTION("IFERROR(VLOOKUP(A6099, IMPORTRANGE(""https://docs.google.com/spreadsheets/d/1AVX9GT0dgogEBStecCXMMQ29tWz3gBrtNB8yIromXbY/edit?gid=741673867"", ""out1g!A:B""), 2, FALSE), 0)"),58.0)</f>
        <v>58</v>
      </c>
      <c r="D6099" s="2" t="str">
        <f>IFERROR(__xludf.DUMMYFUNCTION("IFERROR(VLOOKUP(A6099, IMPORTRANGE(""https://docs.google.com/spreadsheets/d/1-3Vjw2Cyy-mry5gbC8ypIR3YVGFfEpyFESummAta6sg/edit"", ""Sheet1!B:D""), 2, FALSE), ""Not Found"")"),"flɑpi")</f>
        <v>flɑpi</v>
      </c>
      <c r="E6099" s="2" t="str">
        <f>IFERROR(__xludf.DUMMYFUNCTION("IFERROR(VLOOKUP(A6099, IMPORTRANGE(""https://docs.google.com/spreadsheets/d/1-3Vjw2Cyy-mry5gbC8ypIR3YVGFfEpyFESummAta6sg/edit"", ""Sheet1!B:D""), 3, FALSE), ""Not Found"")"),"f l ɑ p i ")</f>
        <v>f l ɑ p i </v>
      </c>
    </row>
    <row r="6100">
      <c r="A6100" s="1" t="s">
        <v>6102</v>
      </c>
      <c r="B6100" s="1" t="s">
        <v>5</v>
      </c>
      <c r="C6100" s="2">
        <f>IFERROR(__xludf.DUMMYFUNCTION("IFERROR(VLOOKUP(A6100, IMPORTRANGE(""https://docs.google.com/spreadsheets/d/1AVX9GT0dgogEBStecCXMMQ29tWz3gBrtNB8yIromXbY/edit?gid=741673867"", ""out1g!A:B""), 2, FALSE), 0)"),94.0)</f>
        <v>94</v>
      </c>
      <c r="D6100" s="2" t="str">
        <f>IFERROR(__xludf.DUMMYFUNCTION("IFERROR(VLOOKUP(A6100, IMPORTRANGE(""https://docs.google.com/spreadsheets/d/1-3Vjw2Cyy-mry5gbC8ypIR3YVGFfEpyFESummAta6sg/edit"", ""Sheet1!B:D""), 2, FALSE), ""Not Found"")"),"sɑd")</f>
        <v>sɑd</v>
      </c>
      <c r="E6100" s="2" t="str">
        <f>IFERROR(__xludf.DUMMYFUNCTION("IFERROR(VLOOKUP(A6100, IMPORTRANGE(""https://docs.google.com/spreadsheets/d/1-3Vjw2Cyy-mry5gbC8ypIR3YVGFfEpyFESummAta6sg/edit"", ""Sheet1!B:D""), 3, FALSE), ""Not Found"")"),"s ɑ d ")</f>
        <v>s ɑ d </v>
      </c>
    </row>
    <row r="6101">
      <c r="A6101" s="1" t="s">
        <v>6103</v>
      </c>
      <c r="B6101" s="1" t="s">
        <v>5</v>
      </c>
      <c r="C6101" s="2">
        <f>IFERROR(__xludf.DUMMYFUNCTION("IFERROR(VLOOKUP(A6101, IMPORTRANGE(""https://docs.google.com/spreadsheets/d/1AVX9GT0dgogEBStecCXMMQ29tWz3gBrtNB8yIromXbY/edit?gid=741673867"", ""out1g!A:B""), 2, FALSE), 0)"),124.0)</f>
        <v>124</v>
      </c>
      <c r="D6101" s="2" t="str">
        <f>IFERROR(__xludf.DUMMYFUNCTION("IFERROR(VLOOKUP(A6101, IMPORTRANGE(""https://docs.google.com/spreadsheets/d/1-3Vjw2Cyy-mry5gbC8ypIR3YVGFfEpyFESummAta6sg/edit"", ""Sheet1!B:D""), 2, FALSE), ""Not Found"")"),"gænt")</f>
        <v>gænt</v>
      </c>
      <c r="E6101" s="2" t="str">
        <f>IFERROR(__xludf.DUMMYFUNCTION("IFERROR(VLOOKUP(A6101, IMPORTRANGE(""https://docs.google.com/spreadsheets/d/1-3Vjw2Cyy-mry5gbC8ypIR3YVGFfEpyFESummAta6sg/edit"", ""Sheet1!B:D""), 3, FALSE), ""Not Found"")"),"g æ n t ")</f>
        <v>g æ n t </v>
      </c>
    </row>
    <row r="6102">
      <c r="A6102" s="1" t="s">
        <v>6104</v>
      </c>
      <c r="B6102" s="1" t="s">
        <v>5</v>
      </c>
      <c r="C6102" s="2">
        <f>IFERROR(__xludf.DUMMYFUNCTION("IFERROR(VLOOKUP(A6102, IMPORTRANGE(""https://docs.google.com/spreadsheets/d/1AVX9GT0dgogEBStecCXMMQ29tWz3gBrtNB8yIromXbY/edit?gid=741673867"", ""out1g!A:B""), 2, FALSE), 0)"),96.0)</f>
        <v>96</v>
      </c>
      <c r="D6102" s="2" t="str">
        <f>IFERROR(__xludf.DUMMYFUNCTION("IFERROR(VLOOKUP(A6102, IMPORTRANGE(""https://docs.google.com/spreadsheets/d/1-3Vjw2Cyy-mry5gbC8ypIR3YVGFfEpyFESummAta6sg/edit"", ""Sheet1!B:D""), 2, FALSE), ""Not Found"")"),"tægd")</f>
        <v>tægd</v>
      </c>
      <c r="E6102" s="2" t="str">
        <f>IFERROR(__xludf.DUMMYFUNCTION("IFERROR(VLOOKUP(A6102, IMPORTRANGE(""https://docs.google.com/spreadsheets/d/1-3Vjw2Cyy-mry5gbC8ypIR3YVGFfEpyFESummAta6sg/edit"", ""Sheet1!B:D""), 3, FALSE), ""Not Found"")"),"t æ g d ")</f>
        <v>t æ g d </v>
      </c>
    </row>
    <row r="6103">
      <c r="A6103" s="1" t="s">
        <v>6105</v>
      </c>
      <c r="B6103" s="1" t="s">
        <v>5</v>
      </c>
      <c r="C6103" s="2">
        <f>IFERROR(__xludf.DUMMYFUNCTION("IFERROR(VLOOKUP(A6103, IMPORTRANGE(""https://docs.google.com/spreadsheets/d/1AVX9GT0dgogEBStecCXMMQ29tWz3gBrtNB8yIromXbY/edit?gid=741673867"", ""out1g!A:B""), 2, FALSE), 0)"),150.0)</f>
        <v>150</v>
      </c>
      <c r="D6103" s="2" t="str">
        <f>IFERROR(__xludf.DUMMYFUNCTION("IFERROR(VLOOKUP(A6103, IMPORTRANGE(""https://docs.google.com/spreadsheets/d/1-3Vjw2Cyy-mry5gbC8ypIR3YVGFfEpyFESummAta6sg/edit"", ""Sheet1!B:D""), 2, FALSE), ""Not Found"")"),"braɪtər")</f>
        <v>braɪtər</v>
      </c>
      <c r="E6103" s="2" t="str">
        <f>IFERROR(__xludf.DUMMYFUNCTION("IFERROR(VLOOKUP(A6103, IMPORTRANGE(""https://docs.google.com/spreadsheets/d/1-3Vjw2Cyy-mry5gbC8ypIR3YVGFfEpyFESummAta6sg/edit"", ""Sheet1!B:D""), 3, FALSE), ""Not Found"")"),"b r a ɪ t ə r ")</f>
        <v>b r a ɪ t ə r </v>
      </c>
    </row>
    <row r="6104">
      <c r="A6104" s="1" t="s">
        <v>6106</v>
      </c>
      <c r="B6104" s="1" t="s">
        <v>5</v>
      </c>
      <c r="C6104" s="2">
        <f>IFERROR(__xludf.DUMMYFUNCTION("IFERROR(VLOOKUP(A6104, IMPORTRANGE(""https://docs.google.com/spreadsheets/d/1AVX9GT0dgogEBStecCXMMQ29tWz3gBrtNB8yIromXbY/edit?gid=741673867"", ""out1g!A:B""), 2, FALSE), 0)"),4588.0)</f>
        <v>4588</v>
      </c>
      <c r="D6104" s="2" t="str">
        <f>IFERROR(__xludf.DUMMYFUNCTION("IFERROR(VLOOKUP(A6104, IMPORTRANGE(""https://docs.google.com/spreadsheets/d/1-3Vjw2Cyy-mry5gbC8ypIR3YVGFfEpyFESummAta6sg/edit"", ""Sheet1!B:D""), 2, FALSE), ""Not Found"")"),"kaʊnt")</f>
        <v>kaʊnt</v>
      </c>
      <c r="E6104" s="2" t="str">
        <f>IFERROR(__xludf.DUMMYFUNCTION("IFERROR(VLOOKUP(A6104, IMPORTRANGE(""https://docs.google.com/spreadsheets/d/1-3Vjw2Cyy-mry5gbC8ypIR3YVGFfEpyFESummAta6sg/edit"", ""Sheet1!B:D""), 3, FALSE), ""Not Found"")"),"k a ʊ n t ")</f>
        <v>k a ʊ n t </v>
      </c>
    </row>
    <row r="6105">
      <c r="A6105" s="1" t="s">
        <v>6107</v>
      </c>
      <c r="B6105" s="1" t="s">
        <v>5</v>
      </c>
      <c r="C6105" s="2">
        <f>IFERROR(__xludf.DUMMYFUNCTION("IFERROR(VLOOKUP(A6105, IMPORTRANGE(""https://docs.google.com/spreadsheets/d/1AVX9GT0dgogEBStecCXMMQ29tWz3gBrtNB8yIromXbY/edit?gid=741673867"", ""out1g!A:B""), 2, FALSE), 0)"),531.0)</f>
        <v>531</v>
      </c>
      <c r="D6105" s="2" t="str">
        <f>IFERROR(__xludf.DUMMYFUNCTION("IFERROR(VLOOKUP(A6105, IMPORTRANGE(""https://docs.google.com/spreadsheets/d/1-3Vjw2Cyy-mry5gbC8ypIR3YVGFfEpyFESummAta6sg/edit"", ""Sheet1!B:D""), 2, FALSE), ""Not Found"")"),"rəg")</f>
        <v>rəg</v>
      </c>
      <c r="E6105" s="2" t="str">
        <f>IFERROR(__xludf.DUMMYFUNCTION("IFERROR(VLOOKUP(A6105, IMPORTRANGE(""https://docs.google.com/spreadsheets/d/1-3Vjw2Cyy-mry5gbC8ypIR3YVGFfEpyFESummAta6sg/edit"", ""Sheet1!B:D""), 3, FALSE), ""Not Found"")"),"r ə g ")</f>
        <v>r ə g </v>
      </c>
    </row>
    <row r="6106">
      <c r="A6106" s="1" t="s">
        <v>6108</v>
      </c>
      <c r="B6106" s="1" t="s">
        <v>5</v>
      </c>
      <c r="C6106" s="2">
        <f>IFERROR(__xludf.DUMMYFUNCTION("IFERROR(VLOOKUP(A6106, IMPORTRANGE(""https://docs.google.com/spreadsheets/d/1AVX9GT0dgogEBStecCXMMQ29tWz3gBrtNB8yIromXbY/edit?gid=741673867"", ""out1g!A:B""), 2, FALSE), 0)"),1762.0)</f>
        <v>1762</v>
      </c>
      <c r="D6106" s="2" t="str">
        <f>IFERROR(__xludf.DUMMYFUNCTION("IFERROR(VLOOKUP(A6106, IMPORTRANGE(""https://docs.google.com/spreadsheets/d/1-3Vjw2Cyy-mry5gbC8ypIR3YVGFfEpyFESummAta6sg/edit"", ""Sheet1!B:D""), 2, FALSE), ""Not Found"")"),"rɛnt")</f>
        <v>rɛnt</v>
      </c>
      <c r="E6106" s="2" t="str">
        <f>IFERROR(__xludf.DUMMYFUNCTION("IFERROR(VLOOKUP(A6106, IMPORTRANGE(""https://docs.google.com/spreadsheets/d/1-3Vjw2Cyy-mry5gbC8ypIR3YVGFfEpyFESummAta6sg/edit"", ""Sheet1!B:D""), 3, FALSE), ""Not Found"")"),"r ɛ n t ")</f>
        <v>r ɛ n t </v>
      </c>
    </row>
    <row r="6107">
      <c r="A6107" s="1" t="s">
        <v>6109</v>
      </c>
      <c r="B6107" s="1" t="s">
        <v>5</v>
      </c>
      <c r="C6107" s="2">
        <f>IFERROR(__xludf.DUMMYFUNCTION("IFERROR(VLOOKUP(A6107, IMPORTRANGE(""https://docs.google.com/spreadsheets/d/1AVX9GT0dgogEBStecCXMMQ29tWz3gBrtNB8yIromXbY/edit?gid=741673867"", ""out1g!A:B""), 2, FALSE), 0)"),313.0)</f>
        <v>313</v>
      </c>
      <c r="D6107" s="2" t="str">
        <f>IFERROR(__xludf.DUMMYFUNCTION("IFERROR(VLOOKUP(A6107, IMPORTRANGE(""https://docs.google.com/spreadsheets/d/1-3Vjw2Cyy-mry5gbC8ypIR3YVGFfEpyFESummAta6sg/edit"", ""Sheet1!B:D""), 2, FALSE), ""Not Found"")"),"ɛse")</f>
        <v>ɛse</v>
      </c>
      <c r="E6107" s="2" t="str">
        <f>IFERROR(__xludf.DUMMYFUNCTION("IFERROR(VLOOKUP(A6107, IMPORTRANGE(""https://docs.google.com/spreadsheets/d/1-3Vjw2Cyy-mry5gbC8ypIR3YVGFfEpyFESummAta6sg/edit"", ""Sheet1!B:D""), 3, FALSE), ""Not Found"")"),"ɛ s e ")</f>
        <v>ɛ s e </v>
      </c>
    </row>
    <row r="6108">
      <c r="A6108" s="1" t="s">
        <v>6110</v>
      </c>
      <c r="B6108" s="1" t="s">
        <v>5</v>
      </c>
      <c r="C6108" s="2">
        <f>IFERROR(__xludf.DUMMYFUNCTION("IFERROR(VLOOKUP(A6108, IMPORTRANGE(""https://docs.google.com/spreadsheets/d/1AVX9GT0dgogEBStecCXMMQ29tWz3gBrtNB8yIromXbY/edit?gid=741673867"", ""out1g!A:B""), 2, FALSE), 0)"),10.0)</f>
        <v>10</v>
      </c>
      <c r="D6108" s="2" t="str">
        <f>IFERROR(__xludf.DUMMYFUNCTION("IFERROR(VLOOKUP(A6108, IMPORTRANGE(""https://docs.google.com/spreadsheets/d/1-3Vjw2Cyy-mry5gbC8ypIR3YVGFfEpyFESummAta6sg/edit"", ""Sheet1!B:D""), 2, FALSE), ""Not Found"")"),"buiz")</f>
        <v>buiz</v>
      </c>
      <c r="E6108" s="2" t="str">
        <f>IFERROR(__xludf.DUMMYFUNCTION("IFERROR(VLOOKUP(A6108, IMPORTRANGE(""https://docs.google.com/spreadsheets/d/1-3Vjw2Cyy-mry5gbC8ypIR3YVGFfEpyFESummAta6sg/edit"", ""Sheet1!B:D""), 3, FALSE), ""Not Found"")"),"b u i z ")</f>
        <v>b u i z </v>
      </c>
    </row>
    <row r="6109">
      <c r="A6109" s="1" t="s">
        <v>6111</v>
      </c>
      <c r="B6109" s="1" t="s">
        <v>5</v>
      </c>
      <c r="C6109" s="2">
        <f>IFERROR(__xludf.DUMMYFUNCTION("IFERROR(VLOOKUP(A6109, IMPORTRANGE(""https://docs.google.com/spreadsheets/d/1AVX9GT0dgogEBStecCXMMQ29tWz3gBrtNB8yIromXbY/edit?gid=741673867"", ""out1g!A:B""), 2, FALSE), 0)"),1818.0)</f>
        <v>1818</v>
      </c>
      <c r="D6109" s="2" t="str">
        <f>IFERROR(__xludf.DUMMYFUNCTION("IFERROR(VLOOKUP(A6109, IMPORTRANGE(""https://docs.google.com/spreadsheets/d/1-3Vjw2Cyy-mry5gbC8ypIR3YVGFfEpyFESummAta6sg/edit"", ""Sheet1!B:D""), 2, FALSE), ""Not Found"")"),"rʊf")</f>
        <v>rʊf</v>
      </c>
      <c r="E6109" s="2" t="str">
        <f>IFERROR(__xludf.DUMMYFUNCTION("IFERROR(VLOOKUP(A6109, IMPORTRANGE(""https://docs.google.com/spreadsheets/d/1-3Vjw2Cyy-mry5gbC8ypIR3YVGFfEpyFESummAta6sg/edit"", ""Sheet1!B:D""), 3, FALSE), ""Not Found"")"),"r ʊ f ")</f>
        <v>r ʊ f </v>
      </c>
    </row>
    <row r="6110">
      <c r="A6110" s="1" t="s">
        <v>6112</v>
      </c>
      <c r="B6110" s="1" t="s">
        <v>5</v>
      </c>
      <c r="C6110" s="2">
        <f>IFERROR(__xludf.DUMMYFUNCTION("IFERROR(VLOOKUP(A6110, IMPORTRANGE(""https://docs.google.com/spreadsheets/d/1AVX9GT0dgogEBStecCXMMQ29tWz3gBrtNB8yIromXbY/edit?gid=741673867"", ""out1g!A:B""), 2, FALSE), 0)"),3035.0)</f>
        <v>3035</v>
      </c>
      <c r="D6110" s="2" t="str">
        <f>IFERROR(__xludf.DUMMYFUNCTION("IFERROR(VLOOKUP(A6110, IMPORTRANGE(""https://docs.google.com/spreadsheets/d/1-3Vjw2Cyy-mry5gbC8ypIR3YVGFfEpyFESummAta6sg/edit"", ""Sheet1!B:D""), 2, FALSE), ""Not Found"")"),"nɛk")</f>
        <v>nɛk</v>
      </c>
      <c r="E6110" s="2" t="str">
        <f>IFERROR(__xludf.DUMMYFUNCTION("IFERROR(VLOOKUP(A6110, IMPORTRANGE(""https://docs.google.com/spreadsheets/d/1-3Vjw2Cyy-mry5gbC8ypIR3YVGFfEpyFESummAta6sg/edit"", ""Sheet1!B:D""), 3, FALSE), ""Not Found"")"),"n ɛ k ")</f>
        <v>n ɛ k </v>
      </c>
    </row>
    <row r="6111">
      <c r="A6111" s="1" t="s">
        <v>6113</v>
      </c>
      <c r="B6111" s="1" t="s">
        <v>5</v>
      </c>
      <c r="C6111" s="2">
        <f>IFERROR(__xludf.DUMMYFUNCTION("IFERROR(VLOOKUP(A6111, IMPORTRANGE(""https://docs.google.com/spreadsheets/d/1AVX9GT0dgogEBStecCXMMQ29tWz3gBrtNB8yIromXbY/edit?gid=741673867"", ""out1g!A:B""), 2, FALSE), 0)"),60.0)</f>
        <v>60</v>
      </c>
      <c r="D6111" s="2" t="str">
        <f>IFERROR(__xludf.DUMMYFUNCTION("IFERROR(VLOOKUP(A6111, IMPORTRANGE(""https://docs.google.com/spreadsheets/d/1-3Vjw2Cyy-mry5gbC8ypIR3YVGFfEpyFESummAta6sg/edit"", ""Sheet1!B:D""), 2, FALSE), ""Not Found"")"),"ləl")</f>
        <v>ləl</v>
      </c>
      <c r="E6111" s="2" t="str">
        <f>IFERROR(__xludf.DUMMYFUNCTION("IFERROR(VLOOKUP(A6111, IMPORTRANGE(""https://docs.google.com/spreadsheets/d/1-3Vjw2Cyy-mry5gbC8ypIR3YVGFfEpyFESummAta6sg/edit"", ""Sheet1!B:D""), 3, FALSE), ""Not Found"")"),"l ə l ")</f>
        <v>l ə l </v>
      </c>
    </row>
    <row r="6112">
      <c r="A6112" s="1" t="s">
        <v>6114</v>
      </c>
      <c r="B6112" s="1" t="s">
        <v>5</v>
      </c>
      <c r="C6112" s="2">
        <f>IFERROR(__xludf.DUMMYFUNCTION("IFERROR(VLOOKUP(A6112, IMPORTRANGE(""https://docs.google.com/spreadsheets/d/1AVX9GT0dgogEBStecCXMMQ29tWz3gBrtNB8yIromXbY/edit?gid=741673867"", ""out1g!A:B""), 2, FALSE), 0)"),1440.0)</f>
        <v>1440</v>
      </c>
      <c r="D6112" s="2" t="str">
        <f>IFERROR(__xludf.DUMMYFUNCTION("IFERROR(VLOOKUP(A6112, IMPORTRANGE(""https://docs.google.com/spreadsheets/d/1-3Vjw2Cyy-mry5gbC8ypIR3YVGFfEpyFESummAta6sg/edit"", ""Sheet1!B:D""), 2, FALSE), ""Not Found"")"),"dilɪŋ")</f>
        <v>dilɪŋ</v>
      </c>
      <c r="E6112" s="2" t="str">
        <f>IFERROR(__xludf.DUMMYFUNCTION("IFERROR(VLOOKUP(A6112, IMPORTRANGE(""https://docs.google.com/spreadsheets/d/1-3Vjw2Cyy-mry5gbC8ypIR3YVGFfEpyFESummAta6sg/edit"", ""Sheet1!B:D""), 3, FALSE), ""Not Found"")"),"d i l ɪ ŋ ")</f>
        <v>d i l ɪ ŋ </v>
      </c>
    </row>
    <row r="6113">
      <c r="A6113" s="1" t="s">
        <v>6115</v>
      </c>
      <c r="B6113" s="1" t="s">
        <v>5</v>
      </c>
      <c r="C6113" s="2">
        <f>IFERROR(__xludf.DUMMYFUNCTION("IFERROR(VLOOKUP(A6113, IMPORTRANGE(""https://docs.google.com/spreadsheets/d/1AVX9GT0dgogEBStecCXMMQ29tWz3gBrtNB8yIromXbY/edit?gid=741673867"", ""out1g!A:B""), 2, FALSE), 0)"),26080.0)</f>
        <v>26080</v>
      </c>
      <c r="D6113" s="2" t="str">
        <f>IFERROR(__xludf.DUMMYFUNCTION("IFERROR(VLOOKUP(A6113, IMPORTRANGE(""https://docs.google.com/spreadsheets/d/1-3Vjw2Cyy-mry5gbC8ypIR3YVGFfEpyFESummAta6sg/edit"", ""Sheet1!B:D""), 2, FALSE), ""Not Found"")"),"me")</f>
        <v>me</v>
      </c>
      <c r="E6113" s="2" t="str">
        <f>IFERROR(__xludf.DUMMYFUNCTION("IFERROR(VLOOKUP(A6113, IMPORTRANGE(""https://docs.google.com/spreadsheets/d/1-3Vjw2Cyy-mry5gbC8ypIR3YVGFfEpyFESummAta6sg/edit"", ""Sheet1!B:D""), 3, FALSE), ""Not Found"")"),"m e ")</f>
        <v>m e </v>
      </c>
    </row>
    <row r="6114">
      <c r="A6114" s="1" t="s">
        <v>6116</v>
      </c>
      <c r="B6114" s="1" t="s">
        <v>5</v>
      </c>
      <c r="C6114" s="2">
        <f>IFERROR(__xludf.DUMMYFUNCTION("IFERROR(VLOOKUP(A6114, IMPORTRANGE(""https://docs.google.com/spreadsheets/d/1AVX9GT0dgogEBStecCXMMQ29tWz3gBrtNB8yIromXbY/edit?gid=741673867"", ""out1g!A:B""), 2, FALSE), 0)"),812.0)</f>
        <v>812</v>
      </c>
      <c r="D6114" s="2" t="str">
        <f>IFERROR(__xludf.DUMMYFUNCTION("IFERROR(VLOOKUP(A6114, IMPORTRANGE(""https://docs.google.com/spreadsheets/d/1-3Vjw2Cyy-mry5gbC8ypIR3YVGFfEpyFESummAta6sg/edit"", ""Sheet1!B:D""), 2, FALSE), ""Not Found"")"),"lə")</f>
        <v>lə</v>
      </c>
      <c r="E6114" s="2" t="str">
        <f>IFERROR(__xludf.DUMMYFUNCTION("IFERROR(VLOOKUP(A6114, IMPORTRANGE(""https://docs.google.com/spreadsheets/d/1-3Vjw2Cyy-mry5gbC8ypIR3YVGFfEpyFESummAta6sg/edit"", ""Sheet1!B:D""), 3, FALSE), ""Not Found"")"),"l ə ")</f>
        <v>l ə </v>
      </c>
    </row>
    <row r="6115">
      <c r="A6115" s="1" t="s">
        <v>6117</v>
      </c>
      <c r="B6115" s="1" t="s">
        <v>5</v>
      </c>
      <c r="C6115" s="2">
        <f>IFERROR(__xludf.DUMMYFUNCTION("IFERROR(VLOOKUP(A6115, IMPORTRANGE(""https://docs.google.com/spreadsheets/d/1AVX9GT0dgogEBStecCXMMQ29tWz3gBrtNB8yIromXbY/edit?gid=741673867"", ""out1g!A:B""), 2, FALSE), 0)"),4541.0)</f>
        <v>4541</v>
      </c>
      <c r="D6115" s="2" t="str">
        <f>IFERROR(__xludf.DUMMYFUNCTION("IFERROR(VLOOKUP(A6115, IMPORTRANGE(""https://docs.google.com/spreadsheets/d/1-3Vjw2Cyy-mry5gbC8ypIR3YVGFfEpyFESummAta6sg/edit"", ""Sheet1!B:D""), 2, FALSE), ""Not Found"")"),"kɑm")</f>
        <v>kɑm</v>
      </c>
      <c r="E6115" s="2" t="str">
        <f>IFERROR(__xludf.DUMMYFUNCTION("IFERROR(VLOOKUP(A6115, IMPORTRANGE(""https://docs.google.com/spreadsheets/d/1-3Vjw2Cyy-mry5gbC8ypIR3YVGFfEpyFESummAta6sg/edit"", ""Sheet1!B:D""), 3, FALSE), ""Not Found"")"),"k ɑ m ")</f>
        <v>k ɑ m </v>
      </c>
    </row>
    <row r="6116">
      <c r="A6116" s="1" t="s">
        <v>6118</v>
      </c>
      <c r="B6116" s="1" t="s">
        <v>5</v>
      </c>
      <c r="C6116" s="2">
        <f>IFERROR(__xludf.DUMMYFUNCTION("IFERROR(VLOOKUP(A6116, IMPORTRANGE(""https://docs.google.com/spreadsheets/d/1AVX9GT0dgogEBStecCXMMQ29tWz3gBrtNB8yIromXbY/edit?gid=741673867"", ""out1g!A:B""), 2, FALSE), 0)"),464.0)</f>
        <v>464</v>
      </c>
      <c r="D6116" s="2" t="str">
        <f>IFERROR(__xludf.DUMMYFUNCTION("IFERROR(VLOOKUP(A6116, IMPORTRANGE(""https://docs.google.com/spreadsheets/d/1-3Vjw2Cyy-mry5gbC8ypIR3YVGFfEpyFESummAta6sg/edit"", ""Sheet1!B:D""), 2, FALSE), ""Not Found"")"),"θivz")</f>
        <v>θivz</v>
      </c>
      <c r="E6116" s="2" t="str">
        <f>IFERROR(__xludf.DUMMYFUNCTION("IFERROR(VLOOKUP(A6116, IMPORTRANGE(""https://docs.google.com/spreadsheets/d/1-3Vjw2Cyy-mry5gbC8ypIR3YVGFfEpyFESummAta6sg/edit"", ""Sheet1!B:D""), 3, FALSE), ""Not Found"")"),"θ i v z ")</f>
        <v>θ i v z </v>
      </c>
    </row>
    <row r="6117">
      <c r="A6117" s="1" t="s">
        <v>6119</v>
      </c>
      <c r="B6117" s="1" t="s">
        <v>5</v>
      </c>
      <c r="C6117" s="2">
        <f>IFERROR(__xludf.DUMMYFUNCTION("IFERROR(VLOOKUP(A6117, IMPORTRANGE(""https://docs.google.com/spreadsheets/d/1AVX9GT0dgogEBStecCXMMQ29tWz3gBrtNB8yIromXbY/edit?gid=741673867"", ""out1g!A:B""), 2, FALSE), 0)"),55.0)</f>
        <v>55</v>
      </c>
      <c r="D6117" s="2" t="str">
        <f>IFERROR(__xludf.DUMMYFUNCTION("IFERROR(VLOOKUP(A6117, IMPORTRANGE(""https://docs.google.com/spreadsheets/d/1-3Vjw2Cyy-mry5gbC8ypIR3YVGFfEpyFESummAta6sg/edit"", ""Sheet1!B:D""), 2, FALSE), ""Not Found"")"),"toʊt")</f>
        <v>toʊt</v>
      </c>
      <c r="E6117" s="2" t="str">
        <f>IFERROR(__xludf.DUMMYFUNCTION("IFERROR(VLOOKUP(A6117, IMPORTRANGE(""https://docs.google.com/spreadsheets/d/1-3Vjw2Cyy-mry5gbC8ypIR3YVGFfEpyFESummAta6sg/edit"", ""Sheet1!B:D""), 3, FALSE), ""Not Found"")"),"t o ʊ t ")</f>
        <v>t o ʊ t </v>
      </c>
    </row>
    <row r="6118">
      <c r="A6118" s="1" t="s">
        <v>6120</v>
      </c>
      <c r="B6118" s="1" t="s">
        <v>5</v>
      </c>
      <c r="C6118" s="2">
        <f>IFERROR(__xludf.DUMMYFUNCTION("IFERROR(VLOOKUP(A6118, IMPORTRANGE(""https://docs.google.com/spreadsheets/d/1AVX9GT0dgogEBStecCXMMQ29tWz3gBrtNB8yIromXbY/edit?gid=741673867"", ""out1g!A:B""), 2, FALSE), 0)"),711.0)</f>
        <v>711</v>
      </c>
      <c r="D6118" s="2" t="str">
        <f>IFERROR(__xludf.DUMMYFUNCTION("IFERROR(VLOOKUP(A6118, IMPORTRANGE(""https://docs.google.com/spreadsheets/d/1-3Vjw2Cyy-mry5gbC8ypIR3YVGFfEpyFESummAta6sg/edit"", ""Sheet1!B:D""), 2, FALSE), ""Not Found"")"),"pəlaɪt")</f>
        <v>pəlaɪt</v>
      </c>
      <c r="E6118" s="2" t="str">
        <f>IFERROR(__xludf.DUMMYFUNCTION("IFERROR(VLOOKUP(A6118, IMPORTRANGE(""https://docs.google.com/spreadsheets/d/1-3Vjw2Cyy-mry5gbC8ypIR3YVGFfEpyFESummAta6sg/edit"", ""Sheet1!B:D""), 3, FALSE), ""Not Found"")"),"p ə l a ɪ t ")</f>
        <v>p ə l a ɪ t </v>
      </c>
    </row>
    <row r="6119">
      <c r="A6119" s="1" t="s">
        <v>6121</v>
      </c>
      <c r="B6119" s="1" t="s">
        <v>5</v>
      </c>
      <c r="C6119" s="2">
        <f>IFERROR(__xludf.DUMMYFUNCTION("IFERROR(VLOOKUP(A6119, IMPORTRANGE(""https://docs.google.com/spreadsheets/d/1AVX9GT0dgogEBStecCXMMQ29tWz3gBrtNB8yIromXbY/edit?gid=741673867"", ""out1g!A:B""), 2, FALSE), 0)"),334.0)</f>
        <v>334</v>
      </c>
      <c r="D6119" s="2" t="str">
        <f>IFERROR(__xludf.DUMMYFUNCTION("IFERROR(VLOOKUP(A6119, IMPORTRANGE(""https://docs.google.com/spreadsheets/d/1-3Vjw2Cyy-mry5gbC8ypIR3YVGFfEpyFESummAta6sg/edit"", ""Sheet1!B:D""), 2, FALSE), ""Not Found"")"),"əm")</f>
        <v>əm</v>
      </c>
      <c r="E6119" s="2" t="str">
        <f>IFERROR(__xludf.DUMMYFUNCTION("IFERROR(VLOOKUP(A6119, IMPORTRANGE(""https://docs.google.com/spreadsheets/d/1-3Vjw2Cyy-mry5gbC8ypIR3YVGFfEpyFESummAta6sg/edit"", ""Sheet1!B:D""), 3, FALSE), ""Not Found"")"),"ə m ")</f>
        <v>ə m </v>
      </c>
    </row>
    <row r="6120">
      <c r="A6120" s="1" t="s">
        <v>6122</v>
      </c>
      <c r="B6120" s="1" t="s">
        <v>5</v>
      </c>
      <c r="C6120" s="2">
        <f>IFERROR(__xludf.DUMMYFUNCTION("IFERROR(VLOOKUP(A6120, IMPORTRANGE(""https://docs.google.com/spreadsheets/d/1AVX9GT0dgogEBStecCXMMQ29tWz3gBrtNB8yIromXbY/edit?gid=741673867"", ""out1g!A:B""), 2, FALSE), 0)"),907.0)</f>
        <v>907</v>
      </c>
      <c r="D6120" s="2" t="str">
        <f>IFERROR(__xludf.DUMMYFUNCTION("IFERROR(VLOOKUP(A6120, IMPORTRANGE(""https://docs.google.com/spreadsheets/d/1-3Vjw2Cyy-mry5gbC8ypIR3YVGFfEpyFESummAta6sg/edit"", ""Sheet1!B:D""), 2, FALSE), ""Not Found"")"),"klind")</f>
        <v>klind</v>
      </c>
      <c r="E6120" s="2" t="str">
        <f>IFERROR(__xludf.DUMMYFUNCTION("IFERROR(VLOOKUP(A6120, IMPORTRANGE(""https://docs.google.com/spreadsheets/d/1-3Vjw2Cyy-mry5gbC8ypIR3YVGFfEpyFESummAta6sg/edit"", ""Sheet1!B:D""), 3, FALSE), ""Not Found"")"),"k l i n d ")</f>
        <v>k l i n d </v>
      </c>
    </row>
    <row r="6121">
      <c r="A6121" s="1" t="s">
        <v>6123</v>
      </c>
      <c r="B6121" s="1" t="s">
        <v>5</v>
      </c>
      <c r="C6121" s="2">
        <f>IFERROR(__xludf.DUMMYFUNCTION("IFERROR(VLOOKUP(A6121, IMPORTRANGE(""https://docs.google.com/spreadsheets/d/1AVX9GT0dgogEBStecCXMMQ29tWz3gBrtNB8yIromXbY/edit?gid=741673867"", ""out1g!A:B""), 2, FALSE), 0)"),101.0)</f>
        <v>101</v>
      </c>
      <c r="D6121" s="2" t="str">
        <f>IFERROR(__xludf.DUMMYFUNCTION("IFERROR(VLOOKUP(A6121, IMPORTRANGE(""https://docs.google.com/spreadsheets/d/1-3Vjw2Cyy-mry5gbC8ypIR3YVGFfEpyFESummAta6sg/edit"", ""Sheet1!B:D""), 2, FALSE), ""Not Found"")"),"pɑdz")</f>
        <v>pɑdz</v>
      </c>
      <c r="E6121" s="2" t="str">
        <f>IFERROR(__xludf.DUMMYFUNCTION("IFERROR(VLOOKUP(A6121, IMPORTRANGE(""https://docs.google.com/spreadsheets/d/1-3Vjw2Cyy-mry5gbC8ypIR3YVGFfEpyFESummAta6sg/edit"", ""Sheet1!B:D""), 3, FALSE), ""Not Found"")"),"p ɑ d z ")</f>
        <v>p ɑ d z </v>
      </c>
    </row>
    <row r="6122">
      <c r="A6122" s="1" t="s">
        <v>6124</v>
      </c>
      <c r="B6122" s="1" t="s">
        <v>5</v>
      </c>
      <c r="C6122" s="2">
        <f>IFERROR(__xludf.DUMMYFUNCTION("IFERROR(VLOOKUP(A6122, IMPORTRANGE(""https://docs.google.com/spreadsheets/d/1AVX9GT0dgogEBStecCXMMQ29tWz3gBrtNB8yIromXbY/edit?gid=741673867"", ""out1g!A:B""), 2, FALSE), 0)"),3753.0)</f>
        <v>3753</v>
      </c>
      <c r="D6122" s="2" t="str">
        <f>IFERROR(__xludf.DUMMYFUNCTION("IFERROR(VLOOKUP(A6122, IMPORTRANGE(""https://docs.google.com/spreadsheets/d/1-3Vjw2Cyy-mry5gbC8ypIR3YVGFfEpyFESummAta6sg/edit"", ""Sheet1!B:D""), 2, FALSE), ""Not Found"")"),"len")</f>
        <v>len</v>
      </c>
      <c r="E6122" s="2" t="str">
        <f>IFERROR(__xludf.DUMMYFUNCTION("IFERROR(VLOOKUP(A6122, IMPORTRANGE(""https://docs.google.com/spreadsheets/d/1-3Vjw2Cyy-mry5gbC8ypIR3YVGFfEpyFESummAta6sg/edit"", ""Sheet1!B:D""), 3, FALSE), ""Not Found"")"),"l e n ")</f>
        <v>l e n </v>
      </c>
    </row>
    <row r="6123">
      <c r="A6123" s="1" t="s">
        <v>6125</v>
      </c>
      <c r="B6123" s="1" t="s">
        <v>5</v>
      </c>
      <c r="C6123" s="2">
        <f>IFERROR(__xludf.DUMMYFUNCTION("IFERROR(VLOOKUP(A6123, IMPORTRANGE(""https://docs.google.com/spreadsheets/d/1AVX9GT0dgogEBStecCXMMQ29tWz3gBrtNB8yIromXbY/edit?gid=741673867"", ""out1g!A:B""), 2, FALSE), 0)"),860.0)</f>
        <v>860</v>
      </c>
      <c r="D6123" s="2" t="str">
        <f>IFERROR(__xludf.DUMMYFUNCTION("IFERROR(VLOOKUP(A6123, IMPORTRANGE(""https://docs.google.com/spreadsheets/d/1-3Vjw2Cyy-mry5gbC8ypIR3YVGFfEpyFESummAta6sg/edit"", ""Sheet1!B:D""), 2, FALSE), ""Not Found"")"),"toʊn")</f>
        <v>toʊn</v>
      </c>
      <c r="E6123" s="2" t="str">
        <f>IFERROR(__xludf.DUMMYFUNCTION("IFERROR(VLOOKUP(A6123, IMPORTRANGE(""https://docs.google.com/spreadsheets/d/1-3Vjw2Cyy-mry5gbC8ypIR3YVGFfEpyFESummAta6sg/edit"", ""Sheet1!B:D""), 3, FALSE), ""Not Found"")"),"t o ʊ n ")</f>
        <v>t o ʊ n </v>
      </c>
    </row>
    <row r="6124">
      <c r="A6124" s="1" t="s">
        <v>6126</v>
      </c>
      <c r="B6124" s="1" t="s">
        <v>5</v>
      </c>
      <c r="C6124" s="2">
        <f>IFERROR(__xludf.DUMMYFUNCTION("IFERROR(VLOOKUP(A6124, IMPORTRANGE(""https://docs.google.com/spreadsheets/d/1AVX9GT0dgogEBStecCXMMQ29tWz3gBrtNB8yIromXbY/edit?gid=741673867"", ""out1g!A:B""), 2, FALSE), 0)"),311.0)</f>
        <v>311</v>
      </c>
      <c r="D6124" s="2" t="str">
        <f>IFERROR(__xludf.DUMMYFUNCTION("IFERROR(VLOOKUP(A6124, IMPORTRANGE(""https://docs.google.com/spreadsheets/d/1-3Vjw2Cyy-mry5gbC8ypIR3YVGFfEpyFESummAta6sg/edit"", ""Sheet1!B:D""), 2, FALSE), ""Not Found"")"),"lɔsut")</f>
        <v>lɔsut</v>
      </c>
      <c r="E6124" s="2" t="str">
        <f>IFERROR(__xludf.DUMMYFUNCTION("IFERROR(VLOOKUP(A6124, IMPORTRANGE(""https://docs.google.com/spreadsheets/d/1-3Vjw2Cyy-mry5gbC8ypIR3YVGFfEpyFESummAta6sg/edit"", ""Sheet1!B:D""), 3, FALSE), ""Not Found"")"),"l ɔ s u t ")</f>
        <v>l ɔ s u t </v>
      </c>
    </row>
    <row r="6125">
      <c r="A6125" s="1" t="s">
        <v>6127</v>
      </c>
      <c r="B6125" s="1" t="s">
        <v>5</v>
      </c>
      <c r="C6125" s="2">
        <f>IFERROR(__xludf.DUMMYFUNCTION("IFERROR(VLOOKUP(A6125, IMPORTRANGE(""https://docs.google.com/spreadsheets/d/1AVX9GT0dgogEBStecCXMMQ29tWz3gBrtNB8yIromXbY/edit?gid=741673867"", ""out1g!A:B""), 2, FALSE), 0)"),78.0)</f>
        <v>78</v>
      </c>
      <c r="D6125" s="2" t="str">
        <f>IFERROR(__xludf.DUMMYFUNCTION("IFERROR(VLOOKUP(A6125, IMPORTRANGE(""https://docs.google.com/spreadsheets/d/1-3Vjw2Cyy-mry5gbC8ypIR3YVGFfEpyFESummAta6sg/edit"", ""Sheet1!B:D""), 2, FALSE), ""Not Found"")"),"gɑnər")</f>
        <v>gɑnər</v>
      </c>
      <c r="E6125" s="2" t="str">
        <f>IFERROR(__xludf.DUMMYFUNCTION("IFERROR(VLOOKUP(A6125, IMPORTRANGE(""https://docs.google.com/spreadsheets/d/1-3Vjw2Cyy-mry5gbC8ypIR3YVGFfEpyFESummAta6sg/edit"", ""Sheet1!B:D""), 3, FALSE), ""Not Found"")"),"g ɑ n ə r ")</f>
        <v>g ɑ n ə r </v>
      </c>
    </row>
    <row r="6126">
      <c r="A6126" s="1" t="s">
        <v>6128</v>
      </c>
      <c r="B6126" s="1" t="s">
        <v>5</v>
      </c>
      <c r="C6126" s="2">
        <f>IFERROR(__xludf.DUMMYFUNCTION("IFERROR(VLOOKUP(A6126, IMPORTRANGE(""https://docs.google.com/spreadsheets/d/1AVX9GT0dgogEBStecCXMMQ29tWz3gBrtNB8yIromXbY/edit?gid=741673867"", ""out1g!A:B""), 2, FALSE), 0)"),136.0)</f>
        <v>136</v>
      </c>
      <c r="D6126" s="2" t="str">
        <f>IFERROR(__xludf.DUMMYFUNCTION("IFERROR(VLOOKUP(A6126, IMPORTRANGE(""https://docs.google.com/spreadsheets/d/1-3Vjw2Cyy-mry5gbC8ypIR3YVGFfEpyFESummAta6sg/edit"", ""Sheet1!B:D""), 2, FALSE), ""Not Found"")"),"zɔroʊ")</f>
        <v>zɔroʊ</v>
      </c>
      <c r="E6126" s="2" t="str">
        <f>IFERROR(__xludf.DUMMYFUNCTION("IFERROR(VLOOKUP(A6126, IMPORTRANGE(""https://docs.google.com/spreadsheets/d/1-3Vjw2Cyy-mry5gbC8ypIR3YVGFfEpyFESummAta6sg/edit"", ""Sheet1!B:D""), 3, FALSE), ""Not Found"")"),"z ɔ r o ʊ ")</f>
        <v>z ɔ r o ʊ </v>
      </c>
    </row>
    <row r="6127">
      <c r="A6127" s="1" t="s">
        <v>6129</v>
      </c>
      <c r="B6127" s="1" t="s">
        <v>5</v>
      </c>
      <c r="C6127" s="2">
        <f>IFERROR(__xludf.DUMMYFUNCTION("IFERROR(VLOOKUP(A6127, IMPORTRANGE(""https://docs.google.com/spreadsheets/d/1AVX9GT0dgogEBStecCXMMQ29tWz3gBrtNB8yIromXbY/edit?gid=741673867"", ""out1g!A:B""), 2, FALSE), 0)"),203.0)</f>
        <v>203</v>
      </c>
      <c r="D6127" s="2" t="str">
        <f>IFERROR(__xludf.DUMMYFUNCTION("IFERROR(VLOOKUP(A6127, IMPORTRANGE(""https://docs.google.com/spreadsheets/d/1-3Vjw2Cyy-mry5gbC8ypIR3YVGFfEpyFESummAta6sg/edit"", ""Sheet1!B:D""), 2, FALSE), ""Not Found"")"),"doʊnet")</f>
        <v>doʊnet</v>
      </c>
      <c r="E6127" s="2" t="str">
        <f>IFERROR(__xludf.DUMMYFUNCTION("IFERROR(VLOOKUP(A6127, IMPORTRANGE(""https://docs.google.com/spreadsheets/d/1-3Vjw2Cyy-mry5gbC8ypIR3YVGFfEpyFESummAta6sg/edit"", ""Sheet1!B:D""), 3, FALSE), ""Not Found"")"),"d o ʊ n e t ")</f>
        <v>d o ʊ n e t </v>
      </c>
    </row>
    <row r="6128">
      <c r="A6128" s="1" t="s">
        <v>6130</v>
      </c>
      <c r="B6128" s="1" t="s">
        <v>5</v>
      </c>
      <c r="C6128" s="2">
        <f>IFERROR(__xludf.DUMMYFUNCTION("IFERROR(VLOOKUP(A6128, IMPORTRANGE(""https://docs.google.com/spreadsheets/d/1AVX9GT0dgogEBStecCXMMQ29tWz3gBrtNB8yIromXbY/edit?gid=741673867"", ""out1g!A:B""), 2, FALSE), 0)"),216.0)</f>
        <v>216</v>
      </c>
      <c r="D6128" s="2" t="str">
        <f>IFERROR(__xludf.DUMMYFUNCTION("IFERROR(VLOOKUP(A6128, IMPORTRANGE(""https://docs.google.com/spreadsheets/d/1-3Vjw2Cyy-mry5gbC8ypIR3YVGFfEpyFESummAta6sg/edit"", ""Sheet1!B:D""), 2, FALSE), ""Not Found"")"),"dæŋ")</f>
        <v>dæŋ</v>
      </c>
      <c r="E6128" s="2" t="str">
        <f>IFERROR(__xludf.DUMMYFUNCTION("IFERROR(VLOOKUP(A6128, IMPORTRANGE(""https://docs.google.com/spreadsheets/d/1-3Vjw2Cyy-mry5gbC8ypIR3YVGFfEpyFESummAta6sg/edit"", ""Sheet1!B:D""), 3, FALSE), ""Not Found"")"),"d æ ŋ ")</f>
        <v>d æ ŋ </v>
      </c>
    </row>
    <row r="6129">
      <c r="A6129" s="1" t="s">
        <v>6131</v>
      </c>
      <c r="B6129" s="1" t="s">
        <v>5</v>
      </c>
      <c r="C6129" s="2">
        <f>IFERROR(__xludf.DUMMYFUNCTION("IFERROR(VLOOKUP(A6129, IMPORTRANGE(""https://docs.google.com/spreadsheets/d/1AVX9GT0dgogEBStecCXMMQ29tWz3gBrtNB8yIromXbY/edit?gid=741673867"", ""out1g!A:B""), 2, FALSE), 0)"),354.0)</f>
        <v>354</v>
      </c>
      <c r="D6129" s="2" t="str">
        <f>IFERROR(__xludf.DUMMYFUNCTION("IFERROR(VLOOKUP(A6129, IMPORTRANGE(""https://docs.google.com/spreadsheets/d/1-3Vjw2Cyy-mry5gbC8ypIR3YVGFfEpyFESummAta6sg/edit"", ""Sheet1!B:D""), 2, FALSE), ""Not Found"")"),"voʊtɪd")</f>
        <v>voʊtɪd</v>
      </c>
      <c r="E6129" s="2" t="str">
        <f>IFERROR(__xludf.DUMMYFUNCTION("IFERROR(VLOOKUP(A6129, IMPORTRANGE(""https://docs.google.com/spreadsheets/d/1-3Vjw2Cyy-mry5gbC8ypIR3YVGFfEpyFESummAta6sg/edit"", ""Sheet1!B:D""), 3, FALSE), ""Not Found"")"),"v o ʊ t ɪ d ")</f>
        <v>v o ʊ t ɪ d </v>
      </c>
    </row>
    <row r="6130">
      <c r="A6130" s="1" t="s">
        <v>6132</v>
      </c>
      <c r="B6130" s="1" t="s">
        <v>5</v>
      </c>
      <c r="C6130" s="2">
        <f>IFERROR(__xludf.DUMMYFUNCTION("IFERROR(VLOOKUP(A6130, IMPORTRANGE(""https://docs.google.com/spreadsheets/d/1AVX9GT0dgogEBStecCXMMQ29tWz3gBrtNB8yIromXbY/edit?gid=741673867"", ""out1g!A:B""), 2, FALSE), 0)"),793.0)</f>
        <v>793</v>
      </c>
      <c r="D6130" s="2" t="str">
        <f>IFERROR(__xludf.DUMMYFUNCTION("IFERROR(VLOOKUP(A6130, IMPORTRANGE(""https://docs.google.com/spreadsheets/d/1-3Vjw2Cyy-mry5gbC8ypIR3YVGFfEpyFESummAta6sg/edit"", ""Sheet1!B:D""), 2, FALSE), ""Not Found"")"),"nɛt")</f>
        <v>nɛt</v>
      </c>
      <c r="E6130" s="2" t="str">
        <f>IFERROR(__xludf.DUMMYFUNCTION("IFERROR(VLOOKUP(A6130, IMPORTRANGE(""https://docs.google.com/spreadsheets/d/1-3Vjw2Cyy-mry5gbC8ypIR3YVGFfEpyFESummAta6sg/edit"", ""Sheet1!B:D""), 3, FALSE), ""Not Found"")"),"n ɛ t ")</f>
        <v>n ɛ t </v>
      </c>
    </row>
    <row r="6131">
      <c r="A6131" s="1" t="s">
        <v>6133</v>
      </c>
      <c r="B6131" s="1" t="s">
        <v>5</v>
      </c>
      <c r="C6131" s="2">
        <f>IFERROR(__xludf.DUMMYFUNCTION("IFERROR(VLOOKUP(A6131, IMPORTRANGE(""https://docs.google.com/spreadsheets/d/1AVX9GT0dgogEBStecCXMMQ29tWz3gBrtNB8yIromXbY/edit?gid=741673867"", ""out1g!A:B""), 2, FALSE), 0)"),3187.0)</f>
        <v>3187</v>
      </c>
      <c r="D6131" s="2" t="str">
        <f>IFERROR(__xludf.DUMMYFUNCTION("IFERROR(VLOOKUP(A6131, IMPORTRANGE(""https://docs.google.com/spreadsheets/d/1-3Vjw2Cyy-mry5gbC8ypIR3YVGFfEpyFESummAta6sg/edit"", ""Sheet1!B:D""), 2, FALSE), ""Not Found"")"),"huz")</f>
        <v>huz</v>
      </c>
      <c r="E6131" s="2" t="str">
        <f>IFERROR(__xludf.DUMMYFUNCTION("IFERROR(VLOOKUP(A6131, IMPORTRANGE(""https://docs.google.com/spreadsheets/d/1-3Vjw2Cyy-mry5gbC8ypIR3YVGFfEpyFESummAta6sg/edit"", ""Sheet1!B:D""), 3, FALSE), ""Not Found"")"),"h u z ")</f>
        <v>h u z </v>
      </c>
    </row>
    <row r="6132">
      <c r="A6132" s="1" t="s">
        <v>6134</v>
      </c>
      <c r="B6132" s="1" t="s">
        <v>5</v>
      </c>
      <c r="C6132" s="2">
        <f>IFERROR(__xludf.DUMMYFUNCTION("IFERROR(VLOOKUP(A6132, IMPORTRANGE(""https://docs.google.com/spreadsheets/d/1AVX9GT0dgogEBStecCXMMQ29tWz3gBrtNB8yIromXbY/edit?gid=741673867"", ""out1g!A:B""), 2, FALSE), 0)"),163.0)</f>
        <v>163</v>
      </c>
      <c r="D6132" s="2" t="str">
        <f>IFERROR(__xludf.DUMMYFUNCTION("IFERROR(VLOOKUP(A6132, IMPORTRANGE(""https://docs.google.com/spreadsheets/d/1-3Vjw2Cyy-mry5gbC8ypIR3YVGFfEpyFESummAta6sg/edit"", ""Sheet1!B:D""), 2, FALSE), ""Not Found"")"),"soʊfiə")</f>
        <v>soʊfiə</v>
      </c>
      <c r="E6132" s="2" t="str">
        <f>IFERROR(__xludf.DUMMYFUNCTION("IFERROR(VLOOKUP(A6132, IMPORTRANGE(""https://docs.google.com/spreadsheets/d/1-3Vjw2Cyy-mry5gbC8ypIR3YVGFfEpyFESummAta6sg/edit"", ""Sheet1!B:D""), 3, FALSE), ""Not Found"")"),"s o ʊ f i ə ")</f>
        <v>s o ʊ f i ə </v>
      </c>
    </row>
    <row r="6133">
      <c r="A6133" s="1" t="s">
        <v>6135</v>
      </c>
      <c r="B6133" s="1" t="s">
        <v>5</v>
      </c>
      <c r="C6133" s="2">
        <f>IFERROR(__xludf.DUMMYFUNCTION("IFERROR(VLOOKUP(A6133, IMPORTRANGE(""https://docs.google.com/spreadsheets/d/1AVX9GT0dgogEBStecCXMMQ29tWz3gBrtNB8yIromXbY/edit?gid=741673867"", ""out1g!A:B""), 2, FALSE), 0)"),1991.0)</f>
        <v>1991</v>
      </c>
      <c r="D6133" s="2" t="str">
        <f>IFERROR(__xludf.DUMMYFUNCTION("IFERROR(VLOOKUP(A6133, IMPORTRANGE(""https://docs.google.com/spreadsheets/d/1-3Vjw2Cyy-mry5gbC8ypIR3YVGFfEpyFESummAta6sg/edit"", ""Sheet1!B:D""), 2, FALSE), ""Not Found"")"),"ʧiz")</f>
        <v>ʧiz</v>
      </c>
      <c r="E6133" s="2" t="str">
        <f>IFERROR(__xludf.DUMMYFUNCTION("IFERROR(VLOOKUP(A6133, IMPORTRANGE(""https://docs.google.com/spreadsheets/d/1-3Vjw2Cyy-mry5gbC8ypIR3YVGFfEpyFESummAta6sg/edit"", ""Sheet1!B:D""), 3, FALSE), ""Not Found"")"),"ʧ i z ")</f>
        <v>ʧ i z </v>
      </c>
    </row>
    <row r="6134">
      <c r="A6134" s="1" t="s">
        <v>6136</v>
      </c>
      <c r="B6134" s="1" t="s">
        <v>5</v>
      </c>
      <c r="C6134" s="2">
        <f>IFERROR(__xludf.DUMMYFUNCTION("IFERROR(VLOOKUP(A6134, IMPORTRANGE(""https://docs.google.com/spreadsheets/d/1AVX9GT0dgogEBStecCXMMQ29tWz3gBrtNB8yIromXbY/edit?gid=741673867"", ""out1g!A:B""), 2, FALSE), 0)"),15.0)</f>
        <v>15</v>
      </c>
      <c r="D6134" s="2" t="str">
        <f>IFERROR(__xludf.DUMMYFUNCTION("IFERROR(VLOOKUP(A6134, IMPORTRANGE(""https://docs.google.com/spreadsheets/d/1-3Vjw2Cyy-mry5gbC8ypIR3YVGFfEpyFESummAta6sg/edit"", ""Sheet1!B:D""), 2, FALSE), ""Not Found"")"),"mele")</f>
        <v>mele</v>
      </c>
      <c r="E6134" s="2" t="str">
        <f>IFERROR(__xludf.DUMMYFUNCTION("IFERROR(VLOOKUP(A6134, IMPORTRANGE(""https://docs.google.com/spreadsheets/d/1-3Vjw2Cyy-mry5gbC8ypIR3YVGFfEpyFESummAta6sg/edit"", ""Sheet1!B:D""), 3, FALSE), ""Not Found"")"),"m e l e ")</f>
        <v>m e l e </v>
      </c>
    </row>
    <row r="6135">
      <c r="A6135" s="1" t="s">
        <v>6137</v>
      </c>
      <c r="B6135" s="1" t="s">
        <v>5</v>
      </c>
      <c r="C6135" s="2">
        <f>IFERROR(__xludf.DUMMYFUNCTION("IFERROR(VLOOKUP(A6135, IMPORTRANGE(""https://docs.google.com/spreadsheets/d/1AVX9GT0dgogEBStecCXMMQ29tWz3gBrtNB8yIromXbY/edit?gid=741673867"", ""out1g!A:B""), 2, FALSE), 0)"),54.0)</f>
        <v>54</v>
      </c>
      <c r="D6135" s="2" t="str">
        <f>IFERROR(__xludf.DUMMYFUNCTION("IFERROR(VLOOKUP(A6135, IMPORTRANGE(""https://docs.google.com/spreadsheets/d/1-3Vjw2Cyy-mry5gbC8ypIR3YVGFfEpyFESummAta6sg/edit"", ""Sheet1!B:D""), 2, FALSE), ""Not Found"")"),"snoʊi")</f>
        <v>snoʊi</v>
      </c>
      <c r="E6135" s="2" t="str">
        <f>IFERROR(__xludf.DUMMYFUNCTION("IFERROR(VLOOKUP(A6135, IMPORTRANGE(""https://docs.google.com/spreadsheets/d/1-3Vjw2Cyy-mry5gbC8ypIR3YVGFfEpyFESummAta6sg/edit"", ""Sheet1!B:D""), 3, FALSE), ""Not Found"")"),"s n o ʊ i ")</f>
        <v>s n o ʊ i </v>
      </c>
    </row>
    <row r="6136">
      <c r="A6136" s="1" t="s">
        <v>6138</v>
      </c>
      <c r="B6136" s="1" t="s">
        <v>5</v>
      </c>
      <c r="C6136" s="2">
        <f>IFERROR(__xludf.DUMMYFUNCTION("IFERROR(VLOOKUP(A6136, IMPORTRANGE(""https://docs.google.com/spreadsheets/d/1AVX9GT0dgogEBStecCXMMQ29tWz3gBrtNB8yIromXbY/edit?gid=741673867"", ""out1g!A:B""), 2, FALSE), 0)"),197131.0)</f>
        <v>197131</v>
      </c>
      <c r="D6136" s="2" t="str">
        <f>IFERROR(__xludf.DUMMYFUNCTION("IFERROR(VLOOKUP(A6136, IMPORTRANGE(""https://docs.google.com/spreadsheets/d/1-3Vjw2Cyy-mry5gbC8ypIR3YVGFfEpyFESummAta6sg/edit"", ""Sheet1!B:D""), 2, FALSE), ""Not Found"")"),"aʊt")</f>
        <v>aʊt</v>
      </c>
      <c r="E6136" s="2" t="str">
        <f>IFERROR(__xludf.DUMMYFUNCTION("IFERROR(VLOOKUP(A6136, IMPORTRANGE(""https://docs.google.com/spreadsheets/d/1-3Vjw2Cyy-mry5gbC8ypIR3YVGFfEpyFESummAta6sg/edit"", ""Sheet1!B:D""), 3, FALSE), ""Not Found"")"),"a ʊ t ")</f>
        <v>a ʊ t </v>
      </c>
    </row>
    <row r="6137">
      <c r="A6137" s="1" t="s">
        <v>6139</v>
      </c>
      <c r="B6137" s="1" t="s">
        <v>5</v>
      </c>
      <c r="C6137" s="2">
        <f>IFERROR(__xludf.DUMMYFUNCTION("IFERROR(VLOOKUP(A6137, IMPORTRANGE(""https://docs.google.com/spreadsheets/d/1AVX9GT0dgogEBStecCXMMQ29tWz3gBrtNB8yIromXbY/edit?gid=741673867"", ""out1g!A:B""), 2, FALSE), 0)"),2816.0)</f>
        <v>2816</v>
      </c>
      <c r="D6137" s="2" t="str">
        <f>IFERROR(__xludf.DUMMYFUNCTION("IFERROR(VLOOKUP(A6137, IMPORTRANGE(""https://docs.google.com/spreadsheets/d/1-3Vjw2Cyy-mry5gbC8ypIR3YVGFfEpyFESummAta6sg/edit"", ""Sheet1!B:D""), 2, FALSE), ""Not Found"")"),"bərn")</f>
        <v>bərn</v>
      </c>
      <c r="E6137" s="2" t="str">
        <f>IFERROR(__xludf.DUMMYFUNCTION("IFERROR(VLOOKUP(A6137, IMPORTRANGE(""https://docs.google.com/spreadsheets/d/1-3Vjw2Cyy-mry5gbC8ypIR3YVGFfEpyFESummAta6sg/edit"", ""Sheet1!B:D""), 3, FALSE), ""Not Found"")"),"b ə r n ")</f>
        <v>b ə r n </v>
      </c>
    </row>
    <row r="6138">
      <c r="A6138" s="1" t="s">
        <v>6140</v>
      </c>
      <c r="B6138" s="1" t="s">
        <v>5</v>
      </c>
      <c r="C6138" s="2">
        <f>IFERROR(__xludf.DUMMYFUNCTION("IFERROR(VLOOKUP(A6138, IMPORTRANGE(""https://docs.google.com/spreadsheets/d/1AVX9GT0dgogEBStecCXMMQ29tWz3gBrtNB8yIromXbY/edit?gid=741673867"", ""out1g!A:B""), 2, FALSE), 0)"),2177.0)</f>
        <v>2177</v>
      </c>
      <c r="D6138" s="2" t="str">
        <f>IFERROR(__xludf.DUMMYFUNCTION("IFERROR(VLOOKUP(A6138, IMPORTRANGE(""https://docs.google.com/spreadsheets/d/1-3Vjw2Cyy-mry5gbC8ypIR3YVGFfEpyFESummAta6sg/edit"", ""Sheet1!B:D""), 2, FALSE), ""Not Found"")"),"hɛdz")</f>
        <v>hɛdz</v>
      </c>
      <c r="E6138" s="2" t="str">
        <f>IFERROR(__xludf.DUMMYFUNCTION("IFERROR(VLOOKUP(A6138, IMPORTRANGE(""https://docs.google.com/spreadsheets/d/1-3Vjw2Cyy-mry5gbC8ypIR3YVGFfEpyFESummAta6sg/edit"", ""Sheet1!B:D""), 3, FALSE), ""Not Found"")"),"h ɛ d z ")</f>
        <v>h ɛ d z </v>
      </c>
    </row>
    <row r="6139">
      <c r="A6139" s="1" t="s">
        <v>6141</v>
      </c>
      <c r="B6139" s="1" t="s">
        <v>5</v>
      </c>
      <c r="C6139" s="2">
        <f>IFERROR(__xludf.DUMMYFUNCTION("IFERROR(VLOOKUP(A6139, IMPORTRANGE(""https://docs.google.com/spreadsheets/d/1AVX9GT0dgogEBStecCXMMQ29tWz3gBrtNB8yIromXbY/edit?gid=741673867"", ""out1g!A:B""), 2, FALSE), 0)"),215.0)</f>
        <v>215</v>
      </c>
      <c r="D6139" s="2" t="str">
        <f>IFERROR(__xludf.DUMMYFUNCTION("IFERROR(VLOOKUP(A6139, IMPORTRANGE(""https://docs.google.com/spreadsheets/d/1-3Vjw2Cyy-mry5gbC8ypIR3YVGFfEpyFESummAta6sg/edit"", ""Sheet1!B:D""), 2, FALSE), ""Not Found"")"),"bɔɪlɪŋ")</f>
        <v>bɔɪlɪŋ</v>
      </c>
      <c r="E6139" s="2" t="str">
        <f>IFERROR(__xludf.DUMMYFUNCTION("IFERROR(VLOOKUP(A6139, IMPORTRANGE(""https://docs.google.com/spreadsheets/d/1-3Vjw2Cyy-mry5gbC8ypIR3YVGFfEpyFESummAta6sg/edit"", ""Sheet1!B:D""), 3, FALSE), ""Not Found"")"),"b ɔ ɪ l ɪ ŋ ")</f>
        <v>b ɔ ɪ l ɪ ŋ </v>
      </c>
    </row>
    <row r="6140">
      <c r="A6140" s="1" t="s">
        <v>6142</v>
      </c>
      <c r="B6140" s="1" t="s">
        <v>5</v>
      </c>
      <c r="C6140" s="2">
        <f>IFERROR(__xludf.DUMMYFUNCTION("IFERROR(VLOOKUP(A6140, IMPORTRANGE(""https://docs.google.com/spreadsheets/d/1AVX9GT0dgogEBStecCXMMQ29tWz3gBrtNB8yIromXbY/edit?gid=741673867"", ""out1g!A:B""), 2, FALSE), 0)"),97.0)</f>
        <v>97</v>
      </c>
      <c r="D6140" s="2" t="str">
        <f>IFERROR(__xludf.DUMMYFUNCTION("IFERROR(VLOOKUP(A6140, IMPORTRANGE(""https://docs.google.com/spreadsheets/d/1-3Vjw2Cyy-mry5gbC8ypIR3YVGFfEpyFESummAta6sg/edit"", ""Sheet1!B:D""), 2, FALSE), ""Not Found"")"),"spaʊs")</f>
        <v>spaʊs</v>
      </c>
      <c r="E6140" s="2" t="str">
        <f>IFERROR(__xludf.DUMMYFUNCTION("IFERROR(VLOOKUP(A6140, IMPORTRANGE(""https://docs.google.com/spreadsheets/d/1-3Vjw2Cyy-mry5gbC8ypIR3YVGFfEpyFESummAta6sg/edit"", ""Sheet1!B:D""), 3, FALSE), ""Not Found"")"),"s p a ʊ s ")</f>
        <v>s p a ʊ s </v>
      </c>
    </row>
    <row r="6141">
      <c r="A6141" s="1" t="s">
        <v>6143</v>
      </c>
      <c r="B6141" s="1" t="s">
        <v>5</v>
      </c>
      <c r="C6141" s="2">
        <f>IFERROR(__xludf.DUMMYFUNCTION("IFERROR(VLOOKUP(A6141, IMPORTRANGE(""https://docs.google.com/spreadsheets/d/1AVX9GT0dgogEBStecCXMMQ29tWz3gBrtNB8yIromXbY/edit?gid=741673867"", ""out1g!A:B""), 2, FALSE), 0)"),19.0)</f>
        <v>19</v>
      </c>
      <c r="D6141" s="2" t="str">
        <f>IFERROR(__xludf.DUMMYFUNCTION("IFERROR(VLOOKUP(A6141, IMPORTRANGE(""https://docs.google.com/spreadsheets/d/1-3Vjw2Cyy-mry5gbC8ypIR3YVGFfEpyFESummAta6sg/edit"", ""Sheet1!B:D""), 2, FALSE), ""Not Found"")"),"mælərd")</f>
        <v>mælərd</v>
      </c>
      <c r="E6141" s="2" t="str">
        <f>IFERROR(__xludf.DUMMYFUNCTION("IFERROR(VLOOKUP(A6141, IMPORTRANGE(""https://docs.google.com/spreadsheets/d/1-3Vjw2Cyy-mry5gbC8ypIR3YVGFfEpyFESummAta6sg/edit"", ""Sheet1!B:D""), 3, FALSE), ""Not Found"")"),"m æ l ə r d ")</f>
        <v>m æ l ə r d </v>
      </c>
    </row>
    <row r="6142">
      <c r="A6142" s="1" t="s">
        <v>6144</v>
      </c>
      <c r="B6142" s="1" t="s">
        <v>5</v>
      </c>
      <c r="C6142" s="2">
        <f>IFERROR(__xludf.DUMMYFUNCTION("IFERROR(VLOOKUP(A6142, IMPORTRANGE(""https://docs.google.com/spreadsheets/d/1AVX9GT0dgogEBStecCXMMQ29tWz3gBrtNB8yIromXbY/edit?gid=741673867"", ""out1g!A:B""), 2, FALSE), 0)"),151.0)</f>
        <v>151</v>
      </c>
      <c r="D6142" s="2" t="str">
        <f>IFERROR(__xludf.DUMMYFUNCTION("IFERROR(VLOOKUP(A6142, IMPORTRANGE(""https://docs.google.com/spreadsheets/d/1-3Vjw2Cyy-mry5gbC8ypIR3YVGFfEpyFESummAta6sg/edit"", ""Sheet1!B:D""), 2, FALSE), ""Not Found"")"),"kæps")</f>
        <v>kæps</v>
      </c>
      <c r="E6142" s="2" t="str">
        <f>IFERROR(__xludf.DUMMYFUNCTION("IFERROR(VLOOKUP(A6142, IMPORTRANGE(""https://docs.google.com/spreadsheets/d/1-3Vjw2Cyy-mry5gbC8ypIR3YVGFfEpyFESummAta6sg/edit"", ""Sheet1!B:D""), 3, FALSE), ""Not Found"")"),"k æ p s ")</f>
        <v>k æ p s </v>
      </c>
    </row>
    <row r="6143">
      <c r="A6143" s="1" t="s">
        <v>6145</v>
      </c>
      <c r="B6143" s="1" t="s">
        <v>5</v>
      </c>
      <c r="C6143" s="2">
        <f>IFERROR(__xludf.DUMMYFUNCTION("IFERROR(VLOOKUP(A6143, IMPORTRANGE(""https://docs.google.com/spreadsheets/d/1AVX9GT0dgogEBStecCXMMQ29tWz3gBrtNB8yIromXbY/edit?gid=741673867"", ""out1g!A:B""), 2, FALSE), 0)"),345.0)</f>
        <v>345</v>
      </c>
      <c r="D6143" s="2" t="str">
        <f>IFERROR(__xludf.DUMMYFUNCTION("IFERROR(VLOOKUP(A6143, IMPORTRANGE(""https://docs.google.com/spreadsheets/d/1-3Vjw2Cyy-mry5gbC8ypIR3YVGFfEpyFESummAta6sg/edit"", ""Sheet1!B:D""), 2, FALSE), ""Not Found"")"),"weks")</f>
        <v>weks</v>
      </c>
      <c r="E6143" s="2" t="str">
        <f>IFERROR(__xludf.DUMMYFUNCTION("IFERROR(VLOOKUP(A6143, IMPORTRANGE(""https://docs.google.com/spreadsheets/d/1-3Vjw2Cyy-mry5gbC8ypIR3YVGFfEpyFESummAta6sg/edit"", ""Sheet1!B:D""), 3, FALSE), ""Not Found"")"),"w e k s ")</f>
        <v>w e k s </v>
      </c>
    </row>
    <row r="6144">
      <c r="A6144" s="1" t="s">
        <v>6146</v>
      </c>
      <c r="B6144" s="1" t="s">
        <v>5</v>
      </c>
      <c r="C6144" s="2">
        <f>IFERROR(__xludf.DUMMYFUNCTION("IFERROR(VLOOKUP(A6144, IMPORTRANGE(""https://docs.google.com/spreadsheets/d/1AVX9GT0dgogEBStecCXMMQ29tWz3gBrtNB8yIromXbY/edit?gid=741673867"", ""out1g!A:B""), 2, FALSE), 0)"),382.0)</f>
        <v>382</v>
      </c>
      <c r="D6144" s="2" t="str">
        <f>IFERROR(__xludf.DUMMYFUNCTION("IFERROR(VLOOKUP(A6144, IMPORTRANGE(""https://docs.google.com/spreadsheets/d/1-3Vjw2Cyy-mry5gbC8ypIR3YVGFfEpyFESummAta6sg/edit"", ""Sheet1!B:D""), 2, FALSE), ""Not Found"")"),"tən")</f>
        <v>tən</v>
      </c>
      <c r="E6144" s="2" t="str">
        <f>IFERROR(__xludf.DUMMYFUNCTION("IFERROR(VLOOKUP(A6144, IMPORTRANGE(""https://docs.google.com/spreadsheets/d/1-3Vjw2Cyy-mry5gbC8ypIR3YVGFfEpyFESummAta6sg/edit"", ""Sheet1!B:D""), 3, FALSE), ""Not Found"")"),"t ə n ")</f>
        <v>t ə n </v>
      </c>
    </row>
    <row r="6145">
      <c r="A6145" s="1" t="s">
        <v>6147</v>
      </c>
      <c r="B6145" s="1" t="s">
        <v>5</v>
      </c>
      <c r="C6145" s="2">
        <f>IFERROR(__xludf.DUMMYFUNCTION("IFERROR(VLOOKUP(A6145, IMPORTRANGE(""https://docs.google.com/spreadsheets/d/1AVX9GT0dgogEBStecCXMMQ29tWz3gBrtNB8yIromXbY/edit?gid=741673867"", ""out1g!A:B""), 2, FALSE), 0)"),9.0)</f>
        <v>9</v>
      </c>
      <c r="D6145" s="2" t="str">
        <f>IFERROR(__xludf.DUMMYFUNCTION("IFERROR(VLOOKUP(A6145, IMPORTRANGE(""https://docs.google.com/spreadsheets/d/1-3Vjw2Cyy-mry5gbC8ypIR3YVGFfEpyFESummAta6sg/edit"", ""Sheet1!B:D""), 2, FALSE), ""Not Found"")"),"æbɛnd")</f>
        <v>æbɛnd</v>
      </c>
      <c r="E6145" s="2" t="str">
        <f>IFERROR(__xludf.DUMMYFUNCTION("IFERROR(VLOOKUP(A6145, IMPORTRANGE(""https://docs.google.com/spreadsheets/d/1-3Vjw2Cyy-mry5gbC8ypIR3YVGFfEpyFESummAta6sg/edit"", ""Sheet1!B:D""), 3, FALSE), ""Not Found"")"),"æ b ɛ n d ")</f>
        <v>æ b ɛ n d </v>
      </c>
    </row>
    <row r="6146">
      <c r="A6146" s="1" t="s">
        <v>6148</v>
      </c>
      <c r="B6146" s="1" t="s">
        <v>5</v>
      </c>
      <c r="C6146" s="2">
        <f>IFERROR(__xludf.DUMMYFUNCTION("IFERROR(VLOOKUP(A6146, IMPORTRANGE(""https://docs.google.com/spreadsheets/d/1AVX9GT0dgogEBStecCXMMQ29tWz3gBrtNB8yIromXbY/edit?gid=741673867"", ""out1g!A:B""), 2, FALSE), 0)"),175.0)</f>
        <v>175</v>
      </c>
      <c r="D6146" s="2" t="str">
        <f>IFERROR(__xludf.DUMMYFUNCTION("IFERROR(VLOOKUP(A6146, IMPORTRANGE(""https://docs.google.com/spreadsheets/d/1-3Vjw2Cyy-mry5gbC8ypIR3YVGFfEpyFESummAta6sg/edit"", ""Sheet1!B:D""), 2, FALSE), ""Not Found"")"),"læm")</f>
        <v>læm</v>
      </c>
      <c r="E6146" s="2" t="str">
        <f>IFERROR(__xludf.DUMMYFUNCTION("IFERROR(VLOOKUP(A6146, IMPORTRANGE(""https://docs.google.com/spreadsheets/d/1-3Vjw2Cyy-mry5gbC8ypIR3YVGFfEpyFESummAta6sg/edit"", ""Sheet1!B:D""), 3, FALSE), ""Not Found"")"),"l æ m ")</f>
        <v>l æ m </v>
      </c>
    </row>
    <row r="6147">
      <c r="A6147" s="1" t="s">
        <v>6149</v>
      </c>
      <c r="B6147" s="1" t="s">
        <v>5</v>
      </c>
      <c r="C6147" s="2">
        <f>IFERROR(__xludf.DUMMYFUNCTION("IFERROR(VLOOKUP(A6147, IMPORTRANGE(""https://docs.google.com/spreadsheets/d/1AVX9GT0dgogEBStecCXMMQ29tWz3gBrtNB8yIromXbY/edit?gid=741673867"", ""out1g!A:B""), 2, FALSE), 0)"),93.0)</f>
        <v>93</v>
      </c>
      <c r="D6147" s="2" t="str">
        <f>IFERROR(__xludf.DUMMYFUNCTION("IFERROR(VLOOKUP(A6147, IMPORTRANGE(""https://docs.google.com/spreadsheets/d/1-3Vjw2Cyy-mry5gbC8ypIR3YVGFfEpyFESummAta6sg/edit"", ""Sheet1!B:D""), 2, FALSE), ""Not Found"")"),"pəlp")</f>
        <v>pəlp</v>
      </c>
      <c r="E6147" s="2" t="str">
        <f>IFERROR(__xludf.DUMMYFUNCTION("IFERROR(VLOOKUP(A6147, IMPORTRANGE(""https://docs.google.com/spreadsheets/d/1-3Vjw2Cyy-mry5gbC8ypIR3YVGFfEpyFESummAta6sg/edit"", ""Sheet1!B:D""), 3, FALSE), ""Not Found"")"),"p ə l p ")</f>
        <v>p ə l p </v>
      </c>
    </row>
    <row r="6148">
      <c r="A6148" s="1" t="s">
        <v>6150</v>
      </c>
      <c r="B6148" s="1" t="s">
        <v>5</v>
      </c>
      <c r="C6148" s="2">
        <f>IFERROR(__xludf.DUMMYFUNCTION("IFERROR(VLOOKUP(A6148, IMPORTRANGE(""https://docs.google.com/spreadsheets/d/1AVX9GT0dgogEBStecCXMMQ29tWz3gBrtNB8yIromXbY/edit?gid=741673867"", ""out1g!A:B""), 2, FALSE), 0)"),488.0)</f>
        <v>488</v>
      </c>
      <c r="D6148" s="2" t="str">
        <f>IFERROR(__xludf.DUMMYFUNCTION("IFERROR(VLOOKUP(A6148, IMPORTRANGE(""https://docs.google.com/spreadsheets/d/1-3Vjw2Cyy-mry5gbC8ypIR3YVGFfEpyFESummAta6sg/edit"", ""Sheet1!B:D""), 2, FALSE), ""Not Found"")"),"kwoʊt")</f>
        <v>kwoʊt</v>
      </c>
      <c r="E6148" s="2" t="str">
        <f>IFERROR(__xludf.DUMMYFUNCTION("IFERROR(VLOOKUP(A6148, IMPORTRANGE(""https://docs.google.com/spreadsheets/d/1-3Vjw2Cyy-mry5gbC8ypIR3YVGFfEpyFESummAta6sg/edit"", ""Sheet1!B:D""), 3, FALSE), ""Not Found"")"),"k w o ʊ t ")</f>
        <v>k w o ʊ t </v>
      </c>
    </row>
    <row r="6149">
      <c r="A6149" s="1" t="s">
        <v>6151</v>
      </c>
      <c r="B6149" s="1" t="s">
        <v>5</v>
      </c>
      <c r="C6149" s="2">
        <f>IFERROR(__xludf.DUMMYFUNCTION("IFERROR(VLOOKUP(A6149, IMPORTRANGE(""https://docs.google.com/spreadsheets/d/1AVX9GT0dgogEBStecCXMMQ29tWz3gBrtNB8yIromXbY/edit?gid=741673867"", ""out1g!A:B""), 2, FALSE), 0)"),5978.0)</f>
        <v>5978</v>
      </c>
      <c r="D6149" s="2" t="str">
        <f>IFERROR(__xludf.DUMMYFUNCTION("IFERROR(VLOOKUP(A6149, IMPORTRANGE(""https://docs.google.com/spreadsheets/d/1-3Vjw2Cyy-mry5gbC8ypIR3YVGFfEpyFESummAta6sg/edit"", ""Sheet1!B:D""), 2, FALSE), ""Not Found"")"),"kwaɪət")</f>
        <v>kwaɪət</v>
      </c>
      <c r="E6149" s="2" t="str">
        <f>IFERROR(__xludf.DUMMYFUNCTION("IFERROR(VLOOKUP(A6149, IMPORTRANGE(""https://docs.google.com/spreadsheets/d/1-3Vjw2Cyy-mry5gbC8ypIR3YVGFfEpyFESummAta6sg/edit"", ""Sheet1!B:D""), 3, FALSE), ""Not Found"")"),"k w a ɪ ə t ")</f>
        <v>k w a ɪ ə t </v>
      </c>
    </row>
    <row r="6150">
      <c r="A6150" s="1" t="s">
        <v>6152</v>
      </c>
      <c r="B6150" s="1" t="s">
        <v>5</v>
      </c>
      <c r="C6150" s="2">
        <f>IFERROR(__xludf.DUMMYFUNCTION("IFERROR(VLOOKUP(A6150, IMPORTRANGE(""https://docs.google.com/spreadsheets/d/1AVX9GT0dgogEBStecCXMMQ29tWz3gBrtNB8yIromXbY/edit?gid=741673867"", ""out1g!A:B""), 2, FALSE), 0)"),1430.0)</f>
        <v>1430</v>
      </c>
      <c r="D6150" s="2" t="str">
        <f>IFERROR(__xludf.DUMMYFUNCTION("IFERROR(VLOOKUP(A6150, IMPORTRANGE(""https://docs.google.com/spreadsheets/d/1-3Vjw2Cyy-mry5gbC8ypIR3YVGFfEpyFESummAta6sg/edit"", ""Sheet1!B:D""), 2, FALSE), ""Not Found"")"),"bɪloʊ")</f>
        <v>bɪloʊ</v>
      </c>
      <c r="E6150" s="2" t="str">
        <f>IFERROR(__xludf.DUMMYFUNCTION("IFERROR(VLOOKUP(A6150, IMPORTRANGE(""https://docs.google.com/spreadsheets/d/1-3Vjw2Cyy-mry5gbC8ypIR3YVGFfEpyFESummAta6sg/edit"", ""Sheet1!B:D""), 3, FALSE), ""Not Found"")"),"b ɪ l o ʊ ")</f>
        <v>b ɪ l o ʊ </v>
      </c>
    </row>
    <row r="6151">
      <c r="A6151" s="1" t="s">
        <v>6153</v>
      </c>
      <c r="B6151" s="1" t="s">
        <v>5</v>
      </c>
      <c r="C6151" s="2">
        <f>IFERROR(__xludf.DUMMYFUNCTION("IFERROR(VLOOKUP(A6151, IMPORTRANGE(""https://docs.google.com/spreadsheets/d/1AVX9GT0dgogEBStecCXMMQ29tWz3gBrtNB8yIromXbY/edit?gid=741673867"", ""out1g!A:B""), 2, FALSE), 0)"),103.0)</f>
        <v>103</v>
      </c>
      <c r="D6151" s="2" t="str">
        <f>IFERROR(__xludf.DUMMYFUNCTION("IFERROR(VLOOKUP(A6151, IMPORTRANGE(""https://docs.google.com/spreadsheets/d/1-3Vjw2Cyy-mry5gbC8ypIR3YVGFfEpyFESummAta6sg/edit"", ""Sheet1!B:D""), 2, FALSE), ""Not Found"")"),"faɪəri")</f>
        <v>faɪəri</v>
      </c>
      <c r="E6151" s="2" t="str">
        <f>IFERROR(__xludf.DUMMYFUNCTION("IFERROR(VLOOKUP(A6151, IMPORTRANGE(""https://docs.google.com/spreadsheets/d/1-3Vjw2Cyy-mry5gbC8ypIR3YVGFfEpyFESummAta6sg/edit"", ""Sheet1!B:D""), 3, FALSE), ""Not Found"")"),"f a ɪ ə r i ")</f>
        <v>f a ɪ ə r i </v>
      </c>
    </row>
    <row r="6152">
      <c r="A6152" s="1" t="s">
        <v>6154</v>
      </c>
      <c r="B6152" s="1" t="s">
        <v>5</v>
      </c>
      <c r="C6152" s="2">
        <f>IFERROR(__xludf.DUMMYFUNCTION("IFERROR(VLOOKUP(A6152, IMPORTRANGE(""https://docs.google.com/spreadsheets/d/1AVX9GT0dgogEBStecCXMMQ29tWz3gBrtNB8yIromXbY/edit?gid=741673867"", ""out1g!A:B""), 2, FALSE), 0)"),1694.0)</f>
        <v>1694</v>
      </c>
      <c r="D6152" s="2" t="str">
        <f>IFERROR(__xludf.DUMMYFUNCTION("IFERROR(VLOOKUP(A6152, IMPORTRANGE(""https://docs.google.com/spreadsheets/d/1-3Vjw2Cyy-mry5gbC8ypIR3YVGFfEpyFESummAta6sg/edit"", ""Sheet1!B:D""), 2, FALSE), ""Not Found"")"),"bɑdiz")</f>
        <v>bɑdiz</v>
      </c>
      <c r="E6152" s="2" t="str">
        <f>IFERROR(__xludf.DUMMYFUNCTION("IFERROR(VLOOKUP(A6152, IMPORTRANGE(""https://docs.google.com/spreadsheets/d/1-3Vjw2Cyy-mry5gbC8ypIR3YVGFfEpyFESummAta6sg/edit"", ""Sheet1!B:D""), 3, FALSE), ""Not Found"")"),"b ɑ d i z ")</f>
        <v>b ɑ d i z </v>
      </c>
    </row>
    <row r="6153">
      <c r="A6153" s="1" t="s">
        <v>6155</v>
      </c>
      <c r="B6153" s="1" t="s">
        <v>5</v>
      </c>
      <c r="C6153" s="2">
        <f>IFERROR(__xludf.DUMMYFUNCTION("IFERROR(VLOOKUP(A6153, IMPORTRANGE(""https://docs.google.com/spreadsheets/d/1AVX9GT0dgogEBStecCXMMQ29tWz3gBrtNB8yIromXbY/edit?gid=741673867"", ""out1g!A:B""), 2, FALSE), 0)"),140.0)</f>
        <v>140</v>
      </c>
      <c r="D6153" s="2" t="str">
        <f>IFERROR(__xludf.DUMMYFUNCTION("IFERROR(VLOOKUP(A6153, IMPORTRANGE(""https://docs.google.com/spreadsheets/d/1-3Vjw2Cyy-mry5gbC8ypIR3YVGFfEpyFESummAta6sg/edit"", ""Sheet1!B:D""), 2, FALSE), ""Not Found"")"),"soʊkɪŋ")</f>
        <v>soʊkɪŋ</v>
      </c>
      <c r="E6153" s="2" t="str">
        <f>IFERROR(__xludf.DUMMYFUNCTION("IFERROR(VLOOKUP(A6153, IMPORTRANGE(""https://docs.google.com/spreadsheets/d/1-3Vjw2Cyy-mry5gbC8ypIR3YVGFfEpyFESummAta6sg/edit"", ""Sheet1!B:D""), 3, FALSE), ""Not Found"")"),"s o ʊ k ɪ ŋ ")</f>
        <v>s o ʊ k ɪ ŋ </v>
      </c>
    </row>
    <row r="6154">
      <c r="A6154" s="1" t="s">
        <v>6156</v>
      </c>
      <c r="B6154" s="1" t="s">
        <v>5</v>
      </c>
      <c r="C6154" s="2">
        <f>IFERROR(__xludf.DUMMYFUNCTION("IFERROR(VLOOKUP(A6154, IMPORTRANGE(""https://docs.google.com/spreadsheets/d/1AVX9GT0dgogEBStecCXMMQ29tWz3gBrtNB8yIromXbY/edit?gid=741673867"", ""out1g!A:B""), 2, FALSE), 0)"),16993.0)</f>
        <v>16993</v>
      </c>
      <c r="D6154" s="2" t="str">
        <f>IFERROR(__xludf.DUMMYFUNCTION("IFERROR(VLOOKUP(A6154, IMPORTRANGE(""https://docs.google.com/spreadsheets/d/1-3Vjw2Cyy-mry5gbC8ypIR3YVGFfEpyFESummAta6sg/edit"", ""Sheet1!B:D""), 2, FALSE), ""Not Found"")"),"hæpi")</f>
        <v>hæpi</v>
      </c>
      <c r="E6154" s="2" t="str">
        <f>IFERROR(__xludf.DUMMYFUNCTION("IFERROR(VLOOKUP(A6154, IMPORTRANGE(""https://docs.google.com/spreadsheets/d/1-3Vjw2Cyy-mry5gbC8ypIR3YVGFfEpyFESummAta6sg/edit"", ""Sheet1!B:D""), 3, FALSE), ""Not Found"")"),"h æ p i ")</f>
        <v>h æ p i </v>
      </c>
    </row>
    <row r="6155">
      <c r="A6155" s="1" t="s">
        <v>6157</v>
      </c>
      <c r="B6155" s="1" t="s">
        <v>5</v>
      </c>
      <c r="C6155" s="2">
        <f>IFERROR(__xludf.DUMMYFUNCTION("IFERROR(VLOOKUP(A6155, IMPORTRANGE(""https://docs.google.com/spreadsheets/d/1AVX9GT0dgogEBStecCXMMQ29tWz3gBrtNB8yIromXbY/edit?gid=741673867"", ""out1g!A:B""), 2, FALSE), 0)"),175.0)</f>
        <v>175</v>
      </c>
      <c r="D6155" s="2" t="str">
        <f>IFERROR(__xludf.DUMMYFUNCTION("IFERROR(VLOOKUP(A6155, IMPORTRANGE(""https://docs.google.com/spreadsheets/d/1-3Vjw2Cyy-mry5gbC8ypIR3YVGFfEpyFESummAta6sg/edit"", ""Sheet1!B:D""), 2, FALSE), ""Not Found"")"),"ənɔɪd")</f>
        <v>ənɔɪd</v>
      </c>
      <c r="E6155" s="2" t="str">
        <f>IFERROR(__xludf.DUMMYFUNCTION("IFERROR(VLOOKUP(A6155, IMPORTRANGE(""https://docs.google.com/spreadsheets/d/1-3Vjw2Cyy-mry5gbC8ypIR3YVGFfEpyFESummAta6sg/edit"", ""Sheet1!B:D""), 3, FALSE), ""Not Found"")"),"ə n ɔ ɪ d ")</f>
        <v>ə n ɔ ɪ d </v>
      </c>
    </row>
    <row r="6156">
      <c r="A6156" s="1" t="s">
        <v>6158</v>
      </c>
      <c r="B6156" s="1" t="s">
        <v>5</v>
      </c>
      <c r="C6156" s="2">
        <f>IFERROR(__xludf.DUMMYFUNCTION("IFERROR(VLOOKUP(A6156, IMPORTRANGE(""https://docs.google.com/spreadsheets/d/1AVX9GT0dgogEBStecCXMMQ29tWz3gBrtNB8yIromXbY/edit?gid=741673867"", ""out1g!A:B""), 2, FALSE), 0)"),88.0)</f>
        <v>88</v>
      </c>
      <c r="D6156" s="2" t="str">
        <f>IFERROR(__xludf.DUMMYFUNCTION("IFERROR(VLOOKUP(A6156, IMPORTRANGE(""https://docs.google.com/spreadsheets/d/1-3Vjw2Cyy-mry5gbC8ypIR3YVGFfEpyFESummAta6sg/edit"", ""Sheet1!B:D""), 2, FALSE), ""Not Found"")"),"baɪoʊ")</f>
        <v>baɪoʊ</v>
      </c>
      <c r="E6156" s="2" t="str">
        <f>IFERROR(__xludf.DUMMYFUNCTION("IFERROR(VLOOKUP(A6156, IMPORTRANGE(""https://docs.google.com/spreadsheets/d/1-3Vjw2Cyy-mry5gbC8ypIR3YVGFfEpyFESummAta6sg/edit"", ""Sheet1!B:D""), 3, FALSE), ""Not Found"")"),"b a ɪ o ʊ ")</f>
        <v>b a ɪ o ʊ </v>
      </c>
    </row>
    <row r="6157">
      <c r="A6157" s="1" t="s">
        <v>6159</v>
      </c>
      <c r="B6157" s="1" t="s">
        <v>5</v>
      </c>
      <c r="C6157" s="2">
        <f>IFERROR(__xludf.DUMMYFUNCTION("IFERROR(VLOOKUP(A6157, IMPORTRANGE(""https://docs.google.com/spreadsheets/d/1AVX9GT0dgogEBStecCXMMQ29tWz3gBrtNB8yIromXbY/edit?gid=741673867"", ""out1g!A:B""), 2, FALSE), 0)"),499.0)</f>
        <v>499</v>
      </c>
      <c r="D6157" s="2" t="str">
        <f>IFERROR(__xludf.DUMMYFUNCTION("IFERROR(VLOOKUP(A6157, IMPORTRANGE(""https://docs.google.com/spreadsheets/d/1-3Vjw2Cyy-mry5gbC8ypIR3YVGFfEpyFESummAta6sg/edit"", ""Sheet1!B:D""), 2, FALSE), ""Not Found"")"),"dilz")</f>
        <v>dilz</v>
      </c>
      <c r="E6157" s="2" t="str">
        <f>IFERROR(__xludf.DUMMYFUNCTION("IFERROR(VLOOKUP(A6157, IMPORTRANGE(""https://docs.google.com/spreadsheets/d/1-3Vjw2Cyy-mry5gbC8ypIR3YVGFfEpyFESummAta6sg/edit"", ""Sheet1!B:D""), 3, FALSE), ""Not Found"")"),"d i l z ")</f>
        <v>d i l z </v>
      </c>
    </row>
    <row r="6158">
      <c r="A6158" s="1" t="s">
        <v>6160</v>
      </c>
      <c r="B6158" s="1" t="s">
        <v>5</v>
      </c>
      <c r="C6158" s="2">
        <f>IFERROR(__xludf.DUMMYFUNCTION("IFERROR(VLOOKUP(A6158, IMPORTRANGE(""https://docs.google.com/spreadsheets/d/1AVX9GT0dgogEBStecCXMMQ29tWz3gBrtNB8yIromXbY/edit?gid=741673867"", ""out1g!A:B""), 2, FALSE), 0)"),249.0)</f>
        <v>249</v>
      </c>
      <c r="D6158" s="2" t="str">
        <f>IFERROR(__xludf.DUMMYFUNCTION("IFERROR(VLOOKUP(A6158, IMPORTRANGE(""https://docs.google.com/spreadsheets/d/1-3Vjw2Cyy-mry5gbC8ypIR3YVGFfEpyFESummAta6sg/edit"", ""Sheet1!B:D""), 2, FALSE), ""Not Found"")"),"nɑks")</f>
        <v>nɑks</v>
      </c>
      <c r="E6158" s="2" t="str">
        <f>IFERROR(__xludf.DUMMYFUNCTION("IFERROR(VLOOKUP(A6158, IMPORTRANGE(""https://docs.google.com/spreadsheets/d/1-3Vjw2Cyy-mry5gbC8ypIR3YVGFfEpyFESummAta6sg/edit"", ""Sheet1!B:D""), 3, FALSE), ""Not Found"")"),"n ɑ k s ")</f>
        <v>n ɑ k s </v>
      </c>
    </row>
    <row r="6159">
      <c r="A6159" s="1" t="s">
        <v>6161</v>
      </c>
      <c r="B6159" s="1" t="s">
        <v>5</v>
      </c>
      <c r="C6159" s="2">
        <f>IFERROR(__xludf.DUMMYFUNCTION("IFERROR(VLOOKUP(A6159, IMPORTRANGE(""https://docs.google.com/spreadsheets/d/1AVX9GT0dgogEBStecCXMMQ29tWz3gBrtNB8yIromXbY/edit?gid=741673867"", ""out1g!A:B""), 2, FALSE), 0)"),358.0)</f>
        <v>358</v>
      </c>
      <c r="D6159" s="2" t="str">
        <f>IFERROR(__xludf.DUMMYFUNCTION("IFERROR(VLOOKUP(A6159, IMPORTRANGE(""https://docs.google.com/spreadsheets/d/1-3Vjw2Cyy-mry5gbC8ypIR3YVGFfEpyFESummAta6sg/edit"", ""Sheet1!B:D""), 2, FALSE), ""Not Found"")"),"kɔrd")</f>
        <v>kɔrd</v>
      </c>
      <c r="E6159" s="2" t="str">
        <f>IFERROR(__xludf.DUMMYFUNCTION("IFERROR(VLOOKUP(A6159, IMPORTRANGE(""https://docs.google.com/spreadsheets/d/1-3Vjw2Cyy-mry5gbC8ypIR3YVGFfEpyFESummAta6sg/edit"", ""Sheet1!B:D""), 3, FALSE), ""Not Found"")"),"k ɔ r d ")</f>
        <v>k ɔ r d </v>
      </c>
    </row>
    <row r="6160">
      <c r="A6160" s="1" t="s">
        <v>6162</v>
      </c>
      <c r="B6160" s="1" t="s">
        <v>5</v>
      </c>
      <c r="C6160" s="2">
        <f>IFERROR(__xludf.DUMMYFUNCTION("IFERROR(VLOOKUP(A6160, IMPORTRANGE(""https://docs.google.com/spreadsheets/d/1AVX9GT0dgogEBStecCXMMQ29tWz3gBrtNB8yIromXbY/edit?gid=741673867"", ""out1g!A:B""), 2, FALSE), 0)"),1332.0)</f>
        <v>1332</v>
      </c>
      <c r="D6160" s="2" t="str">
        <f>IFERROR(__xludf.DUMMYFUNCTION("IFERROR(VLOOKUP(A6160, IMPORTRANGE(""https://docs.google.com/spreadsheets/d/1-3Vjw2Cyy-mry5gbC8ypIR3YVGFfEpyFESummAta6sg/edit"", ""Sheet1!B:D""), 2, FALSE), ""Not Found"")"),"tælənt")</f>
        <v>tælənt</v>
      </c>
      <c r="E6160" s="2" t="str">
        <f>IFERROR(__xludf.DUMMYFUNCTION("IFERROR(VLOOKUP(A6160, IMPORTRANGE(""https://docs.google.com/spreadsheets/d/1-3Vjw2Cyy-mry5gbC8ypIR3YVGFfEpyFESummAta6sg/edit"", ""Sheet1!B:D""), 3, FALSE), ""Not Found"")"),"t æ l ə n t ")</f>
        <v>t æ l ə n t </v>
      </c>
    </row>
    <row r="6161">
      <c r="A6161" s="1" t="s">
        <v>6163</v>
      </c>
      <c r="B6161" s="1" t="s">
        <v>5</v>
      </c>
      <c r="C6161" s="2">
        <f>IFERROR(__xludf.DUMMYFUNCTION("IFERROR(VLOOKUP(A6161, IMPORTRANGE(""https://docs.google.com/spreadsheets/d/1AVX9GT0dgogEBStecCXMMQ29tWz3gBrtNB8yIromXbY/edit?gid=741673867"", ""out1g!A:B""), 2, FALSE), 0)"),79.0)</f>
        <v>79</v>
      </c>
      <c r="D6161" s="2" t="str">
        <f>IFERROR(__xludf.DUMMYFUNCTION("IFERROR(VLOOKUP(A6161, IMPORTRANGE(""https://docs.google.com/spreadsheets/d/1-3Vjw2Cyy-mry5gbC8ypIR3YVGFfEpyFESummAta6sg/edit"", ""Sheet1!B:D""), 2, FALSE), ""Not Found"")"),"skænd")</f>
        <v>skænd</v>
      </c>
      <c r="E6161" s="2" t="str">
        <f>IFERROR(__xludf.DUMMYFUNCTION("IFERROR(VLOOKUP(A6161, IMPORTRANGE(""https://docs.google.com/spreadsheets/d/1-3Vjw2Cyy-mry5gbC8ypIR3YVGFfEpyFESummAta6sg/edit"", ""Sheet1!B:D""), 3, FALSE), ""Not Found"")"),"s k æ n d ")</f>
        <v>s k æ n d </v>
      </c>
    </row>
    <row r="6162">
      <c r="A6162" s="1" t="s">
        <v>6164</v>
      </c>
      <c r="B6162" s="1" t="s">
        <v>5</v>
      </c>
      <c r="C6162" s="2">
        <f>IFERROR(__xludf.DUMMYFUNCTION("IFERROR(VLOOKUP(A6162, IMPORTRANGE(""https://docs.google.com/spreadsheets/d/1AVX9GT0dgogEBStecCXMMQ29tWz3gBrtNB8yIromXbY/edit?gid=741673867"", ""out1g!A:B""), 2, FALSE), 0)"),129.0)</f>
        <v>129</v>
      </c>
      <c r="D6162" s="2" t="str">
        <f>IFERROR(__xludf.DUMMYFUNCTION("IFERROR(VLOOKUP(A6162, IMPORTRANGE(""https://docs.google.com/spreadsheets/d/1-3Vjw2Cyy-mry5gbC8ypIR3YVGFfEpyFESummAta6sg/edit"", ""Sheet1!B:D""), 2, FALSE), ""Not Found"")"),"krid")</f>
        <v>krid</v>
      </c>
      <c r="E6162" s="2" t="str">
        <f>IFERROR(__xludf.DUMMYFUNCTION("IFERROR(VLOOKUP(A6162, IMPORTRANGE(""https://docs.google.com/spreadsheets/d/1-3Vjw2Cyy-mry5gbC8ypIR3YVGFfEpyFESummAta6sg/edit"", ""Sheet1!B:D""), 3, FALSE), ""Not Found"")"),"k r i d ")</f>
        <v>k r i d </v>
      </c>
    </row>
    <row r="6163">
      <c r="A6163" s="1" t="s">
        <v>6165</v>
      </c>
      <c r="B6163" s="1" t="s">
        <v>5</v>
      </c>
      <c r="C6163" s="2">
        <f>IFERROR(__xludf.DUMMYFUNCTION("IFERROR(VLOOKUP(A6163, IMPORTRANGE(""https://docs.google.com/spreadsheets/d/1AVX9GT0dgogEBStecCXMMQ29tWz3gBrtNB8yIromXbY/edit?gid=741673867"", ""out1g!A:B""), 2, FALSE), 0)"),426.0)</f>
        <v>426</v>
      </c>
      <c r="D6163" s="2" t="str">
        <f>IFERROR(__xludf.DUMMYFUNCTION("IFERROR(VLOOKUP(A6163, IMPORTRANGE(""https://docs.google.com/spreadsheets/d/1-3Vjw2Cyy-mry5gbC8ypIR3YVGFfEpyFESummAta6sg/edit"", ""Sheet1!B:D""), 2, FALSE), ""Not Found"")"),"silɪŋ")</f>
        <v>silɪŋ</v>
      </c>
      <c r="E6163" s="2" t="str">
        <f>IFERROR(__xludf.DUMMYFUNCTION("IFERROR(VLOOKUP(A6163, IMPORTRANGE(""https://docs.google.com/spreadsheets/d/1-3Vjw2Cyy-mry5gbC8ypIR3YVGFfEpyFESummAta6sg/edit"", ""Sheet1!B:D""), 3, FALSE), ""Not Found"")"),"s i l ɪ ŋ ")</f>
        <v>s i l ɪ ŋ </v>
      </c>
    </row>
    <row r="6164">
      <c r="A6164" s="1" t="s">
        <v>6166</v>
      </c>
      <c r="B6164" s="1" t="s">
        <v>5</v>
      </c>
      <c r="C6164" s="2">
        <f>IFERROR(__xludf.DUMMYFUNCTION("IFERROR(VLOOKUP(A6164, IMPORTRANGE(""https://docs.google.com/spreadsheets/d/1AVX9GT0dgogEBStecCXMMQ29tWz3gBrtNB8yIromXbY/edit?gid=741673867"", ""out1g!A:B""), 2, FALSE), 0)"),1199.0)</f>
        <v>1199</v>
      </c>
      <c r="D6164" s="2" t="str">
        <f>IFERROR(__xludf.DUMMYFUNCTION("IFERROR(VLOOKUP(A6164, IMPORTRANGE(""https://docs.google.com/spreadsheets/d/1-3Vjw2Cyy-mry5gbC8ypIR3YVGFfEpyFESummAta6sg/edit"", ""Sheet1!B:D""), 2, FALSE), ""Not Found"")"),"pɪti")</f>
        <v>pɪti</v>
      </c>
      <c r="E6164" s="2" t="str">
        <f>IFERROR(__xludf.DUMMYFUNCTION("IFERROR(VLOOKUP(A6164, IMPORTRANGE(""https://docs.google.com/spreadsheets/d/1-3Vjw2Cyy-mry5gbC8ypIR3YVGFfEpyFESummAta6sg/edit"", ""Sheet1!B:D""), 3, FALSE), ""Not Found"")"),"p ɪ t i ")</f>
        <v>p ɪ t i </v>
      </c>
    </row>
    <row r="6165">
      <c r="A6165" s="1" t="s">
        <v>6167</v>
      </c>
      <c r="B6165" s="1" t="s">
        <v>5</v>
      </c>
      <c r="C6165" s="2">
        <f>IFERROR(__xludf.DUMMYFUNCTION("IFERROR(VLOOKUP(A6165, IMPORTRANGE(""https://docs.google.com/spreadsheets/d/1AVX9GT0dgogEBStecCXMMQ29tWz3gBrtNB8yIromXbY/edit?gid=741673867"", ""out1g!A:B""), 2, FALSE), 0)"),130.0)</f>
        <v>130</v>
      </c>
      <c r="D6165" s="2" t="str">
        <f>IFERROR(__xludf.DUMMYFUNCTION("IFERROR(VLOOKUP(A6165, IMPORTRANGE(""https://docs.google.com/spreadsheets/d/1-3Vjw2Cyy-mry5gbC8ypIR3YVGFfEpyFESummAta6sg/edit"", ""Sheet1!B:D""), 2, FALSE), ""Not Found"")"),"fɛndər")</f>
        <v>fɛndər</v>
      </c>
      <c r="E6165" s="2" t="str">
        <f>IFERROR(__xludf.DUMMYFUNCTION("IFERROR(VLOOKUP(A6165, IMPORTRANGE(""https://docs.google.com/spreadsheets/d/1-3Vjw2Cyy-mry5gbC8ypIR3YVGFfEpyFESummAta6sg/edit"", ""Sheet1!B:D""), 3, FALSE), ""Not Found"")"),"f ɛ n d ə r ")</f>
        <v>f ɛ n d ə r </v>
      </c>
    </row>
    <row r="6166">
      <c r="A6166" s="1" t="s">
        <v>6168</v>
      </c>
      <c r="B6166" s="1" t="s">
        <v>5</v>
      </c>
      <c r="C6166" s="2">
        <f>IFERROR(__xludf.DUMMYFUNCTION("IFERROR(VLOOKUP(A6166, IMPORTRANGE(""https://docs.google.com/spreadsheets/d/1AVX9GT0dgogEBStecCXMMQ29tWz3gBrtNB8yIromXbY/edit?gid=741673867"", ""out1g!A:B""), 2, FALSE), 0)"),1199.0)</f>
        <v>1199</v>
      </c>
      <c r="D6166" s="2" t="str">
        <f>IFERROR(__xludf.DUMMYFUNCTION("IFERROR(VLOOKUP(A6166, IMPORTRANGE(""https://docs.google.com/spreadsheets/d/1-3Vjw2Cyy-mry5gbC8ypIR3YVGFfEpyFESummAta6sg/edit"", ""Sheet1!B:D""), 2, FALSE), ""Not Found"")"),"ɛʤ")</f>
        <v>ɛʤ</v>
      </c>
      <c r="E6166" s="2" t="str">
        <f>IFERROR(__xludf.DUMMYFUNCTION("IFERROR(VLOOKUP(A6166, IMPORTRANGE(""https://docs.google.com/spreadsheets/d/1-3Vjw2Cyy-mry5gbC8ypIR3YVGFfEpyFESummAta6sg/edit"", ""Sheet1!B:D""), 3, FALSE), ""Not Found"")"),"ɛ ʤ ")</f>
        <v>ɛ ʤ </v>
      </c>
    </row>
    <row r="6167">
      <c r="A6167" s="1" t="s">
        <v>6169</v>
      </c>
      <c r="B6167" s="1" t="s">
        <v>5</v>
      </c>
      <c r="C6167" s="2">
        <f>IFERROR(__xludf.DUMMYFUNCTION("IFERROR(VLOOKUP(A6167, IMPORTRANGE(""https://docs.google.com/spreadsheets/d/1AVX9GT0dgogEBStecCXMMQ29tWz3gBrtNB8yIromXbY/edit?gid=741673867"", ""out1g!A:B""), 2, FALSE), 0)"),50.0)</f>
        <v>50</v>
      </c>
      <c r="D6167" s="2" t="str">
        <f>IFERROR(__xludf.DUMMYFUNCTION("IFERROR(VLOOKUP(A6167, IMPORTRANGE(""https://docs.google.com/spreadsheets/d/1-3Vjw2Cyy-mry5gbC8ypIR3YVGFfEpyFESummAta6sg/edit"", ""Sheet1!B:D""), 2, FALSE), ""Not Found"")"),"gəlp")</f>
        <v>gəlp</v>
      </c>
      <c r="E6167" s="2" t="str">
        <f>IFERROR(__xludf.DUMMYFUNCTION("IFERROR(VLOOKUP(A6167, IMPORTRANGE(""https://docs.google.com/spreadsheets/d/1-3Vjw2Cyy-mry5gbC8ypIR3YVGFfEpyFESummAta6sg/edit"", ""Sheet1!B:D""), 3, FALSE), ""Not Found"")"),"g ə l p ")</f>
        <v>g ə l p </v>
      </c>
    </row>
    <row r="6168">
      <c r="A6168" s="1" t="s">
        <v>6170</v>
      </c>
      <c r="B6168" s="1" t="s">
        <v>5</v>
      </c>
      <c r="C6168" s="2">
        <f>IFERROR(__xludf.DUMMYFUNCTION("IFERROR(VLOOKUP(A6168, IMPORTRANGE(""https://docs.google.com/spreadsheets/d/1AVX9GT0dgogEBStecCXMMQ29tWz3gBrtNB8yIromXbY/edit?gid=741673867"", ""out1g!A:B""), 2, FALSE), 0)"),5222.0)</f>
        <v>5222</v>
      </c>
      <c r="D6168" s="2" t="str">
        <f>IFERROR(__xludf.DUMMYFUNCTION("IFERROR(VLOOKUP(A6168, IMPORTRANGE(""https://docs.google.com/spreadsheets/d/1-3Vjw2Cyy-mry5gbC8ypIR3YVGFfEpyFESummAta6sg/edit"", ""Sheet1!B:D""), 2, FALSE), ""Not Found"")"),"blu")</f>
        <v>blu</v>
      </c>
      <c r="E6168" s="2" t="str">
        <f>IFERROR(__xludf.DUMMYFUNCTION("IFERROR(VLOOKUP(A6168, IMPORTRANGE(""https://docs.google.com/spreadsheets/d/1-3Vjw2Cyy-mry5gbC8ypIR3YVGFfEpyFESummAta6sg/edit"", ""Sheet1!B:D""), 3, FALSE), ""Not Found"")"),"b l u ")</f>
        <v>b l u </v>
      </c>
    </row>
    <row r="6169">
      <c r="A6169" s="1" t="s">
        <v>6171</v>
      </c>
      <c r="B6169" s="1" t="s">
        <v>5</v>
      </c>
      <c r="C6169" s="2">
        <f>IFERROR(__xludf.DUMMYFUNCTION("IFERROR(VLOOKUP(A6169, IMPORTRANGE(""https://docs.google.com/spreadsheets/d/1AVX9GT0dgogEBStecCXMMQ29tWz3gBrtNB8yIromXbY/edit?gid=741673867"", ""out1g!A:B""), 2, FALSE), 0)"),2286.0)</f>
        <v>2286</v>
      </c>
      <c r="D6169" s="2" t="str">
        <f>IFERROR(__xludf.DUMMYFUNCTION("IFERROR(VLOOKUP(A6169, IMPORTRANGE(""https://docs.google.com/spreadsheets/d/1-3Vjw2Cyy-mry5gbC8ypIR3YVGFfEpyFESummAta6sg/edit"", ""Sheet1!B:D""), 2, FALSE), ""Not Found"")"),"əlaʊd")</f>
        <v>əlaʊd</v>
      </c>
      <c r="E6169" s="2" t="str">
        <f>IFERROR(__xludf.DUMMYFUNCTION("IFERROR(VLOOKUP(A6169, IMPORTRANGE(""https://docs.google.com/spreadsheets/d/1-3Vjw2Cyy-mry5gbC8ypIR3YVGFfEpyFESummAta6sg/edit"", ""Sheet1!B:D""), 3, FALSE), ""Not Found"")"),"ə l a ʊ d ")</f>
        <v>ə l a ʊ d </v>
      </c>
    </row>
    <row r="6170">
      <c r="A6170" s="1" t="s">
        <v>6172</v>
      </c>
      <c r="B6170" s="1" t="s">
        <v>5</v>
      </c>
      <c r="C6170" s="2">
        <f>IFERROR(__xludf.DUMMYFUNCTION("IFERROR(VLOOKUP(A6170, IMPORTRANGE(""https://docs.google.com/spreadsheets/d/1AVX9GT0dgogEBStecCXMMQ29tWz3gBrtNB8yIromXbY/edit?gid=741673867"", ""out1g!A:B""), 2, FALSE), 0)"),297.0)</f>
        <v>297</v>
      </c>
      <c r="D6170" s="2" t="str">
        <f>IFERROR(__xludf.DUMMYFUNCTION("IFERROR(VLOOKUP(A6170, IMPORTRANGE(""https://docs.google.com/spreadsheets/d/1-3Vjw2Cyy-mry5gbC8ypIR3YVGFfEpyFESummAta6sg/edit"", ""Sheet1!B:D""), 2, FALSE), ""Not Found"")"),"hɔrz")</f>
        <v>hɔrz</v>
      </c>
      <c r="E6170" s="2" t="str">
        <f>IFERROR(__xludf.DUMMYFUNCTION("IFERROR(VLOOKUP(A6170, IMPORTRANGE(""https://docs.google.com/spreadsheets/d/1-3Vjw2Cyy-mry5gbC8ypIR3YVGFfEpyFESummAta6sg/edit"", ""Sheet1!B:D""), 3, FALSE), ""Not Found"")"),"h ɔ r z ")</f>
        <v>h ɔ r z </v>
      </c>
    </row>
    <row r="6171">
      <c r="A6171" s="1" t="s">
        <v>6173</v>
      </c>
      <c r="B6171" s="1" t="s">
        <v>5</v>
      </c>
      <c r="C6171" s="2">
        <f>IFERROR(__xludf.DUMMYFUNCTION("IFERROR(VLOOKUP(A6171, IMPORTRANGE(""https://docs.google.com/spreadsheets/d/1AVX9GT0dgogEBStecCXMMQ29tWz3gBrtNB8yIromXbY/edit?gid=741673867"", ""out1g!A:B""), 2, FALSE), 0)"),83.0)</f>
        <v>83</v>
      </c>
      <c r="D6171" s="2" t="str">
        <f>IFERROR(__xludf.DUMMYFUNCTION("IFERROR(VLOOKUP(A6171, IMPORTRANGE(""https://docs.google.com/spreadsheets/d/1-3Vjw2Cyy-mry5gbC8ypIR3YVGFfEpyFESummAta6sg/edit"", ""Sheet1!B:D""), 2, FALSE), ""Not Found"")"),"mɔɪrə")</f>
        <v>mɔɪrə</v>
      </c>
      <c r="E6171" s="2" t="str">
        <f>IFERROR(__xludf.DUMMYFUNCTION("IFERROR(VLOOKUP(A6171, IMPORTRANGE(""https://docs.google.com/spreadsheets/d/1-3Vjw2Cyy-mry5gbC8ypIR3YVGFfEpyFESummAta6sg/edit"", ""Sheet1!B:D""), 3, FALSE), ""Not Found"")"),"m ɔ ɪ r ə ")</f>
        <v>m ɔ ɪ r ə </v>
      </c>
    </row>
    <row r="6172">
      <c r="A6172" s="1" t="s">
        <v>6174</v>
      </c>
      <c r="B6172" s="1" t="s">
        <v>5</v>
      </c>
      <c r="C6172" s="2">
        <f>IFERROR(__xludf.DUMMYFUNCTION("IFERROR(VLOOKUP(A6172, IMPORTRANGE(""https://docs.google.com/spreadsheets/d/1AVX9GT0dgogEBStecCXMMQ29tWz3gBrtNB8yIromXbY/edit?gid=741673867"", ""out1g!A:B""), 2, FALSE), 0)"),110.0)</f>
        <v>110</v>
      </c>
      <c r="D6172" s="2" t="str">
        <f>IFERROR(__xludf.DUMMYFUNCTION("IFERROR(VLOOKUP(A6172, IMPORTRANGE(""https://docs.google.com/spreadsheets/d/1-3Vjw2Cyy-mry5gbC8ypIR3YVGFfEpyFESummAta6sg/edit"", ""Sheet1!B:D""), 2, FALSE), ""Not Found"")"),"poʊlz")</f>
        <v>poʊlz</v>
      </c>
      <c r="E6172" s="2" t="str">
        <f>IFERROR(__xludf.DUMMYFUNCTION("IFERROR(VLOOKUP(A6172, IMPORTRANGE(""https://docs.google.com/spreadsheets/d/1-3Vjw2Cyy-mry5gbC8ypIR3YVGFfEpyFESummAta6sg/edit"", ""Sheet1!B:D""), 3, FALSE), ""Not Found"")"),"p o ʊ l z ")</f>
        <v>p o ʊ l z </v>
      </c>
    </row>
    <row r="6173">
      <c r="A6173" s="1" t="s">
        <v>6175</v>
      </c>
      <c r="B6173" s="1" t="s">
        <v>5</v>
      </c>
      <c r="C6173" s="2">
        <f>IFERROR(__xludf.DUMMYFUNCTION("IFERROR(VLOOKUP(A6173, IMPORTRANGE(""https://docs.google.com/spreadsheets/d/1AVX9GT0dgogEBStecCXMMQ29tWz3gBrtNB8yIromXbY/edit?gid=741673867"", ""out1g!A:B""), 2, FALSE), 0)"),181.0)</f>
        <v>181</v>
      </c>
      <c r="D6173" s="2" t="str">
        <f>IFERROR(__xludf.DUMMYFUNCTION("IFERROR(VLOOKUP(A6173, IMPORTRANGE(""https://docs.google.com/spreadsheets/d/1-3Vjw2Cyy-mry5gbC8ypIR3YVGFfEpyFESummAta6sg/edit"", ""Sheet1!B:D""), 2, FALSE), ""Not Found"")"),"snɪf")</f>
        <v>snɪf</v>
      </c>
      <c r="E6173" s="2" t="str">
        <f>IFERROR(__xludf.DUMMYFUNCTION("IFERROR(VLOOKUP(A6173, IMPORTRANGE(""https://docs.google.com/spreadsheets/d/1-3Vjw2Cyy-mry5gbC8ypIR3YVGFfEpyFESummAta6sg/edit"", ""Sheet1!B:D""), 3, FALSE), ""Not Found"")"),"s n ɪ f ")</f>
        <v>s n ɪ f </v>
      </c>
    </row>
    <row r="6174">
      <c r="A6174" s="1" t="s">
        <v>6176</v>
      </c>
      <c r="B6174" s="1" t="s">
        <v>5</v>
      </c>
      <c r="C6174" s="2">
        <f>IFERROR(__xludf.DUMMYFUNCTION("IFERROR(VLOOKUP(A6174, IMPORTRANGE(""https://docs.google.com/spreadsheets/d/1AVX9GT0dgogEBStecCXMMQ29tWz3gBrtNB8yIromXbY/edit?gid=741673867"", ""out1g!A:B""), 2, FALSE), 0)"),4430.0)</f>
        <v>4430</v>
      </c>
      <c r="D6174" s="2" t="str">
        <f>IFERROR(__xludf.DUMMYFUNCTION("IFERROR(VLOOKUP(A6174, IMPORTRANGE(""https://docs.google.com/spreadsheets/d/1-3Vjw2Cyy-mry5gbC8ypIR3YVGFfEpyFESummAta6sg/edit"", ""Sheet1!B:D""), 2, FALSE), ""Not Found"")"),"ki")</f>
        <v>ki</v>
      </c>
      <c r="E6174" s="2" t="str">
        <f>IFERROR(__xludf.DUMMYFUNCTION("IFERROR(VLOOKUP(A6174, IMPORTRANGE(""https://docs.google.com/spreadsheets/d/1-3Vjw2Cyy-mry5gbC8ypIR3YVGFfEpyFESummAta6sg/edit"", ""Sheet1!B:D""), 3, FALSE), ""Not Found"")"),"k i ")</f>
        <v>k i </v>
      </c>
    </row>
    <row r="6175">
      <c r="A6175" s="1" t="s">
        <v>6177</v>
      </c>
      <c r="B6175" s="1" t="s">
        <v>5</v>
      </c>
      <c r="C6175" s="2">
        <f>IFERROR(__xludf.DUMMYFUNCTION("IFERROR(VLOOKUP(A6175, IMPORTRANGE(""https://docs.google.com/spreadsheets/d/1AVX9GT0dgogEBStecCXMMQ29tWz3gBrtNB8yIromXbY/edit?gid=741673867"", ""out1g!A:B""), 2, FALSE), 0)"),16.0)</f>
        <v>16</v>
      </c>
      <c r="D6175" s="2" t="str">
        <f>IFERROR(__xludf.DUMMYFUNCTION("IFERROR(VLOOKUP(A6175, IMPORTRANGE(""https://docs.google.com/spreadsheets/d/1-3Vjw2Cyy-mry5gbC8ypIR3YVGFfEpyFESummAta6sg/edit"", ""Sheet1!B:D""), 2, FALSE), ""Not Found"")"),"θrɪfti")</f>
        <v>θrɪfti</v>
      </c>
      <c r="E6175" s="2" t="str">
        <f>IFERROR(__xludf.DUMMYFUNCTION("IFERROR(VLOOKUP(A6175, IMPORTRANGE(""https://docs.google.com/spreadsheets/d/1-3Vjw2Cyy-mry5gbC8ypIR3YVGFfEpyFESummAta6sg/edit"", ""Sheet1!B:D""), 3, FALSE), ""Not Found"")"),"θ r ɪ f t i ")</f>
        <v>θ r ɪ f t i </v>
      </c>
    </row>
    <row r="6176">
      <c r="A6176" s="1" t="s">
        <v>6178</v>
      </c>
      <c r="B6176" s="1" t="s">
        <v>5</v>
      </c>
      <c r="C6176" s="2">
        <f>IFERROR(__xludf.DUMMYFUNCTION("IFERROR(VLOOKUP(A6176, IMPORTRANGE(""https://docs.google.com/spreadsheets/d/1AVX9GT0dgogEBStecCXMMQ29tWz3gBrtNB8yIromXbY/edit?gid=741673867"", ""out1g!A:B""), 2, FALSE), 0)"),63.0)</f>
        <v>63</v>
      </c>
      <c r="D6176" s="2" t="str">
        <f>IFERROR(__xludf.DUMMYFUNCTION("IFERROR(VLOOKUP(A6176, IMPORTRANGE(""https://docs.google.com/spreadsheets/d/1-3Vjw2Cyy-mry5gbC8ypIR3YVGFfEpyFESummAta6sg/edit"", ""Sheet1!B:D""), 2, FALSE), ""Not Found"")"),"smɪθi")</f>
        <v>smɪθi</v>
      </c>
      <c r="E6176" s="2" t="str">
        <f>IFERROR(__xludf.DUMMYFUNCTION("IFERROR(VLOOKUP(A6176, IMPORTRANGE(""https://docs.google.com/spreadsheets/d/1-3Vjw2Cyy-mry5gbC8ypIR3YVGFfEpyFESummAta6sg/edit"", ""Sheet1!B:D""), 3, FALSE), ""Not Found"")"),"s m ɪ θ i ")</f>
        <v>s m ɪ θ i </v>
      </c>
    </row>
    <row r="6177">
      <c r="A6177" s="1" t="s">
        <v>6179</v>
      </c>
      <c r="B6177" s="1" t="s">
        <v>5</v>
      </c>
      <c r="C6177" s="2">
        <f>IFERROR(__xludf.DUMMYFUNCTION("IFERROR(VLOOKUP(A6177, IMPORTRANGE(""https://docs.google.com/spreadsheets/d/1AVX9GT0dgogEBStecCXMMQ29tWz3gBrtNB8yIromXbY/edit?gid=741673867"", ""out1g!A:B""), 2, FALSE), 0)"),1279.0)</f>
        <v>1279</v>
      </c>
      <c r="D6177" s="2" t="str">
        <f>IFERROR(__xludf.DUMMYFUNCTION("IFERROR(VLOOKUP(A6177, IMPORTRANGE(""https://docs.google.com/spreadsheets/d/1-3Vjw2Cyy-mry5gbC8ypIR3YVGFfEpyFESummAta6sg/edit"", ""Sheet1!B:D""), 2, FALSE), ""Not Found"")"),"sloʊli")</f>
        <v>sloʊli</v>
      </c>
      <c r="E6177" s="2" t="str">
        <f>IFERROR(__xludf.DUMMYFUNCTION("IFERROR(VLOOKUP(A6177, IMPORTRANGE(""https://docs.google.com/spreadsheets/d/1-3Vjw2Cyy-mry5gbC8ypIR3YVGFfEpyFESummAta6sg/edit"", ""Sheet1!B:D""), 3, FALSE), ""Not Found"")"),"s l o ʊ l i ")</f>
        <v>s l o ʊ l i </v>
      </c>
    </row>
    <row r="6178">
      <c r="A6178" s="1" t="s">
        <v>6180</v>
      </c>
      <c r="B6178" s="1" t="s">
        <v>5</v>
      </c>
      <c r="C6178" s="2">
        <f>IFERROR(__xludf.DUMMYFUNCTION("IFERROR(VLOOKUP(A6178, IMPORTRANGE(""https://docs.google.com/spreadsheets/d/1AVX9GT0dgogEBStecCXMMQ29tWz3gBrtNB8yIromXbY/edit?gid=741673867"", ""out1g!A:B""), 2, FALSE), 0)"),345.0)</f>
        <v>345</v>
      </c>
      <c r="D6178" s="2" t="str">
        <f>IFERROR(__xludf.DUMMYFUNCTION("IFERROR(VLOOKUP(A6178, IMPORTRANGE(""https://docs.google.com/spreadsheets/d/1-3Vjw2Cyy-mry5gbC8ypIR3YVGFfEpyFESummAta6sg/edit"", ""Sheet1!B:D""), 2, FALSE), ""Not Found"")"),"lup")</f>
        <v>lup</v>
      </c>
      <c r="E6178" s="2" t="str">
        <f>IFERROR(__xludf.DUMMYFUNCTION("IFERROR(VLOOKUP(A6178, IMPORTRANGE(""https://docs.google.com/spreadsheets/d/1-3Vjw2Cyy-mry5gbC8ypIR3YVGFfEpyFESummAta6sg/edit"", ""Sheet1!B:D""), 3, FALSE), ""Not Found"")"),"l u p ")</f>
        <v>l u p </v>
      </c>
    </row>
    <row r="6179">
      <c r="A6179" s="1" t="s">
        <v>6181</v>
      </c>
      <c r="B6179" s="1" t="s">
        <v>5</v>
      </c>
      <c r="C6179" s="2">
        <f>IFERROR(__xludf.DUMMYFUNCTION("IFERROR(VLOOKUP(A6179, IMPORTRANGE(""https://docs.google.com/spreadsheets/d/1AVX9GT0dgogEBStecCXMMQ29tWz3gBrtNB8yIromXbY/edit?gid=741673867"", ""out1g!A:B""), 2, FALSE), 0)"),2789.0)</f>
        <v>2789</v>
      </c>
      <c r="D6179" s="2" t="str">
        <f>IFERROR(__xludf.DUMMYFUNCTION("IFERROR(VLOOKUP(A6179, IMPORTRANGE(""https://docs.google.com/spreadsheets/d/1-3Vjw2Cyy-mry5gbC8ypIR3YVGFfEpyFESummAta6sg/edit"", ""Sheet1!B:D""), 2, FALSE), ""Not Found"")"),"kwin")</f>
        <v>kwin</v>
      </c>
      <c r="E6179" s="2" t="str">
        <f>IFERROR(__xludf.DUMMYFUNCTION("IFERROR(VLOOKUP(A6179, IMPORTRANGE(""https://docs.google.com/spreadsheets/d/1-3Vjw2Cyy-mry5gbC8ypIR3YVGFfEpyFESummAta6sg/edit"", ""Sheet1!B:D""), 3, FALSE), ""Not Found"")"),"k w i n ")</f>
        <v>k w i n </v>
      </c>
    </row>
    <row r="6180">
      <c r="A6180" s="1" t="s">
        <v>6182</v>
      </c>
      <c r="B6180" s="1" t="s">
        <v>5</v>
      </c>
      <c r="C6180" s="2">
        <f>IFERROR(__xludf.DUMMYFUNCTION("IFERROR(VLOOKUP(A6180, IMPORTRANGE(""https://docs.google.com/spreadsheets/d/1AVX9GT0dgogEBStecCXMMQ29tWz3gBrtNB8yIromXbY/edit?gid=741673867"", ""out1g!A:B""), 2, FALSE), 0)"),147.0)</f>
        <v>147</v>
      </c>
      <c r="D6180" s="2" t="str">
        <f>IFERROR(__xludf.DUMMYFUNCTION("IFERROR(VLOOKUP(A6180, IMPORTRANGE(""https://docs.google.com/spreadsheets/d/1-3Vjw2Cyy-mry5gbC8ypIR3YVGFfEpyFESummAta6sg/edit"", ""Sheet1!B:D""), 2, FALSE), ""Not Found"")"),"læsi")</f>
        <v>læsi</v>
      </c>
      <c r="E6180" s="2" t="str">
        <f>IFERROR(__xludf.DUMMYFUNCTION("IFERROR(VLOOKUP(A6180, IMPORTRANGE(""https://docs.google.com/spreadsheets/d/1-3Vjw2Cyy-mry5gbC8ypIR3YVGFfEpyFESummAta6sg/edit"", ""Sheet1!B:D""), 3, FALSE), ""Not Found"")"),"l æ s i ")</f>
        <v>l æ s i </v>
      </c>
    </row>
    <row r="6181">
      <c r="A6181" s="1" t="s">
        <v>6183</v>
      </c>
      <c r="B6181" s="1" t="s">
        <v>5</v>
      </c>
      <c r="C6181" s="2">
        <f>IFERROR(__xludf.DUMMYFUNCTION("IFERROR(VLOOKUP(A6181, IMPORTRANGE(""https://docs.google.com/spreadsheets/d/1AVX9GT0dgogEBStecCXMMQ29tWz3gBrtNB8yIromXbY/edit?gid=741673867"", ""out1g!A:B""), 2, FALSE), 0)"),57.0)</f>
        <v>57</v>
      </c>
      <c r="D6181" s="2" t="str">
        <f>IFERROR(__xludf.DUMMYFUNCTION("IFERROR(VLOOKUP(A6181, IMPORTRANGE(""https://docs.google.com/spreadsheets/d/1-3Vjw2Cyy-mry5gbC8ypIR3YVGFfEpyFESummAta6sg/edit"", ""Sheet1!B:D""), 2, FALSE), ""Not Found"")"),"dæb")</f>
        <v>dæb</v>
      </c>
      <c r="E6181" s="2" t="str">
        <f>IFERROR(__xludf.DUMMYFUNCTION("IFERROR(VLOOKUP(A6181, IMPORTRANGE(""https://docs.google.com/spreadsheets/d/1-3Vjw2Cyy-mry5gbC8ypIR3YVGFfEpyFESummAta6sg/edit"", ""Sheet1!B:D""), 3, FALSE), ""Not Found"")"),"d æ b ")</f>
        <v>d æ b </v>
      </c>
    </row>
    <row r="6182">
      <c r="A6182" s="1" t="s">
        <v>6184</v>
      </c>
      <c r="B6182" s="1" t="s">
        <v>5</v>
      </c>
      <c r="C6182" s="2">
        <f>IFERROR(__xludf.DUMMYFUNCTION("IFERROR(VLOOKUP(A6182, IMPORTRANGE(""https://docs.google.com/spreadsheets/d/1AVX9GT0dgogEBStecCXMMQ29tWz3gBrtNB8yIromXbY/edit?gid=741673867"", ""out1g!A:B""), 2, FALSE), 0)"),861.0)</f>
        <v>861</v>
      </c>
      <c r="D6182" s="2" t="str">
        <f>IFERROR(__xludf.DUMMYFUNCTION("IFERROR(VLOOKUP(A6182, IMPORTRANGE(""https://docs.google.com/spreadsheets/d/1-3Vjw2Cyy-mry5gbC8ypIR3YVGFfEpyFESummAta6sg/edit"", ""Sheet1!B:D""), 2, FALSE), ""Not Found"")"),"waɪp")</f>
        <v>waɪp</v>
      </c>
      <c r="E6182" s="2" t="str">
        <f>IFERROR(__xludf.DUMMYFUNCTION("IFERROR(VLOOKUP(A6182, IMPORTRANGE(""https://docs.google.com/spreadsheets/d/1-3Vjw2Cyy-mry5gbC8ypIR3YVGFfEpyFESummAta6sg/edit"", ""Sheet1!B:D""), 3, FALSE), ""Not Found"")"),"w a ɪ p ")</f>
        <v>w a ɪ p </v>
      </c>
    </row>
    <row r="6183">
      <c r="A6183" s="1" t="s">
        <v>6185</v>
      </c>
      <c r="B6183" s="1" t="s">
        <v>5</v>
      </c>
      <c r="C6183" s="2">
        <f>IFERROR(__xludf.DUMMYFUNCTION("IFERROR(VLOOKUP(A6183, IMPORTRANGE(""https://docs.google.com/spreadsheets/d/1AVX9GT0dgogEBStecCXMMQ29tWz3gBrtNB8yIromXbY/edit?gid=741673867"", ""out1g!A:B""), 2, FALSE), 0)"),80.0)</f>
        <v>80</v>
      </c>
      <c r="D6183" s="2" t="str">
        <f>IFERROR(__xludf.DUMMYFUNCTION("IFERROR(VLOOKUP(A6183, IMPORTRANGE(""https://docs.google.com/spreadsheets/d/1-3Vjw2Cyy-mry5gbC8ypIR3YVGFfEpyFESummAta6sg/edit"", ""Sheet1!B:D""), 2, FALSE), ""Not Found"")"),"strət")</f>
        <v>strət</v>
      </c>
      <c r="E6183" s="2" t="str">
        <f>IFERROR(__xludf.DUMMYFUNCTION("IFERROR(VLOOKUP(A6183, IMPORTRANGE(""https://docs.google.com/spreadsheets/d/1-3Vjw2Cyy-mry5gbC8ypIR3YVGFfEpyFESummAta6sg/edit"", ""Sheet1!B:D""), 3, FALSE), ""Not Found"")"),"s t r ə t ")</f>
        <v>s t r ə t </v>
      </c>
    </row>
    <row r="6184">
      <c r="A6184" s="1" t="s">
        <v>6186</v>
      </c>
      <c r="B6184" s="1" t="s">
        <v>5</v>
      </c>
      <c r="C6184" s="2">
        <f>IFERROR(__xludf.DUMMYFUNCTION("IFERROR(VLOOKUP(A6184, IMPORTRANGE(""https://docs.google.com/spreadsheets/d/1AVX9GT0dgogEBStecCXMMQ29tWz3gBrtNB8yIromXbY/edit?gid=741673867"", ""out1g!A:B""), 2, FALSE), 0)"),46.0)</f>
        <v>46</v>
      </c>
      <c r="D6184" s="2" t="str">
        <f>IFERROR(__xludf.DUMMYFUNCTION("IFERROR(VLOOKUP(A6184, IMPORTRANGE(""https://docs.google.com/spreadsheets/d/1-3Vjw2Cyy-mry5gbC8ypIR3YVGFfEpyFESummAta6sg/edit"", ""Sheet1!B:D""), 2, FALSE), ""Not Found"")"),"jus")</f>
        <v>jus</v>
      </c>
      <c r="E6184" s="2" t="str">
        <f>IFERROR(__xludf.DUMMYFUNCTION("IFERROR(VLOOKUP(A6184, IMPORTRANGE(""https://docs.google.com/spreadsheets/d/1-3Vjw2Cyy-mry5gbC8ypIR3YVGFfEpyFESummAta6sg/edit"", ""Sheet1!B:D""), 3, FALSE), ""Not Found"")"),"j u s ")</f>
        <v>j u s </v>
      </c>
    </row>
    <row r="6185">
      <c r="A6185" s="1" t="s">
        <v>6187</v>
      </c>
      <c r="B6185" s="1" t="s">
        <v>5</v>
      </c>
      <c r="C6185" s="2">
        <f>IFERROR(__xludf.DUMMYFUNCTION("IFERROR(VLOOKUP(A6185, IMPORTRANGE(""https://docs.google.com/spreadsheets/d/1AVX9GT0dgogEBStecCXMMQ29tWz3gBrtNB8yIromXbY/edit?gid=741673867"", ""out1g!A:B""), 2, FALSE), 0)"),63.0)</f>
        <v>63</v>
      </c>
      <c r="D6185" s="2" t="str">
        <f>IFERROR(__xludf.DUMMYFUNCTION("IFERROR(VLOOKUP(A6185, IMPORTRANGE(""https://docs.google.com/spreadsheets/d/1-3Vjw2Cyy-mry5gbC8ypIR3YVGFfEpyFESummAta6sg/edit"", ""Sheet1!B:D""), 2, FALSE), ""Not Found"")"),"sækt")</f>
        <v>sækt</v>
      </c>
      <c r="E6185" s="2" t="str">
        <f>IFERROR(__xludf.DUMMYFUNCTION("IFERROR(VLOOKUP(A6185, IMPORTRANGE(""https://docs.google.com/spreadsheets/d/1-3Vjw2Cyy-mry5gbC8ypIR3YVGFfEpyFESummAta6sg/edit"", ""Sheet1!B:D""), 3, FALSE), ""Not Found"")"),"s æ k t ")</f>
        <v>s æ k t </v>
      </c>
    </row>
    <row r="6186">
      <c r="A6186" s="1" t="s">
        <v>6188</v>
      </c>
      <c r="B6186" s="1" t="s">
        <v>5</v>
      </c>
      <c r="C6186" s="2">
        <f>IFERROR(__xludf.DUMMYFUNCTION("IFERROR(VLOOKUP(A6186, IMPORTRANGE(""https://docs.google.com/spreadsheets/d/1AVX9GT0dgogEBStecCXMMQ29tWz3gBrtNB8yIromXbY/edit?gid=741673867"", ""out1g!A:B""), 2, FALSE), 0)"),234.0)</f>
        <v>234</v>
      </c>
      <c r="D6186" s="2" t="str">
        <f>IFERROR(__xludf.DUMMYFUNCTION("IFERROR(VLOOKUP(A6186, IMPORTRANGE(""https://docs.google.com/spreadsheets/d/1-3Vjw2Cyy-mry5gbC8ypIR3YVGFfEpyFESummAta6sg/edit"", ""Sheet1!B:D""), 2, FALSE), ""Not Found"")"),"ʃmək")</f>
        <v>ʃmək</v>
      </c>
      <c r="E6186" s="2" t="str">
        <f>IFERROR(__xludf.DUMMYFUNCTION("IFERROR(VLOOKUP(A6186, IMPORTRANGE(""https://docs.google.com/spreadsheets/d/1-3Vjw2Cyy-mry5gbC8ypIR3YVGFfEpyFESummAta6sg/edit"", ""Sheet1!B:D""), 3, FALSE), ""Not Found"")"),"ʃ m ə k ")</f>
        <v>ʃ m ə k </v>
      </c>
    </row>
    <row r="6187">
      <c r="A6187" s="1" t="s">
        <v>6189</v>
      </c>
      <c r="B6187" s="1" t="s">
        <v>5</v>
      </c>
      <c r="C6187" s="2">
        <f>IFERROR(__xludf.DUMMYFUNCTION("IFERROR(VLOOKUP(A6187, IMPORTRANGE(""https://docs.google.com/spreadsheets/d/1AVX9GT0dgogEBStecCXMMQ29tWz3gBrtNB8yIromXbY/edit?gid=741673867"", ""out1g!A:B""), 2, FALSE), 0)"),226.0)</f>
        <v>226</v>
      </c>
      <c r="D6187" s="2" t="str">
        <f>IFERROR(__xludf.DUMMYFUNCTION("IFERROR(VLOOKUP(A6187, IMPORTRANGE(""https://docs.google.com/spreadsheets/d/1-3Vjw2Cyy-mry5gbC8ypIR3YVGFfEpyFESummAta6sg/edit"", ""Sheet1!B:D""), 2, FALSE), ""Not Found"")"),"dɪʤ")</f>
        <v>dɪʤ</v>
      </c>
      <c r="E6187" s="2" t="str">
        <f>IFERROR(__xludf.DUMMYFUNCTION("IFERROR(VLOOKUP(A6187, IMPORTRANGE(""https://docs.google.com/spreadsheets/d/1-3Vjw2Cyy-mry5gbC8ypIR3YVGFfEpyFESummAta6sg/edit"", ""Sheet1!B:D""), 3, FALSE), ""Not Found"")"),"d ɪ ʤ ")</f>
        <v>d ɪ ʤ </v>
      </c>
    </row>
    <row r="6188">
      <c r="A6188" s="1" t="s">
        <v>6190</v>
      </c>
      <c r="B6188" s="1" t="s">
        <v>5</v>
      </c>
      <c r="C6188" s="2">
        <f>IFERROR(__xludf.DUMMYFUNCTION("IFERROR(VLOOKUP(A6188, IMPORTRANGE(""https://docs.google.com/spreadsheets/d/1AVX9GT0dgogEBStecCXMMQ29tWz3gBrtNB8yIromXbY/edit?gid=741673867"", ""out1g!A:B""), 2, FALSE), 0)"),77.0)</f>
        <v>77</v>
      </c>
      <c r="D6188" s="2" t="str">
        <f>IFERROR(__xludf.DUMMYFUNCTION("IFERROR(VLOOKUP(A6188, IMPORTRANGE(""https://docs.google.com/spreadsheets/d/1-3Vjw2Cyy-mry5gbC8ypIR3YVGFfEpyFESummAta6sg/edit"", ""Sheet1!B:D""), 2, FALSE), ""Not Found"")"),"ʃik")</f>
        <v>ʃik</v>
      </c>
      <c r="E6188" s="2" t="str">
        <f>IFERROR(__xludf.DUMMYFUNCTION("IFERROR(VLOOKUP(A6188, IMPORTRANGE(""https://docs.google.com/spreadsheets/d/1-3Vjw2Cyy-mry5gbC8ypIR3YVGFfEpyFESummAta6sg/edit"", ""Sheet1!B:D""), 3, FALSE), ""Not Found"")"),"ʃ i k ")</f>
        <v>ʃ i k </v>
      </c>
    </row>
    <row r="6189">
      <c r="A6189" s="1" t="s">
        <v>6191</v>
      </c>
      <c r="B6189" s="1" t="s">
        <v>5</v>
      </c>
      <c r="C6189" s="2">
        <f>IFERROR(__xludf.DUMMYFUNCTION("IFERROR(VLOOKUP(A6189, IMPORTRANGE(""https://docs.google.com/spreadsheets/d/1AVX9GT0dgogEBStecCXMMQ29tWz3gBrtNB8yIromXbY/edit?gid=741673867"", ""out1g!A:B""), 2, FALSE), 0)"),469.0)</f>
        <v>469</v>
      </c>
      <c r="D6189" s="2" t="str">
        <f>IFERROR(__xludf.DUMMYFUNCTION("IFERROR(VLOOKUP(A6189, IMPORTRANGE(""https://docs.google.com/spreadsheets/d/1-3Vjw2Cyy-mry5gbC8ypIR3YVGFfEpyFESummAta6sg/edit"", ""Sheet1!B:D""), 2, FALSE), ""Not Found"")"),"stənt")</f>
        <v>stənt</v>
      </c>
      <c r="E6189" s="2" t="str">
        <f>IFERROR(__xludf.DUMMYFUNCTION("IFERROR(VLOOKUP(A6189, IMPORTRANGE(""https://docs.google.com/spreadsheets/d/1-3Vjw2Cyy-mry5gbC8ypIR3YVGFfEpyFESummAta6sg/edit"", ""Sheet1!B:D""), 3, FALSE), ""Not Found"")"),"s t ə n t ")</f>
        <v>s t ə n t </v>
      </c>
    </row>
    <row r="6190">
      <c r="A6190" s="1" t="s">
        <v>6192</v>
      </c>
      <c r="B6190" s="1" t="s">
        <v>5</v>
      </c>
      <c r="C6190" s="2">
        <f>IFERROR(__xludf.DUMMYFUNCTION("IFERROR(VLOOKUP(A6190, IMPORTRANGE(""https://docs.google.com/spreadsheets/d/1AVX9GT0dgogEBStecCXMMQ29tWz3gBrtNB8yIromXbY/edit?gid=741673867"", ""out1g!A:B""), 2, FALSE), 0)"),108.0)</f>
        <v>108</v>
      </c>
      <c r="D6190" s="2" t="str">
        <f>IFERROR(__xludf.DUMMYFUNCTION("IFERROR(VLOOKUP(A6190, IMPORTRANGE(""https://docs.google.com/spreadsheets/d/1-3Vjw2Cyy-mry5gbC8ypIR3YVGFfEpyFESummAta6sg/edit"", ""Sheet1!B:D""), 2, FALSE), ""Not Found"")"),"dɑkɪŋ")</f>
        <v>dɑkɪŋ</v>
      </c>
      <c r="E6190" s="2" t="str">
        <f>IFERROR(__xludf.DUMMYFUNCTION("IFERROR(VLOOKUP(A6190, IMPORTRANGE(""https://docs.google.com/spreadsheets/d/1-3Vjw2Cyy-mry5gbC8ypIR3YVGFfEpyFESummAta6sg/edit"", ""Sheet1!B:D""), 3, FALSE), ""Not Found"")"),"d ɑ k ɪ ŋ ")</f>
        <v>d ɑ k ɪ ŋ </v>
      </c>
    </row>
    <row r="6191">
      <c r="A6191" s="1" t="s">
        <v>6193</v>
      </c>
      <c r="B6191" s="1" t="s">
        <v>5</v>
      </c>
      <c r="C6191" s="2">
        <f>IFERROR(__xludf.DUMMYFUNCTION("IFERROR(VLOOKUP(A6191, IMPORTRANGE(""https://docs.google.com/spreadsheets/d/1AVX9GT0dgogEBStecCXMMQ29tWz3gBrtNB8yIromXbY/edit?gid=741673867"", ""out1g!A:B""), 2, FALSE), 0)"),92.0)</f>
        <v>92</v>
      </c>
      <c r="D6191" s="2" t="str">
        <f>IFERROR(__xludf.DUMMYFUNCTION("IFERROR(VLOOKUP(A6191, IMPORTRANGE(""https://docs.google.com/spreadsheets/d/1-3Vjw2Cyy-mry5gbC8ypIR3YVGFfEpyFESummAta6sg/edit"", ""Sheet1!B:D""), 2, FALSE), ""Not Found"")"),"klɑt")</f>
        <v>klɑt</v>
      </c>
      <c r="E6191" s="2" t="str">
        <f>IFERROR(__xludf.DUMMYFUNCTION("IFERROR(VLOOKUP(A6191, IMPORTRANGE(""https://docs.google.com/spreadsheets/d/1-3Vjw2Cyy-mry5gbC8ypIR3YVGFfEpyFESummAta6sg/edit"", ""Sheet1!B:D""), 3, FALSE), ""Not Found"")"),"k l ɑ t ")</f>
        <v>k l ɑ t </v>
      </c>
    </row>
    <row r="6192">
      <c r="A6192" s="1" t="s">
        <v>6194</v>
      </c>
      <c r="B6192" s="1" t="s">
        <v>5</v>
      </c>
      <c r="C6192" s="2">
        <f>IFERROR(__xludf.DUMMYFUNCTION("IFERROR(VLOOKUP(A6192, IMPORTRANGE(""https://docs.google.com/spreadsheets/d/1AVX9GT0dgogEBStecCXMMQ29tWz3gBrtNB8yIromXbY/edit?gid=741673867"", ""out1g!A:B""), 2, FALSE), 0)"),78.0)</f>
        <v>78</v>
      </c>
      <c r="D6192" s="2" t="str">
        <f>IFERROR(__xludf.DUMMYFUNCTION("IFERROR(VLOOKUP(A6192, IMPORTRANGE(""https://docs.google.com/spreadsheets/d/1-3Vjw2Cyy-mry5gbC8ypIR3YVGFfEpyFESummAta6sg/edit"", ""Sheet1!B:D""), 2, FALSE), ""Not Found"")"),"snikt")</f>
        <v>snikt</v>
      </c>
      <c r="E6192" s="2" t="str">
        <f>IFERROR(__xludf.DUMMYFUNCTION("IFERROR(VLOOKUP(A6192, IMPORTRANGE(""https://docs.google.com/spreadsheets/d/1-3Vjw2Cyy-mry5gbC8ypIR3YVGFfEpyFESummAta6sg/edit"", ""Sheet1!B:D""), 3, FALSE), ""Not Found"")"),"s n i k t ")</f>
        <v>s n i k t </v>
      </c>
    </row>
    <row r="6193">
      <c r="A6193" s="1" t="s">
        <v>6195</v>
      </c>
      <c r="B6193" s="1" t="s">
        <v>5</v>
      </c>
      <c r="C6193" s="2">
        <f>IFERROR(__xludf.DUMMYFUNCTION("IFERROR(VLOOKUP(A6193, IMPORTRANGE(""https://docs.google.com/spreadsheets/d/1AVX9GT0dgogEBStecCXMMQ29tWz3gBrtNB8yIromXbY/edit?gid=741673867"", ""out1g!A:B""), 2, FALSE), 0)"),457.0)</f>
        <v>457</v>
      </c>
      <c r="D6193" s="2" t="str">
        <f>IFERROR(__xludf.DUMMYFUNCTION("IFERROR(VLOOKUP(A6193, IMPORTRANGE(""https://docs.google.com/spreadsheets/d/1-3Vjw2Cyy-mry5gbC8ypIR3YVGFfEpyFESummAta6sg/edit"", ""Sheet1!B:D""), 2, FALSE), ""Not Found"")"),"stɔl")</f>
        <v>stɔl</v>
      </c>
      <c r="E6193" s="2" t="str">
        <f>IFERROR(__xludf.DUMMYFUNCTION("IFERROR(VLOOKUP(A6193, IMPORTRANGE(""https://docs.google.com/spreadsheets/d/1-3Vjw2Cyy-mry5gbC8ypIR3YVGFfEpyFESummAta6sg/edit"", ""Sheet1!B:D""), 3, FALSE), ""Not Found"")"),"s t ɔ l ")</f>
        <v>s t ɔ l </v>
      </c>
    </row>
    <row r="6194">
      <c r="A6194" s="1" t="s">
        <v>6196</v>
      </c>
      <c r="B6194" s="1" t="s">
        <v>5</v>
      </c>
      <c r="C6194" s="2">
        <f>IFERROR(__xludf.DUMMYFUNCTION("IFERROR(VLOOKUP(A6194, IMPORTRANGE(""https://docs.google.com/spreadsheets/d/1AVX9GT0dgogEBStecCXMMQ29tWz3gBrtNB8yIromXbY/edit?gid=741673867"", ""out1g!A:B""), 2, FALSE), 0)"),63.0)</f>
        <v>63</v>
      </c>
      <c r="D6194" s="2" t="str">
        <f>IFERROR(__xludf.DUMMYFUNCTION("IFERROR(VLOOKUP(A6194, IMPORTRANGE(""https://docs.google.com/spreadsheets/d/1-3Vjw2Cyy-mry5gbC8ypIR3YVGFfEpyFESummAta6sg/edit"", ""Sheet1!B:D""), 2, FALSE), ""Not Found"")"),"kɛlp")</f>
        <v>kɛlp</v>
      </c>
      <c r="E6194" s="2" t="str">
        <f>IFERROR(__xludf.DUMMYFUNCTION("IFERROR(VLOOKUP(A6194, IMPORTRANGE(""https://docs.google.com/spreadsheets/d/1-3Vjw2Cyy-mry5gbC8ypIR3YVGFfEpyFESummAta6sg/edit"", ""Sheet1!B:D""), 3, FALSE), ""Not Found"")"),"k ɛ l p ")</f>
        <v>k ɛ l p </v>
      </c>
    </row>
    <row r="6195">
      <c r="A6195" s="1" t="s">
        <v>6197</v>
      </c>
      <c r="B6195" s="1" t="s">
        <v>5</v>
      </c>
      <c r="C6195" s="2">
        <f>IFERROR(__xludf.DUMMYFUNCTION("IFERROR(VLOOKUP(A6195, IMPORTRANGE(""https://docs.google.com/spreadsheets/d/1AVX9GT0dgogEBStecCXMMQ29tWz3gBrtNB8yIromXbY/edit?gid=741673867"", ""out1g!A:B""), 2, FALSE), 0)"),143.0)</f>
        <v>143</v>
      </c>
      <c r="D6195" s="2" t="str">
        <f>IFERROR(__xludf.DUMMYFUNCTION("IFERROR(VLOOKUP(A6195, IMPORTRANGE(""https://docs.google.com/spreadsheets/d/1-3Vjw2Cyy-mry5gbC8ypIR3YVGFfEpyFESummAta6sg/edit"", ""Sheet1!B:D""), 2, FALSE), ""Not Found"")"),"kɑm")</f>
        <v>kɑm</v>
      </c>
      <c r="E6195" s="2" t="str">
        <f>IFERROR(__xludf.DUMMYFUNCTION("IFERROR(VLOOKUP(A6195, IMPORTRANGE(""https://docs.google.com/spreadsheets/d/1-3Vjw2Cyy-mry5gbC8ypIR3YVGFfEpyFESummAta6sg/edit"", ""Sheet1!B:D""), 3, FALSE), ""Not Found"")"),"k ɑ m ")</f>
        <v>k ɑ m </v>
      </c>
    </row>
    <row r="6196">
      <c r="A6196" s="1" t="s">
        <v>6198</v>
      </c>
      <c r="B6196" s="1" t="s">
        <v>5</v>
      </c>
      <c r="C6196" s="2">
        <f>IFERROR(__xludf.DUMMYFUNCTION("IFERROR(VLOOKUP(A6196, IMPORTRANGE(""https://docs.google.com/spreadsheets/d/1AVX9GT0dgogEBStecCXMMQ29tWz3gBrtNB8yIromXbY/edit?gid=741673867"", ""out1g!A:B""), 2, FALSE), 0)"),84.0)</f>
        <v>84</v>
      </c>
      <c r="D6196" s="2" t="str">
        <f>IFERROR(__xludf.DUMMYFUNCTION("IFERROR(VLOOKUP(A6196, IMPORTRANGE(""https://docs.google.com/spreadsheets/d/1-3Vjw2Cyy-mry5gbC8ypIR3YVGFfEpyFESummAta6sg/edit"", ""Sheet1!B:D""), 2, FALSE), ""Not Found"")"),"ʧɪrioʊ")</f>
        <v>ʧɪrioʊ</v>
      </c>
      <c r="E6196" s="2" t="str">
        <f>IFERROR(__xludf.DUMMYFUNCTION("IFERROR(VLOOKUP(A6196, IMPORTRANGE(""https://docs.google.com/spreadsheets/d/1-3Vjw2Cyy-mry5gbC8ypIR3YVGFfEpyFESummAta6sg/edit"", ""Sheet1!B:D""), 3, FALSE), ""Not Found"")"),"ʧ ɪ r i o ʊ ")</f>
        <v>ʧ ɪ r i o ʊ </v>
      </c>
    </row>
    <row r="6197">
      <c r="A6197" s="1" t="s">
        <v>6199</v>
      </c>
      <c r="B6197" s="1" t="s">
        <v>5</v>
      </c>
      <c r="C6197" s="2">
        <f>IFERROR(__xludf.DUMMYFUNCTION("IFERROR(VLOOKUP(A6197, IMPORTRANGE(""https://docs.google.com/spreadsheets/d/1AVX9GT0dgogEBStecCXMMQ29tWz3gBrtNB8yIromXbY/edit?gid=741673867"", ""out1g!A:B""), 2, FALSE), 0)"),163.0)</f>
        <v>163</v>
      </c>
      <c r="D6197" s="2" t="str">
        <f>IFERROR(__xludf.DUMMYFUNCTION("IFERROR(VLOOKUP(A6197, IMPORTRANGE(""https://docs.google.com/spreadsheets/d/1-3Vjw2Cyy-mry5gbC8ypIR3YVGFfEpyFESummAta6sg/edit"", ""Sheet1!B:D""), 2, FALSE), ""Not Found"")"),"bɑbi")</f>
        <v>bɑbi</v>
      </c>
      <c r="E6197" s="2" t="str">
        <f>IFERROR(__xludf.DUMMYFUNCTION("IFERROR(VLOOKUP(A6197, IMPORTRANGE(""https://docs.google.com/spreadsheets/d/1-3Vjw2Cyy-mry5gbC8ypIR3YVGFfEpyFESummAta6sg/edit"", ""Sheet1!B:D""), 3, FALSE), ""Not Found"")"),"b ɑ b i ")</f>
        <v>b ɑ b i </v>
      </c>
    </row>
    <row r="6198">
      <c r="A6198" s="1" t="s">
        <v>6200</v>
      </c>
      <c r="B6198" s="1" t="s">
        <v>5</v>
      </c>
      <c r="C6198" s="2">
        <f>IFERROR(__xludf.DUMMYFUNCTION("IFERROR(VLOOKUP(A6198, IMPORTRANGE(""https://docs.google.com/spreadsheets/d/1AVX9GT0dgogEBStecCXMMQ29tWz3gBrtNB8yIromXbY/edit?gid=741673867"", ""out1g!A:B""), 2, FALSE), 0)"),4953.0)</f>
        <v>4953</v>
      </c>
      <c r="D6198" s="2" t="str">
        <f>IFERROR(__xludf.DUMMYFUNCTION("IFERROR(VLOOKUP(A6198, IMPORTRANGE(""https://docs.google.com/spreadsheets/d/1-3Vjw2Cyy-mry5gbC8ypIR3YVGFfEpyFESummAta6sg/edit"", ""Sheet1!B:D""), 2, FALSE), ""Not Found"")"),"stɪk")</f>
        <v>stɪk</v>
      </c>
      <c r="E6198" s="2" t="str">
        <f>IFERROR(__xludf.DUMMYFUNCTION("IFERROR(VLOOKUP(A6198, IMPORTRANGE(""https://docs.google.com/spreadsheets/d/1-3Vjw2Cyy-mry5gbC8ypIR3YVGFfEpyFESummAta6sg/edit"", ""Sheet1!B:D""), 3, FALSE), ""Not Found"")"),"s t ɪ k ")</f>
        <v>s t ɪ k </v>
      </c>
    </row>
    <row r="6199">
      <c r="A6199" s="1" t="s">
        <v>6201</v>
      </c>
      <c r="B6199" s="1" t="s">
        <v>5</v>
      </c>
      <c r="C6199" s="2">
        <f>IFERROR(__xludf.DUMMYFUNCTION("IFERROR(VLOOKUP(A6199, IMPORTRANGE(""https://docs.google.com/spreadsheets/d/1AVX9GT0dgogEBStecCXMMQ29tWz3gBrtNB8yIromXbY/edit?gid=741673867"", ""out1g!A:B""), 2, FALSE), 0)"),2501.0)</f>
        <v>2501</v>
      </c>
      <c r="D6199" s="2" t="str">
        <f>IFERROR(__xludf.DUMMYFUNCTION("IFERROR(VLOOKUP(A6199, IMPORTRANGE(""https://docs.google.com/spreadsheets/d/1-3Vjw2Cyy-mry5gbC8ypIR3YVGFfEpyFESummAta6sg/edit"", ""Sheet1!B:D""), 2, FALSE), ""Not Found"")"),"rɪsk")</f>
        <v>rɪsk</v>
      </c>
      <c r="E6199" s="2" t="str">
        <f>IFERROR(__xludf.DUMMYFUNCTION("IFERROR(VLOOKUP(A6199, IMPORTRANGE(""https://docs.google.com/spreadsheets/d/1-3Vjw2Cyy-mry5gbC8ypIR3YVGFfEpyFESummAta6sg/edit"", ""Sheet1!B:D""), 3, FALSE), ""Not Found"")"),"r ɪ s k ")</f>
        <v>r ɪ s k </v>
      </c>
    </row>
    <row r="6200">
      <c r="A6200" s="1" t="s">
        <v>6202</v>
      </c>
      <c r="B6200" s="1" t="s">
        <v>5</v>
      </c>
      <c r="C6200" s="2">
        <f>IFERROR(__xludf.DUMMYFUNCTION("IFERROR(VLOOKUP(A6200, IMPORTRANGE(""https://docs.google.com/spreadsheets/d/1AVX9GT0dgogEBStecCXMMQ29tWz3gBrtNB8yIromXbY/edit?gid=741673867"", ""out1g!A:B""), 2, FALSE), 0)"),132.0)</f>
        <v>132</v>
      </c>
      <c r="D6200" s="2" t="str">
        <f>IFERROR(__xludf.DUMMYFUNCTION("IFERROR(VLOOKUP(A6200, IMPORTRANGE(""https://docs.google.com/spreadsheets/d/1-3Vjw2Cyy-mry5gbC8ypIR3YVGFfEpyFESummAta6sg/edit"", ""Sheet1!B:D""), 2, FALSE), ""Not Found"")"),"nɪrər")</f>
        <v>nɪrər</v>
      </c>
      <c r="E6200" s="2" t="str">
        <f>IFERROR(__xludf.DUMMYFUNCTION("IFERROR(VLOOKUP(A6200, IMPORTRANGE(""https://docs.google.com/spreadsheets/d/1-3Vjw2Cyy-mry5gbC8ypIR3YVGFfEpyFESummAta6sg/edit"", ""Sheet1!B:D""), 3, FALSE), ""Not Found"")"),"n ɪ r ə r ")</f>
        <v>n ɪ r ə r </v>
      </c>
    </row>
    <row r="6201">
      <c r="A6201" s="1" t="s">
        <v>6203</v>
      </c>
      <c r="B6201" s="1" t="s">
        <v>5</v>
      </c>
      <c r="C6201" s="2">
        <f>IFERROR(__xludf.DUMMYFUNCTION("IFERROR(VLOOKUP(A6201, IMPORTRANGE(""https://docs.google.com/spreadsheets/d/1AVX9GT0dgogEBStecCXMMQ29tWz3gBrtNB8yIromXbY/edit?gid=741673867"", ""out1g!A:B""), 2, FALSE), 0)"),60.0)</f>
        <v>60</v>
      </c>
      <c r="D6201" s="2" t="str">
        <f>IFERROR(__xludf.DUMMYFUNCTION("IFERROR(VLOOKUP(A6201, IMPORTRANGE(""https://docs.google.com/spreadsheets/d/1-3Vjw2Cyy-mry5gbC8ypIR3YVGFfEpyFESummAta6sg/edit"", ""Sheet1!B:D""), 2, FALSE), ""Not Found"")"),"lɛrd")</f>
        <v>lɛrd</v>
      </c>
      <c r="E6201" s="2" t="str">
        <f>IFERROR(__xludf.DUMMYFUNCTION("IFERROR(VLOOKUP(A6201, IMPORTRANGE(""https://docs.google.com/spreadsheets/d/1-3Vjw2Cyy-mry5gbC8ypIR3YVGFfEpyFESummAta6sg/edit"", ""Sheet1!B:D""), 3, FALSE), ""Not Found"")"),"l ɛ r d ")</f>
        <v>l ɛ r d </v>
      </c>
    </row>
    <row r="6202">
      <c r="A6202" s="1" t="s">
        <v>6204</v>
      </c>
      <c r="B6202" s="1" t="s">
        <v>5</v>
      </c>
      <c r="C6202" s="2">
        <f>IFERROR(__xludf.DUMMYFUNCTION("IFERROR(VLOOKUP(A6202, IMPORTRANGE(""https://docs.google.com/spreadsheets/d/1AVX9GT0dgogEBStecCXMMQ29tWz3gBrtNB8yIromXbY/edit?gid=741673867"", ""out1g!A:B""), 2, FALSE), 0)"),861.0)</f>
        <v>861</v>
      </c>
      <c r="D6202" s="2" t="str">
        <f>IFERROR(__xludf.DUMMYFUNCTION("IFERROR(VLOOKUP(A6202, IMPORTRANGE(""https://docs.google.com/spreadsheets/d/1-3Vjw2Cyy-mry5gbC8ypIR3YVGFfEpyFESummAta6sg/edit"", ""Sheet1!B:D""), 2, FALSE), ""Not Found"")"),"trɪgər")</f>
        <v>trɪgər</v>
      </c>
      <c r="E6202" s="2" t="str">
        <f>IFERROR(__xludf.DUMMYFUNCTION("IFERROR(VLOOKUP(A6202, IMPORTRANGE(""https://docs.google.com/spreadsheets/d/1-3Vjw2Cyy-mry5gbC8ypIR3YVGFfEpyFESummAta6sg/edit"", ""Sheet1!B:D""), 3, FALSE), ""Not Found"")"),"t r ɪ g ə r ")</f>
        <v>t r ɪ g ə r </v>
      </c>
    </row>
    <row r="6203">
      <c r="A6203" s="1" t="s">
        <v>6205</v>
      </c>
      <c r="B6203" s="1" t="s">
        <v>5</v>
      </c>
      <c r="C6203" s="2">
        <f>IFERROR(__xludf.DUMMYFUNCTION("IFERROR(VLOOKUP(A6203, IMPORTRANGE(""https://docs.google.com/spreadsheets/d/1AVX9GT0dgogEBStecCXMMQ29tWz3gBrtNB8yIromXbY/edit?gid=741673867"", ""out1g!A:B""), 2, FALSE), 0)"),408.0)</f>
        <v>408</v>
      </c>
      <c r="D6203" s="2" t="str">
        <f>IFERROR(__xludf.DUMMYFUNCTION("IFERROR(VLOOKUP(A6203, IMPORTRANGE(""https://docs.google.com/spreadsheets/d/1-3Vjw2Cyy-mry5gbC8ypIR3YVGFfEpyFESummAta6sg/edit"", ""Sheet1!B:D""), 2, FALSE), ""Not Found"")"),"tunə")</f>
        <v>tunə</v>
      </c>
      <c r="E6203" s="2" t="str">
        <f>IFERROR(__xludf.DUMMYFUNCTION("IFERROR(VLOOKUP(A6203, IMPORTRANGE(""https://docs.google.com/spreadsheets/d/1-3Vjw2Cyy-mry5gbC8ypIR3YVGFfEpyFESummAta6sg/edit"", ""Sheet1!B:D""), 3, FALSE), ""Not Found"")"),"t u n ə ")</f>
        <v>t u n ə </v>
      </c>
    </row>
    <row r="6204">
      <c r="A6204" s="1" t="s">
        <v>6206</v>
      </c>
      <c r="B6204" s="1" t="s">
        <v>5</v>
      </c>
      <c r="C6204" s="2">
        <f>IFERROR(__xludf.DUMMYFUNCTION("IFERROR(VLOOKUP(A6204, IMPORTRANGE(""https://docs.google.com/spreadsheets/d/1AVX9GT0dgogEBStecCXMMQ29tWz3gBrtNB8yIromXbY/edit?gid=741673867"", ""out1g!A:B""), 2, FALSE), 0)"),890.0)</f>
        <v>890</v>
      </c>
      <c r="D6204" s="2" t="str">
        <f>IFERROR(__xludf.DUMMYFUNCTION("IFERROR(VLOOKUP(A6204, IMPORTRANGE(""https://docs.google.com/spreadsheets/d/1-3Vjw2Cyy-mry5gbC8ypIR3YVGFfEpyFESummAta6sg/edit"", ""Sheet1!B:D""), 2, FALSE), ""Not Found"")"),"pesi")</f>
        <v>pesi</v>
      </c>
      <c r="E6204" s="2" t="str">
        <f>IFERROR(__xludf.DUMMYFUNCTION("IFERROR(VLOOKUP(A6204, IMPORTRANGE(""https://docs.google.com/spreadsheets/d/1-3Vjw2Cyy-mry5gbC8ypIR3YVGFfEpyFESummAta6sg/edit"", ""Sheet1!B:D""), 3, FALSE), ""Not Found"")"),"p e s i ")</f>
        <v>p e s i </v>
      </c>
    </row>
    <row r="6205">
      <c r="A6205" s="1" t="s">
        <v>6207</v>
      </c>
      <c r="B6205" s="1" t="s">
        <v>5</v>
      </c>
      <c r="C6205" s="2">
        <f>IFERROR(__xludf.DUMMYFUNCTION("IFERROR(VLOOKUP(A6205, IMPORTRANGE(""https://docs.google.com/spreadsheets/d/1AVX9GT0dgogEBStecCXMMQ29tWz3gBrtNB8yIromXbY/edit?gid=741673867"", ""out1g!A:B""), 2, FALSE), 0)"),253.0)</f>
        <v>253</v>
      </c>
      <c r="D6205" s="2" t="str">
        <f>IFERROR(__xludf.DUMMYFUNCTION("IFERROR(VLOOKUP(A6205, IMPORTRANGE(""https://docs.google.com/spreadsheets/d/1-3Vjw2Cyy-mry5gbC8ypIR3YVGFfEpyFESummAta6sg/edit"", ""Sheet1!B:D""), 2, FALSE), ""Not Found"")"),"pɑr")</f>
        <v>pɑr</v>
      </c>
      <c r="E6205" s="2" t="str">
        <f>IFERROR(__xludf.DUMMYFUNCTION("IFERROR(VLOOKUP(A6205, IMPORTRANGE(""https://docs.google.com/spreadsheets/d/1-3Vjw2Cyy-mry5gbC8ypIR3YVGFfEpyFESummAta6sg/edit"", ""Sheet1!B:D""), 3, FALSE), ""Not Found"")"),"p ɑ r ")</f>
        <v>p ɑ r </v>
      </c>
    </row>
    <row r="6206">
      <c r="A6206" s="1" t="s">
        <v>6208</v>
      </c>
      <c r="B6206" s="1" t="s">
        <v>5</v>
      </c>
      <c r="C6206" s="2">
        <f>IFERROR(__xludf.DUMMYFUNCTION("IFERROR(VLOOKUP(A6206, IMPORTRANGE(""https://docs.google.com/spreadsheets/d/1AVX9GT0dgogEBStecCXMMQ29tWz3gBrtNB8yIromXbY/edit?gid=741673867"", ""out1g!A:B""), 2, FALSE), 0)"),139.0)</f>
        <v>139</v>
      </c>
      <c r="D6206" s="2" t="str">
        <f>IFERROR(__xludf.DUMMYFUNCTION("IFERROR(VLOOKUP(A6206, IMPORTRANGE(""https://docs.google.com/spreadsheets/d/1-3Vjw2Cyy-mry5gbC8ypIR3YVGFfEpyFESummAta6sg/edit"", ""Sheet1!B:D""), 2, FALSE), ""Not Found"")"),"etə")</f>
        <v>etə</v>
      </c>
      <c r="E6206" s="2" t="str">
        <f>IFERROR(__xludf.DUMMYFUNCTION("IFERROR(VLOOKUP(A6206, IMPORTRANGE(""https://docs.google.com/spreadsheets/d/1-3Vjw2Cyy-mry5gbC8ypIR3YVGFfEpyFESummAta6sg/edit"", ""Sheet1!B:D""), 3, FALSE), ""Not Found"")"),"e t ə ")</f>
        <v>e t ə </v>
      </c>
    </row>
    <row r="6207">
      <c r="A6207" s="1" t="s">
        <v>6209</v>
      </c>
      <c r="B6207" s="1" t="s">
        <v>5</v>
      </c>
      <c r="C6207" s="2">
        <f>IFERROR(__xludf.DUMMYFUNCTION("IFERROR(VLOOKUP(A6207, IMPORTRANGE(""https://docs.google.com/spreadsheets/d/1AVX9GT0dgogEBStecCXMMQ29tWz3gBrtNB8yIromXbY/edit?gid=741673867"", ""out1g!A:B""), 2, FALSE), 0)"),2498.0)</f>
        <v>2498</v>
      </c>
      <c r="D6207" s="2" t="str">
        <f>IFERROR(__xludf.DUMMYFUNCTION("IFERROR(VLOOKUP(A6207, IMPORTRANGE(""https://docs.google.com/spreadsheets/d/1-3Vjw2Cyy-mry5gbC8ypIR3YVGFfEpyFESummAta6sg/edit"", ""Sheet1!B:D""), 2, FALSE), ""Not Found"")"),"emi")</f>
        <v>emi</v>
      </c>
      <c r="E6207" s="2" t="str">
        <f>IFERROR(__xludf.DUMMYFUNCTION("IFERROR(VLOOKUP(A6207, IMPORTRANGE(""https://docs.google.com/spreadsheets/d/1-3Vjw2Cyy-mry5gbC8ypIR3YVGFfEpyFESummAta6sg/edit"", ""Sheet1!B:D""), 3, FALSE), ""Not Found"")"),"e m i ")</f>
        <v>e m i </v>
      </c>
    </row>
    <row r="6208">
      <c r="A6208" s="1" t="s">
        <v>6210</v>
      </c>
      <c r="B6208" s="1" t="s">
        <v>5</v>
      </c>
      <c r="C6208" s="2">
        <f>IFERROR(__xludf.DUMMYFUNCTION("IFERROR(VLOOKUP(A6208, IMPORTRANGE(""https://docs.google.com/spreadsheets/d/1AVX9GT0dgogEBStecCXMMQ29tWz3gBrtNB8yIromXbY/edit?gid=741673867"", ""out1g!A:B""), 2, FALSE), 0)"),1640.0)</f>
        <v>1640</v>
      </c>
      <c r="D6208" s="2" t="str">
        <f>IFERROR(__xludf.DUMMYFUNCTION("IFERROR(VLOOKUP(A6208, IMPORTRANGE(""https://docs.google.com/spreadsheets/d/1-3Vjw2Cyy-mry5gbC8ypIR3YVGFfEpyFESummAta6sg/edit"", ""Sheet1!B:D""), 2, FALSE), ""Not Found"")"),"friz")</f>
        <v>friz</v>
      </c>
      <c r="E6208" s="2" t="str">
        <f>IFERROR(__xludf.DUMMYFUNCTION("IFERROR(VLOOKUP(A6208, IMPORTRANGE(""https://docs.google.com/spreadsheets/d/1-3Vjw2Cyy-mry5gbC8ypIR3YVGFfEpyFESummAta6sg/edit"", ""Sheet1!B:D""), 3, FALSE), ""Not Found"")"),"f r i z ")</f>
        <v>f r i z </v>
      </c>
    </row>
    <row r="6209">
      <c r="A6209" s="1" t="s">
        <v>6211</v>
      </c>
      <c r="B6209" s="1" t="s">
        <v>5</v>
      </c>
      <c r="C6209" s="2">
        <f>IFERROR(__xludf.DUMMYFUNCTION("IFERROR(VLOOKUP(A6209, IMPORTRANGE(""https://docs.google.com/spreadsheets/d/1AVX9GT0dgogEBStecCXMMQ29tWz3gBrtNB8yIromXbY/edit?gid=741673867"", ""out1g!A:B""), 2, FALSE), 0)"),46.0)</f>
        <v>46</v>
      </c>
      <c r="D6209" s="2" t="str">
        <f>IFERROR(__xludf.DUMMYFUNCTION("IFERROR(VLOOKUP(A6209, IMPORTRANGE(""https://docs.google.com/spreadsheets/d/1-3Vjw2Cyy-mry5gbC8ypIR3YVGFfEpyFESummAta6sg/edit"", ""Sheet1!B:D""), 2, FALSE), ""Not Found"")"),"prɑksi")</f>
        <v>prɑksi</v>
      </c>
      <c r="E6209" s="2" t="str">
        <f>IFERROR(__xludf.DUMMYFUNCTION("IFERROR(VLOOKUP(A6209, IMPORTRANGE(""https://docs.google.com/spreadsheets/d/1-3Vjw2Cyy-mry5gbC8ypIR3YVGFfEpyFESummAta6sg/edit"", ""Sheet1!B:D""), 3, FALSE), ""Not Found"")"),"p r ɑ k s i ")</f>
        <v>p r ɑ k s i </v>
      </c>
    </row>
    <row r="6210">
      <c r="A6210" s="1" t="s">
        <v>6212</v>
      </c>
      <c r="B6210" s="1" t="s">
        <v>5</v>
      </c>
      <c r="C6210" s="2">
        <f>IFERROR(__xludf.DUMMYFUNCTION("IFERROR(VLOOKUP(A6210, IMPORTRANGE(""https://docs.google.com/spreadsheets/d/1AVX9GT0dgogEBStecCXMMQ29tWz3gBrtNB8yIromXbY/edit?gid=741673867"", ""out1g!A:B""), 2, FALSE), 0)"),55.0)</f>
        <v>55</v>
      </c>
      <c r="D6210" s="2" t="str">
        <f>IFERROR(__xludf.DUMMYFUNCTION("IFERROR(VLOOKUP(A6210, IMPORTRANGE(""https://docs.google.com/spreadsheets/d/1-3Vjw2Cyy-mry5gbC8ypIR3YVGFfEpyFESummAta6sg/edit"", ""Sheet1!B:D""), 2, FALSE), ""Not Found"")"),"taʊt")</f>
        <v>taʊt</v>
      </c>
      <c r="E6210" s="2" t="str">
        <f>IFERROR(__xludf.DUMMYFUNCTION("IFERROR(VLOOKUP(A6210, IMPORTRANGE(""https://docs.google.com/spreadsheets/d/1-3Vjw2Cyy-mry5gbC8ypIR3YVGFfEpyFESummAta6sg/edit"", ""Sheet1!B:D""), 3, FALSE), ""Not Found"")"),"t a ʊ t ")</f>
        <v>t a ʊ t </v>
      </c>
    </row>
    <row r="6211">
      <c r="A6211" s="1" t="s">
        <v>6213</v>
      </c>
      <c r="B6211" s="1" t="s">
        <v>5</v>
      </c>
      <c r="C6211" s="2">
        <f>IFERROR(__xludf.DUMMYFUNCTION("IFERROR(VLOOKUP(A6211, IMPORTRANGE(""https://docs.google.com/spreadsheets/d/1AVX9GT0dgogEBStecCXMMQ29tWz3gBrtNB8yIromXbY/edit?gid=741673867"", ""out1g!A:B""), 2, FALSE), 0)"),558.0)</f>
        <v>558</v>
      </c>
      <c r="D6211" s="2" t="str">
        <f>IFERROR(__xludf.DUMMYFUNCTION("IFERROR(VLOOKUP(A6211, IMPORTRANGE(""https://docs.google.com/spreadsheets/d/1-3Vjw2Cyy-mry5gbC8ypIR3YVGFfEpyFESummAta6sg/edit"", ""Sheet1!B:D""), 2, FALSE), ""Not Found"")"),"hɛðər")</f>
        <v>hɛðər</v>
      </c>
      <c r="E6211" s="2" t="str">
        <f>IFERROR(__xludf.DUMMYFUNCTION("IFERROR(VLOOKUP(A6211, IMPORTRANGE(""https://docs.google.com/spreadsheets/d/1-3Vjw2Cyy-mry5gbC8ypIR3YVGFfEpyFESummAta6sg/edit"", ""Sheet1!B:D""), 3, FALSE), ""Not Found"")"),"h ɛ ð ə r ")</f>
        <v>h ɛ ð ə r </v>
      </c>
    </row>
    <row r="6212">
      <c r="A6212" s="1" t="s">
        <v>6214</v>
      </c>
      <c r="B6212" s="1" t="s">
        <v>5</v>
      </c>
      <c r="C6212" s="2">
        <f>IFERROR(__xludf.DUMMYFUNCTION("IFERROR(VLOOKUP(A6212, IMPORTRANGE(""https://docs.google.com/spreadsheets/d/1AVX9GT0dgogEBStecCXMMQ29tWz3gBrtNB8yIromXbY/edit?gid=741673867"", ""out1g!A:B""), 2, FALSE), 0)"),138.0)</f>
        <v>138</v>
      </c>
      <c r="D6212" s="2" t="str">
        <f>IFERROR(__xludf.DUMMYFUNCTION("IFERROR(VLOOKUP(A6212, IMPORTRANGE(""https://docs.google.com/spreadsheets/d/1-3Vjw2Cyy-mry5gbC8ypIR3YVGFfEpyFESummAta6sg/edit"", ""Sheet1!B:D""), 2, FALSE), ""Not Found"")"),"sərkəts")</f>
        <v>sərkəts</v>
      </c>
      <c r="E6212" s="2" t="str">
        <f>IFERROR(__xludf.DUMMYFUNCTION("IFERROR(VLOOKUP(A6212, IMPORTRANGE(""https://docs.google.com/spreadsheets/d/1-3Vjw2Cyy-mry5gbC8ypIR3YVGFfEpyFESummAta6sg/edit"", ""Sheet1!B:D""), 3, FALSE), ""Not Found"")"),"s ə r k ə t s ")</f>
        <v>s ə r k ə t s </v>
      </c>
    </row>
    <row r="6213">
      <c r="A6213" s="1" t="s">
        <v>6215</v>
      </c>
      <c r="B6213" s="1" t="s">
        <v>5</v>
      </c>
      <c r="C6213" s="2">
        <f>IFERROR(__xludf.DUMMYFUNCTION("IFERROR(VLOOKUP(A6213, IMPORTRANGE(""https://docs.google.com/spreadsheets/d/1AVX9GT0dgogEBStecCXMMQ29tWz3gBrtNB8yIromXbY/edit?gid=741673867"", ""out1g!A:B""), 2, FALSE), 0)"),178.0)</f>
        <v>178</v>
      </c>
      <c r="D6213" s="2" t="str">
        <f>IFERROR(__xludf.DUMMYFUNCTION("IFERROR(VLOOKUP(A6213, IMPORTRANGE(""https://docs.google.com/spreadsheets/d/1-3Vjw2Cyy-mry5gbC8ypIR3YVGFfEpyFESummAta6sg/edit"", ""Sheet1!B:D""), 2, FALSE), ""Not Found"")"),"mes")</f>
        <v>mes</v>
      </c>
      <c r="E6213" s="2" t="str">
        <f>IFERROR(__xludf.DUMMYFUNCTION("IFERROR(VLOOKUP(A6213, IMPORTRANGE(""https://docs.google.com/spreadsheets/d/1-3Vjw2Cyy-mry5gbC8ypIR3YVGFfEpyFESummAta6sg/edit"", ""Sheet1!B:D""), 3, FALSE), ""Not Found"")"),"m e s ")</f>
        <v>m e s </v>
      </c>
    </row>
    <row r="6214">
      <c r="A6214" s="1" t="s">
        <v>6216</v>
      </c>
      <c r="B6214" s="1" t="s">
        <v>5</v>
      </c>
      <c r="C6214" s="2">
        <f>IFERROR(__xludf.DUMMYFUNCTION("IFERROR(VLOOKUP(A6214, IMPORTRANGE(""https://docs.google.com/spreadsheets/d/1AVX9GT0dgogEBStecCXMMQ29tWz3gBrtNB8yIromXbY/edit?gid=741673867"", ""out1g!A:B""), 2, FALSE), 0)"),118.0)</f>
        <v>118</v>
      </c>
      <c r="D6214" s="2" t="str">
        <f>IFERROR(__xludf.DUMMYFUNCTION("IFERROR(VLOOKUP(A6214, IMPORTRANGE(""https://docs.google.com/spreadsheets/d/1-3Vjw2Cyy-mry5gbC8ypIR3YVGFfEpyFESummAta6sg/edit"", ""Sheet1!B:D""), 2, FALSE), ""Not Found"")"),"sɔɪ")</f>
        <v>sɔɪ</v>
      </c>
      <c r="E6214" s="2" t="str">
        <f>IFERROR(__xludf.DUMMYFUNCTION("IFERROR(VLOOKUP(A6214, IMPORTRANGE(""https://docs.google.com/spreadsheets/d/1-3Vjw2Cyy-mry5gbC8ypIR3YVGFfEpyFESummAta6sg/edit"", ""Sheet1!B:D""), 3, FALSE), ""Not Found"")"),"s ɔ ɪ ")</f>
        <v>s ɔ ɪ </v>
      </c>
    </row>
    <row r="6215">
      <c r="A6215" s="1" t="s">
        <v>6217</v>
      </c>
      <c r="B6215" s="1" t="s">
        <v>5</v>
      </c>
      <c r="C6215" s="2">
        <f>IFERROR(__xludf.DUMMYFUNCTION("IFERROR(VLOOKUP(A6215, IMPORTRANGE(""https://docs.google.com/spreadsheets/d/1AVX9GT0dgogEBStecCXMMQ29tWz3gBrtNB8yIromXbY/edit?gid=741673867"", ""out1g!A:B""), 2, FALSE), 0)"),1624.0)</f>
        <v>1624</v>
      </c>
      <c r="D6215" s="2" t="str">
        <f>IFERROR(__xludf.DUMMYFUNCTION("IFERROR(VLOOKUP(A6215, IMPORTRANGE(""https://docs.google.com/spreadsheets/d/1-3Vjw2Cyy-mry5gbC8ypIR3YVGFfEpyFESummAta6sg/edit"", ""Sheet1!B:D""), 2, FALSE), ""Not Found"")"),"ʤərmən")</f>
        <v>ʤərmən</v>
      </c>
      <c r="E6215" s="2" t="str">
        <f>IFERROR(__xludf.DUMMYFUNCTION("IFERROR(VLOOKUP(A6215, IMPORTRANGE(""https://docs.google.com/spreadsheets/d/1-3Vjw2Cyy-mry5gbC8ypIR3YVGFfEpyFESummAta6sg/edit"", ""Sheet1!B:D""), 3, FALSE), ""Not Found"")"),"ʤ ə r m ə n ")</f>
        <v>ʤ ə r m ə n </v>
      </c>
    </row>
    <row r="6216">
      <c r="A6216" s="1" t="s">
        <v>6218</v>
      </c>
      <c r="B6216" s="1" t="s">
        <v>5</v>
      </c>
      <c r="C6216" s="2">
        <f>IFERROR(__xludf.DUMMYFUNCTION("IFERROR(VLOOKUP(A6216, IMPORTRANGE(""https://docs.google.com/spreadsheets/d/1AVX9GT0dgogEBStecCXMMQ29tWz3gBrtNB8yIromXbY/edit?gid=741673867"", ""out1g!A:B""), 2, FALSE), 0)"),3368.0)</f>
        <v>3368</v>
      </c>
      <c r="D6216" s="2" t="str">
        <f>IFERROR(__xludf.DUMMYFUNCTION("IFERROR(VLOOKUP(A6216, IMPORTRANGE(""https://docs.google.com/spreadsheets/d/1-3Vjw2Cyy-mry5gbC8ypIR3YVGFfEpyFESummAta6sg/edit"", ""Sheet1!B:D""), 2, FALSE), ""Not Found"")"),"prɪzən")</f>
        <v>prɪzən</v>
      </c>
      <c r="E6216" s="2" t="str">
        <f>IFERROR(__xludf.DUMMYFUNCTION("IFERROR(VLOOKUP(A6216, IMPORTRANGE(""https://docs.google.com/spreadsheets/d/1-3Vjw2Cyy-mry5gbC8ypIR3YVGFfEpyFESummAta6sg/edit"", ""Sheet1!B:D""), 3, FALSE), ""Not Found"")"),"p r ɪ z ə n ")</f>
        <v>p r ɪ z ə n </v>
      </c>
    </row>
    <row r="6217">
      <c r="A6217" s="1" t="s">
        <v>6219</v>
      </c>
      <c r="B6217" s="1" t="s">
        <v>5</v>
      </c>
      <c r="C6217" s="2">
        <f>IFERROR(__xludf.DUMMYFUNCTION("IFERROR(VLOOKUP(A6217, IMPORTRANGE(""https://docs.google.com/spreadsheets/d/1AVX9GT0dgogEBStecCXMMQ29tWz3gBrtNB8yIromXbY/edit?gid=741673867"", ""out1g!A:B""), 2, FALSE), 0)"),1158.0)</f>
        <v>1158</v>
      </c>
      <c r="D6217" s="2" t="str">
        <f>IFERROR(__xludf.DUMMYFUNCTION("IFERROR(VLOOKUP(A6217, IMPORTRANGE(""https://docs.google.com/spreadsheets/d/1-3Vjw2Cyy-mry5gbC8ypIR3YVGFfEpyFESummAta6sg/edit"", ""Sheet1!B:D""), 2, FALSE), ""Not Found"")"),"ʧɪrz")</f>
        <v>ʧɪrz</v>
      </c>
      <c r="E6217" s="2" t="str">
        <f>IFERROR(__xludf.DUMMYFUNCTION("IFERROR(VLOOKUP(A6217, IMPORTRANGE(""https://docs.google.com/spreadsheets/d/1-3Vjw2Cyy-mry5gbC8ypIR3YVGFfEpyFESummAta6sg/edit"", ""Sheet1!B:D""), 3, FALSE), ""Not Found"")"),"ʧ ɪ r z ")</f>
        <v>ʧ ɪ r z </v>
      </c>
    </row>
    <row r="6218">
      <c r="A6218" s="1" t="s">
        <v>6220</v>
      </c>
      <c r="B6218" s="1" t="s">
        <v>5</v>
      </c>
      <c r="C6218" s="2">
        <f>IFERROR(__xludf.DUMMYFUNCTION("IFERROR(VLOOKUP(A6218, IMPORTRANGE(""https://docs.google.com/spreadsheets/d/1AVX9GT0dgogEBStecCXMMQ29tWz3gBrtNB8yIromXbY/edit?gid=741673867"", ""out1g!A:B""), 2, FALSE), 0)"),324.0)</f>
        <v>324</v>
      </c>
      <c r="D6218" s="2" t="str">
        <f>IFERROR(__xludf.DUMMYFUNCTION("IFERROR(VLOOKUP(A6218, IMPORTRANGE(""https://docs.google.com/spreadsheets/d/1-3Vjw2Cyy-mry5gbC8ypIR3YVGFfEpyFESummAta6sg/edit"", ""Sheet1!B:D""), 2, FALSE), ""Not Found"")"),"piʧ")</f>
        <v>piʧ</v>
      </c>
      <c r="E6218" s="2" t="str">
        <f>IFERROR(__xludf.DUMMYFUNCTION("IFERROR(VLOOKUP(A6218, IMPORTRANGE(""https://docs.google.com/spreadsheets/d/1-3Vjw2Cyy-mry5gbC8ypIR3YVGFfEpyFESummAta6sg/edit"", ""Sheet1!B:D""), 3, FALSE), ""Not Found"")"),"p i ʧ ")</f>
        <v>p i ʧ </v>
      </c>
    </row>
    <row r="6219">
      <c r="A6219" s="1" t="s">
        <v>6221</v>
      </c>
      <c r="B6219" s="1" t="s">
        <v>5</v>
      </c>
      <c r="C6219" s="2">
        <f>IFERROR(__xludf.DUMMYFUNCTION("IFERROR(VLOOKUP(A6219, IMPORTRANGE(""https://docs.google.com/spreadsheets/d/1AVX9GT0dgogEBStecCXMMQ29tWz3gBrtNB8yIromXbY/edit?gid=741673867"", ""out1g!A:B""), 2, FALSE), 0)"),142.0)</f>
        <v>142</v>
      </c>
      <c r="D6219" s="2" t="str">
        <f>IFERROR(__xludf.DUMMYFUNCTION("IFERROR(VLOOKUP(A6219, IMPORTRANGE(""https://docs.google.com/spreadsheets/d/1-3Vjw2Cyy-mry5gbC8ypIR3YVGFfEpyFESummAta6sg/edit"", ""Sheet1!B:D""), 2, FALSE), ""Not Found"")"),"dwɛl")</f>
        <v>dwɛl</v>
      </c>
      <c r="E6219" s="2" t="str">
        <f>IFERROR(__xludf.DUMMYFUNCTION("IFERROR(VLOOKUP(A6219, IMPORTRANGE(""https://docs.google.com/spreadsheets/d/1-3Vjw2Cyy-mry5gbC8ypIR3YVGFfEpyFESummAta6sg/edit"", ""Sheet1!B:D""), 3, FALSE), ""Not Found"")"),"d w ɛ l ")</f>
        <v>d w ɛ l </v>
      </c>
    </row>
    <row r="6220">
      <c r="A6220" s="1" t="s">
        <v>6222</v>
      </c>
      <c r="B6220" s="1" t="s">
        <v>5</v>
      </c>
      <c r="C6220" s="2">
        <f>IFERROR(__xludf.DUMMYFUNCTION("IFERROR(VLOOKUP(A6220, IMPORTRANGE(""https://docs.google.com/spreadsheets/d/1AVX9GT0dgogEBStecCXMMQ29tWz3gBrtNB8yIromXbY/edit?gid=741673867"", ""out1g!A:B""), 2, FALSE), 0)"),123.0)</f>
        <v>123</v>
      </c>
      <c r="D6220" s="2" t="str">
        <f>IFERROR(__xludf.DUMMYFUNCTION("IFERROR(VLOOKUP(A6220, IMPORTRANGE(""https://docs.google.com/spreadsheets/d/1-3Vjw2Cyy-mry5gbC8ypIR3YVGFfEpyFESummAta6sg/edit"", ""Sheet1!B:D""), 2, FALSE), ""Not Found"")"),"stərd")</f>
        <v>stərd</v>
      </c>
      <c r="E6220" s="2" t="str">
        <f>IFERROR(__xludf.DUMMYFUNCTION("IFERROR(VLOOKUP(A6220, IMPORTRANGE(""https://docs.google.com/spreadsheets/d/1-3Vjw2Cyy-mry5gbC8ypIR3YVGFfEpyFESummAta6sg/edit"", ""Sheet1!B:D""), 3, FALSE), ""Not Found"")"),"s t ə r d ")</f>
        <v>s t ə r d </v>
      </c>
    </row>
    <row r="6221">
      <c r="A6221" s="1" t="s">
        <v>6223</v>
      </c>
      <c r="B6221" s="1" t="s">
        <v>5</v>
      </c>
      <c r="C6221" s="2">
        <f>IFERROR(__xludf.DUMMYFUNCTION("IFERROR(VLOOKUP(A6221, IMPORTRANGE(""https://docs.google.com/spreadsheets/d/1AVX9GT0dgogEBStecCXMMQ29tWz3gBrtNB8yIromXbY/edit?gid=741673867"", ""out1g!A:B""), 2, FALSE), 0)"),12402.0)</f>
        <v>12402</v>
      </c>
      <c r="D6221" s="2" t="str">
        <f>IFERROR(__xludf.DUMMYFUNCTION("IFERROR(VLOOKUP(A6221, IMPORTRANGE(""https://docs.google.com/spreadsheets/d/1-3Vjw2Cyy-mry5gbC8ypIR3YVGFfEpyFESummAta6sg/edit"", ""Sheet1!B:D""), 2, FALSE), ""Not Found"")"),"jəŋ")</f>
        <v>jəŋ</v>
      </c>
      <c r="E6221" s="2" t="str">
        <f>IFERROR(__xludf.DUMMYFUNCTION("IFERROR(VLOOKUP(A6221, IMPORTRANGE(""https://docs.google.com/spreadsheets/d/1-3Vjw2Cyy-mry5gbC8ypIR3YVGFfEpyFESummAta6sg/edit"", ""Sheet1!B:D""), 3, FALSE), ""Not Found"")"),"j ə ŋ ")</f>
        <v>j ə ŋ </v>
      </c>
    </row>
    <row r="6222">
      <c r="A6222" s="1" t="s">
        <v>6224</v>
      </c>
      <c r="B6222" s="1" t="s">
        <v>5</v>
      </c>
      <c r="C6222" s="2">
        <f>IFERROR(__xludf.DUMMYFUNCTION("IFERROR(VLOOKUP(A6222, IMPORTRANGE(""https://docs.google.com/spreadsheets/d/1AVX9GT0dgogEBStecCXMMQ29tWz3gBrtNB8yIromXbY/edit?gid=741673867"", ""out1g!A:B""), 2, FALSE), 0)"),728.0)</f>
        <v>728</v>
      </c>
      <c r="D6222" s="2" t="str">
        <f>IFERROR(__xludf.DUMMYFUNCTION("IFERROR(VLOOKUP(A6222, IMPORTRANGE(""https://docs.google.com/spreadsheets/d/1-3Vjw2Cyy-mry5gbC8ypIR3YVGFfEpyFESummAta6sg/edit"", ""Sheet1!B:D""), 2, FALSE), ""Not Found"")"),"bɑmz")</f>
        <v>bɑmz</v>
      </c>
      <c r="E6222" s="2" t="str">
        <f>IFERROR(__xludf.DUMMYFUNCTION("IFERROR(VLOOKUP(A6222, IMPORTRANGE(""https://docs.google.com/spreadsheets/d/1-3Vjw2Cyy-mry5gbC8ypIR3YVGFfEpyFESummAta6sg/edit"", ""Sheet1!B:D""), 3, FALSE), ""Not Found"")"),"b ɑ m z ")</f>
        <v>b ɑ m z </v>
      </c>
    </row>
    <row r="6223">
      <c r="A6223" s="1" t="s">
        <v>6225</v>
      </c>
      <c r="B6223" s="1" t="s">
        <v>5</v>
      </c>
      <c r="C6223" s="2">
        <f>IFERROR(__xludf.DUMMYFUNCTION("IFERROR(VLOOKUP(A6223, IMPORTRANGE(""https://docs.google.com/spreadsheets/d/1AVX9GT0dgogEBStecCXMMQ29tWz3gBrtNB8yIromXbY/edit?gid=741673867"", ""out1g!A:B""), 2, FALSE), 0)"),3052.0)</f>
        <v>3052</v>
      </c>
      <c r="D6223" s="2" t="str">
        <f>IFERROR(__xludf.DUMMYFUNCTION("IFERROR(VLOOKUP(A6223, IMPORTRANGE(""https://docs.google.com/spreadsheets/d/1-3Vjw2Cyy-mry5gbC8ypIR3YVGFfEpyFESummAta6sg/edit"", ""Sheet1!B:D""), 2, FALSE), ""Not Found"")"),"rɪd")</f>
        <v>rɪd</v>
      </c>
      <c r="E6223" s="2" t="str">
        <f>IFERROR(__xludf.DUMMYFUNCTION("IFERROR(VLOOKUP(A6223, IMPORTRANGE(""https://docs.google.com/spreadsheets/d/1-3Vjw2Cyy-mry5gbC8ypIR3YVGFfEpyFESummAta6sg/edit"", ""Sheet1!B:D""), 3, FALSE), ""Not Found"")"),"r ɪ d ")</f>
        <v>r ɪ d </v>
      </c>
    </row>
    <row r="6224">
      <c r="A6224" s="1" t="s">
        <v>6226</v>
      </c>
      <c r="B6224" s="1" t="s">
        <v>5</v>
      </c>
      <c r="C6224" s="2">
        <f>IFERROR(__xludf.DUMMYFUNCTION("IFERROR(VLOOKUP(A6224, IMPORTRANGE(""https://docs.google.com/spreadsheets/d/1AVX9GT0dgogEBStecCXMMQ29tWz3gBrtNB8yIromXbY/edit?gid=741673867"", ""out1g!A:B""), 2, FALSE), 0)"),294.0)</f>
        <v>294</v>
      </c>
      <c r="D6224" s="2" t="str">
        <f>IFERROR(__xludf.DUMMYFUNCTION("IFERROR(VLOOKUP(A6224, IMPORTRANGE(""https://docs.google.com/spreadsheets/d/1-3Vjw2Cyy-mry5gbC8ypIR3YVGFfEpyFESummAta6sg/edit"", ""Sheet1!B:D""), 2, FALSE), ""Not Found"")"),"ʧɛk")</f>
        <v>ʧɛk</v>
      </c>
      <c r="E6224" s="2" t="str">
        <f>IFERROR(__xludf.DUMMYFUNCTION("IFERROR(VLOOKUP(A6224, IMPORTRANGE(""https://docs.google.com/spreadsheets/d/1-3Vjw2Cyy-mry5gbC8ypIR3YVGFfEpyFESummAta6sg/edit"", ""Sheet1!B:D""), 3, FALSE), ""Not Found"")"),"ʧ ɛ k ")</f>
        <v>ʧ ɛ k </v>
      </c>
    </row>
    <row r="6225">
      <c r="A6225" s="1" t="s">
        <v>6227</v>
      </c>
      <c r="B6225" s="1" t="s">
        <v>5</v>
      </c>
      <c r="C6225" s="2">
        <f>IFERROR(__xludf.DUMMYFUNCTION("IFERROR(VLOOKUP(A6225, IMPORTRANGE(""https://docs.google.com/spreadsheets/d/1AVX9GT0dgogEBStecCXMMQ29tWz3gBrtNB8yIromXbY/edit?gid=741673867"", ""out1g!A:B""), 2, FALSE), 0)"),76.0)</f>
        <v>76</v>
      </c>
      <c r="D6225" s="2" t="str">
        <f>IFERROR(__xludf.DUMMYFUNCTION("IFERROR(VLOOKUP(A6225, IMPORTRANGE(""https://docs.google.com/spreadsheets/d/1-3Vjw2Cyy-mry5gbC8ypIR3YVGFfEpyFESummAta6sg/edit"", ""Sheet1!B:D""), 2, FALSE), ""Not Found"")"),"saɪfər")</f>
        <v>saɪfər</v>
      </c>
      <c r="E6225" s="2" t="str">
        <f>IFERROR(__xludf.DUMMYFUNCTION("IFERROR(VLOOKUP(A6225, IMPORTRANGE(""https://docs.google.com/spreadsheets/d/1-3Vjw2Cyy-mry5gbC8ypIR3YVGFfEpyFESummAta6sg/edit"", ""Sheet1!B:D""), 3, FALSE), ""Not Found"")"),"s a ɪ f ə r ")</f>
        <v>s a ɪ f ə r </v>
      </c>
    </row>
    <row r="6226">
      <c r="A6226" s="1" t="s">
        <v>6228</v>
      </c>
      <c r="B6226" s="1" t="s">
        <v>5</v>
      </c>
      <c r="C6226" s="2">
        <f>IFERROR(__xludf.DUMMYFUNCTION("IFERROR(VLOOKUP(A6226, IMPORTRANGE(""https://docs.google.com/spreadsheets/d/1AVX9GT0dgogEBStecCXMMQ29tWz3gBrtNB8yIromXbY/edit?gid=741673867"", ""out1g!A:B""), 2, FALSE), 0)"),513.0)</f>
        <v>513</v>
      </c>
      <c r="D6226" s="2" t="str">
        <f>IFERROR(__xludf.DUMMYFUNCTION("IFERROR(VLOOKUP(A6226, IMPORTRANGE(""https://docs.google.com/spreadsheets/d/1-3Vjw2Cyy-mry5gbC8ypIR3YVGFfEpyFESummAta6sg/edit"", ""Sheet1!B:D""), 2, FALSE), ""Not Found"")"),"ʃɔrtli")</f>
        <v>ʃɔrtli</v>
      </c>
      <c r="E6226" s="2" t="str">
        <f>IFERROR(__xludf.DUMMYFUNCTION("IFERROR(VLOOKUP(A6226, IMPORTRANGE(""https://docs.google.com/spreadsheets/d/1-3Vjw2Cyy-mry5gbC8ypIR3YVGFfEpyFESummAta6sg/edit"", ""Sheet1!B:D""), 3, FALSE), ""Not Found"")"),"ʃ ɔ r t l i ")</f>
        <v>ʃ ɔ r t l i </v>
      </c>
    </row>
    <row r="6227">
      <c r="A6227" s="1" t="s">
        <v>6229</v>
      </c>
      <c r="B6227" s="1" t="s">
        <v>5</v>
      </c>
      <c r="C6227" s="2">
        <f>IFERROR(__xludf.DUMMYFUNCTION("IFERROR(VLOOKUP(A6227, IMPORTRANGE(""https://docs.google.com/spreadsheets/d/1AVX9GT0dgogEBStecCXMMQ29tWz3gBrtNB8yIromXbY/edit?gid=741673867"", ""out1g!A:B""), 2, FALSE), 0)"),62.0)</f>
        <v>62</v>
      </c>
      <c r="D6227" s="2" t="str">
        <f>IFERROR(__xludf.DUMMYFUNCTION("IFERROR(VLOOKUP(A6227, IMPORTRANGE(""https://docs.google.com/spreadsheets/d/1-3Vjw2Cyy-mry5gbC8ypIR3YVGFfEpyFESummAta6sg/edit"", ""Sheet1!B:D""), 2, FALSE), ""Not Found"")"),"bugər")</f>
        <v>bugər</v>
      </c>
      <c r="E6227" s="2" t="str">
        <f>IFERROR(__xludf.DUMMYFUNCTION("IFERROR(VLOOKUP(A6227, IMPORTRANGE(""https://docs.google.com/spreadsheets/d/1-3Vjw2Cyy-mry5gbC8ypIR3YVGFfEpyFESummAta6sg/edit"", ""Sheet1!B:D""), 3, FALSE), ""Not Found"")"),"b u g ə r ")</f>
        <v>b u g ə r </v>
      </c>
    </row>
    <row r="6228">
      <c r="A6228" s="1" t="s">
        <v>6230</v>
      </c>
      <c r="B6228" s="1" t="s">
        <v>5</v>
      </c>
      <c r="C6228" s="2">
        <f>IFERROR(__xludf.DUMMYFUNCTION("IFERROR(VLOOKUP(A6228, IMPORTRANGE(""https://docs.google.com/spreadsheets/d/1AVX9GT0dgogEBStecCXMMQ29tWz3gBrtNB8yIromXbY/edit?gid=741673867"", ""out1g!A:B""), 2, FALSE), 0)"),178.0)</f>
        <v>178</v>
      </c>
      <c r="D6228" s="2" t="str">
        <f>IFERROR(__xludf.DUMMYFUNCTION("IFERROR(VLOOKUP(A6228, IMPORTRANGE(""https://docs.google.com/spreadsheets/d/1-3Vjw2Cyy-mry5gbC8ypIR3YVGFfEpyFESummAta6sg/edit"", ""Sheet1!B:D""), 2, FALSE), ""Not Found"")"),"sɑks")</f>
        <v>sɑks</v>
      </c>
      <c r="E6228" s="2" t="str">
        <f>IFERROR(__xludf.DUMMYFUNCTION("IFERROR(VLOOKUP(A6228, IMPORTRANGE(""https://docs.google.com/spreadsheets/d/1-3Vjw2Cyy-mry5gbC8ypIR3YVGFfEpyFESummAta6sg/edit"", ""Sheet1!B:D""), 3, FALSE), ""Not Found"")"),"s ɑ k s ")</f>
        <v>s ɑ k s </v>
      </c>
    </row>
    <row r="6229">
      <c r="A6229" s="1" t="s">
        <v>6231</v>
      </c>
      <c r="B6229" s="1" t="s">
        <v>5</v>
      </c>
      <c r="C6229" s="2">
        <f>IFERROR(__xludf.DUMMYFUNCTION("IFERROR(VLOOKUP(A6229, IMPORTRANGE(""https://docs.google.com/spreadsheets/d/1AVX9GT0dgogEBStecCXMMQ29tWz3gBrtNB8yIromXbY/edit?gid=741673867"", ""out1g!A:B""), 2, FALSE), 0)"),714.0)</f>
        <v>714</v>
      </c>
      <c r="D6229" s="2" t="str">
        <f>IFERROR(__xludf.DUMMYFUNCTION("IFERROR(VLOOKUP(A6229, IMPORTRANGE(""https://docs.google.com/spreadsheets/d/1-3Vjw2Cyy-mry5gbC8ypIR3YVGFfEpyFESummAta6sg/edit"", ""Sheet1!B:D""), 2, FALSE), ""Not Found"")"),"rəbər")</f>
        <v>rəbər</v>
      </c>
      <c r="E6229" s="2" t="str">
        <f>IFERROR(__xludf.DUMMYFUNCTION("IFERROR(VLOOKUP(A6229, IMPORTRANGE(""https://docs.google.com/spreadsheets/d/1-3Vjw2Cyy-mry5gbC8ypIR3YVGFfEpyFESummAta6sg/edit"", ""Sheet1!B:D""), 3, FALSE), ""Not Found"")"),"r ə b ə r ")</f>
        <v>r ə b ə r </v>
      </c>
    </row>
    <row r="6230">
      <c r="A6230" s="1" t="s">
        <v>6232</v>
      </c>
      <c r="B6230" s="1" t="s">
        <v>5</v>
      </c>
      <c r="C6230" s="2">
        <f>IFERROR(__xludf.DUMMYFUNCTION("IFERROR(VLOOKUP(A6230, IMPORTRANGE(""https://docs.google.com/spreadsheets/d/1AVX9GT0dgogEBStecCXMMQ29tWz3gBrtNB8yIromXbY/edit?gid=741673867"", ""out1g!A:B""), 2, FALSE), 0)"),177.0)</f>
        <v>177</v>
      </c>
      <c r="D6230" s="2" t="str">
        <f>IFERROR(__xludf.DUMMYFUNCTION("IFERROR(VLOOKUP(A6230, IMPORTRANGE(""https://docs.google.com/spreadsheets/d/1-3Vjw2Cyy-mry5gbC8ypIR3YVGFfEpyFESummAta6sg/edit"", ""Sheet1!B:D""), 2, FALSE), ""Not Found"")"),"wum")</f>
        <v>wum</v>
      </c>
      <c r="E6230" s="2" t="str">
        <f>IFERROR(__xludf.DUMMYFUNCTION("IFERROR(VLOOKUP(A6230, IMPORTRANGE(""https://docs.google.com/spreadsheets/d/1-3Vjw2Cyy-mry5gbC8ypIR3YVGFfEpyFESummAta6sg/edit"", ""Sheet1!B:D""), 3, FALSE), ""Not Found"")"),"w u m ")</f>
        <v>w u m </v>
      </c>
    </row>
    <row r="6231">
      <c r="A6231" s="1" t="s">
        <v>6233</v>
      </c>
      <c r="B6231" s="1" t="s">
        <v>5</v>
      </c>
      <c r="C6231" s="2">
        <f>IFERROR(__xludf.DUMMYFUNCTION("IFERROR(VLOOKUP(A6231, IMPORTRANGE(""https://docs.google.com/spreadsheets/d/1AVX9GT0dgogEBStecCXMMQ29tWz3gBrtNB8yIromXbY/edit?gid=741673867"", ""out1g!A:B""), 2, FALSE), 0)"),1140.0)</f>
        <v>1140</v>
      </c>
      <c r="D6231" s="2" t="str">
        <f>IFERROR(__xludf.DUMMYFUNCTION("IFERROR(VLOOKUP(A6231, IMPORTRANGE(""https://docs.google.com/spreadsheets/d/1-3Vjw2Cyy-mry5gbC8ypIR3YVGFfEpyFESummAta6sg/edit"", ""Sheet1!B:D""), 2, FALSE), ""Not Found"")"),"tɪrz")</f>
        <v>tɪrz</v>
      </c>
      <c r="E6231" s="2" t="str">
        <f>IFERROR(__xludf.DUMMYFUNCTION("IFERROR(VLOOKUP(A6231, IMPORTRANGE(""https://docs.google.com/spreadsheets/d/1-3Vjw2Cyy-mry5gbC8ypIR3YVGFfEpyFESummAta6sg/edit"", ""Sheet1!B:D""), 3, FALSE), ""Not Found"")"),"t ɪ r z ")</f>
        <v>t ɪ r z </v>
      </c>
    </row>
    <row r="6232">
      <c r="A6232" s="1" t="s">
        <v>6234</v>
      </c>
      <c r="B6232" s="1" t="s">
        <v>5</v>
      </c>
      <c r="C6232" s="2">
        <f>IFERROR(__xludf.DUMMYFUNCTION("IFERROR(VLOOKUP(A6232, IMPORTRANGE(""https://docs.google.com/spreadsheets/d/1AVX9GT0dgogEBStecCXMMQ29tWz3gBrtNB8yIromXbY/edit?gid=741673867"", ""out1g!A:B""), 2, FALSE), 0)"),139.0)</f>
        <v>139</v>
      </c>
      <c r="D6232" s="2" t="str">
        <f>IFERROR(__xludf.DUMMYFUNCTION("IFERROR(VLOOKUP(A6232, IMPORTRANGE(""https://docs.google.com/spreadsheets/d/1-3Vjw2Cyy-mry5gbC8ypIR3YVGFfEpyFESummAta6sg/edit"", ""Sheet1!B:D""), 2, FALSE), ""Not Found"")"),"hitər")</f>
        <v>hitər</v>
      </c>
      <c r="E6232" s="2" t="str">
        <f>IFERROR(__xludf.DUMMYFUNCTION("IFERROR(VLOOKUP(A6232, IMPORTRANGE(""https://docs.google.com/spreadsheets/d/1-3Vjw2Cyy-mry5gbC8ypIR3YVGFfEpyFESummAta6sg/edit"", ""Sheet1!B:D""), 3, FALSE), ""Not Found"")"),"h i t ə r ")</f>
        <v>h i t ə r </v>
      </c>
    </row>
    <row r="6233">
      <c r="A6233" s="1" t="s">
        <v>6235</v>
      </c>
      <c r="B6233" s="1" t="s">
        <v>5</v>
      </c>
      <c r="C6233" s="2">
        <f>IFERROR(__xludf.DUMMYFUNCTION("IFERROR(VLOOKUP(A6233, IMPORTRANGE(""https://docs.google.com/spreadsheets/d/1AVX9GT0dgogEBStecCXMMQ29tWz3gBrtNB8yIromXbY/edit?gid=741673867"", ""out1g!A:B""), 2, FALSE), 0)"),285.0)</f>
        <v>285</v>
      </c>
      <c r="D6233" s="2" t="str">
        <f>IFERROR(__xludf.DUMMYFUNCTION("IFERROR(VLOOKUP(A6233, IMPORTRANGE(""https://docs.google.com/spreadsheets/d/1-3Vjw2Cyy-mry5gbC8ypIR3YVGFfEpyFESummAta6sg/edit"", ""Sheet1!B:D""), 2, FALSE), ""Not Found"")"),"koʊ")</f>
        <v>koʊ</v>
      </c>
      <c r="E6233" s="2" t="str">
        <f>IFERROR(__xludf.DUMMYFUNCTION("IFERROR(VLOOKUP(A6233, IMPORTRANGE(""https://docs.google.com/spreadsheets/d/1-3Vjw2Cyy-mry5gbC8ypIR3YVGFfEpyFESummAta6sg/edit"", ""Sheet1!B:D""), 3, FALSE), ""Not Found"")"),"k o ʊ ")</f>
        <v>k o ʊ </v>
      </c>
    </row>
    <row r="6234">
      <c r="A6234" s="1" t="s">
        <v>6236</v>
      </c>
      <c r="B6234" s="1" t="s">
        <v>5</v>
      </c>
      <c r="C6234" s="2">
        <f>IFERROR(__xludf.DUMMYFUNCTION("IFERROR(VLOOKUP(A6234, IMPORTRANGE(""https://docs.google.com/spreadsheets/d/1AVX9GT0dgogEBStecCXMMQ29tWz3gBrtNB8yIromXbY/edit?gid=741673867"", ""out1g!A:B""), 2, FALSE), 0)"),62.0)</f>
        <v>62</v>
      </c>
      <c r="D6234" s="2" t="str">
        <f>IFERROR(__xludf.DUMMYFUNCTION("IFERROR(VLOOKUP(A6234, IMPORTRANGE(""https://docs.google.com/spreadsheets/d/1-3Vjw2Cyy-mry5gbC8ypIR3YVGFfEpyFESummAta6sg/edit"", ""Sheet1!B:D""), 2, FALSE), ""Not Found"")"),"dædiz")</f>
        <v>dædiz</v>
      </c>
      <c r="E6234" s="2" t="str">
        <f>IFERROR(__xludf.DUMMYFUNCTION("IFERROR(VLOOKUP(A6234, IMPORTRANGE(""https://docs.google.com/spreadsheets/d/1-3Vjw2Cyy-mry5gbC8ypIR3YVGFfEpyFESummAta6sg/edit"", ""Sheet1!B:D""), 3, FALSE), ""Not Found"")"),"d æ d i z ")</f>
        <v>d æ d i z </v>
      </c>
    </row>
    <row r="6235">
      <c r="A6235" s="1" t="s">
        <v>6237</v>
      </c>
      <c r="B6235" s="1" t="s">
        <v>5</v>
      </c>
      <c r="C6235" s="2">
        <f>IFERROR(__xludf.DUMMYFUNCTION("IFERROR(VLOOKUP(A6235, IMPORTRANGE(""https://docs.google.com/spreadsheets/d/1AVX9GT0dgogEBStecCXMMQ29tWz3gBrtNB8yIromXbY/edit?gid=741673867"", ""out1g!A:B""), 2, FALSE), 0)"),940.0)</f>
        <v>940</v>
      </c>
      <c r="D6235" s="2" t="str">
        <f>IFERROR(__xludf.DUMMYFUNCTION("IFERROR(VLOOKUP(A6235, IMPORTRANGE(""https://docs.google.com/spreadsheets/d/1-3Vjw2Cyy-mry5gbC8ypIR3YVGFfEpyFESummAta6sg/edit"", ""Sheet1!B:D""), 2, FALSE), ""Not Found"")"),"baʊnd")</f>
        <v>baʊnd</v>
      </c>
      <c r="E6235" s="2" t="str">
        <f>IFERROR(__xludf.DUMMYFUNCTION("IFERROR(VLOOKUP(A6235, IMPORTRANGE(""https://docs.google.com/spreadsheets/d/1-3Vjw2Cyy-mry5gbC8ypIR3YVGFfEpyFESummAta6sg/edit"", ""Sheet1!B:D""), 3, FALSE), ""Not Found"")"),"b a ʊ n d ")</f>
        <v>b a ʊ n d </v>
      </c>
    </row>
    <row r="6236">
      <c r="A6236" s="1" t="s">
        <v>6238</v>
      </c>
      <c r="B6236" s="1" t="s">
        <v>5</v>
      </c>
      <c r="C6236" s="2">
        <f>IFERROR(__xludf.DUMMYFUNCTION("IFERROR(VLOOKUP(A6236, IMPORTRANGE(""https://docs.google.com/spreadsheets/d/1AVX9GT0dgogEBStecCXMMQ29tWz3gBrtNB8yIromXbY/edit?gid=741673867"", ""out1g!A:B""), 2, FALSE), 0)"),428.0)</f>
        <v>428</v>
      </c>
      <c r="D6236" s="2" t="str">
        <f>IFERROR(__xludf.DUMMYFUNCTION("IFERROR(VLOOKUP(A6236, IMPORTRANGE(""https://docs.google.com/spreadsheets/d/1-3Vjw2Cyy-mry5gbC8ypIR3YVGFfEpyFESummAta6sg/edit"", ""Sheet1!B:D""), 2, FALSE), ""Not Found"")"),"hɔrni")</f>
        <v>hɔrni</v>
      </c>
      <c r="E6236" s="2" t="str">
        <f>IFERROR(__xludf.DUMMYFUNCTION("IFERROR(VLOOKUP(A6236, IMPORTRANGE(""https://docs.google.com/spreadsheets/d/1-3Vjw2Cyy-mry5gbC8ypIR3YVGFfEpyFESummAta6sg/edit"", ""Sheet1!B:D""), 3, FALSE), ""Not Found"")"),"h ɔ r n i ")</f>
        <v>h ɔ r n i </v>
      </c>
    </row>
    <row r="6237">
      <c r="A6237" s="1" t="s">
        <v>6239</v>
      </c>
      <c r="B6237" s="1" t="s">
        <v>5</v>
      </c>
      <c r="C6237" s="2">
        <f>IFERROR(__xludf.DUMMYFUNCTION("IFERROR(VLOOKUP(A6237, IMPORTRANGE(""https://docs.google.com/spreadsheets/d/1AVX9GT0dgogEBStecCXMMQ29tWz3gBrtNB8yIromXbY/edit?gid=741673867"", ""out1g!A:B""), 2, FALSE), 0)"),87.0)</f>
        <v>87</v>
      </c>
      <c r="D6237" s="2" t="str">
        <f>IFERROR(__xludf.DUMMYFUNCTION("IFERROR(VLOOKUP(A6237, IMPORTRANGE(""https://docs.google.com/spreadsheets/d/1-3Vjw2Cyy-mry5gbC8ypIR3YVGFfEpyFESummAta6sg/edit"", ""Sheet1!B:D""), 2, FALSE), ""Not Found"")"),"prezd")</f>
        <v>prezd</v>
      </c>
      <c r="E6237" s="2" t="str">
        <f>IFERROR(__xludf.DUMMYFUNCTION("IFERROR(VLOOKUP(A6237, IMPORTRANGE(""https://docs.google.com/spreadsheets/d/1-3Vjw2Cyy-mry5gbC8ypIR3YVGFfEpyFESummAta6sg/edit"", ""Sheet1!B:D""), 3, FALSE), ""Not Found"")"),"p r e z d ")</f>
        <v>p r e z d </v>
      </c>
    </row>
    <row r="6238">
      <c r="A6238" s="1" t="s">
        <v>6240</v>
      </c>
      <c r="B6238" s="1" t="s">
        <v>5</v>
      </c>
      <c r="C6238" s="2">
        <f>IFERROR(__xludf.DUMMYFUNCTION("IFERROR(VLOOKUP(A6238, IMPORTRANGE(""https://docs.google.com/spreadsheets/d/1AVX9GT0dgogEBStecCXMMQ29tWz3gBrtNB8yIromXbY/edit?gid=741673867"", ""out1g!A:B""), 2, FALSE), 0)"),260.0)</f>
        <v>260</v>
      </c>
      <c r="D6238" s="2" t="str">
        <f>IFERROR(__xludf.DUMMYFUNCTION("IFERROR(VLOOKUP(A6238, IMPORTRANGE(""https://docs.google.com/spreadsheets/d/1-3Vjw2Cyy-mry5gbC8ypIR3YVGFfEpyFESummAta6sg/edit"", ""Sheet1!B:D""), 2, FALSE), ""Not Found"")"),"θɔrn")</f>
        <v>θɔrn</v>
      </c>
      <c r="E6238" s="2" t="str">
        <f>IFERROR(__xludf.DUMMYFUNCTION("IFERROR(VLOOKUP(A6238, IMPORTRANGE(""https://docs.google.com/spreadsheets/d/1-3Vjw2Cyy-mry5gbC8ypIR3YVGFfEpyFESummAta6sg/edit"", ""Sheet1!B:D""), 3, FALSE), ""Not Found"")"),"θ ɔ r n ")</f>
        <v>θ ɔ r n </v>
      </c>
    </row>
    <row r="6239">
      <c r="A6239" s="1" t="s">
        <v>6241</v>
      </c>
      <c r="B6239" s="1" t="s">
        <v>5</v>
      </c>
      <c r="C6239" s="2">
        <f>IFERROR(__xludf.DUMMYFUNCTION("IFERROR(VLOOKUP(A6239, IMPORTRANGE(""https://docs.google.com/spreadsheets/d/1AVX9GT0dgogEBStecCXMMQ29tWz3gBrtNB8yIromXbY/edit?gid=741673867"", ""out1g!A:B""), 2, FALSE), 0)"),25.0)</f>
        <v>25</v>
      </c>
      <c r="D6239" s="2" t="str">
        <f>IFERROR(__xludf.DUMMYFUNCTION("IFERROR(VLOOKUP(A6239, IMPORTRANGE(""https://docs.google.com/spreadsheets/d/1-3Vjw2Cyy-mry5gbC8ypIR3YVGFfEpyFESummAta6sg/edit"", ""Sheet1!B:D""), 2, FALSE), ""Not Found"")"),"pɛstoʊ")</f>
        <v>pɛstoʊ</v>
      </c>
      <c r="E6239" s="2" t="str">
        <f>IFERROR(__xludf.DUMMYFUNCTION("IFERROR(VLOOKUP(A6239, IMPORTRANGE(""https://docs.google.com/spreadsheets/d/1-3Vjw2Cyy-mry5gbC8ypIR3YVGFfEpyFESummAta6sg/edit"", ""Sheet1!B:D""), 3, FALSE), ""Not Found"")"),"p ɛ s t o ʊ ")</f>
        <v>p ɛ s t o ʊ </v>
      </c>
    </row>
    <row r="6240">
      <c r="A6240" s="1" t="s">
        <v>6242</v>
      </c>
      <c r="B6240" s="1" t="s">
        <v>5</v>
      </c>
      <c r="C6240" s="2">
        <f>IFERROR(__xludf.DUMMYFUNCTION("IFERROR(VLOOKUP(A6240, IMPORTRANGE(""https://docs.google.com/spreadsheets/d/1AVX9GT0dgogEBStecCXMMQ29tWz3gBrtNB8yIromXbY/edit?gid=741673867"", ""out1g!A:B""), 2, FALSE), 0)"),61.0)</f>
        <v>61</v>
      </c>
      <c r="D6240" s="2" t="str">
        <f>IFERROR(__xludf.DUMMYFUNCTION("IFERROR(VLOOKUP(A6240, IMPORTRANGE(""https://docs.google.com/spreadsheets/d/1-3Vjw2Cyy-mry5gbC8ypIR3YVGFfEpyFESummAta6sg/edit"", ""Sheet1!B:D""), 2, FALSE), ""Not Found"")"),"paɪnz")</f>
        <v>paɪnz</v>
      </c>
      <c r="E6240" s="2" t="str">
        <f>IFERROR(__xludf.DUMMYFUNCTION("IFERROR(VLOOKUP(A6240, IMPORTRANGE(""https://docs.google.com/spreadsheets/d/1-3Vjw2Cyy-mry5gbC8ypIR3YVGFfEpyFESummAta6sg/edit"", ""Sheet1!B:D""), 3, FALSE), ""Not Found"")"),"p a ɪ n z ")</f>
        <v>p a ɪ n z </v>
      </c>
    </row>
    <row r="6241">
      <c r="A6241" s="1" t="s">
        <v>6243</v>
      </c>
      <c r="B6241" s="1" t="s">
        <v>5</v>
      </c>
      <c r="C6241" s="2">
        <f>IFERROR(__xludf.DUMMYFUNCTION("IFERROR(VLOOKUP(A6241, IMPORTRANGE(""https://docs.google.com/spreadsheets/d/1AVX9GT0dgogEBStecCXMMQ29tWz3gBrtNB8yIromXbY/edit?gid=741673867"", ""out1g!A:B""), 2, FALSE), 0)"),4568.0)</f>
        <v>4568</v>
      </c>
      <c r="D6241" s="2" t="str">
        <f>IFERROR(__xludf.DUMMYFUNCTION("IFERROR(VLOOKUP(A6241, IMPORTRANGE(""https://docs.google.com/spreadsheets/d/1-3Vjw2Cyy-mry5gbC8ypIR3YVGFfEpyFESummAta6sg/edit"", ""Sheet1!B:D""), 2, FALSE), ""Not Found"")"),"mɪst")</f>
        <v>mɪst</v>
      </c>
      <c r="E6241" s="2" t="str">
        <f>IFERROR(__xludf.DUMMYFUNCTION("IFERROR(VLOOKUP(A6241, IMPORTRANGE(""https://docs.google.com/spreadsheets/d/1-3Vjw2Cyy-mry5gbC8ypIR3YVGFfEpyFESummAta6sg/edit"", ""Sheet1!B:D""), 3, FALSE), ""Not Found"")"),"m ɪ s t ")</f>
        <v>m ɪ s t </v>
      </c>
    </row>
    <row r="6242">
      <c r="A6242" s="1" t="s">
        <v>6244</v>
      </c>
      <c r="B6242" s="1" t="s">
        <v>5</v>
      </c>
      <c r="C6242" s="2">
        <f>IFERROR(__xludf.DUMMYFUNCTION("IFERROR(VLOOKUP(A6242, IMPORTRANGE(""https://docs.google.com/spreadsheets/d/1AVX9GT0dgogEBStecCXMMQ29tWz3gBrtNB8yIromXbY/edit?gid=741673867"", ""out1g!A:B""), 2, FALSE), 0)"),62.0)</f>
        <v>62</v>
      </c>
      <c r="D6242" s="2" t="str">
        <f>IFERROR(__xludf.DUMMYFUNCTION("IFERROR(VLOOKUP(A6242, IMPORTRANGE(""https://docs.google.com/spreadsheets/d/1-3Vjw2Cyy-mry5gbC8ypIR3YVGFfEpyFESummAta6sg/edit"", ""Sheet1!B:D""), 2, FALSE), ""Not Found"")"),"pikt")</f>
        <v>pikt</v>
      </c>
      <c r="E6242" s="2" t="str">
        <f>IFERROR(__xludf.DUMMYFUNCTION("IFERROR(VLOOKUP(A6242, IMPORTRANGE(""https://docs.google.com/spreadsheets/d/1-3Vjw2Cyy-mry5gbC8ypIR3YVGFfEpyFESummAta6sg/edit"", ""Sheet1!B:D""), 3, FALSE), ""Not Found"")"),"p i k t ")</f>
        <v>p i k t </v>
      </c>
    </row>
    <row r="6243">
      <c r="A6243" s="1" t="s">
        <v>6245</v>
      </c>
      <c r="B6243" s="1" t="s">
        <v>5</v>
      </c>
      <c r="C6243" s="2">
        <f>IFERROR(__xludf.DUMMYFUNCTION("IFERROR(VLOOKUP(A6243, IMPORTRANGE(""https://docs.google.com/spreadsheets/d/1AVX9GT0dgogEBStecCXMMQ29tWz3gBrtNB8yIromXbY/edit?gid=741673867"", ""out1g!A:B""), 2, FALSE), 0)"),445.0)</f>
        <v>445</v>
      </c>
      <c r="D6243" s="2" t="str">
        <f>IFERROR(__xludf.DUMMYFUNCTION("IFERROR(VLOOKUP(A6243, IMPORTRANGE(""https://docs.google.com/spreadsheets/d/1-3Vjw2Cyy-mry5gbC8ypIR3YVGFfEpyFESummAta6sg/edit"", ""Sheet1!B:D""), 2, FALSE), ""Not Found"")"),"ridz")</f>
        <v>ridz</v>
      </c>
      <c r="E6243" s="2" t="str">
        <f>IFERROR(__xludf.DUMMYFUNCTION("IFERROR(VLOOKUP(A6243, IMPORTRANGE(""https://docs.google.com/spreadsheets/d/1-3Vjw2Cyy-mry5gbC8ypIR3YVGFfEpyFESummAta6sg/edit"", ""Sheet1!B:D""), 3, FALSE), ""Not Found"")"),"r i d z ")</f>
        <v>r i d z </v>
      </c>
    </row>
    <row r="6244">
      <c r="A6244" s="1" t="s">
        <v>6246</v>
      </c>
      <c r="B6244" s="1" t="s">
        <v>5</v>
      </c>
      <c r="C6244" s="2">
        <f>IFERROR(__xludf.DUMMYFUNCTION("IFERROR(VLOOKUP(A6244, IMPORTRANGE(""https://docs.google.com/spreadsheets/d/1AVX9GT0dgogEBStecCXMMQ29tWz3gBrtNB8yIromXbY/edit?gid=741673867"", ""out1g!A:B""), 2, FALSE), 0)"),4989.0)</f>
        <v>4989</v>
      </c>
      <c r="D6244" s="2" t="str">
        <f>IFERROR(__xludf.DUMMYFUNCTION("IFERROR(VLOOKUP(A6244, IMPORTRANGE(""https://docs.google.com/spreadsheets/d/1-3Vjw2Cyy-mry5gbC8ypIR3YVGFfEpyFESummAta6sg/edit"", ""Sheet1!B:D""), 2, FALSE), ""Not Found"")"),"tieʧ")</f>
        <v>tieʧ</v>
      </c>
      <c r="E6244" s="2" t="str">
        <f>IFERROR(__xludf.DUMMYFUNCTION("IFERROR(VLOOKUP(A6244, IMPORTRANGE(""https://docs.google.com/spreadsheets/d/1-3Vjw2Cyy-mry5gbC8ypIR3YVGFfEpyFESummAta6sg/edit"", ""Sheet1!B:D""), 3, FALSE), ""Not Found"")"),"t i e ʧ ")</f>
        <v>t i e ʧ </v>
      </c>
    </row>
    <row r="6245">
      <c r="A6245" s="1" t="s">
        <v>6247</v>
      </c>
      <c r="B6245" s="1" t="s">
        <v>5</v>
      </c>
      <c r="C6245" s="2">
        <f>IFERROR(__xludf.DUMMYFUNCTION("IFERROR(VLOOKUP(A6245, IMPORTRANGE(""https://docs.google.com/spreadsheets/d/1AVX9GT0dgogEBStecCXMMQ29tWz3gBrtNB8yIromXbY/edit?gid=741673867"", ""out1g!A:B""), 2, FALSE), 0)"),35.0)</f>
        <v>35</v>
      </c>
      <c r="D6245" s="2" t="str">
        <f>IFERROR(__xludf.DUMMYFUNCTION("IFERROR(VLOOKUP(A6245, IMPORTRANGE(""https://docs.google.com/spreadsheets/d/1-3Vjw2Cyy-mry5gbC8ypIR3YVGFfEpyFESummAta6sg/edit"", ""Sheet1!B:D""), 2, FALSE), ""Not Found"")"),"bər")</f>
        <v>bər</v>
      </c>
      <c r="E6245" s="2" t="str">
        <f>IFERROR(__xludf.DUMMYFUNCTION("IFERROR(VLOOKUP(A6245, IMPORTRANGE(""https://docs.google.com/spreadsheets/d/1-3Vjw2Cyy-mry5gbC8ypIR3YVGFfEpyFESummAta6sg/edit"", ""Sheet1!B:D""), 3, FALSE), ""Not Found"")"),"b ə r ")</f>
        <v>b ə r </v>
      </c>
    </row>
    <row r="6246">
      <c r="A6246" s="1" t="s">
        <v>6248</v>
      </c>
      <c r="B6246" s="1" t="s">
        <v>5</v>
      </c>
      <c r="C6246" s="2">
        <f>IFERROR(__xludf.DUMMYFUNCTION("IFERROR(VLOOKUP(A6246, IMPORTRANGE(""https://docs.google.com/spreadsheets/d/1AVX9GT0dgogEBStecCXMMQ29tWz3gBrtNB8yIromXbY/edit?gid=741673867"", ""out1g!A:B""), 2, FALSE), 0)"),123.0)</f>
        <v>123</v>
      </c>
      <c r="D6246" s="2" t="str">
        <f>IFERROR(__xludf.DUMMYFUNCTION("IFERROR(VLOOKUP(A6246, IMPORTRANGE(""https://docs.google.com/spreadsheets/d/1-3Vjw2Cyy-mry5gbC8ypIR3YVGFfEpyFESummAta6sg/edit"", ""Sheet1!B:D""), 2, FALSE), ""Not Found"")"),"brɑk")</f>
        <v>brɑk</v>
      </c>
      <c r="E6246" s="2" t="str">
        <f>IFERROR(__xludf.DUMMYFUNCTION("IFERROR(VLOOKUP(A6246, IMPORTRANGE(""https://docs.google.com/spreadsheets/d/1-3Vjw2Cyy-mry5gbC8ypIR3YVGFfEpyFESummAta6sg/edit"", ""Sheet1!B:D""), 3, FALSE), ""Not Found"")"),"b r ɑ k ")</f>
        <v>b r ɑ k </v>
      </c>
    </row>
    <row r="6247">
      <c r="A6247" s="1" t="s">
        <v>6249</v>
      </c>
      <c r="B6247" s="1" t="s">
        <v>5</v>
      </c>
      <c r="C6247" s="2">
        <f>IFERROR(__xludf.DUMMYFUNCTION("IFERROR(VLOOKUP(A6247, IMPORTRANGE(""https://docs.google.com/spreadsheets/d/1AVX9GT0dgogEBStecCXMMQ29tWz3gBrtNB8yIromXbY/edit?gid=741673867"", ""out1g!A:B""), 2, FALSE), 0)"),3564.0)</f>
        <v>3564</v>
      </c>
      <c r="D6247" s="2" t="str">
        <f>IFERROR(__xludf.DUMMYFUNCTION("IFERROR(VLOOKUP(A6247, IMPORTRANGE(""https://docs.google.com/spreadsheets/d/1-3Vjw2Cyy-mry5gbC8ypIR3YVGFfEpyFESummAta6sg/edit"", ""Sheet1!B:D""), 2, FALSE), ""Not Found"")"),"nemd")</f>
        <v>nemd</v>
      </c>
      <c r="E6247" s="2" t="str">
        <f>IFERROR(__xludf.DUMMYFUNCTION("IFERROR(VLOOKUP(A6247, IMPORTRANGE(""https://docs.google.com/spreadsheets/d/1-3Vjw2Cyy-mry5gbC8ypIR3YVGFfEpyFESummAta6sg/edit"", ""Sheet1!B:D""), 3, FALSE), ""Not Found"")"),"n e m d ")</f>
        <v>n e m d </v>
      </c>
    </row>
    <row r="6248">
      <c r="A6248" s="1" t="s">
        <v>6250</v>
      </c>
      <c r="B6248" s="1" t="s">
        <v>5</v>
      </c>
      <c r="C6248" s="2">
        <f>IFERROR(__xludf.DUMMYFUNCTION("IFERROR(VLOOKUP(A6248, IMPORTRANGE(""https://docs.google.com/spreadsheets/d/1AVX9GT0dgogEBStecCXMMQ29tWz3gBrtNB8yIromXbY/edit?gid=741673867"", ""out1g!A:B""), 2, FALSE), 0)"),65.0)</f>
        <v>65</v>
      </c>
      <c r="D6248" s="2" t="str">
        <f>IFERROR(__xludf.DUMMYFUNCTION("IFERROR(VLOOKUP(A6248, IMPORTRANGE(""https://docs.google.com/spreadsheets/d/1-3Vjw2Cyy-mry5gbC8ypIR3YVGFfEpyFESummAta6sg/edit"", ""Sheet1!B:D""), 2, FALSE), ""Not Found"")"),"lud")</f>
        <v>lud</v>
      </c>
      <c r="E6248" s="2" t="str">
        <f>IFERROR(__xludf.DUMMYFUNCTION("IFERROR(VLOOKUP(A6248, IMPORTRANGE(""https://docs.google.com/spreadsheets/d/1-3Vjw2Cyy-mry5gbC8ypIR3YVGFfEpyFESummAta6sg/edit"", ""Sheet1!B:D""), 3, FALSE), ""Not Found"")"),"l u d ")</f>
        <v>l u d </v>
      </c>
    </row>
    <row r="6249">
      <c r="A6249" s="1" t="s">
        <v>6251</v>
      </c>
      <c r="B6249" s="1" t="s">
        <v>5</v>
      </c>
      <c r="C6249" s="2">
        <f>IFERROR(__xludf.DUMMYFUNCTION("IFERROR(VLOOKUP(A6249, IMPORTRANGE(""https://docs.google.com/spreadsheets/d/1AVX9GT0dgogEBStecCXMMQ29tWz3gBrtNB8yIromXbY/edit?gid=741673867"", ""out1g!A:B""), 2, FALSE), 0)"),6157.0)</f>
        <v>6157</v>
      </c>
      <c r="D6249" s="2" t="str">
        <f>IFERROR(__xludf.DUMMYFUNCTION("IFERROR(VLOOKUP(A6249, IMPORTRANGE(""https://docs.google.com/spreadsheets/d/1-3Vjw2Cyy-mry5gbC8ypIR3YVGFfEpyFESummAta6sg/edit"", ""Sheet1!B:D""), 2, FALSE), ""Not Found"")"),"fit")</f>
        <v>fit</v>
      </c>
      <c r="E6249" s="2" t="str">
        <f>IFERROR(__xludf.DUMMYFUNCTION("IFERROR(VLOOKUP(A6249, IMPORTRANGE(""https://docs.google.com/spreadsheets/d/1-3Vjw2Cyy-mry5gbC8ypIR3YVGFfEpyFESummAta6sg/edit"", ""Sheet1!B:D""), 3, FALSE), ""Not Found"")"),"f i t ")</f>
        <v>f i t </v>
      </c>
    </row>
    <row r="6250">
      <c r="A6250" s="1" t="s">
        <v>6252</v>
      </c>
      <c r="B6250" s="1" t="s">
        <v>5</v>
      </c>
      <c r="C6250" s="2">
        <f>IFERROR(__xludf.DUMMYFUNCTION("IFERROR(VLOOKUP(A6250, IMPORTRANGE(""https://docs.google.com/spreadsheets/d/1AVX9GT0dgogEBStecCXMMQ29tWz3gBrtNB8yIromXbY/edit?gid=741673867"", ""out1g!A:B""), 2, FALSE), 0)"),14.0)</f>
        <v>14</v>
      </c>
      <c r="D6250" s="2" t="str">
        <f>IFERROR(__xludf.DUMMYFUNCTION("IFERROR(VLOOKUP(A6250, IMPORTRANGE(""https://docs.google.com/spreadsheets/d/1-3Vjw2Cyy-mry5gbC8ypIR3YVGFfEpyFESummAta6sg/edit"", ""Sheet1!B:D""), 2, FALSE), ""Not Found"")"),"ʃemɪŋ")</f>
        <v>ʃemɪŋ</v>
      </c>
      <c r="E6250" s="2" t="str">
        <f>IFERROR(__xludf.DUMMYFUNCTION("IFERROR(VLOOKUP(A6250, IMPORTRANGE(""https://docs.google.com/spreadsheets/d/1-3Vjw2Cyy-mry5gbC8ypIR3YVGFfEpyFESummAta6sg/edit"", ""Sheet1!B:D""), 3, FALSE), ""Not Found"")"),"ʃ e m ɪ ŋ ")</f>
        <v>ʃ e m ɪ ŋ </v>
      </c>
    </row>
    <row r="6251">
      <c r="A6251" s="1" t="s">
        <v>6253</v>
      </c>
      <c r="B6251" s="1" t="s">
        <v>5</v>
      </c>
      <c r="C6251" s="2">
        <f>IFERROR(__xludf.DUMMYFUNCTION("IFERROR(VLOOKUP(A6251, IMPORTRANGE(""https://docs.google.com/spreadsheets/d/1AVX9GT0dgogEBStecCXMMQ29tWz3gBrtNB8yIromXbY/edit?gid=741673867"", ""out1g!A:B""), 2, FALSE), 0)"),323.0)</f>
        <v>323</v>
      </c>
      <c r="D6251" s="2" t="str">
        <f>IFERROR(__xludf.DUMMYFUNCTION("IFERROR(VLOOKUP(A6251, IMPORTRANGE(""https://docs.google.com/spreadsheets/d/1-3Vjw2Cyy-mry5gbC8ypIR3YVGFfEpyFESummAta6sg/edit"", ""Sheet1!B:D""), 2, FALSE), ""Not Found"")"),"brid")</f>
        <v>brid</v>
      </c>
      <c r="E6251" s="2" t="str">
        <f>IFERROR(__xludf.DUMMYFUNCTION("IFERROR(VLOOKUP(A6251, IMPORTRANGE(""https://docs.google.com/spreadsheets/d/1-3Vjw2Cyy-mry5gbC8ypIR3YVGFfEpyFESummAta6sg/edit"", ""Sheet1!B:D""), 3, FALSE), ""Not Found"")"),"b r i d ")</f>
        <v>b r i d </v>
      </c>
    </row>
    <row r="6252">
      <c r="A6252" s="1" t="s">
        <v>6254</v>
      </c>
      <c r="B6252" s="1" t="s">
        <v>5</v>
      </c>
      <c r="C6252" s="2">
        <f>IFERROR(__xludf.DUMMYFUNCTION("IFERROR(VLOOKUP(A6252, IMPORTRANGE(""https://docs.google.com/spreadsheets/d/1AVX9GT0dgogEBStecCXMMQ29tWz3gBrtNB8yIromXbY/edit?gid=741673867"", ""out1g!A:B""), 2, FALSE), 0)"),69.0)</f>
        <v>69</v>
      </c>
      <c r="D6252" s="2" t="str">
        <f>IFERROR(__xludf.DUMMYFUNCTION("IFERROR(VLOOKUP(A6252, IMPORTRANGE(""https://docs.google.com/spreadsheets/d/1-3Vjw2Cyy-mry5gbC8ypIR3YVGFfEpyFESummAta6sg/edit"", ""Sheet1!B:D""), 2, FALSE), ""Not Found"")"),"lɑkəp")</f>
        <v>lɑkəp</v>
      </c>
      <c r="E6252" s="2" t="str">
        <f>IFERROR(__xludf.DUMMYFUNCTION("IFERROR(VLOOKUP(A6252, IMPORTRANGE(""https://docs.google.com/spreadsheets/d/1-3Vjw2Cyy-mry5gbC8ypIR3YVGFfEpyFESummAta6sg/edit"", ""Sheet1!B:D""), 3, FALSE), ""Not Found"")"),"l ɑ k ə p ")</f>
        <v>l ɑ k ə p </v>
      </c>
    </row>
    <row r="6253">
      <c r="A6253" s="1" t="s">
        <v>6255</v>
      </c>
      <c r="B6253" s="1" t="s">
        <v>5</v>
      </c>
      <c r="C6253" s="2">
        <f>IFERROR(__xludf.DUMMYFUNCTION("IFERROR(VLOOKUP(A6253, IMPORTRANGE(""https://docs.google.com/spreadsheets/d/1AVX9GT0dgogEBStecCXMMQ29tWz3gBrtNB8yIromXbY/edit?gid=741673867"", ""out1g!A:B""), 2, FALSE), 0)"),14.0)</f>
        <v>14</v>
      </c>
      <c r="D6253" s="2" t="str">
        <f>IFERROR(__xludf.DUMMYFUNCTION("IFERROR(VLOOKUP(A6253, IMPORTRANGE(""https://docs.google.com/spreadsheets/d/1-3Vjw2Cyy-mry5gbC8ypIR3YVGFfEpyFESummAta6sg/edit"", ""Sheet1!B:D""), 2, FALSE), ""Not Found"")"),"məs")</f>
        <v>məs</v>
      </c>
      <c r="E6253" s="2" t="str">
        <f>IFERROR(__xludf.DUMMYFUNCTION("IFERROR(VLOOKUP(A6253, IMPORTRANGE(""https://docs.google.com/spreadsheets/d/1-3Vjw2Cyy-mry5gbC8ypIR3YVGFfEpyFESummAta6sg/edit"", ""Sheet1!B:D""), 3, FALSE), ""Not Found"")"),"m ə s ")</f>
        <v>m ə s </v>
      </c>
    </row>
    <row r="6254">
      <c r="A6254" s="1" t="s">
        <v>6256</v>
      </c>
      <c r="B6254" s="1" t="s">
        <v>5</v>
      </c>
      <c r="C6254" s="2">
        <f>IFERROR(__xludf.DUMMYFUNCTION("IFERROR(VLOOKUP(A6254, IMPORTRANGE(""https://docs.google.com/spreadsheets/d/1AVX9GT0dgogEBStecCXMMQ29tWz3gBrtNB8yIromXbY/edit?gid=741673867"", ""out1g!A:B""), 2, FALSE), 0)"),2617.0)</f>
        <v>2617</v>
      </c>
      <c r="D6254" s="2" t="str">
        <f>IFERROR(__xludf.DUMMYFUNCTION("IFERROR(VLOOKUP(A6254, IMPORTRANGE(""https://docs.google.com/spreadsheets/d/1-3Vjw2Cyy-mry5gbC8ypIR3YVGFfEpyFESummAta6sg/edit"", ""Sheet1!B:D""), 2, FALSE), ""Not Found"")"),"test")</f>
        <v>test</v>
      </c>
      <c r="E6254" s="2" t="str">
        <f>IFERROR(__xludf.DUMMYFUNCTION("IFERROR(VLOOKUP(A6254, IMPORTRANGE(""https://docs.google.com/spreadsheets/d/1-3Vjw2Cyy-mry5gbC8ypIR3YVGFfEpyFESummAta6sg/edit"", ""Sheet1!B:D""), 3, FALSE), ""Not Found"")"),"t e s t ")</f>
        <v>t e s t </v>
      </c>
    </row>
    <row r="6255">
      <c r="A6255" s="1" t="s">
        <v>6257</v>
      </c>
      <c r="B6255" s="1" t="s">
        <v>5</v>
      </c>
      <c r="C6255" s="2">
        <f>IFERROR(__xludf.DUMMYFUNCTION("IFERROR(VLOOKUP(A6255, IMPORTRANGE(""https://docs.google.com/spreadsheets/d/1AVX9GT0dgogEBStecCXMMQ29tWz3gBrtNB8yIromXbY/edit?gid=741673867"", ""out1g!A:B""), 2, FALSE), 0)"),2387.0)</f>
        <v>2387</v>
      </c>
      <c r="D6255" s="2" t="str">
        <f>IFERROR(__xludf.DUMMYFUNCTION("IFERROR(VLOOKUP(A6255, IMPORTRANGE(""https://docs.google.com/spreadsheets/d/1-3Vjw2Cyy-mry5gbC8ypIR3YVGFfEpyFESummAta6sg/edit"", ""Sheet1!B:D""), 2, FALSE), ""Not Found"")"),"naɪf")</f>
        <v>naɪf</v>
      </c>
      <c r="E6255" s="2" t="str">
        <f>IFERROR(__xludf.DUMMYFUNCTION("IFERROR(VLOOKUP(A6255, IMPORTRANGE(""https://docs.google.com/spreadsheets/d/1-3Vjw2Cyy-mry5gbC8ypIR3YVGFfEpyFESummAta6sg/edit"", ""Sheet1!B:D""), 3, FALSE), ""Not Found"")"),"n a ɪ f ")</f>
        <v>n a ɪ f </v>
      </c>
    </row>
    <row r="6256">
      <c r="A6256" s="1" t="s">
        <v>6258</v>
      </c>
      <c r="B6256" s="1" t="s">
        <v>5</v>
      </c>
      <c r="C6256" s="2">
        <f>IFERROR(__xludf.DUMMYFUNCTION("IFERROR(VLOOKUP(A6256, IMPORTRANGE(""https://docs.google.com/spreadsheets/d/1AVX9GT0dgogEBStecCXMMQ29tWz3gBrtNB8yIromXbY/edit?gid=741673867"", ""out1g!A:B""), 2, FALSE), 0)"),122.0)</f>
        <v>122</v>
      </c>
      <c r="D6256" s="2" t="str">
        <f>IFERROR(__xludf.DUMMYFUNCTION("IFERROR(VLOOKUP(A6256, IMPORTRANGE(""https://docs.google.com/spreadsheets/d/1-3Vjw2Cyy-mry5gbC8ypIR3YVGFfEpyFESummAta6sg/edit"", ""Sheet1!B:D""), 2, FALSE), ""Not Found"")"),"sməg")</f>
        <v>sməg</v>
      </c>
      <c r="E6256" s="2" t="str">
        <f>IFERROR(__xludf.DUMMYFUNCTION("IFERROR(VLOOKUP(A6256, IMPORTRANGE(""https://docs.google.com/spreadsheets/d/1-3Vjw2Cyy-mry5gbC8ypIR3YVGFfEpyFESummAta6sg/edit"", ""Sheet1!B:D""), 3, FALSE), ""Not Found"")"),"s m ə g ")</f>
        <v>s m ə g </v>
      </c>
    </row>
    <row r="6257">
      <c r="A6257" s="1" t="s">
        <v>6259</v>
      </c>
      <c r="B6257" s="1" t="s">
        <v>5</v>
      </c>
      <c r="C6257" s="2">
        <f>IFERROR(__xludf.DUMMYFUNCTION("IFERROR(VLOOKUP(A6257, IMPORTRANGE(""https://docs.google.com/spreadsheets/d/1AVX9GT0dgogEBStecCXMMQ29tWz3gBrtNB8yIromXbY/edit?gid=741673867"", ""out1g!A:B""), 2, FALSE), 0)"),4026.0)</f>
        <v>4026</v>
      </c>
      <c r="D6257" s="2" t="str">
        <f>IFERROR(__xludf.DUMMYFUNCTION("IFERROR(VLOOKUP(A6257, IMPORTRANGE(""https://docs.google.com/spreadsheets/d/1-3Vjw2Cyy-mry5gbC8ypIR3YVGFfEpyFESummAta6sg/edit"", ""Sheet1!B:D""), 2, FALSE), ""Not Found"")"),"ʤe")</f>
        <v>ʤe</v>
      </c>
      <c r="E6257" s="2" t="str">
        <f>IFERROR(__xludf.DUMMYFUNCTION("IFERROR(VLOOKUP(A6257, IMPORTRANGE(""https://docs.google.com/spreadsheets/d/1-3Vjw2Cyy-mry5gbC8ypIR3YVGFfEpyFESummAta6sg/edit"", ""Sheet1!B:D""), 3, FALSE), ""Not Found"")"),"ʤ e ")</f>
        <v>ʤ e </v>
      </c>
    </row>
    <row r="6258">
      <c r="A6258" s="1" t="s">
        <v>6260</v>
      </c>
      <c r="B6258" s="1" t="s">
        <v>5</v>
      </c>
      <c r="C6258" s="2">
        <f>IFERROR(__xludf.DUMMYFUNCTION("IFERROR(VLOOKUP(A6258, IMPORTRANGE(""https://docs.google.com/spreadsheets/d/1AVX9GT0dgogEBStecCXMMQ29tWz3gBrtNB8yIromXbY/edit?gid=741673867"", ""out1g!A:B""), 2, FALSE), 0)"),458.0)</f>
        <v>458</v>
      </c>
      <c r="D6258" s="2" t="str">
        <f>IFERROR(__xludf.DUMMYFUNCTION("IFERROR(VLOOKUP(A6258, IMPORTRANGE(""https://docs.google.com/spreadsheets/d/1-3Vjw2Cyy-mry5gbC8ypIR3YVGFfEpyFESummAta6sg/edit"", ""Sheet1!B:D""), 2, FALSE), ""Not Found"")"),"sɑk")</f>
        <v>sɑk</v>
      </c>
      <c r="E6258" s="2" t="str">
        <f>IFERROR(__xludf.DUMMYFUNCTION("IFERROR(VLOOKUP(A6258, IMPORTRANGE(""https://docs.google.com/spreadsheets/d/1-3Vjw2Cyy-mry5gbC8ypIR3YVGFfEpyFESummAta6sg/edit"", ""Sheet1!B:D""), 3, FALSE), ""Not Found"")"),"s ɑ k ")</f>
        <v>s ɑ k </v>
      </c>
    </row>
    <row r="6259">
      <c r="A6259" s="1" t="s">
        <v>6261</v>
      </c>
      <c r="B6259" s="1" t="s">
        <v>5</v>
      </c>
      <c r="C6259" s="2">
        <f>IFERROR(__xludf.DUMMYFUNCTION("IFERROR(VLOOKUP(A6259, IMPORTRANGE(""https://docs.google.com/spreadsheets/d/1AVX9GT0dgogEBStecCXMMQ29tWz3gBrtNB8yIromXbY/edit?gid=741673867"", ""out1g!A:B""), 2, FALSE), 0)"),47.0)</f>
        <v>47</v>
      </c>
      <c r="D6259" s="2" t="str">
        <f>IFERROR(__xludf.DUMMYFUNCTION("IFERROR(VLOOKUP(A6259, IMPORTRANGE(""https://docs.google.com/spreadsheets/d/1-3Vjw2Cyy-mry5gbC8ypIR3YVGFfEpyFESummAta6sg/edit"", ""Sheet1!B:D""), 2, FALSE), ""Not Found"")"),"nɪʧ")</f>
        <v>nɪʧ</v>
      </c>
      <c r="E6259" s="2" t="str">
        <f>IFERROR(__xludf.DUMMYFUNCTION("IFERROR(VLOOKUP(A6259, IMPORTRANGE(""https://docs.google.com/spreadsheets/d/1-3Vjw2Cyy-mry5gbC8ypIR3YVGFfEpyFESummAta6sg/edit"", ""Sheet1!B:D""), 3, FALSE), ""Not Found"")"),"n ɪ ʧ ")</f>
        <v>n ɪ ʧ </v>
      </c>
    </row>
    <row r="6260">
      <c r="A6260" s="1" t="s">
        <v>6262</v>
      </c>
      <c r="B6260" s="1" t="s">
        <v>5</v>
      </c>
      <c r="C6260" s="2">
        <f>IFERROR(__xludf.DUMMYFUNCTION("IFERROR(VLOOKUP(A6260, IMPORTRANGE(""https://docs.google.com/spreadsheets/d/1AVX9GT0dgogEBStecCXMMQ29tWz3gBrtNB8yIromXbY/edit?gid=741673867"", ""out1g!A:B""), 2, FALSE), 0)"),87.0)</f>
        <v>87</v>
      </c>
      <c r="D6260" s="2" t="str">
        <f>IFERROR(__xludf.DUMMYFUNCTION("IFERROR(VLOOKUP(A6260, IMPORTRANGE(""https://docs.google.com/spreadsheets/d/1-3Vjw2Cyy-mry5gbC8ypIR3YVGFfEpyFESummAta6sg/edit"", ""Sheet1!B:D""), 2, FALSE), ""Not Found"")"),"fɛlər")</f>
        <v>fɛlər</v>
      </c>
      <c r="E6260" s="2" t="str">
        <f>IFERROR(__xludf.DUMMYFUNCTION("IFERROR(VLOOKUP(A6260, IMPORTRANGE(""https://docs.google.com/spreadsheets/d/1-3Vjw2Cyy-mry5gbC8ypIR3YVGFfEpyFESummAta6sg/edit"", ""Sheet1!B:D""), 3, FALSE), ""Not Found"")"),"f ɛ l ə r ")</f>
        <v>f ɛ l ə r </v>
      </c>
    </row>
    <row r="6261">
      <c r="A6261" s="1" t="s">
        <v>6263</v>
      </c>
      <c r="B6261" s="1" t="s">
        <v>5</v>
      </c>
      <c r="C6261" s="2">
        <f>IFERROR(__xludf.DUMMYFUNCTION("IFERROR(VLOOKUP(A6261, IMPORTRANGE(""https://docs.google.com/spreadsheets/d/1AVX9GT0dgogEBStecCXMMQ29tWz3gBrtNB8yIromXbY/edit?gid=741673867"", ""out1g!A:B""), 2, FALSE), 0)"),52.0)</f>
        <v>52</v>
      </c>
      <c r="D6261" s="2" t="str">
        <f>IFERROR(__xludf.DUMMYFUNCTION("IFERROR(VLOOKUP(A6261, IMPORTRANGE(""https://docs.google.com/spreadsheets/d/1-3Vjw2Cyy-mry5gbC8ypIR3YVGFfEpyFESummAta6sg/edit"", ""Sheet1!B:D""), 2, FALSE), ""Not Found"")"),"gret")</f>
        <v>gret</v>
      </c>
      <c r="E6261" s="2" t="str">
        <f>IFERROR(__xludf.DUMMYFUNCTION("IFERROR(VLOOKUP(A6261, IMPORTRANGE(""https://docs.google.com/spreadsheets/d/1-3Vjw2Cyy-mry5gbC8ypIR3YVGFfEpyFESummAta6sg/edit"", ""Sheet1!B:D""), 3, FALSE), ""Not Found"")"),"g r e t ")</f>
        <v>g r e t </v>
      </c>
    </row>
    <row r="6262">
      <c r="A6262" s="1" t="s">
        <v>6264</v>
      </c>
      <c r="B6262" s="1" t="s">
        <v>5</v>
      </c>
      <c r="C6262" s="2">
        <f>IFERROR(__xludf.DUMMYFUNCTION("IFERROR(VLOOKUP(A6262, IMPORTRANGE(""https://docs.google.com/spreadsheets/d/1AVX9GT0dgogEBStecCXMMQ29tWz3gBrtNB8yIromXbY/edit?gid=741673867"", ""out1g!A:B""), 2, FALSE), 0)"),46.0)</f>
        <v>46</v>
      </c>
      <c r="D6262" s="2" t="str">
        <f>IFERROR(__xludf.DUMMYFUNCTION("IFERROR(VLOOKUP(A6262, IMPORTRANGE(""https://docs.google.com/spreadsheets/d/1-3Vjw2Cyy-mry5gbC8ypIR3YVGFfEpyFESummAta6sg/edit"", ""Sheet1!B:D""), 2, FALSE), ""Not Found"")"),"ləks")</f>
        <v>ləks</v>
      </c>
      <c r="E6262" s="2" t="str">
        <f>IFERROR(__xludf.DUMMYFUNCTION("IFERROR(VLOOKUP(A6262, IMPORTRANGE(""https://docs.google.com/spreadsheets/d/1-3Vjw2Cyy-mry5gbC8ypIR3YVGFfEpyFESummAta6sg/edit"", ""Sheet1!B:D""), 3, FALSE), ""Not Found"")"),"l ə k s ")</f>
        <v>l ə k s </v>
      </c>
    </row>
    <row r="6263">
      <c r="A6263" s="1" t="s">
        <v>6265</v>
      </c>
      <c r="B6263" s="1" t="s">
        <v>5</v>
      </c>
      <c r="C6263" s="2">
        <f>IFERROR(__xludf.DUMMYFUNCTION("IFERROR(VLOOKUP(A6263, IMPORTRANGE(""https://docs.google.com/spreadsheets/d/1AVX9GT0dgogEBStecCXMMQ29tWz3gBrtNB8yIromXbY/edit?gid=741673867"", ""out1g!A:B""), 2, FALSE), 0)"),13974.0)</f>
        <v>13974</v>
      </c>
      <c r="D6263" s="2" t="str">
        <f>IFERROR(__xludf.DUMMYFUNCTION("IFERROR(VLOOKUP(A6263, IMPORTRANGE(""https://docs.google.com/spreadsheets/d/1-3Vjw2Cyy-mry5gbC8ypIR3YVGFfEpyFESummAta6sg/edit"", ""Sheet1!B:D""), 2, FALSE), ""Not Found"")"),"lɔst")</f>
        <v>lɔst</v>
      </c>
      <c r="E6263" s="2" t="str">
        <f>IFERROR(__xludf.DUMMYFUNCTION("IFERROR(VLOOKUP(A6263, IMPORTRANGE(""https://docs.google.com/spreadsheets/d/1-3Vjw2Cyy-mry5gbC8ypIR3YVGFfEpyFESummAta6sg/edit"", ""Sheet1!B:D""), 3, FALSE), ""Not Found"")"),"l ɔ s t ")</f>
        <v>l ɔ s t </v>
      </c>
    </row>
    <row r="6264">
      <c r="A6264" s="1" t="s">
        <v>6266</v>
      </c>
      <c r="B6264" s="1" t="s">
        <v>5</v>
      </c>
      <c r="C6264" s="2">
        <f>IFERROR(__xludf.DUMMYFUNCTION("IFERROR(VLOOKUP(A6264, IMPORTRANGE(""https://docs.google.com/spreadsheets/d/1AVX9GT0dgogEBStecCXMMQ29tWz3gBrtNB8yIromXbY/edit?gid=741673867"", ""out1g!A:B""), 2, FALSE), 0)"),86.0)</f>
        <v>86</v>
      </c>
      <c r="D6264" s="2" t="str">
        <f>IFERROR(__xludf.DUMMYFUNCTION("IFERROR(VLOOKUP(A6264, IMPORTRANGE(""https://docs.google.com/spreadsheets/d/1-3Vjw2Cyy-mry5gbC8ypIR3YVGFfEpyFESummAta6sg/edit"", ""Sheet1!B:D""), 2, FALSE), ""Not Found"")"),"oʊks")</f>
        <v>oʊks</v>
      </c>
      <c r="E6264" s="2" t="str">
        <f>IFERROR(__xludf.DUMMYFUNCTION("IFERROR(VLOOKUP(A6264, IMPORTRANGE(""https://docs.google.com/spreadsheets/d/1-3Vjw2Cyy-mry5gbC8ypIR3YVGFfEpyFESummAta6sg/edit"", ""Sheet1!B:D""), 3, FALSE), ""Not Found"")"),"o ʊ k s ")</f>
        <v>o ʊ k s </v>
      </c>
    </row>
    <row r="6265">
      <c r="A6265" s="1" t="s">
        <v>6267</v>
      </c>
      <c r="B6265" s="1" t="s">
        <v>5</v>
      </c>
      <c r="C6265" s="2">
        <f>IFERROR(__xludf.DUMMYFUNCTION("IFERROR(VLOOKUP(A6265, IMPORTRANGE(""https://docs.google.com/spreadsheets/d/1AVX9GT0dgogEBStecCXMMQ29tWz3gBrtNB8yIromXbY/edit?gid=741673867"", ""out1g!A:B""), 2, FALSE), 0)"),3826.0)</f>
        <v>3826</v>
      </c>
      <c r="D6265" s="2" t="str">
        <f>IFERROR(__xludf.DUMMYFUNCTION("IFERROR(VLOOKUP(A6265, IMPORTRANGE(""https://docs.google.com/spreadsheets/d/1-3Vjw2Cyy-mry5gbC8ypIR3YVGFfEpyFESummAta6sg/edit"", ""Sheet1!B:D""), 2, FALSE), ""Not Found"")"),"wɔkɪŋ")</f>
        <v>wɔkɪŋ</v>
      </c>
      <c r="E6265" s="2" t="str">
        <f>IFERROR(__xludf.DUMMYFUNCTION("IFERROR(VLOOKUP(A6265, IMPORTRANGE(""https://docs.google.com/spreadsheets/d/1-3Vjw2Cyy-mry5gbC8ypIR3YVGFfEpyFESummAta6sg/edit"", ""Sheet1!B:D""), 3, FALSE), ""Not Found"")"),"w ɔ k ɪ ŋ ")</f>
        <v>w ɔ k ɪ ŋ </v>
      </c>
    </row>
    <row r="6266">
      <c r="A6266" s="1" t="s">
        <v>6268</v>
      </c>
      <c r="B6266" s="1" t="s">
        <v>5</v>
      </c>
      <c r="C6266" s="2">
        <f>IFERROR(__xludf.DUMMYFUNCTION("IFERROR(VLOOKUP(A6266, IMPORTRANGE(""https://docs.google.com/spreadsheets/d/1AVX9GT0dgogEBStecCXMMQ29tWz3gBrtNB8yIromXbY/edit?gid=741673867"", ""out1g!A:B""), 2, FALSE), 0)"),78.0)</f>
        <v>78</v>
      </c>
      <c r="D6266" s="2" t="str">
        <f>IFERROR(__xludf.DUMMYFUNCTION("IFERROR(VLOOKUP(A6266, IMPORTRANGE(""https://docs.google.com/spreadsheets/d/1-3Vjw2Cyy-mry5gbC8ypIR3YVGFfEpyFESummAta6sg/edit"", ""Sheet1!B:D""), 2, FALSE), ""Not Found"")"),"pɪr")</f>
        <v>pɪr</v>
      </c>
      <c r="E6266" s="2" t="str">
        <f>IFERROR(__xludf.DUMMYFUNCTION("IFERROR(VLOOKUP(A6266, IMPORTRANGE(""https://docs.google.com/spreadsheets/d/1-3Vjw2Cyy-mry5gbC8ypIR3YVGFfEpyFESummAta6sg/edit"", ""Sheet1!B:D""), 3, FALSE), ""Not Found"")"),"p ɪ r ")</f>
        <v>p ɪ r </v>
      </c>
    </row>
    <row r="6267">
      <c r="A6267" s="1" t="s">
        <v>6269</v>
      </c>
      <c r="B6267" s="1" t="s">
        <v>5</v>
      </c>
      <c r="C6267" s="2">
        <f>IFERROR(__xludf.DUMMYFUNCTION("IFERROR(VLOOKUP(A6267, IMPORTRANGE(""https://docs.google.com/spreadsheets/d/1AVX9GT0dgogEBStecCXMMQ29tWz3gBrtNB8yIromXbY/edit?gid=741673867"", ""out1g!A:B""), 2, FALSE), 0)"),216.0)</f>
        <v>216</v>
      </c>
      <c r="D6267" s="2" t="str">
        <f>IFERROR(__xludf.DUMMYFUNCTION("IFERROR(VLOOKUP(A6267, IMPORTRANGE(""https://docs.google.com/spreadsheets/d/1-3Vjw2Cyy-mry5gbC8ypIR3YVGFfEpyFESummAta6sg/edit"", ""Sheet1!B:D""), 2, FALSE), ""Not Found"")"),"jɛlz")</f>
        <v>jɛlz</v>
      </c>
      <c r="E6267" s="2" t="str">
        <f>IFERROR(__xludf.DUMMYFUNCTION("IFERROR(VLOOKUP(A6267, IMPORTRANGE(""https://docs.google.com/spreadsheets/d/1-3Vjw2Cyy-mry5gbC8ypIR3YVGFfEpyFESummAta6sg/edit"", ""Sheet1!B:D""), 3, FALSE), ""Not Found"")"),"j ɛ l z ")</f>
        <v>j ɛ l z </v>
      </c>
    </row>
    <row r="6268">
      <c r="A6268" s="1" t="s">
        <v>6270</v>
      </c>
      <c r="B6268" s="1" t="s">
        <v>5</v>
      </c>
      <c r="C6268" s="2">
        <f>IFERROR(__xludf.DUMMYFUNCTION("IFERROR(VLOOKUP(A6268, IMPORTRANGE(""https://docs.google.com/spreadsheets/d/1AVX9GT0dgogEBStecCXMMQ29tWz3gBrtNB8yIromXbY/edit?gid=741673867"", ""out1g!A:B""), 2, FALSE), 0)"),22350.0)</f>
        <v>22350</v>
      </c>
      <c r="D6268" s="2" t="str">
        <f>IFERROR(__xludf.DUMMYFUNCTION("IFERROR(VLOOKUP(A6268, IMPORTRANGE(""https://docs.google.com/spreadsheets/d/1-3Vjw2Cyy-mry5gbC8ypIR3YVGFfEpyFESummAta6sg/edit"", ""Sheet1!B:D""), 2, FALSE), ""Not Found"")"),"hə")</f>
        <v>hə</v>
      </c>
      <c r="E6268" s="2" t="str">
        <f>IFERROR(__xludf.DUMMYFUNCTION("IFERROR(VLOOKUP(A6268, IMPORTRANGE(""https://docs.google.com/spreadsheets/d/1-3Vjw2Cyy-mry5gbC8ypIR3YVGFfEpyFESummAta6sg/edit"", ""Sheet1!B:D""), 3, FALSE), ""Not Found"")"),"h ə ")</f>
        <v>h ə </v>
      </c>
    </row>
    <row r="6269">
      <c r="A6269" s="1" t="s">
        <v>6271</v>
      </c>
      <c r="B6269" s="1" t="s">
        <v>5</v>
      </c>
      <c r="C6269" s="2">
        <f>IFERROR(__xludf.DUMMYFUNCTION("IFERROR(VLOOKUP(A6269, IMPORTRANGE(""https://docs.google.com/spreadsheets/d/1AVX9GT0dgogEBStecCXMMQ29tWz3gBrtNB8yIromXbY/edit?gid=741673867"", ""out1g!A:B""), 2, FALSE), 0)"),764.0)</f>
        <v>764</v>
      </c>
      <c r="D6269" s="2" t="str">
        <f>IFERROR(__xludf.DUMMYFUNCTION("IFERROR(VLOOKUP(A6269, IMPORTRANGE(""https://docs.google.com/spreadsheets/d/1-3Vjw2Cyy-mry5gbC8ypIR3YVGFfEpyFESummAta6sg/edit"", ""Sheet1!B:D""), 2, FALSE), ""Not Found"")"),"ʃɑrk")</f>
        <v>ʃɑrk</v>
      </c>
      <c r="E6269" s="2" t="str">
        <f>IFERROR(__xludf.DUMMYFUNCTION("IFERROR(VLOOKUP(A6269, IMPORTRANGE(""https://docs.google.com/spreadsheets/d/1-3Vjw2Cyy-mry5gbC8ypIR3YVGFfEpyFESummAta6sg/edit"", ""Sheet1!B:D""), 3, FALSE), ""Not Found"")"),"ʃ ɑ r k ")</f>
        <v>ʃ ɑ r k </v>
      </c>
    </row>
    <row r="6270">
      <c r="A6270" s="1" t="s">
        <v>6272</v>
      </c>
      <c r="B6270" s="1" t="s">
        <v>5</v>
      </c>
      <c r="C6270" s="2">
        <f>IFERROR(__xludf.DUMMYFUNCTION("IFERROR(VLOOKUP(A6270, IMPORTRANGE(""https://docs.google.com/spreadsheets/d/1AVX9GT0dgogEBStecCXMMQ29tWz3gBrtNB8yIromXbY/edit?gid=741673867"", ""out1g!A:B""), 2, FALSE), 0)"),143.0)</f>
        <v>143</v>
      </c>
      <c r="D6270" s="2" t="str">
        <f>IFERROR(__xludf.DUMMYFUNCTION("IFERROR(VLOOKUP(A6270, IMPORTRANGE(""https://docs.google.com/spreadsheets/d/1-3Vjw2Cyy-mry5gbC8ypIR3YVGFfEpyFESummAta6sg/edit"", ""Sheet1!B:D""), 2, FALSE), ""Not Found"")"),"kræmp")</f>
        <v>kræmp</v>
      </c>
      <c r="E6270" s="2" t="str">
        <f>IFERROR(__xludf.DUMMYFUNCTION("IFERROR(VLOOKUP(A6270, IMPORTRANGE(""https://docs.google.com/spreadsheets/d/1-3Vjw2Cyy-mry5gbC8ypIR3YVGFfEpyFESummAta6sg/edit"", ""Sheet1!B:D""), 3, FALSE), ""Not Found"")"),"k r æ m p ")</f>
        <v>k r æ m p </v>
      </c>
    </row>
    <row r="6271">
      <c r="A6271" s="1" t="s">
        <v>6273</v>
      </c>
      <c r="B6271" s="1" t="s">
        <v>5</v>
      </c>
      <c r="C6271" s="2">
        <f>IFERROR(__xludf.DUMMYFUNCTION("IFERROR(VLOOKUP(A6271, IMPORTRANGE(""https://docs.google.com/spreadsheets/d/1AVX9GT0dgogEBStecCXMMQ29tWz3gBrtNB8yIromXbY/edit?gid=741673867"", ""out1g!A:B""), 2, FALSE), 0)"),77.0)</f>
        <v>77</v>
      </c>
      <c r="D6271" s="2" t="str">
        <f>IFERROR(__xludf.DUMMYFUNCTION("IFERROR(VLOOKUP(A6271, IMPORTRANGE(""https://docs.google.com/spreadsheets/d/1-3Vjw2Cyy-mry5gbC8ypIR3YVGFfEpyFESummAta6sg/edit"", ""Sheet1!B:D""), 2, FALSE), ""Not Found"")"),"tuz")</f>
        <v>tuz</v>
      </c>
      <c r="E6271" s="2" t="str">
        <f>IFERROR(__xludf.DUMMYFUNCTION("IFERROR(VLOOKUP(A6271, IMPORTRANGE(""https://docs.google.com/spreadsheets/d/1-3Vjw2Cyy-mry5gbC8ypIR3YVGFfEpyFESummAta6sg/edit"", ""Sheet1!B:D""), 3, FALSE), ""Not Found"")"),"t u z ")</f>
        <v>t u z </v>
      </c>
    </row>
    <row r="6272">
      <c r="A6272" s="1" t="s">
        <v>6274</v>
      </c>
      <c r="B6272" s="1" t="s">
        <v>5</v>
      </c>
      <c r="C6272" s="2">
        <f>IFERROR(__xludf.DUMMYFUNCTION("IFERROR(VLOOKUP(A6272, IMPORTRANGE(""https://docs.google.com/spreadsheets/d/1AVX9GT0dgogEBStecCXMMQ29tWz3gBrtNB8yIromXbY/edit?gid=741673867"", ""out1g!A:B""), 2, FALSE), 0)"),1795.0)</f>
        <v>1795</v>
      </c>
      <c r="D6272" s="2" t="str">
        <f>IFERROR(__xludf.DUMMYFUNCTION("IFERROR(VLOOKUP(A6272, IMPORTRANGE(""https://docs.google.com/spreadsheets/d/1-3Vjw2Cyy-mry5gbC8ypIR3YVGFfEpyFESummAta6sg/edit"", ""Sheet1!B:D""), 2, FALSE), ""Not Found"")"),"hum")</f>
        <v>hum</v>
      </c>
      <c r="E6272" s="2" t="str">
        <f>IFERROR(__xludf.DUMMYFUNCTION("IFERROR(VLOOKUP(A6272, IMPORTRANGE(""https://docs.google.com/spreadsheets/d/1-3Vjw2Cyy-mry5gbC8ypIR3YVGFfEpyFESummAta6sg/edit"", ""Sheet1!B:D""), 3, FALSE), ""Not Found"")"),"h u m ")</f>
        <v>h u m </v>
      </c>
    </row>
    <row r="6273">
      <c r="A6273" s="1" t="s">
        <v>6275</v>
      </c>
      <c r="B6273" s="1" t="s">
        <v>5</v>
      </c>
      <c r="C6273" s="2">
        <f>IFERROR(__xludf.DUMMYFUNCTION("IFERROR(VLOOKUP(A6273, IMPORTRANGE(""https://docs.google.com/spreadsheets/d/1AVX9GT0dgogEBStecCXMMQ29tWz3gBrtNB8yIromXbY/edit?gid=741673867"", ""out1g!A:B""), 2, FALSE), 0)"),96.0)</f>
        <v>96</v>
      </c>
      <c r="D6273" s="2" t="str">
        <f>IFERROR(__xludf.DUMMYFUNCTION("IFERROR(VLOOKUP(A6273, IMPORTRANGE(""https://docs.google.com/spreadsheets/d/1-3Vjw2Cyy-mry5gbC8ypIR3YVGFfEpyFESummAta6sg/edit"", ""Sheet1!B:D""), 2, FALSE), ""Not Found"")"),"pidz")</f>
        <v>pidz</v>
      </c>
      <c r="E6273" s="2" t="str">
        <f>IFERROR(__xludf.DUMMYFUNCTION("IFERROR(VLOOKUP(A6273, IMPORTRANGE(""https://docs.google.com/spreadsheets/d/1-3Vjw2Cyy-mry5gbC8ypIR3YVGFfEpyFESummAta6sg/edit"", ""Sheet1!B:D""), 3, FALSE), ""Not Found"")"),"p i d z ")</f>
        <v>p i d z </v>
      </c>
    </row>
    <row r="6274">
      <c r="A6274" s="1" t="s">
        <v>6276</v>
      </c>
      <c r="B6274" s="1" t="s">
        <v>5</v>
      </c>
      <c r="C6274" s="2">
        <f>IFERROR(__xludf.DUMMYFUNCTION("IFERROR(VLOOKUP(A6274, IMPORTRANGE(""https://docs.google.com/spreadsheets/d/1AVX9GT0dgogEBStecCXMMQ29tWz3gBrtNB8yIromXbY/edit?gid=741673867"", ""out1g!A:B""), 2, FALSE), 0)"),62.0)</f>
        <v>62</v>
      </c>
      <c r="D6274" s="2" t="str">
        <f>IFERROR(__xludf.DUMMYFUNCTION("IFERROR(VLOOKUP(A6274, IMPORTRANGE(""https://docs.google.com/spreadsheets/d/1-3Vjw2Cyy-mry5gbC8ypIR3YVGFfEpyFESummAta6sg/edit"", ""Sheet1!B:D""), 2, FALSE), ""Not Found"")"),"tæbu")</f>
        <v>tæbu</v>
      </c>
      <c r="E6274" s="2" t="str">
        <f>IFERROR(__xludf.DUMMYFUNCTION("IFERROR(VLOOKUP(A6274, IMPORTRANGE(""https://docs.google.com/spreadsheets/d/1-3Vjw2Cyy-mry5gbC8ypIR3YVGFfEpyFESummAta6sg/edit"", ""Sheet1!B:D""), 3, FALSE), ""Not Found"")"),"t æ b u ")</f>
        <v>t æ b u </v>
      </c>
    </row>
    <row r="6275">
      <c r="A6275" s="1" t="s">
        <v>6277</v>
      </c>
      <c r="B6275" s="1" t="s">
        <v>5</v>
      </c>
      <c r="C6275" s="2">
        <f>IFERROR(__xludf.DUMMYFUNCTION("IFERROR(VLOOKUP(A6275, IMPORTRANGE(""https://docs.google.com/spreadsheets/d/1AVX9GT0dgogEBStecCXMMQ29tWz3gBrtNB8yIromXbY/edit?gid=741673867"", ""out1g!A:B""), 2, FALSE), 0)"),2970.0)</f>
        <v>2970</v>
      </c>
      <c r="D6275" s="2" t="str">
        <f>IFERROR(__xludf.DUMMYFUNCTION("IFERROR(VLOOKUP(A6275, IMPORTRANGE(""https://docs.google.com/spreadsheets/d/1-3Vjw2Cyy-mry5gbC8ypIR3YVGFfEpyFESummAta6sg/edit"", ""Sheet1!B:D""), 2, FALSE), ""Not Found"")"),"le")</f>
        <v>le</v>
      </c>
      <c r="E6275" s="2" t="str">
        <f>IFERROR(__xludf.DUMMYFUNCTION("IFERROR(VLOOKUP(A6275, IMPORTRANGE(""https://docs.google.com/spreadsheets/d/1-3Vjw2Cyy-mry5gbC8ypIR3YVGFfEpyFESummAta6sg/edit"", ""Sheet1!B:D""), 3, FALSE), ""Not Found"")"),"l e ")</f>
        <v>l e </v>
      </c>
    </row>
    <row r="6276">
      <c r="A6276" s="1" t="s">
        <v>6278</v>
      </c>
      <c r="B6276" s="1" t="s">
        <v>5</v>
      </c>
      <c r="C6276" s="2">
        <f>IFERROR(__xludf.DUMMYFUNCTION("IFERROR(VLOOKUP(A6276, IMPORTRANGE(""https://docs.google.com/spreadsheets/d/1AVX9GT0dgogEBStecCXMMQ29tWz3gBrtNB8yIromXbY/edit?gid=741673867"", ""out1g!A:B""), 2, FALSE), 0)"),25870.0)</f>
        <v>25870</v>
      </c>
      <c r="D6276" s="2" t="str">
        <f>IFERROR(__xludf.DUMMYFUNCTION("IFERROR(VLOOKUP(A6276, IMPORTRANGE(""https://docs.google.com/spreadsheets/d/1-3Vjw2Cyy-mry5gbC8ypIR3YVGFfEpyFESummAta6sg/edit"", ""Sheet1!B:D""), 2, FALSE), ""Not Found"")"),"dæd")</f>
        <v>dæd</v>
      </c>
      <c r="E6276" s="2" t="str">
        <f>IFERROR(__xludf.DUMMYFUNCTION("IFERROR(VLOOKUP(A6276, IMPORTRANGE(""https://docs.google.com/spreadsheets/d/1-3Vjw2Cyy-mry5gbC8ypIR3YVGFfEpyFESummAta6sg/edit"", ""Sheet1!B:D""), 3, FALSE), ""Not Found"")"),"d æ d ")</f>
        <v>d æ d </v>
      </c>
    </row>
    <row r="6277">
      <c r="A6277" s="1" t="s">
        <v>6279</v>
      </c>
      <c r="B6277" s="1" t="s">
        <v>5</v>
      </c>
      <c r="C6277" s="2">
        <f>IFERROR(__xludf.DUMMYFUNCTION("IFERROR(VLOOKUP(A6277, IMPORTRANGE(""https://docs.google.com/spreadsheets/d/1AVX9GT0dgogEBStecCXMMQ29tWz3gBrtNB8yIromXbY/edit?gid=741673867"", ""out1g!A:B""), 2, FALSE), 0)"),1153.0)</f>
        <v>1153</v>
      </c>
      <c r="D6277" s="2" t="str">
        <f>IFERROR(__xludf.DUMMYFUNCTION("IFERROR(VLOOKUP(A6277, IMPORTRANGE(""https://docs.google.com/spreadsheets/d/1-3Vjw2Cyy-mry5gbC8ypIR3YVGFfEpyFESummAta6sg/edit"", ""Sheet1!B:D""), 2, FALSE), ""Not Found"")"),"tərki")</f>
        <v>tərki</v>
      </c>
      <c r="E6277" s="2" t="str">
        <f>IFERROR(__xludf.DUMMYFUNCTION("IFERROR(VLOOKUP(A6277, IMPORTRANGE(""https://docs.google.com/spreadsheets/d/1-3Vjw2Cyy-mry5gbC8ypIR3YVGFfEpyFESummAta6sg/edit"", ""Sheet1!B:D""), 3, FALSE), ""Not Found"")"),"t ə r k i ")</f>
        <v>t ə r k i </v>
      </c>
    </row>
    <row r="6278">
      <c r="A6278" s="1" t="s">
        <v>6280</v>
      </c>
      <c r="B6278" s="1" t="s">
        <v>5</v>
      </c>
      <c r="C6278" s="2">
        <f>IFERROR(__xludf.DUMMYFUNCTION("IFERROR(VLOOKUP(A6278, IMPORTRANGE(""https://docs.google.com/spreadsheets/d/1AVX9GT0dgogEBStecCXMMQ29tWz3gBrtNB8yIromXbY/edit?gid=741673867"", ""out1g!A:B""), 2, FALSE), 0)"),2067.0)</f>
        <v>2067</v>
      </c>
      <c r="D6278" s="2" t="str">
        <f>IFERROR(__xludf.DUMMYFUNCTION("IFERROR(VLOOKUP(A6278, IMPORTRANGE(""https://docs.google.com/spreadsheets/d/1-3Vjw2Cyy-mry5gbC8ypIR3YVGFfEpyFESummAta6sg/edit"", ""Sheet1!B:D""), 2, FALSE), ""Not Found"")"),"blɑk")</f>
        <v>blɑk</v>
      </c>
      <c r="E6278" s="2" t="str">
        <f>IFERROR(__xludf.DUMMYFUNCTION("IFERROR(VLOOKUP(A6278, IMPORTRANGE(""https://docs.google.com/spreadsheets/d/1-3Vjw2Cyy-mry5gbC8ypIR3YVGFfEpyFESummAta6sg/edit"", ""Sheet1!B:D""), 3, FALSE), ""Not Found"")"),"b l ɑ k ")</f>
        <v>b l ɑ k </v>
      </c>
    </row>
    <row r="6279">
      <c r="A6279" s="1" t="s">
        <v>6281</v>
      </c>
      <c r="B6279" s="1" t="s">
        <v>5</v>
      </c>
      <c r="C6279" s="2">
        <f>IFERROR(__xludf.DUMMYFUNCTION("IFERROR(VLOOKUP(A6279, IMPORTRANGE(""https://docs.google.com/spreadsheets/d/1AVX9GT0dgogEBStecCXMMQ29tWz3gBrtNB8yIromXbY/edit?gid=741673867"", ""out1g!A:B""), 2, FALSE), 0)"),144.0)</f>
        <v>144</v>
      </c>
      <c r="D6279" s="2" t="str">
        <f>IFERROR(__xludf.DUMMYFUNCTION("IFERROR(VLOOKUP(A6279, IMPORTRANGE(""https://docs.google.com/spreadsheets/d/1-3Vjw2Cyy-mry5gbC8ypIR3YVGFfEpyFESummAta6sg/edit"", ""Sheet1!B:D""), 2, FALSE), ""Not Found"")"),"zɪpər")</f>
        <v>zɪpər</v>
      </c>
      <c r="E6279" s="2" t="str">
        <f>IFERROR(__xludf.DUMMYFUNCTION("IFERROR(VLOOKUP(A6279, IMPORTRANGE(""https://docs.google.com/spreadsheets/d/1-3Vjw2Cyy-mry5gbC8ypIR3YVGFfEpyFESummAta6sg/edit"", ""Sheet1!B:D""), 3, FALSE), ""Not Found"")"),"z ɪ p ə r ")</f>
        <v>z ɪ p ə r </v>
      </c>
    </row>
    <row r="6280">
      <c r="A6280" s="1" t="s">
        <v>6282</v>
      </c>
      <c r="B6280" s="1" t="s">
        <v>5</v>
      </c>
      <c r="C6280" s="2">
        <f>IFERROR(__xludf.DUMMYFUNCTION("IFERROR(VLOOKUP(A6280, IMPORTRANGE(""https://docs.google.com/spreadsheets/d/1AVX9GT0dgogEBStecCXMMQ29tWz3gBrtNB8yIromXbY/edit?gid=741673867"", ""out1g!A:B""), 2, FALSE), 0)"),435.0)</f>
        <v>435</v>
      </c>
      <c r="D6280" s="2" t="str">
        <f>IFERROR(__xludf.DUMMYFUNCTION("IFERROR(VLOOKUP(A6280, IMPORTRANGE(""https://docs.google.com/spreadsheets/d/1-3Vjw2Cyy-mry5gbC8ypIR3YVGFfEpyFESummAta6sg/edit"", ""Sheet1!B:D""), 2, FALSE), ""Not Found"")"),"slaɪs")</f>
        <v>slaɪs</v>
      </c>
      <c r="E6280" s="2" t="str">
        <f>IFERROR(__xludf.DUMMYFUNCTION("IFERROR(VLOOKUP(A6280, IMPORTRANGE(""https://docs.google.com/spreadsheets/d/1-3Vjw2Cyy-mry5gbC8ypIR3YVGFfEpyFESummAta6sg/edit"", ""Sheet1!B:D""), 3, FALSE), ""Not Found"")"),"s l a ɪ s ")</f>
        <v>s l a ɪ s </v>
      </c>
    </row>
    <row r="6281">
      <c r="A6281" s="1" t="s">
        <v>6283</v>
      </c>
      <c r="B6281" s="1" t="s">
        <v>5</v>
      </c>
      <c r="C6281" s="2">
        <f>IFERROR(__xludf.DUMMYFUNCTION("IFERROR(VLOOKUP(A6281, IMPORTRANGE(""https://docs.google.com/spreadsheets/d/1AVX9GT0dgogEBStecCXMMQ29tWz3gBrtNB8yIromXbY/edit?gid=741673867"", ""out1g!A:B""), 2, FALSE), 0)"),221.0)</f>
        <v>221</v>
      </c>
      <c r="D6281" s="2" t="str">
        <f>IFERROR(__xludf.DUMMYFUNCTION("IFERROR(VLOOKUP(A6281, IMPORTRANGE(""https://docs.google.com/spreadsheets/d/1-3Vjw2Cyy-mry5gbC8ypIR3YVGFfEpyFESummAta6sg/edit"", ""Sheet1!B:D""), 2, FALSE), ""Not Found"")"),"bəzɪŋ")</f>
        <v>bəzɪŋ</v>
      </c>
      <c r="E6281" s="2" t="str">
        <f>IFERROR(__xludf.DUMMYFUNCTION("IFERROR(VLOOKUP(A6281, IMPORTRANGE(""https://docs.google.com/spreadsheets/d/1-3Vjw2Cyy-mry5gbC8ypIR3YVGFfEpyFESummAta6sg/edit"", ""Sheet1!B:D""), 3, FALSE), ""Not Found"")"),"b ə z ɪ ŋ ")</f>
        <v>b ə z ɪ ŋ </v>
      </c>
    </row>
    <row r="6282">
      <c r="A6282" s="1" t="s">
        <v>6284</v>
      </c>
      <c r="B6282" s="1" t="s">
        <v>5</v>
      </c>
      <c r="C6282" s="2">
        <f>IFERROR(__xludf.DUMMYFUNCTION("IFERROR(VLOOKUP(A6282, IMPORTRANGE(""https://docs.google.com/spreadsheets/d/1AVX9GT0dgogEBStecCXMMQ29tWz3gBrtNB8yIromXbY/edit?gid=741673867"", ""out1g!A:B""), 2, FALSE), 0)"),325.0)</f>
        <v>325</v>
      </c>
      <c r="D6282" s="2" t="str">
        <f>IFERROR(__xludf.DUMMYFUNCTION("IFERROR(VLOOKUP(A6282, IMPORTRANGE(""https://docs.google.com/spreadsheets/d/1-3Vjw2Cyy-mry5gbC8ypIR3YVGFfEpyFESummAta6sg/edit"", ""Sheet1!B:D""), 2, FALSE), ""Not Found"")"),"traɪb")</f>
        <v>traɪb</v>
      </c>
      <c r="E6282" s="2" t="str">
        <f>IFERROR(__xludf.DUMMYFUNCTION("IFERROR(VLOOKUP(A6282, IMPORTRANGE(""https://docs.google.com/spreadsheets/d/1-3Vjw2Cyy-mry5gbC8ypIR3YVGFfEpyFESummAta6sg/edit"", ""Sheet1!B:D""), 3, FALSE), ""Not Found"")"),"t r a ɪ b ")</f>
        <v>t r a ɪ b </v>
      </c>
    </row>
    <row r="6283">
      <c r="A6283" s="1" t="s">
        <v>6285</v>
      </c>
      <c r="B6283" s="1" t="s">
        <v>5</v>
      </c>
      <c r="C6283" s="2">
        <f>IFERROR(__xludf.DUMMYFUNCTION("IFERROR(VLOOKUP(A6283, IMPORTRANGE(""https://docs.google.com/spreadsheets/d/1AVX9GT0dgogEBStecCXMMQ29tWz3gBrtNB8yIromXbY/edit?gid=741673867"", ""out1g!A:B""), 2, FALSE), 0)"),189.0)</f>
        <v>189</v>
      </c>
      <c r="D6283" s="2" t="str">
        <f>IFERROR(__xludf.DUMMYFUNCTION("IFERROR(VLOOKUP(A6283, IMPORTRANGE(""https://docs.google.com/spreadsheets/d/1-3Vjw2Cyy-mry5gbC8ypIR3YVGFfEpyFESummAta6sg/edit"", ""Sheet1!B:D""), 2, FALSE), ""Not Found"")"),"brənʧ")</f>
        <v>brənʧ</v>
      </c>
      <c r="E6283" s="2" t="str">
        <f>IFERROR(__xludf.DUMMYFUNCTION("IFERROR(VLOOKUP(A6283, IMPORTRANGE(""https://docs.google.com/spreadsheets/d/1-3Vjw2Cyy-mry5gbC8ypIR3YVGFfEpyFESummAta6sg/edit"", ""Sheet1!B:D""), 3, FALSE), ""Not Found"")"),"b r ə n ʧ ")</f>
        <v>b r ə n ʧ </v>
      </c>
    </row>
    <row r="6284">
      <c r="A6284" s="1" t="s">
        <v>6286</v>
      </c>
      <c r="B6284" s="1" t="s">
        <v>5</v>
      </c>
      <c r="C6284" s="2">
        <f>IFERROR(__xludf.DUMMYFUNCTION("IFERROR(VLOOKUP(A6284, IMPORTRANGE(""https://docs.google.com/spreadsheets/d/1AVX9GT0dgogEBStecCXMMQ29tWz3gBrtNB8yIromXbY/edit?gid=741673867"", ""out1g!A:B""), 2, FALSE), 0)"),49.0)</f>
        <v>49</v>
      </c>
      <c r="D6284" s="2" t="str">
        <f>IFERROR(__xludf.DUMMYFUNCTION("IFERROR(VLOOKUP(A6284, IMPORTRANGE(""https://docs.google.com/spreadsheets/d/1-3Vjw2Cyy-mry5gbC8ypIR3YVGFfEpyFESummAta6sg/edit"", ""Sheet1!B:D""), 2, FALSE), ""Not Found"")"),"slɪŋki")</f>
        <v>slɪŋki</v>
      </c>
      <c r="E6284" s="2" t="str">
        <f>IFERROR(__xludf.DUMMYFUNCTION("IFERROR(VLOOKUP(A6284, IMPORTRANGE(""https://docs.google.com/spreadsheets/d/1-3Vjw2Cyy-mry5gbC8ypIR3YVGFfEpyFESummAta6sg/edit"", ""Sheet1!B:D""), 3, FALSE), ""Not Found"")"),"s l ɪ ŋ k i ")</f>
        <v>s l ɪ ŋ k i </v>
      </c>
    </row>
    <row r="6285">
      <c r="A6285" s="1" t="s">
        <v>6287</v>
      </c>
      <c r="B6285" s="1" t="s">
        <v>5</v>
      </c>
      <c r="C6285" s="2">
        <f>IFERROR(__xludf.DUMMYFUNCTION("IFERROR(VLOOKUP(A6285, IMPORTRANGE(""https://docs.google.com/spreadsheets/d/1AVX9GT0dgogEBStecCXMMQ29tWz3gBrtNB8yIromXbY/edit?gid=741673867"", ""out1g!A:B""), 2, FALSE), 0)"),130.0)</f>
        <v>130</v>
      </c>
      <c r="D6285" s="2" t="str">
        <f>IFERROR(__xludf.DUMMYFUNCTION("IFERROR(VLOOKUP(A6285, IMPORTRANGE(""https://docs.google.com/spreadsheets/d/1-3Vjw2Cyy-mry5gbC8ypIR3YVGFfEpyFESummAta6sg/edit"", ""Sheet1!B:D""), 2, FALSE), ""Not Found"")"),"tet")</f>
        <v>tet</v>
      </c>
      <c r="E6285" s="2" t="str">
        <f>IFERROR(__xludf.DUMMYFUNCTION("IFERROR(VLOOKUP(A6285, IMPORTRANGE(""https://docs.google.com/spreadsheets/d/1-3Vjw2Cyy-mry5gbC8ypIR3YVGFfEpyFESummAta6sg/edit"", ""Sheet1!B:D""), 3, FALSE), ""Not Found"")"),"t e t ")</f>
        <v>t e t </v>
      </c>
    </row>
    <row r="6286">
      <c r="A6286" s="1" t="s">
        <v>6288</v>
      </c>
      <c r="B6286" s="1" t="s">
        <v>5</v>
      </c>
      <c r="C6286" s="2">
        <f>IFERROR(__xludf.DUMMYFUNCTION("IFERROR(VLOOKUP(A6286, IMPORTRANGE(""https://docs.google.com/spreadsheets/d/1AVX9GT0dgogEBStecCXMMQ29tWz3gBrtNB8yIromXbY/edit?gid=741673867"", ""out1g!A:B""), 2, FALSE), 0)"),13.0)</f>
        <v>13</v>
      </c>
      <c r="D6286" s="2" t="str">
        <f>IFERROR(__xludf.DUMMYFUNCTION("IFERROR(VLOOKUP(A6286, IMPORTRANGE(""https://docs.google.com/spreadsheets/d/1-3Vjw2Cyy-mry5gbC8ypIR3YVGFfEpyFESummAta6sg/edit"", ""Sheet1!B:D""), 2, FALSE), ""Not Found"")"),"spek")</f>
        <v>spek</v>
      </c>
      <c r="E6286" s="2" t="str">
        <f>IFERROR(__xludf.DUMMYFUNCTION("IFERROR(VLOOKUP(A6286, IMPORTRANGE(""https://docs.google.com/spreadsheets/d/1-3Vjw2Cyy-mry5gbC8ypIR3YVGFfEpyFESummAta6sg/edit"", ""Sheet1!B:D""), 3, FALSE), ""Not Found"")"),"s p e k ")</f>
        <v>s p e k </v>
      </c>
    </row>
    <row r="6287">
      <c r="A6287" s="1" t="s">
        <v>6289</v>
      </c>
      <c r="B6287" s="1" t="s">
        <v>5</v>
      </c>
      <c r="C6287" s="2">
        <f>IFERROR(__xludf.DUMMYFUNCTION("IFERROR(VLOOKUP(A6287, IMPORTRANGE(""https://docs.google.com/spreadsheets/d/1AVX9GT0dgogEBStecCXMMQ29tWz3gBrtNB8yIromXbY/edit?gid=741673867"", ""out1g!A:B""), 2, FALSE), 0)"),2987.0)</f>
        <v>2987</v>
      </c>
      <c r="D6287" s="2" t="str">
        <f>IFERROR(__xludf.DUMMYFUNCTION("IFERROR(VLOOKUP(A6287, IMPORTRANGE(""https://docs.google.com/spreadsheets/d/1-3Vjw2Cyy-mry5gbC8ypIR3YVGFfEpyFESummAta6sg/edit"", ""Sheet1!B:D""), 2, FALSE), ""Not Found"")"),"fɛloʊ")</f>
        <v>fɛloʊ</v>
      </c>
      <c r="E6287" s="2" t="str">
        <f>IFERROR(__xludf.DUMMYFUNCTION("IFERROR(VLOOKUP(A6287, IMPORTRANGE(""https://docs.google.com/spreadsheets/d/1-3Vjw2Cyy-mry5gbC8ypIR3YVGFfEpyFESummAta6sg/edit"", ""Sheet1!B:D""), 3, FALSE), ""Not Found"")"),"f ɛ l o ʊ ")</f>
        <v>f ɛ l o ʊ </v>
      </c>
    </row>
    <row r="6288">
      <c r="A6288" s="1" t="s">
        <v>6290</v>
      </c>
      <c r="B6288" s="1" t="s">
        <v>5</v>
      </c>
      <c r="C6288" s="2">
        <f>IFERROR(__xludf.DUMMYFUNCTION("IFERROR(VLOOKUP(A6288, IMPORTRANGE(""https://docs.google.com/spreadsheets/d/1AVX9GT0dgogEBStecCXMMQ29tWz3gBrtNB8yIromXbY/edit?gid=741673867"", ""out1g!A:B""), 2, FALSE), 0)"),112.0)</f>
        <v>112</v>
      </c>
      <c r="D6288" s="2" t="str">
        <f>IFERROR(__xludf.DUMMYFUNCTION("IFERROR(VLOOKUP(A6288, IMPORTRANGE(""https://docs.google.com/spreadsheets/d/1-3Vjw2Cyy-mry5gbC8ypIR3YVGFfEpyFESummAta6sg/edit"", ""Sheet1!B:D""), 2, FALSE), ""Not Found"")"),"dəfi")</f>
        <v>dəfi</v>
      </c>
      <c r="E6288" s="2" t="str">
        <f>IFERROR(__xludf.DUMMYFUNCTION("IFERROR(VLOOKUP(A6288, IMPORTRANGE(""https://docs.google.com/spreadsheets/d/1-3Vjw2Cyy-mry5gbC8ypIR3YVGFfEpyFESummAta6sg/edit"", ""Sheet1!B:D""), 3, FALSE), ""Not Found"")"),"d ə f i ")</f>
        <v>d ə f i </v>
      </c>
    </row>
    <row r="6289">
      <c r="A6289" s="1" t="s">
        <v>6291</v>
      </c>
      <c r="B6289" s="1" t="s">
        <v>5</v>
      </c>
      <c r="C6289" s="2">
        <f>IFERROR(__xludf.DUMMYFUNCTION("IFERROR(VLOOKUP(A6289, IMPORTRANGE(""https://docs.google.com/spreadsheets/d/1AVX9GT0dgogEBStecCXMMQ29tWz3gBrtNB8yIromXbY/edit?gid=741673867"", ""out1g!A:B""), 2, FALSE), 0)"),898.0)</f>
        <v>898</v>
      </c>
      <c r="D6289" s="2" t="str">
        <f>IFERROR(__xludf.DUMMYFUNCTION("IFERROR(VLOOKUP(A6289, IMPORTRANGE(""https://docs.google.com/spreadsheets/d/1-3Vjw2Cyy-mry5gbC8ypIR3YVGFfEpyFESummAta6sg/edit"", ""Sheet1!B:D""), 2, FALSE), ""Not Found"")"),"dæmd")</f>
        <v>dæmd</v>
      </c>
      <c r="E6289" s="2" t="str">
        <f>IFERROR(__xludf.DUMMYFUNCTION("IFERROR(VLOOKUP(A6289, IMPORTRANGE(""https://docs.google.com/spreadsheets/d/1-3Vjw2Cyy-mry5gbC8ypIR3YVGFfEpyFESummAta6sg/edit"", ""Sheet1!B:D""), 3, FALSE), ""Not Found"")"),"d æ m d ")</f>
        <v>d æ m d </v>
      </c>
    </row>
    <row r="6290">
      <c r="A6290" s="1" t="s">
        <v>6292</v>
      </c>
      <c r="B6290" s="1" t="s">
        <v>5</v>
      </c>
      <c r="C6290" s="2">
        <f>IFERROR(__xludf.DUMMYFUNCTION("IFERROR(VLOOKUP(A6290, IMPORTRANGE(""https://docs.google.com/spreadsheets/d/1AVX9GT0dgogEBStecCXMMQ29tWz3gBrtNB8yIromXbY/edit?gid=741673867"", ""out1g!A:B""), 2, FALSE), 0)"),35.0)</f>
        <v>35</v>
      </c>
      <c r="D6290" s="2" t="str">
        <f>IFERROR(__xludf.DUMMYFUNCTION("IFERROR(VLOOKUP(A6290, IMPORTRANGE(""https://docs.google.com/spreadsheets/d/1-3Vjw2Cyy-mry5gbC8ypIR3YVGFfEpyFESummAta6sg/edit"", ""Sheet1!B:D""), 2, FALSE), ""Not Found"")"),"tutu")</f>
        <v>tutu</v>
      </c>
      <c r="E6290" s="2" t="str">
        <f>IFERROR(__xludf.DUMMYFUNCTION("IFERROR(VLOOKUP(A6290, IMPORTRANGE(""https://docs.google.com/spreadsheets/d/1-3Vjw2Cyy-mry5gbC8ypIR3YVGFfEpyFESummAta6sg/edit"", ""Sheet1!B:D""), 3, FALSE), ""Not Found"")"),"t u t u ")</f>
        <v>t u t u </v>
      </c>
    </row>
    <row r="6291">
      <c r="A6291" s="1" t="s">
        <v>6293</v>
      </c>
      <c r="B6291" s="1" t="s">
        <v>5</v>
      </c>
      <c r="C6291" s="2">
        <f>IFERROR(__xludf.DUMMYFUNCTION("IFERROR(VLOOKUP(A6291, IMPORTRANGE(""https://docs.google.com/spreadsheets/d/1AVX9GT0dgogEBStecCXMMQ29tWz3gBrtNB8yIromXbY/edit?gid=741673867"", ""out1g!A:B""), 2, FALSE), 0)"),107.0)</f>
        <v>107</v>
      </c>
      <c r="D6291" s="2" t="str">
        <f>IFERROR(__xludf.DUMMYFUNCTION("IFERROR(VLOOKUP(A6291, IMPORTRANGE(""https://docs.google.com/spreadsheets/d/1-3Vjw2Cyy-mry5gbC8ypIR3YVGFfEpyFESummAta6sg/edit"", ""Sheet1!B:D""), 2, FALSE), ""Not Found"")"),"dim")</f>
        <v>dim</v>
      </c>
      <c r="E6291" s="2" t="str">
        <f>IFERROR(__xludf.DUMMYFUNCTION("IFERROR(VLOOKUP(A6291, IMPORTRANGE(""https://docs.google.com/spreadsheets/d/1-3Vjw2Cyy-mry5gbC8ypIR3YVGFfEpyFESummAta6sg/edit"", ""Sheet1!B:D""), 3, FALSE), ""Not Found"")"),"d i m ")</f>
        <v>d i m </v>
      </c>
    </row>
    <row r="6292">
      <c r="A6292" s="1" t="s">
        <v>6294</v>
      </c>
      <c r="B6292" s="1" t="s">
        <v>5</v>
      </c>
      <c r="C6292" s="2">
        <f>IFERROR(__xludf.DUMMYFUNCTION("IFERROR(VLOOKUP(A6292, IMPORTRANGE(""https://docs.google.com/spreadsheets/d/1AVX9GT0dgogEBStecCXMMQ29tWz3gBrtNB8yIromXbY/edit?gid=741673867"", ""out1g!A:B""), 2, FALSE), 0)"),79.0)</f>
        <v>79</v>
      </c>
      <c r="D6292" s="2" t="str">
        <f>IFERROR(__xludf.DUMMYFUNCTION("IFERROR(VLOOKUP(A6292, IMPORTRANGE(""https://docs.google.com/spreadsheets/d/1-3Vjw2Cyy-mry5gbC8ypIR3YVGFfEpyFESummAta6sg/edit"", ""Sheet1!B:D""), 2, FALSE), ""Not Found"")"),"bərg")</f>
        <v>bərg</v>
      </c>
      <c r="E6292" s="2" t="str">
        <f>IFERROR(__xludf.DUMMYFUNCTION("IFERROR(VLOOKUP(A6292, IMPORTRANGE(""https://docs.google.com/spreadsheets/d/1-3Vjw2Cyy-mry5gbC8ypIR3YVGFfEpyFESummAta6sg/edit"", ""Sheet1!B:D""), 3, FALSE), ""Not Found"")"),"b ə r g ")</f>
        <v>b ə r g </v>
      </c>
    </row>
    <row r="6293">
      <c r="A6293" s="1" t="s">
        <v>6295</v>
      </c>
      <c r="B6293" s="1" t="s">
        <v>5</v>
      </c>
      <c r="C6293" s="2">
        <f>IFERROR(__xludf.DUMMYFUNCTION("IFERROR(VLOOKUP(A6293, IMPORTRANGE(""https://docs.google.com/spreadsheets/d/1AVX9GT0dgogEBStecCXMMQ29tWz3gBrtNB8yIromXbY/edit?gid=741673867"", ""out1g!A:B""), 2, FALSE), 0)"),106.0)</f>
        <v>106</v>
      </c>
      <c r="D6293" s="2" t="str">
        <f>IFERROR(__xludf.DUMMYFUNCTION("IFERROR(VLOOKUP(A6293, IMPORTRANGE(""https://docs.google.com/spreadsheets/d/1-3Vjw2Cyy-mry5gbC8ypIR3YVGFfEpyFESummAta6sg/edit"", ""Sheet1!B:D""), 2, FALSE), ""Not Found"")"),"nɑ")</f>
        <v>nɑ</v>
      </c>
      <c r="E6293" s="2" t="str">
        <f>IFERROR(__xludf.DUMMYFUNCTION("IFERROR(VLOOKUP(A6293, IMPORTRANGE(""https://docs.google.com/spreadsheets/d/1-3Vjw2Cyy-mry5gbC8ypIR3YVGFfEpyFESummAta6sg/edit"", ""Sheet1!B:D""), 3, FALSE), ""Not Found"")"),"n ɑ ")</f>
        <v>n ɑ </v>
      </c>
    </row>
    <row r="6294">
      <c r="A6294" s="1" t="s">
        <v>6296</v>
      </c>
      <c r="B6294" s="1" t="s">
        <v>5</v>
      </c>
      <c r="C6294" s="2">
        <f>IFERROR(__xludf.DUMMYFUNCTION("IFERROR(VLOOKUP(A6294, IMPORTRANGE(""https://docs.google.com/spreadsheets/d/1AVX9GT0dgogEBStecCXMMQ29tWz3gBrtNB8yIromXbY/edit?gid=741673867"", ""out1g!A:B""), 2, FALSE), 0)"),48.0)</f>
        <v>48</v>
      </c>
      <c r="D6294" s="2" t="str">
        <f>IFERROR(__xludf.DUMMYFUNCTION("IFERROR(VLOOKUP(A6294, IMPORTRANGE(""https://docs.google.com/spreadsheets/d/1-3Vjw2Cyy-mry5gbC8ypIR3YVGFfEpyFESummAta6sg/edit"", ""Sheet1!B:D""), 2, FALSE), ""Not Found"")"),"roʊpt")</f>
        <v>roʊpt</v>
      </c>
      <c r="E6294" s="2" t="str">
        <f>IFERROR(__xludf.DUMMYFUNCTION("IFERROR(VLOOKUP(A6294, IMPORTRANGE(""https://docs.google.com/spreadsheets/d/1-3Vjw2Cyy-mry5gbC8ypIR3YVGFfEpyFESummAta6sg/edit"", ""Sheet1!B:D""), 3, FALSE), ""Not Found"")"),"r o ʊ p t ")</f>
        <v>r o ʊ p t </v>
      </c>
    </row>
    <row r="6295">
      <c r="A6295" s="1" t="s">
        <v>6297</v>
      </c>
      <c r="B6295" s="1" t="s">
        <v>5</v>
      </c>
      <c r="C6295" s="2">
        <f>IFERROR(__xludf.DUMMYFUNCTION("IFERROR(VLOOKUP(A6295, IMPORTRANGE(""https://docs.google.com/spreadsheets/d/1AVX9GT0dgogEBStecCXMMQ29tWz3gBrtNB8yIromXbY/edit?gid=741673867"", ""out1g!A:B""), 2, FALSE), 0)"),444.0)</f>
        <v>444</v>
      </c>
      <c r="D6295" s="2" t="str">
        <f>IFERROR(__xludf.DUMMYFUNCTION("IFERROR(VLOOKUP(A6295, IMPORTRANGE(""https://docs.google.com/spreadsheets/d/1-3Vjw2Cyy-mry5gbC8ypIR3YVGFfEpyFESummAta6sg/edit"", ""Sheet1!B:D""), 2, FALSE), ""Not Found"")"),"dɪr")</f>
        <v>dɪr</v>
      </c>
      <c r="E6295" s="2" t="str">
        <f>IFERROR(__xludf.DUMMYFUNCTION("IFERROR(VLOOKUP(A6295, IMPORTRANGE(""https://docs.google.com/spreadsheets/d/1-3Vjw2Cyy-mry5gbC8ypIR3YVGFfEpyFESummAta6sg/edit"", ""Sheet1!B:D""), 3, FALSE), ""Not Found"")"),"d ɪ r ")</f>
        <v>d ɪ r </v>
      </c>
    </row>
    <row r="6296">
      <c r="A6296" s="1" t="s">
        <v>6298</v>
      </c>
      <c r="B6296" s="1" t="s">
        <v>5</v>
      </c>
      <c r="C6296" s="2">
        <f>IFERROR(__xludf.DUMMYFUNCTION("IFERROR(VLOOKUP(A6296, IMPORTRANGE(""https://docs.google.com/spreadsheets/d/1AVX9GT0dgogEBStecCXMMQ29tWz3gBrtNB8yIromXbY/edit?gid=741673867"", ""out1g!A:B""), 2, FALSE), 0)"),1094.0)</f>
        <v>1094</v>
      </c>
      <c r="D6296" s="2" t="str">
        <f>IFERROR(__xludf.DUMMYFUNCTION("IFERROR(VLOOKUP(A6296, IMPORTRANGE(""https://docs.google.com/spreadsheets/d/1-3Vjw2Cyy-mry5gbC8ypIR3YVGFfEpyFESummAta6sg/edit"", ""Sheet1!B:D""), 2, FALSE), ""Not Found"")"),"ziroʊ")</f>
        <v>ziroʊ</v>
      </c>
      <c r="E6296" s="2" t="str">
        <f>IFERROR(__xludf.DUMMYFUNCTION("IFERROR(VLOOKUP(A6296, IMPORTRANGE(""https://docs.google.com/spreadsheets/d/1-3Vjw2Cyy-mry5gbC8ypIR3YVGFfEpyFESummAta6sg/edit"", ""Sheet1!B:D""), 3, FALSE), ""Not Found"")"),"z i r o ʊ ")</f>
        <v>z i r o ʊ </v>
      </c>
    </row>
    <row r="6297">
      <c r="A6297" s="1" t="s">
        <v>6299</v>
      </c>
      <c r="B6297" s="1" t="s">
        <v>5</v>
      </c>
      <c r="C6297" s="2">
        <f>IFERROR(__xludf.DUMMYFUNCTION("IFERROR(VLOOKUP(A6297, IMPORTRANGE(""https://docs.google.com/spreadsheets/d/1AVX9GT0dgogEBStecCXMMQ29tWz3gBrtNB8yIromXbY/edit?gid=741673867"", ""out1g!A:B""), 2, FALSE), 0)"),112.0)</f>
        <v>112</v>
      </c>
      <c r="D6297" s="2" t="str">
        <f>IFERROR(__xludf.DUMMYFUNCTION("IFERROR(VLOOKUP(A6297, IMPORTRANGE(""https://docs.google.com/spreadsheets/d/1-3Vjw2Cyy-mry5gbC8ypIR3YVGFfEpyFESummAta6sg/edit"", ""Sheet1!B:D""), 2, FALSE), ""Not Found"")"),"lərkɪŋ")</f>
        <v>lərkɪŋ</v>
      </c>
      <c r="E6297" s="2" t="str">
        <f>IFERROR(__xludf.DUMMYFUNCTION("IFERROR(VLOOKUP(A6297, IMPORTRANGE(""https://docs.google.com/spreadsheets/d/1-3Vjw2Cyy-mry5gbC8ypIR3YVGFfEpyFESummAta6sg/edit"", ""Sheet1!B:D""), 3, FALSE), ""Not Found"")"),"l ə r k ɪ ŋ ")</f>
        <v>l ə r k ɪ ŋ </v>
      </c>
    </row>
    <row r="6298">
      <c r="A6298" s="1" t="s">
        <v>6300</v>
      </c>
      <c r="B6298" s="1" t="s">
        <v>5</v>
      </c>
      <c r="C6298" s="2">
        <f>IFERROR(__xludf.DUMMYFUNCTION("IFERROR(VLOOKUP(A6298, IMPORTRANGE(""https://docs.google.com/spreadsheets/d/1AVX9GT0dgogEBStecCXMMQ29tWz3gBrtNB8yIromXbY/edit?gid=741673867"", ""out1g!A:B""), 2, FALSE), 0)"),27.0)</f>
        <v>27</v>
      </c>
      <c r="D6298" s="2" t="str">
        <f>IFERROR(__xludf.DUMMYFUNCTION("IFERROR(VLOOKUP(A6298, IMPORTRANGE(""https://docs.google.com/spreadsheets/d/1-3Vjw2Cyy-mry5gbC8ypIR3YVGFfEpyFESummAta6sg/edit"", ""Sheet1!B:D""), 2, FALSE), ""Not Found"")"),"mɑks")</f>
        <v>mɑks</v>
      </c>
      <c r="E6298" s="2" t="str">
        <f>IFERROR(__xludf.DUMMYFUNCTION("IFERROR(VLOOKUP(A6298, IMPORTRANGE(""https://docs.google.com/spreadsheets/d/1-3Vjw2Cyy-mry5gbC8ypIR3YVGFfEpyFESummAta6sg/edit"", ""Sheet1!B:D""), 3, FALSE), ""Not Found"")"),"m ɑ k s ")</f>
        <v>m ɑ k s </v>
      </c>
    </row>
    <row r="6299">
      <c r="A6299" s="1" t="s">
        <v>6301</v>
      </c>
      <c r="B6299" s="1" t="s">
        <v>5</v>
      </c>
      <c r="C6299" s="2">
        <f>IFERROR(__xludf.DUMMYFUNCTION("IFERROR(VLOOKUP(A6299, IMPORTRANGE(""https://docs.google.com/spreadsheets/d/1AVX9GT0dgogEBStecCXMMQ29tWz3gBrtNB8yIromXbY/edit?gid=741673867"", ""out1g!A:B""), 2, FALSE), 0)"),48.0)</f>
        <v>48</v>
      </c>
      <c r="D6299" s="2" t="str">
        <f>IFERROR(__xludf.DUMMYFUNCTION("IFERROR(VLOOKUP(A6299, IMPORTRANGE(""https://docs.google.com/spreadsheets/d/1-3Vjw2Cyy-mry5gbC8ypIR3YVGFfEpyFESummAta6sg/edit"", ""Sheet1!B:D""), 2, FALSE), ""Not Found"")"),"wɑli")</f>
        <v>wɑli</v>
      </c>
      <c r="E6299" s="2" t="str">
        <f>IFERROR(__xludf.DUMMYFUNCTION("IFERROR(VLOOKUP(A6299, IMPORTRANGE(""https://docs.google.com/spreadsheets/d/1-3Vjw2Cyy-mry5gbC8ypIR3YVGFfEpyFESummAta6sg/edit"", ""Sheet1!B:D""), 3, FALSE), ""Not Found"")"),"w ɑ l i ")</f>
        <v>w ɑ l i </v>
      </c>
    </row>
    <row r="6300">
      <c r="A6300" s="1" t="s">
        <v>6302</v>
      </c>
      <c r="B6300" s="1" t="s">
        <v>5</v>
      </c>
      <c r="C6300" s="2">
        <f>IFERROR(__xludf.DUMMYFUNCTION("IFERROR(VLOOKUP(A6300, IMPORTRANGE(""https://docs.google.com/spreadsheets/d/1AVX9GT0dgogEBStecCXMMQ29tWz3gBrtNB8yIromXbY/edit?gid=741673867"", ""out1g!A:B""), 2, FALSE), 0)"),96.0)</f>
        <v>96</v>
      </c>
      <c r="D6300" s="2" t="str">
        <f>IFERROR(__xludf.DUMMYFUNCTION("IFERROR(VLOOKUP(A6300, IMPORTRANGE(""https://docs.google.com/spreadsheets/d/1-3Vjw2Cyy-mry5gbC8ypIR3YVGFfEpyFESummAta6sg/edit"", ""Sheet1!B:D""), 2, FALSE), ""Not Found"")"),"stən")</f>
        <v>stən</v>
      </c>
      <c r="E6300" s="2" t="str">
        <f>IFERROR(__xludf.DUMMYFUNCTION("IFERROR(VLOOKUP(A6300, IMPORTRANGE(""https://docs.google.com/spreadsheets/d/1-3Vjw2Cyy-mry5gbC8ypIR3YVGFfEpyFESummAta6sg/edit"", ""Sheet1!B:D""), 3, FALSE), ""Not Found"")"),"s t ə n ")</f>
        <v>s t ə n </v>
      </c>
    </row>
    <row r="6301">
      <c r="A6301" s="1" t="s">
        <v>6303</v>
      </c>
      <c r="B6301" s="1" t="s">
        <v>5</v>
      </c>
      <c r="C6301" s="2">
        <f>IFERROR(__xludf.DUMMYFUNCTION("IFERROR(VLOOKUP(A6301, IMPORTRANGE(""https://docs.google.com/spreadsheets/d/1AVX9GT0dgogEBStecCXMMQ29tWz3gBrtNB8yIromXbY/edit?gid=741673867"", ""out1g!A:B""), 2, FALSE), 0)"),11.0)</f>
        <v>11</v>
      </c>
      <c r="D6301" s="2" t="str">
        <f>IFERROR(__xludf.DUMMYFUNCTION("IFERROR(VLOOKUP(A6301, IMPORTRANGE(""https://docs.google.com/spreadsheets/d/1-3Vjw2Cyy-mry5gbC8ypIR3YVGFfEpyFESummAta6sg/edit"", ""Sheet1!B:D""), 2, FALSE), ""Not Found"")"),"kləʤ")</f>
        <v>kləʤ</v>
      </c>
      <c r="E6301" s="2" t="str">
        <f>IFERROR(__xludf.DUMMYFUNCTION("IFERROR(VLOOKUP(A6301, IMPORTRANGE(""https://docs.google.com/spreadsheets/d/1-3Vjw2Cyy-mry5gbC8ypIR3YVGFfEpyFESummAta6sg/edit"", ""Sheet1!B:D""), 3, FALSE), ""Not Found"")"),"k l ə ʤ ")</f>
        <v>k l ə ʤ </v>
      </c>
    </row>
    <row r="6302">
      <c r="A6302" s="1" t="s">
        <v>6304</v>
      </c>
      <c r="B6302" s="1" t="s">
        <v>5</v>
      </c>
      <c r="C6302" s="2">
        <f>IFERROR(__xludf.DUMMYFUNCTION("IFERROR(VLOOKUP(A6302, IMPORTRANGE(""https://docs.google.com/spreadsheets/d/1AVX9GT0dgogEBStecCXMMQ29tWz3gBrtNB8yIromXbY/edit?gid=741673867"", ""out1g!A:B""), 2, FALSE), 0)"),61.0)</f>
        <v>61</v>
      </c>
      <c r="D6302" s="2" t="str">
        <f>IFERROR(__xludf.DUMMYFUNCTION("IFERROR(VLOOKUP(A6302, IMPORTRANGE(""https://docs.google.com/spreadsheets/d/1-3Vjw2Cyy-mry5gbC8ypIR3YVGFfEpyFESummAta6sg/edit"", ""Sheet1!B:D""), 2, FALSE), ""Not Found"")"),"əmɪr")</f>
        <v>əmɪr</v>
      </c>
      <c r="E6302" s="2" t="str">
        <f>IFERROR(__xludf.DUMMYFUNCTION("IFERROR(VLOOKUP(A6302, IMPORTRANGE(""https://docs.google.com/spreadsheets/d/1-3Vjw2Cyy-mry5gbC8ypIR3YVGFfEpyFESummAta6sg/edit"", ""Sheet1!B:D""), 3, FALSE), ""Not Found"")"),"ə m ɪ r ")</f>
        <v>ə m ɪ r </v>
      </c>
    </row>
    <row r="6303">
      <c r="A6303" s="1" t="s">
        <v>6305</v>
      </c>
      <c r="B6303" s="1" t="s">
        <v>5</v>
      </c>
      <c r="C6303" s="2">
        <f>IFERROR(__xludf.DUMMYFUNCTION("IFERROR(VLOOKUP(A6303, IMPORTRANGE(""https://docs.google.com/spreadsheets/d/1AVX9GT0dgogEBStecCXMMQ29tWz3gBrtNB8yIromXbY/edit?gid=741673867"", ""out1g!A:B""), 2, FALSE), 0)"),89.0)</f>
        <v>89</v>
      </c>
      <c r="D6303" s="2" t="str">
        <f>IFERROR(__xludf.DUMMYFUNCTION("IFERROR(VLOOKUP(A6303, IMPORTRANGE(""https://docs.google.com/spreadsheets/d/1-3Vjw2Cyy-mry5gbC8ypIR3YVGFfEpyFESummAta6sg/edit"", ""Sheet1!B:D""), 2, FALSE), ""Not Found"")"),"boʊz")</f>
        <v>boʊz</v>
      </c>
      <c r="E6303" s="2" t="str">
        <f>IFERROR(__xludf.DUMMYFUNCTION("IFERROR(VLOOKUP(A6303, IMPORTRANGE(""https://docs.google.com/spreadsheets/d/1-3Vjw2Cyy-mry5gbC8ypIR3YVGFfEpyFESummAta6sg/edit"", ""Sheet1!B:D""), 3, FALSE), ""Not Found"")"),"b o ʊ z ")</f>
        <v>b o ʊ z </v>
      </c>
    </row>
    <row r="6304">
      <c r="A6304" s="1" t="s">
        <v>6306</v>
      </c>
      <c r="B6304" s="1" t="s">
        <v>5</v>
      </c>
      <c r="C6304" s="2">
        <f>IFERROR(__xludf.DUMMYFUNCTION("IFERROR(VLOOKUP(A6304, IMPORTRANGE(""https://docs.google.com/spreadsheets/d/1AVX9GT0dgogEBStecCXMMQ29tWz3gBrtNB8yIromXbY/edit?gid=741673867"", ""out1g!A:B""), 2, FALSE), 0)"),401.0)</f>
        <v>401</v>
      </c>
      <c r="D6304" s="2" t="str">
        <f>IFERROR(__xludf.DUMMYFUNCTION("IFERROR(VLOOKUP(A6304, IMPORTRANGE(""https://docs.google.com/spreadsheets/d/1-3Vjw2Cyy-mry5gbC8ypIR3YVGFfEpyFESummAta6sg/edit"", ""Sheet1!B:D""), 2, FALSE), ""Not Found"")"),"dɪʧ")</f>
        <v>dɪʧ</v>
      </c>
      <c r="E6304" s="2" t="str">
        <f>IFERROR(__xludf.DUMMYFUNCTION("IFERROR(VLOOKUP(A6304, IMPORTRANGE(""https://docs.google.com/spreadsheets/d/1-3Vjw2Cyy-mry5gbC8ypIR3YVGFfEpyFESummAta6sg/edit"", ""Sheet1!B:D""), 3, FALSE), ""Not Found"")"),"d ɪ ʧ ")</f>
        <v>d ɪ ʧ </v>
      </c>
    </row>
    <row r="6305">
      <c r="A6305" s="1" t="s">
        <v>6307</v>
      </c>
      <c r="B6305" s="1" t="s">
        <v>5</v>
      </c>
      <c r="C6305" s="2">
        <f>IFERROR(__xludf.DUMMYFUNCTION("IFERROR(VLOOKUP(A6305, IMPORTRANGE(""https://docs.google.com/spreadsheets/d/1AVX9GT0dgogEBStecCXMMQ29tWz3gBrtNB8yIromXbY/edit?gid=741673867"", ""out1g!A:B""), 2, FALSE), 0)"),199.0)</f>
        <v>199</v>
      </c>
      <c r="D6305" s="2" t="str">
        <f>IFERROR(__xludf.DUMMYFUNCTION("IFERROR(VLOOKUP(A6305, IMPORTRANGE(""https://docs.google.com/spreadsheets/d/1-3Vjw2Cyy-mry5gbC8ypIR3YVGFfEpyFESummAta6sg/edit"", ""Sheet1!B:D""), 2, FALSE), ""Not Found"")"),"snæʧ")</f>
        <v>snæʧ</v>
      </c>
      <c r="E6305" s="2" t="str">
        <f>IFERROR(__xludf.DUMMYFUNCTION("IFERROR(VLOOKUP(A6305, IMPORTRANGE(""https://docs.google.com/spreadsheets/d/1-3Vjw2Cyy-mry5gbC8ypIR3YVGFfEpyFESummAta6sg/edit"", ""Sheet1!B:D""), 3, FALSE), ""Not Found"")"),"s n æ ʧ ")</f>
        <v>s n æ ʧ </v>
      </c>
    </row>
    <row r="6306">
      <c r="A6306" s="1" t="s">
        <v>6308</v>
      </c>
      <c r="B6306" s="1" t="s">
        <v>5</v>
      </c>
      <c r="C6306" s="2">
        <f>IFERROR(__xludf.DUMMYFUNCTION("IFERROR(VLOOKUP(A6306, IMPORTRANGE(""https://docs.google.com/spreadsheets/d/1AVX9GT0dgogEBStecCXMMQ29tWz3gBrtNB8yIromXbY/edit?gid=741673867"", ""out1g!A:B""), 2, FALSE), 0)"),100.0)</f>
        <v>100</v>
      </c>
      <c r="D6306" s="2" t="str">
        <f>IFERROR(__xludf.DUMMYFUNCTION("IFERROR(VLOOKUP(A6306, IMPORTRANGE(""https://docs.google.com/spreadsheets/d/1-3Vjw2Cyy-mry5gbC8ypIR3YVGFfEpyFESummAta6sg/edit"", ""Sheet1!B:D""), 2, FALSE), ""Not Found"")"),"wɔlnət")</f>
        <v>wɔlnət</v>
      </c>
      <c r="E6306" s="2" t="str">
        <f>IFERROR(__xludf.DUMMYFUNCTION("IFERROR(VLOOKUP(A6306, IMPORTRANGE(""https://docs.google.com/spreadsheets/d/1-3Vjw2Cyy-mry5gbC8ypIR3YVGFfEpyFESummAta6sg/edit"", ""Sheet1!B:D""), 3, FALSE), ""Not Found"")"),"w ɔ l n ə t ")</f>
        <v>w ɔ l n ə t </v>
      </c>
    </row>
    <row r="6307">
      <c r="A6307" s="1" t="s">
        <v>6309</v>
      </c>
      <c r="B6307" s="1" t="s">
        <v>5</v>
      </c>
      <c r="C6307" s="2">
        <f>IFERROR(__xludf.DUMMYFUNCTION("IFERROR(VLOOKUP(A6307, IMPORTRANGE(""https://docs.google.com/spreadsheets/d/1AVX9GT0dgogEBStecCXMMQ29tWz3gBrtNB8yIromXbY/edit?gid=741673867"", ""out1g!A:B""), 2, FALSE), 0)"),109.0)</f>
        <v>109</v>
      </c>
      <c r="D6307" s="2" t="str">
        <f>IFERROR(__xludf.DUMMYFUNCTION("IFERROR(VLOOKUP(A6307, IMPORTRANGE(""https://docs.google.com/spreadsheets/d/1-3Vjw2Cyy-mry5gbC8ypIR3YVGFfEpyFESummAta6sg/edit"", ""Sheet1!B:D""), 2, FALSE), ""Not Found"")"),"sie")</f>
        <v>sie</v>
      </c>
      <c r="E6307" s="2" t="str">
        <f>IFERROR(__xludf.DUMMYFUNCTION("IFERROR(VLOOKUP(A6307, IMPORTRANGE(""https://docs.google.com/spreadsheets/d/1-3Vjw2Cyy-mry5gbC8ypIR3YVGFfEpyFESummAta6sg/edit"", ""Sheet1!B:D""), 3, FALSE), ""Not Found"")"),"s i e ")</f>
        <v>s i e </v>
      </c>
    </row>
    <row r="6308">
      <c r="A6308" s="1" t="s">
        <v>6310</v>
      </c>
      <c r="B6308" s="1" t="s">
        <v>5</v>
      </c>
      <c r="C6308" s="2">
        <f>IFERROR(__xludf.DUMMYFUNCTION("IFERROR(VLOOKUP(A6308, IMPORTRANGE(""https://docs.google.com/spreadsheets/d/1AVX9GT0dgogEBStecCXMMQ29tWz3gBrtNB8yIromXbY/edit?gid=741673867"", ""out1g!A:B""), 2, FALSE), 0)"),167.0)</f>
        <v>167</v>
      </c>
      <c r="D6308" s="2" t="str">
        <f>IFERROR(__xludf.DUMMYFUNCTION("IFERROR(VLOOKUP(A6308, IMPORTRANGE(""https://docs.google.com/spreadsheets/d/1-3Vjw2Cyy-mry5gbC8ypIR3YVGFfEpyFESummAta6sg/edit"", ""Sheet1!B:D""), 2, FALSE), ""Not Found"")"),"bæʃ")</f>
        <v>bæʃ</v>
      </c>
      <c r="E6308" s="2" t="str">
        <f>IFERROR(__xludf.DUMMYFUNCTION("IFERROR(VLOOKUP(A6308, IMPORTRANGE(""https://docs.google.com/spreadsheets/d/1-3Vjw2Cyy-mry5gbC8ypIR3YVGFfEpyFESummAta6sg/edit"", ""Sheet1!B:D""), 3, FALSE), ""Not Found"")"),"b æ ʃ ")</f>
        <v>b æ ʃ </v>
      </c>
    </row>
    <row r="6309">
      <c r="A6309" s="1" t="s">
        <v>6311</v>
      </c>
      <c r="B6309" s="1" t="s">
        <v>5</v>
      </c>
      <c r="C6309" s="2">
        <f>IFERROR(__xludf.DUMMYFUNCTION("IFERROR(VLOOKUP(A6309, IMPORTRANGE(""https://docs.google.com/spreadsheets/d/1AVX9GT0dgogEBStecCXMMQ29tWz3gBrtNB8yIromXbY/edit?gid=741673867"", ""out1g!A:B""), 2, FALSE), 0)"),83.0)</f>
        <v>83</v>
      </c>
      <c r="D6309" s="2" t="str">
        <f>IFERROR(__xludf.DUMMYFUNCTION("IFERROR(VLOOKUP(A6309, IMPORTRANGE(""https://docs.google.com/spreadsheets/d/1-3Vjw2Cyy-mry5gbC8ypIR3YVGFfEpyFESummAta6sg/edit"", ""Sheet1!B:D""), 2, FALSE), ""Not Found"")"),"sərfər")</f>
        <v>sərfər</v>
      </c>
      <c r="E6309" s="2" t="str">
        <f>IFERROR(__xludf.DUMMYFUNCTION("IFERROR(VLOOKUP(A6309, IMPORTRANGE(""https://docs.google.com/spreadsheets/d/1-3Vjw2Cyy-mry5gbC8ypIR3YVGFfEpyFESummAta6sg/edit"", ""Sheet1!B:D""), 3, FALSE), ""Not Found"")"),"s ə r f ə r ")</f>
        <v>s ə r f ə r </v>
      </c>
    </row>
    <row r="6310">
      <c r="A6310" s="1" t="s">
        <v>6312</v>
      </c>
      <c r="B6310" s="1" t="s">
        <v>5</v>
      </c>
      <c r="C6310" s="2">
        <f>IFERROR(__xludf.DUMMYFUNCTION("IFERROR(VLOOKUP(A6310, IMPORTRANGE(""https://docs.google.com/spreadsheets/d/1AVX9GT0dgogEBStecCXMMQ29tWz3gBrtNB8yIromXbY/edit?gid=741673867"", ""out1g!A:B""), 2, FALSE), 0)"),111.0)</f>
        <v>111</v>
      </c>
      <c r="D6310" s="2" t="str">
        <f>IFERROR(__xludf.DUMMYFUNCTION("IFERROR(VLOOKUP(A6310, IMPORTRANGE(""https://docs.google.com/spreadsheets/d/1-3Vjw2Cyy-mry5gbC8ypIR3YVGFfEpyFESummAta6sg/edit"", ""Sheet1!B:D""), 2, FALSE), ""Not Found"")"),"slizi")</f>
        <v>slizi</v>
      </c>
      <c r="E6310" s="2" t="str">
        <f>IFERROR(__xludf.DUMMYFUNCTION("IFERROR(VLOOKUP(A6310, IMPORTRANGE(""https://docs.google.com/spreadsheets/d/1-3Vjw2Cyy-mry5gbC8ypIR3YVGFfEpyFESummAta6sg/edit"", ""Sheet1!B:D""), 3, FALSE), ""Not Found"")"),"s l i z i ")</f>
        <v>s l i z i </v>
      </c>
    </row>
    <row r="6311">
      <c r="A6311" s="1" t="s">
        <v>6313</v>
      </c>
      <c r="B6311" s="1" t="s">
        <v>5</v>
      </c>
      <c r="C6311" s="2">
        <f>IFERROR(__xludf.DUMMYFUNCTION("IFERROR(VLOOKUP(A6311, IMPORTRANGE(""https://docs.google.com/spreadsheets/d/1AVX9GT0dgogEBStecCXMMQ29tWz3gBrtNB8yIromXbY/edit?gid=741673867"", ""out1g!A:B""), 2, FALSE), 0)"),239.0)</f>
        <v>239</v>
      </c>
      <c r="D6311" s="2" t="str">
        <f>IFERROR(__xludf.DUMMYFUNCTION("IFERROR(VLOOKUP(A6311, IMPORTRANGE(""https://docs.google.com/spreadsheets/d/1-3Vjw2Cyy-mry5gbC8ypIR3YVGFfEpyFESummAta6sg/edit"", ""Sheet1!B:D""), 2, FALSE), ""Not Found"")"),"skɑrf")</f>
        <v>skɑrf</v>
      </c>
      <c r="E6311" s="2" t="str">
        <f>IFERROR(__xludf.DUMMYFUNCTION("IFERROR(VLOOKUP(A6311, IMPORTRANGE(""https://docs.google.com/spreadsheets/d/1-3Vjw2Cyy-mry5gbC8ypIR3YVGFfEpyFESummAta6sg/edit"", ""Sheet1!B:D""), 3, FALSE), ""Not Found"")"),"s k ɑ r f ")</f>
        <v>s k ɑ r f </v>
      </c>
    </row>
    <row r="6312">
      <c r="A6312" s="1" t="s">
        <v>6314</v>
      </c>
      <c r="B6312" s="1" t="s">
        <v>5</v>
      </c>
      <c r="C6312" s="2">
        <f>IFERROR(__xludf.DUMMYFUNCTION("IFERROR(VLOOKUP(A6312, IMPORTRANGE(""https://docs.google.com/spreadsheets/d/1AVX9GT0dgogEBStecCXMMQ29tWz3gBrtNB8yIromXbY/edit?gid=741673867"", ""out1g!A:B""), 2, FALSE), 0)"),11926.0)</f>
        <v>11926</v>
      </c>
      <c r="D6312" s="2" t="str">
        <f>IFERROR(__xludf.DUMMYFUNCTION("IFERROR(VLOOKUP(A6312, IMPORTRANGE(""https://docs.google.com/spreadsheets/d/1-3Vjw2Cyy-mry5gbC8ypIR3YVGFfEpyFESummAta6sg/edit"", ""Sheet1!B:D""), 2, FALSE), ""Not Found"")"),"gem")</f>
        <v>gem</v>
      </c>
      <c r="E6312" s="2" t="str">
        <f>IFERROR(__xludf.DUMMYFUNCTION("IFERROR(VLOOKUP(A6312, IMPORTRANGE(""https://docs.google.com/spreadsheets/d/1-3Vjw2Cyy-mry5gbC8ypIR3YVGFfEpyFESummAta6sg/edit"", ""Sheet1!B:D""), 3, FALSE), ""Not Found"")"),"g e m ")</f>
        <v>g e m </v>
      </c>
    </row>
    <row r="6313">
      <c r="A6313" s="1" t="s">
        <v>6315</v>
      </c>
      <c r="B6313" s="1" t="s">
        <v>5</v>
      </c>
      <c r="C6313" s="2">
        <f>IFERROR(__xludf.DUMMYFUNCTION("IFERROR(VLOOKUP(A6313, IMPORTRANGE(""https://docs.google.com/spreadsheets/d/1AVX9GT0dgogEBStecCXMMQ29tWz3gBrtNB8yIromXbY/edit?gid=741673867"", ""out1g!A:B""), 2, FALSE), 0)"),141.0)</f>
        <v>141</v>
      </c>
      <c r="D6313" s="2" t="str">
        <f>IFERROR(__xludf.DUMMYFUNCTION("IFERROR(VLOOKUP(A6313, IMPORTRANGE(""https://docs.google.com/spreadsheets/d/1-3Vjw2Cyy-mry5gbC8ypIR3YVGFfEpyFESummAta6sg/edit"", ""Sheet1!B:D""), 2, FALSE), ""Not Found"")"),"stæʃt")</f>
        <v>stæʃt</v>
      </c>
      <c r="E6313" s="2" t="str">
        <f>IFERROR(__xludf.DUMMYFUNCTION("IFERROR(VLOOKUP(A6313, IMPORTRANGE(""https://docs.google.com/spreadsheets/d/1-3Vjw2Cyy-mry5gbC8ypIR3YVGFfEpyFESummAta6sg/edit"", ""Sheet1!B:D""), 3, FALSE), ""Not Found"")"),"s t æ ʃ t ")</f>
        <v>s t æ ʃ t </v>
      </c>
    </row>
    <row r="6314">
      <c r="A6314" s="1" t="s">
        <v>6316</v>
      </c>
      <c r="B6314" s="1" t="s">
        <v>5</v>
      </c>
      <c r="C6314" s="2">
        <f>IFERROR(__xludf.DUMMYFUNCTION("IFERROR(VLOOKUP(A6314, IMPORTRANGE(""https://docs.google.com/spreadsheets/d/1AVX9GT0dgogEBStecCXMMQ29tWz3gBrtNB8yIromXbY/edit?gid=741673867"", ""out1g!A:B""), 2, FALSE), 0)"),77.0)</f>
        <v>77</v>
      </c>
      <c r="D6314" s="2" t="str">
        <f>IFERROR(__xludf.DUMMYFUNCTION("IFERROR(VLOOKUP(A6314, IMPORTRANGE(""https://docs.google.com/spreadsheets/d/1-3Vjw2Cyy-mry5gbC8ypIR3YVGFfEpyFESummAta6sg/edit"", ""Sheet1!B:D""), 2, FALSE), ""Not Found"")"),"ʃæm")</f>
        <v>ʃæm</v>
      </c>
      <c r="E6314" s="2" t="str">
        <f>IFERROR(__xludf.DUMMYFUNCTION("IFERROR(VLOOKUP(A6314, IMPORTRANGE(""https://docs.google.com/spreadsheets/d/1-3Vjw2Cyy-mry5gbC8ypIR3YVGFfEpyFESummAta6sg/edit"", ""Sheet1!B:D""), 3, FALSE), ""Not Found"")"),"ʃ æ m ")</f>
        <v>ʃ æ m </v>
      </c>
    </row>
    <row r="6315">
      <c r="A6315" s="1" t="s">
        <v>6317</v>
      </c>
      <c r="B6315" s="1" t="s">
        <v>5</v>
      </c>
      <c r="C6315" s="2">
        <f>IFERROR(__xludf.DUMMYFUNCTION("IFERROR(VLOOKUP(A6315, IMPORTRANGE(""https://docs.google.com/spreadsheets/d/1AVX9GT0dgogEBStecCXMMQ29tWz3gBrtNB8yIromXbY/edit?gid=741673867"", ""out1g!A:B""), 2, FALSE), 0)"),14889.0)</f>
        <v>14889</v>
      </c>
      <c r="D6315" s="2" t="str">
        <f>IFERROR(__xludf.DUMMYFUNCTION("IFERROR(VLOOKUP(A6315, IMPORTRANGE(""https://docs.google.com/spreadsheets/d/1-3Vjw2Cyy-mry5gbC8ypIR3YVGFfEpyFESummAta6sg/edit"", ""Sheet1!B:D""), 2, FALSE), ""Not Found"")"),"letər")</f>
        <v>letər</v>
      </c>
      <c r="E6315" s="2" t="str">
        <f>IFERROR(__xludf.DUMMYFUNCTION("IFERROR(VLOOKUP(A6315, IMPORTRANGE(""https://docs.google.com/spreadsheets/d/1-3Vjw2Cyy-mry5gbC8ypIR3YVGFfEpyFESummAta6sg/edit"", ""Sheet1!B:D""), 3, FALSE), ""Not Found"")"),"l e t ə r ")</f>
        <v>l e t ə r </v>
      </c>
    </row>
    <row r="6316">
      <c r="A6316" s="1" t="s">
        <v>6318</v>
      </c>
      <c r="B6316" s="1" t="s">
        <v>5</v>
      </c>
      <c r="C6316" s="2">
        <f>IFERROR(__xludf.DUMMYFUNCTION("IFERROR(VLOOKUP(A6316, IMPORTRANGE(""https://docs.google.com/spreadsheets/d/1AVX9GT0dgogEBStecCXMMQ29tWz3gBrtNB8yIromXbY/edit?gid=741673867"", ""out1g!A:B""), 2, FALSE), 0)"),14.0)</f>
        <v>14</v>
      </c>
      <c r="D6316" s="2" t="str">
        <f>IFERROR(__xludf.DUMMYFUNCTION("IFERROR(VLOOKUP(A6316, IMPORTRANGE(""https://docs.google.com/spreadsheets/d/1-3Vjw2Cyy-mry5gbC8ypIR3YVGFfEpyFESummAta6sg/edit"", ""Sheet1!B:D""), 2, FALSE), ""Not Found"")"),"k")</f>
        <v>k</v>
      </c>
      <c r="E6316" s="2" t="str">
        <f>IFERROR(__xludf.DUMMYFUNCTION("IFERROR(VLOOKUP(A6316, IMPORTRANGE(""https://docs.google.com/spreadsheets/d/1-3Vjw2Cyy-mry5gbC8ypIR3YVGFfEpyFESummAta6sg/edit"", ""Sheet1!B:D""), 3, FALSE), ""Not Found"")"),"k ")</f>
        <v>k </v>
      </c>
    </row>
    <row r="6317">
      <c r="A6317" s="1" t="s">
        <v>6319</v>
      </c>
      <c r="B6317" s="1" t="s">
        <v>5</v>
      </c>
      <c r="C6317" s="2">
        <f>IFERROR(__xludf.DUMMYFUNCTION("IFERROR(VLOOKUP(A6317, IMPORTRANGE(""https://docs.google.com/spreadsheets/d/1AVX9GT0dgogEBStecCXMMQ29tWz3gBrtNB8yIromXbY/edit?gid=741673867"", ""out1g!A:B""), 2, FALSE), 0)"),72.0)</f>
        <v>72</v>
      </c>
      <c r="D6317" s="2" t="str">
        <f>IFERROR(__xludf.DUMMYFUNCTION("IFERROR(VLOOKUP(A6317, IMPORTRANGE(""https://docs.google.com/spreadsheets/d/1-3Vjw2Cyy-mry5gbC8ypIR3YVGFfEpyFESummAta6sg/edit"", ""Sheet1!B:D""), 2, FALSE), ""Not Found"")"),"trɔf")</f>
        <v>trɔf</v>
      </c>
      <c r="E6317" s="2" t="str">
        <f>IFERROR(__xludf.DUMMYFUNCTION("IFERROR(VLOOKUP(A6317, IMPORTRANGE(""https://docs.google.com/spreadsheets/d/1-3Vjw2Cyy-mry5gbC8ypIR3YVGFfEpyFESummAta6sg/edit"", ""Sheet1!B:D""), 3, FALSE), ""Not Found"")"),"t r ɔ f ")</f>
        <v>t r ɔ f </v>
      </c>
    </row>
    <row r="6318">
      <c r="A6318" s="1" t="s">
        <v>6320</v>
      </c>
      <c r="B6318" s="1" t="s">
        <v>5</v>
      </c>
      <c r="C6318" s="2">
        <f>IFERROR(__xludf.DUMMYFUNCTION("IFERROR(VLOOKUP(A6318, IMPORTRANGE(""https://docs.google.com/spreadsheets/d/1AVX9GT0dgogEBStecCXMMQ29tWz3gBrtNB8yIromXbY/edit?gid=741673867"", ""out1g!A:B""), 2, FALSE), 0)"),174.0)</f>
        <v>174</v>
      </c>
      <c r="D6318" s="2" t="str">
        <f>IFERROR(__xludf.DUMMYFUNCTION("IFERROR(VLOOKUP(A6318, IMPORTRANGE(""https://docs.google.com/spreadsheets/d/1-3Vjw2Cyy-mry5gbC8ypIR3YVGFfEpyFESummAta6sg/edit"", ""Sheet1!B:D""), 2, FALSE), ""Not Found"")"),"kɪsər")</f>
        <v>kɪsər</v>
      </c>
      <c r="E6318" s="2" t="str">
        <f>IFERROR(__xludf.DUMMYFUNCTION("IFERROR(VLOOKUP(A6318, IMPORTRANGE(""https://docs.google.com/spreadsheets/d/1-3Vjw2Cyy-mry5gbC8ypIR3YVGFfEpyFESummAta6sg/edit"", ""Sheet1!B:D""), 3, FALSE), ""Not Found"")"),"k ɪ s ə r ")</f>
        <v>k ɪ s ə r </v>
      </c>
    </row>
    <row r="6319">
      <c r="A6319" s="1" t="s">
        <v>6321</v>
      </c>
      <c r="B6319" s="1" t="s">
        <v>5</v>
      </c>
      <c r="C6319" s="2">
        <f>IFERROR(__xludf.DUMMYFUNCTION("IFERROR(VLOOKUP(A6319, IMPORTRANGE(""https://docs.google.com/spreadsheets/d/1AVX9GT0dgogEBStecCXMMQ29tWz3gBrtNB8yIromXbY/edit?gid=741673867"", ""out1g!A:B""), 2, FALSE), 0)"),334.0)</f>
        <v>334</v>
      </c>
      <c r="D6319" s="2" t="str">
        <f>IFERROR(__xludf.DUMMYFUNCTION("IFERROR(VLOOKUP(A6319, IMPORTRANGE(""https://docs.google.com/spreadsheets/d/1-3Vjw2Cyy-mry5gbC8ypIR3YVGFfEpyFESummAta6sg/edit"", ""Sheet1!B:D""), 2, FALSE), ""Not Found"")"),"skɪnər")</f>
        <v>skɪnər</v>
      </c>
      <c r="E6319" s="2" t="str">
        <f>IFERROR(__xludf.DUMMYFUNCTION("IFERROR(VLOOKUP(A6319, IMPORTRANGE(""https://docs.google.com/spreadsheets/d/1-3Vjw2Cyy-mry5gbC8ypIR3YVGFfEpyFESummAta6sg/edit"", ""Sheet1!B:D""), 3, FALSE), ""Not Found"")"),"s k ɪ n ə r ")</f>
        <v>s k ɪ n ə r </v>
      </c>
    </row>
    <row r="6320">
      <c r="A6320" s="1" t="s">
        <v>6322</v>
      </c>
      <c r="B6320" s="1" t="s">
        <v>5</v>
      </c>
      <c r="C6320" s="2">
        <f>IFERROR(__xludf.DUMMYFUNCTION("IFERROR(VLOOKUP(A6320, IMPORTRANGE(""https://docs.google.com/spreadsheets/d/1AVX9GT0dgogEBStecCXMMQ29tWz3gBrtNB8yIromXbY/edit?gid=741673867"", ""out1g!A:B""), 2, FALSE), 0)"),97.0)</f>
        <v>97</v>
      </c>
      <c r="D6320" s="2" t="str">
        <f>IFERROR(__xludf.DUMMYFUNCTION("IFERROR(VLOOKUP(A6320, IMPORTRANGE(""https://docs.google.com/spreadsheets/d/1-3Vjw2Cyy-mry5gbC8ypIR3YVGFfEpyFESummAta6sg/edit"", ""Sheet1!B:D""), 2, FALSE), ""Not Found"")"),"ʧikoʊ")</f>
        <v>ʧikoʊ</v>
      </c>
      <c r="E6320" s="2" t="str">
        <f>IFERROR(__xludf.DUMMYFUNCTION("IFERROR(VLOOKUP(A6320, IMPORTRANGE(""https://docs.google.com/spreadsheets/d/1-3Vjw2Cyy-mry5gbC8ypIR3YVGFfEpyFESummAta6sg/edit"", ""Sheet1!B:D""), 3, FALSE), ""Not Found"")"),"ʧ i k o ʊ ")</f>
        <v>ʧ i k o ʊ </v>
      </c>
    </row>
    <row r="6321">
      <c r="A6321" s="1" t="s">
        <v>6323</v>
      </c>
      <c r="B6321" s="1" t="s">
        <v>5</v>
      </c>
      <c r="C6321" s="2">
        <f>IFERROR(__xludf.DUMMYFUNCTION("IFERROR(VLOOKUP(A6321, IMPORTRANGE(""https://docs.google.com/spreadsheets/d/1AVX9GT0dgogEBStecCXMMQ29tWz3gBrtNB8yIromXbY/edit?gid=741673867"", ""out1g!A:B""), 2, FALSE), 0)"),2810.0)</f>
        <v>2810</v>
      </c>
      <c r="D6321" s="2" t="str">
        <f>IFERROR(__xludf.DUMMYFUNCTION("IFERROR(VLOOKUP(A6321, IMPORTRANGE(""https://docs.google.com/spreadsheets/d/1-3Vjw2Cyy-mry5gbC8ypIR3YVGFfEpyFESummAta6sg/edit"", ""Sheet1!B:D""), 2, FALSE), ""Not Found"")"),"ʃ")</f>
        <v>ʃ</v>
      </c>
      <c r="E6321" s="2" t="str">
        <f>IFERROR(__xludf.DUMMYFUNCTION("IFERROR(VLOOKUP(A6321, IMPORTRANGE(""https://docs.google.com/spreadsheets/d/1-3Vjw2Cyy-mry5gbC8ypIR3YVGFfEpyFESummAta6sg/edit"", ""Sheet1!B:D""), 3, FALSE), ""Not Found"")"),"ʃ ")</f>
        <v>ʃ </v>
      </c>
    </row>
    <row r="6322">
      <c r="A6322" s="1" t="s">
        <v>6324</v>
      </c>
      <c r="B6322" s="1" t="s">
        <v>5</v>
      </c>
      <c r="C6322" s="2">
        <f>IFERROR(__xludf.DUMMYFUNCTION("IFERROR(VLOOKUP(A6322, IMPORTRANGE(""https://docs.google.com/spreadsheets/d/1AVX9GT0dgogEBStecCXMMQ29tWz3gBrtNB8yIromXbY/edit?gid=741673867"", ""out1g!A:B""), 2, FALSE), 0)"),534.0)</f>
        <v>534</v>
      </c>
      <c r="D6322" s="2" t="str">
        <f>IFERROR(__xludf.DUMMYFUNCTION("IFERROR(VLOOKUP(A6322, IMPORTRANGE(""https://docs.google.com/spreadsheets/d/1-3Vjw2Cyy-mry5gbC8ypIR3YVGFfEpyFESummAta6sg/edit"", ""Sheet1!B:D""), 2, FALSE), ""Not Found"")"),"rut")</f>
        <v>rut</v>
      </c>
      <c r="E6322" s="2" t="str">
        <f>IFERROR(__xludf.DUMMYFUNCTION("IFERROR(VLOOKUP(A6322, IMPORTRANGE(""https://docs.google.com/spreadsheets/d/1-3Vjw2Cyy-mry5gbC8ypIR3YVGFfEpyFESummAta6sg/edit"", ""Sheet1!B:D""), 3, FALSE), ""Not Found"")"),"r u t ")</f>
        <v>r u t </v>
      </c>
    </row>
    <row r="6323">
      <c r="A6323" s="1" t="s">
        <v>6325</v>
      </c>
      <c r="B6323" s="1" t="s">
        <v>5</v>
      </c>
      <c r="C6323" s="2">
        <f>IFERROR(__xludf.DUMMYFUNCTION("IFERROR(VLOOKUP(A6323, IMPORTRANGE(""https://docs.google.com/spreadsheets/d/1AVX9GT0dgogEBStecCXMMQ29tWz3gBrtNB8yIromXbY/edit?gid=741673867"", ""out1g!A:B""), 2, FALSE), 0)"),76.0)</f>
        <v>76</v>
      </c>
      <c r="D6323" s="2" t="str">
        <f>IFERROR(__xludf.DUMMYFUNCTION("IFERROR(VLOOKUP(A6323, IMPORTRANGE(""https://docs.google.com/spreadsheets/d/1-3Vjw2Cyy-mry5gbC8ypIR3YVGFfEpyFESummAta6sg/edit"", ""Sheet1!B:D""), 2, FALSE), ""Not Found"")"),"məstər")</f>
        <v>məstər</v>
      </c>
      <c r="E6323" s="2" t="str">
        <f>IFERROR(__xludf.DUMMYFUNCTION("IFERROR(VLOOKUP(A6323, IMPORTRANGE(""https://docs.google.com/spreadsheets/d/1-3Vjw2Cyy-mry5gbC8ypIR3YVGFfEpyFESummAta6sg/edit"", ""Sheet1!B:D""), 3, FALSE), ""Not Found"")"),"m ə s t ə r ")</f>
        <v>m ə s t ə r </v>
      </c>
    </row>
    <row r="6324">
      <c r="A6324" s="1" t="s">
        <v>6326</v>
      </c>
      <c r="B6324" s="1" t="s">
        <v>5</v>
      </c>
      <c r="C6324" s="2">
        <f>IFERROR(__xludf.DUMMYFUNCTION("IFERROR(VLOOKUP(A6324, IMPORTRANGE(""https://docs.google.com/spreadsheets/d/1AVX9GT0dgogEBStecCXMMQ29tWz3gBrtNB8yIromXbY/edit?gid=741673867"", ""out1g!A:B""), 2, FALSE), 0)"),1808.0)</f>
        <v>1808</v>
      </c>
      <c r="D6324" s="2" t="str">
        <f>IFERROR(__xludf.DUMMYFUNCTION("IFERROR(VLOOKUP(A6324, IMPORTRANGE(""https://docs.google.com/spreadsheets/d/1-3Vjw2Cyy-mry5gbC8ypIR3YVGFfEpyFESummAta6sg/edit"", ""Sheet1!B:D""), 2, FALSE), ""Not Found"")"),"bəd")</f>
        <v>bəd</v>
      </c>
      <c r="E6324" s="2" t="str">
        <f>IFERROR(__xludf.DUMMYFUNCTION("IFERROR(VLOOKUP(A6324, IMPORTRANGE(""https://docs.google.com/spreadsheets/d/1-3Vjw2Cyy-mry5gbC8ypIR3YVGFfEpyFESummAta6sg/edit"", ""Sheet1!B:D""), 3, FALSE), ""Not Found"")"),"b ə d ")</f>
        <v>b ə d </v>
      </c>
    </row>
    <row r="6325">
      <c r="A6325" s="1" t="s">
        <v>6327</v>
      </c>
      <c r="B6325" s="1" t="s">
        <v>5</v>
      </c>
      <c r="C6325" s="2">
        <f>IFERROR(__xludf.DUMMYFUNCTION("IFERROR(VLOOKUP(A6325, IMPORTRANGE(""https://docs.google.com/spreadsheets/d/1AVX9GT0dgogEBStecCXMMQ29tWz3gBrtNB8yIromXbY/edit?gid=741673867"", ""out1g!A:B""), 2, FALSE), 0)"),94.0)</f>
        <v>94</v>
      </c>
      <c r="D6325" s="2" t="str">
        <f>IFERROR(__xludf.DUMMYFUNCTION("IFERROR(VLOOKUP(A6325, IMPORTRANGE(""https://docs.google.com/spreadsheets/d/1-3Vjw2Cyy-mry5gbC8ypIR3YVGFfEpyFESummAta6sg/edit"", ""Sheet1!B:D""), 2, FALSE), ""Not Found"")"),"əlaʊd")</f>
        <v>əlaʊd</v>
      </c>
      <c r="E6325" s="2" t="str">
        <f>IFERROR(__xludf.DUMMYFUNCTION("IFERROR(VLOOKUP(A6325, IMPORTRANGE(""https://docs.google.com/spreadsheets/d/1-3Vjw2Cyy-mry5gbC8ypIR3YVGFfEpyFESummAta6sg/edit"", ""Sheet1!B:D""), 3, FALSE), ""Not Found"")"),"ə l a ʊ d ")</f>
        <v>ə l a ʊ d </v>
      </c>
    </row>
    <row r="6326">
      <c r="A6326" s="1" t="s">
        <v>6328</v>
      </c>
      <c r="B6326" s="1" t="s">
        <v>5</v>
      </c>
      <c r="C6326" s="2">
        <f>IFERROR(__xludf.DUMMYFUNCTION("IFERROR(VLOOKUP(A6326, IMPORTRANGE(""https://docs.google.com/spreadsheets/d/1AVX9GT0dgogEBStecCXMMQ29tWz3gBrtNB8yIromXbY/edit?gid=741673867"", ""out1g!A:B""), 2, FALSE), 0)"),462.0)</f>
        <v>462</v>
      </c>
      <c r="D6326" s="2" t="str">
        <f>IFERROR(__xludf.DUMMYFUNCTION("IFERROR(VLOOKUP(A6326, IMPORTRANGE(""https://docs.google.com/spreadsheets/d/1-3Vjw2Cyy-mry5gbC8ypIR3YVGFfEpyFESummAta6sg/edit"", ""Sheet1!B:D""), 2, FALSE), ""Not Found"")"),"tekɪn")</f>
        <v>tekɪn</v>
      </c>
      <c r="E6326" s="2" t="str">
        <f>IFERROR(__xludf.DUMMYFUNCTION("IFERROR(VLOOKUP(A6326, IMPORTRANGE(""https://docs.google.com/spreadsheets/d/1-3Vjw2Cyy-mry5gbC8ypIR3YVGFfEpyFESummAta6sg/edit"", ""Sheet1!B:D""), 3, FALSE), ""Not Found"")"),"t e k ɪ n ")</f>
        <v>t e k ɪ n </v>
      </c>
    </row>
    <row r="6327">
      <c r="A6327" s="1" t="s">
        <v>6329</v>
      </c>
      <c r="B6327" s="1" t="s">
        <v>5</v>
      </c>
      <c r="C6327" s="2">
        <f>IFERROR(__xludf.DUMMYFUNCTION("IFERROR(VLOOKUP(A6327, IMPORTRANGE(""https://docs.google.com/spreadsheets/d/1AVX9GT0dgogEBStecCXMMQ29tWz3gBrtNB8yIromXbY/edit?gid=741673867"", ""out1g!A:B""), 2, FALSE), 0)"),2128.0)</f>
        <v>2128</v>
      </c>
      <c r="D6327" s="2" t="str">
        <f>IFERROR(__xludf.DUMMYFUNCTION("IFERROR(VLOOKUP(A6327, IMPORTRANGE(""https://docs.google.com/spreadsheets/d/1-3Vjw2Cyy-mry5gbC8ypIR3YVGFfEpyFESummAta6sg/edit"", ""Sheet1!B:D""), 2, FALSE), ""Not Found"")"),"loʊkəl")</f>
        <v>loʊkəl</v>
      </c>
      <c r="E6327" s="2" t="str">
        <f>IFERROR(__xludf.DUMMYFUNCTION("IFERROR(VLOOKUP(A6327, IMPORTRANGE(""https://docs.google.com/spreadsheets/d/1-3Vjw2Cyy-mry5gbC8ypIR3YVGFfEpyFESummAta6sg/edit"", ""Sheet1!B:D""), 3, FALSE), ""Not Found"")"),"l o ʊ k ə l ")</f>
        <v>l o ʊ k ə l </v>
      </c>
    </row>
    <row r="6328">
      <c r="A6328" s="1" t="s">
        <v>6330</v>
      </c>
      <c r="B6328" s="1" t="s">
        <v>5</v>
      </c>
      <c r="C6328" s="2">
        <f>IFERROR(__xludf.DUMMYFUNCTION("IFERROR(VLOOKUP(A6328, IMPORTRANGE(""https://docs.google.com/spreadsheets/d/1AVX9GT0dgogEBStecCXMMQ29tWz3gBrtNB8yIromXbY/edit?gid=741673867"", ""out1g!A:B""), 2, FALSE), 0)"),99.0)</f>
        <v>99</v>
      </c>
      <c r="D6328" s="2" t="str">
        <f>IFERROR(__xludf.DUMMYFUNCTION("IFERROR(VLOOKUP(A6328, IMPORTRANGE(""https://docs.google.com/spreadsheets/d/1-3Vjw2Cyy-mry5gbC8ypIR3YVGFfEpyFESummAta6sg/edit"", ""Sheet1!B:D""), 2, FALSE), ""Not Found"")"),"stæks")</f>
        <v>stæks</v>
      </c>
      <c r="E6328" s="2" t="str">
        <f>IFERROR(__xludf.DUMMYFUNCTION("IFERROR(VLOOKUP(A6328, IMPORTRANGE(""https://docs.google.com/spreadsheets/d/1-3Vjw2Cyy-mry5gbC8ypIR3YVGFfEpyFESummAta6sg/edit"", ""Sheet1!B:D""), 3, FALSE), ""Not Found"")"),"s t æ k s ")</f>
        <v>s t æ k s </v>
      </c>
    </row>
    <row r="6329">
      <c r="A6329" s="1" t="s">
        <v>6331</v>
      </c>
      <c r="B6329" s="1" t="s">
        <v>5</v>
      </c>
      <c r="C6329" s="2">
        <f>IFERROR(__xludf.DUMMYFUNCTION("IFERROR(VLOOKUP(A6329, IMPORTRANGE(""https://docs.google.com/spreadsheets/d/1AVX9GT0dgogEBStecCXMMQ29tWz3gBrtNB8yIromXbY/edit?gid=741673867"", ""out1g!A:B""), 2, FALSE), 0)"),190.0)</f>
        <v>190</v>
      </c>
      <c r="D6329" s="2" t="str">
        <f>IFERROR(__xludf.DUMMYFUNCTION("IFERROR(VLOOKUP(A6329, IMPORTRANGE(""https://docs.google.com/spreadsheets/d/1-3Vjw2Cyy-mry5gbC8ypIR3YVGFfEpyFESummAta6sg/edit"", ""Sheet1!B:D""), 2, FALSE), ""Not Found"")"),"pəb")</f>
        <v>pəb</v>
      </c>
      <c r="E6329" s="2" t="str">
        <f>IFERROR(__xludf.DUMMYFUNCTION("IFERROR(VLOOKUP(A6329, IMPORTRANGE(""https://docs.google.com/spreadsheets/d/1-3Vjw2Cyy-mry5gbC8ypIR3YVGFfEpyFESummAta6sg/edit"", ""Sheet1!B:D""), 3, FALSE), ""Not Found"")"),"p ə b ")</f>
        <v>p ə b </v>
      </c>
    </row>
    <row r="6330">
      <c r="A6330" s="1" t="s">
        <v>6332</v>
      </c>
      <c r="B6330" s="1" t="s">
        <v>5</v>
      </c>
      <c r="C6330" s="2">
        <f>IFERROR(__xludf.DUMMYFUNCTION("IFERROR(VLOOKUP(A6330, IMPORTRANGE(""https://docs.google.com/spreadsheets/d/1AVX9GT0dgogEBStecCXMMQ29tWz3gBrtNB8yIromXbY/edit?gid=741673867"", ""out1g!A:B""), 2, FALSE), 0)"),57.0)</f>
        <v>57</v>
      </c>
      <c r="D6330" s="2" t="str">
        <f>IFERROR(__xludf.DUMMYFUNCTION("IFERROR(VLOOKUP(A6330, IMPORTRANGE(""https://docs.google.com/spreadsheets/d/1-3Vjw2Cyy-mry5gbC8ypIR3YVGFfEpyFESummAta6sg/edit"", ""Sheet1!B:D""), 2, FALSE), ""Not Found"")"),"ərʤd")</f>
        <v>ərʤd</v>
      </c>
      <c r="E6330" s="2" t="str">
        <f>IFERROR(__xludf.DUMMYFUNCTION("IFERROR(VLOOKUP(A6330, IMPORTRANGE(""https://docs.google.com/spreadsheets/d/1-3Vjw2Cyy-mry5gbC8ypIR3YVGFfEpyFESummAta6sg/edit"", ""Sheet1!B:D""), 3, FALSE), ""Not Found"")"),"ə r ʤ d ")</f>
        <v>ə r ʤ d </v>
      </c>
    </row>
    <row r="6331">
      <c r="A6331" s="1" t="s">
        <v>6333</v>
      </c>
      <c r="B6331" s="1" t="s">
        <v>5</v>
      </c>
      <c r="C6331" s="2">
        <f>IFERROR(__xludf.DUMMYFUNCTION("IFERROR(VLOOKUP(A6331, IMPORTRANGE(""https://docs.google.com/spreadsheets/d/1AVX9GT0dgogEBStecCXMMQ29tWz3gBrtNB8yIromXbY/edit?gid=741673867"", ""out1g!A:B""), 2, FALSE), 0)"),222.0)</f>
        <v>222</v>
      </c>
      <c r="D6331" s="2" t="str">
        <f>IFERROR(__xludf.DUMMYFUNCTION("IFERROR(VLOOKUP(A6331, IMPORTRANGE(""https://docs.google.com/spreadsheets/d/1-3Vjw2Cyy-mry5gbC8ypIR3YVGFfEpyFESummAta6sg/edit"", ""Sheet1!B:D""), 2, FALSE), ""Not Found"")"),"pɔrd")</f>
        <v>pɔrd</v>
      </c>
      <c r="E6331" s="2" t="str">
        <f>IFERROR(__xludf.DUMMYFUNCTION("IFERROR(VLOOKUP(A6331, IMPORTRANGE(""https://docs.google.com/spreadsheets/d/1-3Vjw2Cyy-mry5gbC8ypIR3YVGFfEpyFESummAta6sg/edit"", ""Sheet1!B:D""), 3, FALSE), ""Not Found"")"),"p ɔ r d ")</f>
        <v>p ɔ r d </v>
      </c>
    </row>
    <row r="6332">
      <c r="A6332" s="1" t="s">
        <v>6334</v>
      </c>
      <c r="B6332" s="1" t="s">
        <v>5</v>
      </c>
      <c r="C6332" s="2">
        <f>IFERROR(__xludf.DUMMYFUNCTION("IFERROR(VLOOKUP(A6332, IMPORTRANGE(""https://docs.google.com/spreadsheets/d/1AVX9GT0dgogEBStecCXMMQ29tWz3gBrtNB8yIromXbY/edit?gid=741673867"", ""out1g!A:B""), 2, FALSE), 0)"),2132.0)</f>
        <v>2132</v>
      </c>
      <c r="D6332" s="2" t="str">
        <f>IFERROR(__xludf.DUMMYFUNCTION("IFERROR(VLOOKUP(A6332, IMPORTRANGE(""https://docs.google.com/spreadsheets/d/1-3Vjw2Cyy-mry5gbC8ypIR3YVGFfEpyFESummAta6sg/edit"", ""Sheet1!B:D""), 2, FALSE), ""Not Found"")"),"lusi")</f>
        <v>lusi</v>
      </c>
      <c r="E6332" s="2" t="str">
        <f>IFERROR(__xludf.DUMMYFUNCTION("IFERROR(VLOOKUP(A6332, IMPORTRANGE(""https://docs.google.com/spreadsheets/d/1-3Vjw2Cyy-mry5gbC8ypIR3YVGFfEpyFESummAta6sg/edit"", ""Sheet1!B:D""), 3, FALSE), ""Not Found"")"),"l u s i ")</f>
        <v>l u s i </v>
      </c>
    </row>
    <row r="6333">
      <c r="A6333" s="1" t="s">
        <v>6335</v>
      </c>
      <c r="B6333" s="1" t="s">
        <v>5</v>
      </c>
      <c r="C6333" s="2">
        <f>IFERROR(__xludf.DUMMYFUNCTION("IFERROR(VLOOKUP(A6333, IMPORTRANGE(""https://docs.google.com/spreadsheets/d/1AVX9GT0dgogEBStecCXMMQ29tWz3gBrtNB8yIromXbY/edit?gid=741673867"", ""out1g!A:B""), 2, FALSE), 0)"),48.0)</f>
        <v>48</v>
      </c>
      <c r="D6333" s="2" t="str">
        <f>IFERROR(__xludf.DUMMYFUNCTION("IFERROR(VLOOKUP(A6333, IMPORTRANGE(""https://docs.google.com/spreadsheets/d/1-3Vjw2Cyy-mry5gbC8ypIR3YVGFfEpyFESummAta6sg/edit"", ""Sheet1!B:D""), 2, FALSE), ""Not Found"")"),"saɪt")</f>
        <v>saɪt</v>
      </c>
      <c r="E6333" s="2" t="str">
        <f>IFERROR(__xludf.DUMMYFUNCTION("IFERROR(VLOOKUP(A6333, IMPORTRANGE(""https://docs.google.com/spreadsheets/d/1-3Vjw2Cyy-mry5gbC8ypIR3YVGFfEpyFESummAta6sg/edit"", ""Sheet1!B:D""), 3, FALSE), ""Not Found"")"),"s a ɪ t ")</f>
        <v>s a ɪ t </v>
      </c>
    </row>
    <row r="6334">
      <c r="A6334" s="1" t="s">
        <v>6336</v>
      </c>
      <c r="B6334" s="1" t="s">
        <v>5</v>
      </c>
      <c r="C6334" s="2">
        <f>IFERROR(__xludf.DUMMYFUNCTION("IFERROR(VLOOKUP(A6334, IMPORTRANGE(""https://docs.google.com/spreadsheets/d/1AVX9GT0dgogEBStecCXMMQ29tWz3gBrtNB8yIromXbY/edit?gid=741673867"", ""out1g!A:B""), 2, FALSE), 0)"),46.0)</f>
        <v>46</v>
      </c>
      <c r="D6334" s="2" t="str">
        <f>IFERROR(__xludf.DUMMYFUNCTION("IFERROR(VLOOKUP(A6334, IMPORTRANGE(""https://docs.google.com/spreadsheets/d/1-3Vjw2Cyy-mry5gbC8ypIR3YVGFfEpyFESummAta6sg/edit"", ""Sheet1!B:D""), 2, FALSE), ""Not Found"")"),"dræt")</f>
        <v>dræt</v>
      </c>
      <c r="E6334" s="2" t="str">
        <f>IFERROR(__xludf.DUMMYFUNCTION("IFERROR(VLOOKUP(A6334, IMPORTRANGE(""https://docs.google.com/spreadsheets/d/1-3Vjw2Cyy-mry5gbC8ypIR3YVGFfEpyFESummAta6sg/edit"", ""Sheet1!B:D""), 3, FALSE), ""Not Found"")"),"d r æ t ")</f>
        <v>d r æ t </v>
      </c>
    </row>
    <row r="6335">
      <c r="A6335" s="1" t="s">
        <v>6337</v>
      </c>
      <c r="B6335" s="1" t="s">
        <v>5</v>
      </c>
      <c r="C6335" s="2">
        <f>IFERROR(__xludf.DUMMYFUNCTION("IFERROR(VLOOKUP(A6335, IMPORTRANGE(""https://docs.google.com/spreadsheets/d/1AVX9GT0dgogEBStecCXMMQ29tWz3gBrtNB8yIromXbY/edit?gid=741673867"", ""out1g!A:B""), 2, FALSE), 0)"),1271.0)</f>
        <v>1271</v>
      </c>
      <c r="D6335" s="2" t="str">
        <f>IFERROR(__xludf.DUMMYFUNCTION("IFERROR(VLOOKUP(A6335, IMPORTRANGE(""https://docs.google.com/spreadsheets/d/1-3Vjw2Cyy-mry5gbC8ypIR3YVGFfEpyFESummAta6sg/edit"", ""Sheet1!B:D""), 2, FALSE), ""Not Found"")"),"ret")</f>
        <v>ret</v>
      </c>
      <c r="E6335" s="2" t="str">
        <f>IFERROR(__xludf.DUMMYFUNCTION("IFERROR(VLOOKUP(A6335, IMPORTRANGE(""https://docs.google.com/spreadsheets/d/1-3Vjw2Cyy-mry5gbC8ypIR3YVGFfEpyFESummAta6sg/edit"", ""Sheet1!B:D""), 3, FALSE), ""Not Found"")"),"r e t ")</f>
        <v>r e t </v>
      </c>
    </row>
    <row r="6336">
      <c r="A6336" s="1" t="s">
        <v>6338</v>
      </c>
      <c r="B6336" s="1" t="s">
        <v>5</v>
      </c>
      <c r="C6336" s="2">
        <f>IFERROR(__xludf.DUMMYFUNCTION("IFERROR(VLOOKUP(A6336, IMPORTRANGE(""https://docs.google.com/spreadsheets/d/1AVX9GT0dgogEBStecCXMMQ29tWz3gBrtNB8yIromXbY/edit?gid=741673867"", ""out1g!A:B""), 2, FALSE), 0)"),66.0)</f>
        <v>66</v>
      </c>
      <c r="D6336" s="2" t="str">
        <f>IFERROR(__xludf.DUMMYFUNCTION("IFERROR(VLOOKUP(A6336, IMPORTRANGE(""https://docs.google.com/spreadsheets/d/1-3Vjw2Cyy-mry5gbC8ypIR3YVGFfEpyFESummAta6sg/edit"", ""Sheet1!B:D""), 2, FALSE), ""Not Found"")"),"grɪm")</f>
        <v>grɪm</v>
      </c>
      <c r="E6336" s="2" t="str">
        <f>IFERROR(__xludf.DUMMYFUNCTION("IFERROR(VLOOKUP(A6336, IMPORTRANGE(""https://docs.google.com/spreadsheets/d/1-3Vjw2Cyy-mry5gbC8ypIR3YVGFfEpyFESummAta6sg/edit"", ""Sheet1!B:D""), 3, FALSE), ""Not Found"")"),"g r ɪ m ")</f>
        <v>g r ɪ m </v>
      </c>
    </row>
    <row r="6337">
      <c r="A6337" s="1" t="s">
        <v>6339</v>
      </c>
      <c r="B6337" s="1" t="s">
        <v>5</v>
      </c>
      <c r="C6337" s="2">
        <f>IFERROR(__xludf.DUMMYFUNCTION("IFERROR(VLOOKUP(A6337, IMPORTRANGE(""https://docs.google.com/spreadsheets/d/1AVX9GT0dgogEBStecCXMMQ29tWz3gBrtNB8yIromXbY/edit?gid=741673867"", ""out1g!A:B""), 2, FALSE), 0)"),104.0)</f>
        <v>104</v>
      </c>
      <c r="D6337" s="2" t="str">
        <f>IFERROR(__xludf.DUMMYFUNCTION("IFERROR(VLOOKUP(A6337, IMPORTRANGE(""https://docs.google.com/spreadsheets/d/1-3Vjw2Cyy-mry5gbC8ypIR3YVGFfEpyFESummAta6sg/edit"", ""Sheet1!B:D""), 2, FALSE), ""Not Found"")"),"kəm")</f>
        <v>kəm</v>
      </c>
      <c r="E6337" s="2" t="str">
        <f>IFERROR(__xludf.DUMMYFUNCTION("IFERROR(VLOOKUP(A6337, IMPORTRANGE(""https://docs.google.com/spreadsheets/d/1-3Vjw2Cyy-mry5gbC8ypIR3YVGFfEpyFESummAta6sg/edit"", ""Sheet1!B:D""), 3, FALSE), ""Not Found"")"),"k ə m ")</f>
        <v>k ə m </v>
      </c>
    </row>
    <row r="6338">
      <c r="A6338" s="1" t="s">
        <v>6340</v>
      </c>
      <c r="B6338" s="1" t="s">
        <v>5</v>
      </c>
      <c r="C6338" s="2">
        <f>IFERROR(__xludf.DUMMYFUNCTION("IFERROR(VLOOKUP(A6338, IMPORTRANGE(""https://docs.google.com/spreadsheets/d/1AVX9GT0dgogEBStecCXMMQ29tWz3gBrtNB8yIromXbY/edit?gid=741673867"", ""out1g!A:B""), 2, FALSE), 0)"),144.0)</f>
        <v>144</v>
      </c>
      <c r="D6338" s="2" t="str">
        <f>IFERROR(__xludf.DUMMYFUNCTION("IFERROR(VLOOKUP(A6338, IMPORTRANGE(""https://docs.google.com/spreadsheets/d/1-3Vjw2Cyy-mry5gbC8ypIR3YVGFfEpyFESummAta6sg/edit"", ""Sheet1!B:D""), 2, FALSE), ""Not Found"")"),"kɑn")</f>
        <v>kɑn</v>
      </c>
      <c r="E6338" s="2" t="str">
        <f>IFERROR(__xludf.DUMMYFUNCTION("IFERROR(VLOOKUP(A6338, IMPORTRANGE(""https://docs.google.com/spreadsheets/d/1-3Vjw2Cyy-mry5gbC8ypIR3YVGFfEpyFESummAta6sg/edit"", ""Sheet1!B:D""), 3, FALSE), ""Not Found"")"),"k ɑ n ")</f>
        <v>k ɑ n </v>
      </c>
    </row>
    <row r="6339">
      <c r="A6339" s="1" t="s">
        <v>6341</v>
      </c>
      <c r="B6339" s="1" t="s">
        <v>5</v>
      </c>
      <c r="C6339" s="2">
        <f>IFERROR(__xludf.DUMMYFUNCTION("IFERROR(VLOOKUP(A6339, IMPORTRANGE(""https://docs.google.com/spreadsheets/d/1AVX9GT0dgogEBStecCXMMQ29tWz3gBrtNB8yIromXbY/edit?gid=741673867"", ""out1g!A:B""), 2, FALSE), 0)"),127.0)</f>
        <v>127</v>
      </c>
      <c r="D6339" s="2" t="str">
        <f>IFERROR(__xludf.DUMMYFUNCTION("IFERROR(VLOOKUP(A6339, IMPORTRANGE(""https://docs.google.com/spreadsheets/d/1-3Vjw2Cyy-mry5gbC8ypIR3YVGFfEpyFESummAta6sg/edit"", ""Sheet1!B:D""), 2, FALSE), ""Not Found"")"),"pɔz")</f>
        <v>pɔz</v>
      </c>
      <c r="E6339" s="2" t="str">
        <f>IFERROR(__xludf.DUMMYFUNCTION("IFERROR(VLOOKUP(A6339, IMPORTRANGE(""https://docs.google.com/spreadsheets/d/1-3Vjw2Cyy-mry5gbC8ypIR3YVGFfEpyFESummAta6sg/edit"", ""Sheet1!B:D""), 3, FALSE), ""Not Found"")"),"p ɔ z ")</f>
        <v>p ɔ z </v>
      </c>
    </row>
    <row r="6340">
      <c r="A6340" s="1" t="s">
        <v>6342</v>
      </c>
      <c r="B6340" s="1" t="s">
        <v>5</v>
      </c>
      <c r="C6340" s="2">
        <f>IFERROR(__xludf.DUMMYFUNCTION("IFERROR(VLOOKUP(A6340, IMPORTRANGE(""https://docs.google.com/spreadsheets/d/1AVX9GT0dgogEBStecCXMMQ29tWz3gBrtNB8yIromXbY/edit?gid=741673867"", ""out1g!A:B""), 2, FALSE), 0)"),1536.0)</f>
        <v>1536</v>
      </c>
      <c r="D6340" s="2" t="str">
        <f>IFERROR(__xludf.DUMMYFUNCTION("IFERROR(VLOOKUP(A6340, IMPORTRANGE(""https://docs.google.com/spreadsheets/d/1-3Vjw2Cyy-mry5gbC8ypIR3YVGFfEpyFESummAta6sg/edit"", ""Sheet1!B:D""), 2, FALSE), ""Not Found"")"),"sevɪŋ")</f>
        <v>sevɪŋ</v>
      </c>
      <c r="E6340" s="2" t="str">
        <f>IFERROR(__xludf.DUMMYFUNCTION("IFERROR(VLOOKUP(A6340, IMPORTRANGE(""https://docs.google.com/spreadsheets/d/1-3Vjw2Cyy-mry5gbC8ypIR3YVGFfEpyFESummAta6sg/edit"", ""Sheet1!B:D""), 3, FALSE), ""Not Found"")"),"s e v ɪ ŋ ")</f>
        <v>s e v ɪ ŋ </v>
      </c>
    </row>
    <row r="6341">
      <c r="A6341" s="1" t="s">
        <v>6343</v>
      </c>
      <c r="B6341" s="1" t="s">
        <v>5</v>
      </c>
      <c r="C6341" s="2">
        <f>IFERROR(__xludf.DUMMYFUNCTION("IFERROR(VLOOKUP(A6341, IMPORTRANGE(""https://docs.google.com/spreadsheets/d/1AVX9GT0dgogEBStecCXMMQ29tWz3gBrtNB8yIromXbY/edit?gid=741673867"", ""out1g!A:B""), 2, FALSE), 0)"),98.0)</f>
        <v>98</v>
      </c>
      <c r="D6341" s="2" t="str">
        <f>IFERROR(__xludf.DUMMYFUNCTION("IFERROR(VLOOKUP(A6341, IMPORTRANGE(""https://docs.google.com/spreadsheets/d/1-3Vjw2Cyy-mry5gbC8ypIR3YVGFfEpyFESummAta6sg/edit"", ""Sheet1!B:D""), 2, FALSE), ""Not Found"")"),"vɪni")</f>
        <v>vɪni</v>
      </c>
      <c r="E6341" s="2" t="str">
        <f>IFERROR(__xludf.DUMMYFUNCTION("IFERROR(VLOOKUP(A6341, IMPORTRANGE(""https://docs.google.com/spreadsheets/d/1-3Vjw2Cyy-mry5gbC8ypIR3YVGFfEpyFESummAta6sg/edit"", ""Sheet1!B:D""), 3, FALSE), ""Not Found"")"),"v ɪ n i ")</f>
        <v>v ɪ n i </v>
      </c>
    </row>
    <row r="6342">
      <c r="A6342" s="1" t="s">
        <v>6344</v>
      </c>
      <c r="B6342" s="1" t="s">
        <v>5</v>
      </c>
      <c r="C6342" s="2">
        <f>IFERROR(__xludf.DUMMYFUNCTION("IFERROR(VLOOKUP(A6342, IMPORTRANGE(""https://docs.google.com/spreadsheets/d/1AVX9GT0dgogEBStecCXMMQ29tWz3gBrtNB8yIromXbY/edit?gid=741673867"", ""out1g!A:B""), 2, FALSE), 0)"),60.0)</f>
        <v>60</v>
      </c>
      <c r="D6342" s="2" t="str">
        <f>IFERROR(__xludf.DUMMYFUNCTION("IFERROR(VLOOKUP(A6342, IMPORTRANGE(""https://docs.google.com/spreadsheets/d/1-3Vjw2Cyy-mry5gbC8ypIR3YVGFfEpyFESummAta6sg/edit"", ""Sheet1!B:D""), 2, FALSE), ""Not Found"")"),"maɪt")</f>
        <v>maɪt</v>
      </c>
      <c r="E6342" s="2" t="str">
        <f>IFERROR(__xludf.DUMMYFUNCTION("IFERROR(VLOOKUP(A6342, IMPORTRANGE(""https://docs.google.com/spreadsheets/d/1-3Vjw2Cyy-mry5gbC8ypIR3YVGFfEpyFESummAta6sg/edit"", ""Sheet1!B:D""), 3, FALSE), ""Not Found"")"),"m a ɪ t ")</f>
        <v>m a ɪ t </v>
      </c>
    </row>
    <row r="6343">
      <c r="A6343" s="1" t="s">
        <v>6345</v>
      </c>
      <c r="B6343" s="1" t="s">
        <v>5</v>
      </c>
      <c r="C6343" s="2">
        <f>IFERROR(__xludf.DUMMYFUNCTION("IFERROR(VLOOKUP(A6343, IMPORTRANGE(""https://docs.google.com/spreadsheets/d/1AVX9GT0dgogEBStecCXMMQ29tWz3gBrtNB8yIromXbY/edit?gid=741673867"", ""out1g!A:B""), 2, FALSE), 0)"),647.0)</f>
        <v>647</v>
      </c>
      <c r="D6343" s="2" t="str">
        <f>IFERROR(__xludf.DUMMYFUNCTION("IFERROR(VLOOKUP(A6343, IMPORTRANGE(""https://docs.google.com/spreadsheets/d/1-3Vjw2Cyy-mry5gbC8ypIR3YVGFfEpyFESummAta6sg/edit"", ""Sheet1!B:D""), 2, FALSE), ""Not Found"")"),"ʧɪn")</f>
        <v>ʧɪn</v>
      </c>
      <c r="E6343" s="2" t="str">
        <f>IFERROR(__xludf.DUMMYFUNCTION("IFERROR(VLOOKUP(A6343, IMPORTRANGE(""https://docs.google.com/spreadsheets/d/1-3Vjw2Cyy-mry5gbC8ypIR3YVGFfEpyFESummAta6sg/edit"", ""Sheet1!B:D""), 3, FALSE), ""Not Found"")"),"ʧ ɪ n ")</f>
        <v>ʧ ɪ n </v>
      </c>
    </row>
    <row r="6344">
      <c r="A6344" s="1" t="s">
        <v>6346</v>
      </c>
      <c r="B6344" s="1" t="s">
        <v>5</v>
      </c>
      <c r="C6344" s="2">
        <f>IFERROR(__xludf.DUMMYFUNCTION("IFERROR(VLOOKUP(A6344, IMPORTRANGE(""https://docs.google.com/spreadsheets/d/1AVX9GT0dgogEBStecCXMMQ29tWz3gBrtNB8yIromXbY/edit?gid=741673867"", ""out1g!A:B""), 2, FALSE), 0)"),130.0)</f>
        <v>130</v>
      </c>
      <c r="D6344" s="2" t="str">
        <f>IFERROR(__xludf.DUMMYFUNCTION("IFERROR(VLOOKUP(A6344, IMPORTRANGE(""https://docs.google.com/spreadsheets/d/1-3Vjw2Cyy-mry5gbC8ypIR3YVGFfEpyFESummAta6sg/edit"", ""Sheet1!B:D""), 2, FALSE), ""Not Found"")"),"nɑdɑ")</f>
        <v>nɑdɑ</v>
      </c>
      <c r="E6344" s="2" t="str">
        <f>IFERROR(__xludf.DUMMYFUNCTION("IFERROR(VLOOKUP(A6344, IMPORTRANGE(""https://docs.google.com/spreadsheets/d/1-3Vjw2Cyy-mry5gbC8ypIR3YVGFfEpyFESummAta6sg/edit"", ""Sheet1!B:D""), 3, FALSE), ""Not Found"")"),"n ɑ d ɑ ")</f>
        <v>n ɑ d ɑ </v>
      </c>
    </row>
    <row r="6345">
      <c r="A6345" s="1" t="s">
        <v>6347</v>
      </c>
      <c r="B6345" s="1" t="s">
        <v>5</v>
      </c>
      <c r="C6345" s="2">
        <f>IFERROR(__xludf.DUMMYFUNCTION("IFERROR(VLOOKUP(A6345, IMPORTRANGE(""https://docs.google.com/spreadsheets/d/1AVX9GT0dgogEBStecCXMMQ29tWz3gBrtNB8yIromXbY/edit?gid=741673867"", ""out1g!A:B""), 2, FALSE), 0)"),600.0)</f>
        <v>600</v>
      </c>
      <c r="D6345" s="2" t="str">
        <f>IFERROR(__xludf.DUMMYFUNCTION("IFERROR(VLOOKUP(A6345, IMPORTRANGE(""https://docs.google.com/spreadsheets/d/1-3Vjw2Cyy-mry5gbC8ypIR3YVGFfEpyFESummAta6sg/edit"", ""Sheet1!B:D""), 2, FALSE), ""Not Found"")"),"wid")</f>
        <v>wid</v>
      </c>
      <c r="E6345" s="2" t="str">
        <f>IFERROR(__xludf.DUMMYFUNCTION("IFERROR(VLOOKUP(A6345, IMPORTRANGE(""https://docs.google.com/spreadsheets/d/1-3Vjw2Cyy-mry5gbC8ypIR3YVGFfEpyFESummAta6sg/edit"", ""Sheet1!B:D""), 3, FALSE), ""Not Found"")"),"w i d ")</f>
        <v>w i d </v>
      </c>
    </row>
    <row r="6346">
      <c r="A6346" s="1" t="s">
        <v>6348</v>
      </c>
      <c r="B6346" s="1" t="s">
        <v>5</v>
      </c>
      <c r="C6346" s="2">
        <f>IFERROR(__xludf.DUMMYFUNCTION("IFERROR(VLOOKUP(A6346, IMPORTRANGE(""https://docs.google.com/spreadsheets/d/1AVX9GT0dgogEBStecCXMMQ29tWz3gBrtNB8yIromXbY/edit?gid=741673867"", ""out1g!A:B""), 2, FALSE), 0)"),82.0)</f>
        <v>82</v>
      </c>
      <c r="D6346" s="2" t="str">
        <f>IFERROR(__xludf.DUMMYFUNCTION("IFERROR(VLOOKUP(A6346, IMPORTRANGE(""https://docs.google.com/spreadsheets/d/1-3Vjw2Cyy-mry5gbC8ypIR3YVGFfEpyFESummAta6sg/edit"", ""Sheet1!B:D""), 2, FALSE), ""Not Found"")"),"kɔɪl")</f>
        <v>kɔɪl</v>
      </c>
      <c r="E6346" s="2" t="str">
        <f>IFERROR(__xludf.DUMMYFUNCTION("IFERROR(VLOOKUP(A6346, IMPORTRANGE(""https://docs.google.com/spreadsheets/d/1-3Vjw2Cyy-mry5gbC8ypIR3YVGFfEpyFESummAta6sg/edit"", ""Sheet1!B:D""), 3, FALSE), ""Not Found"")"),"k ɔ ɪ l ")</f>
        <v>k ɔ ɪ l </v>
      </c>
    </row>
    <row r="6347">
      <c r="A6347" s="1" t="s">
        <v>6349</v>
      </c>
      <c r="B6347" s="1" t="s">
        <v>5</v>
      </c>
      <c r="C6347" s="2">
        <f>IFERROR(__xludf.DUMMYFUNCTION("IFERROR(VLOOKUP(A6347, IMPORTRANGE(""https://docs.google.com/spreadsheets/d/1AVX9GT0dgogEBStecCXMMQ29tWz3gBrtNB8yIromXbY/edit?gid=741673867"", ""out1g!A:B""), 2, FALSE), 0)"),243.0)</f>
        <v>243</v>
      </c>
      <c r="D6347" s="2" t="str">
        <f>IFERROR(__xludf.DUMMYFUNCTION("IFERROR(VLOOKUP(A6347, IMPORTRANGE(""https://docs.google.com/spreadsheets/d/1-3Vjw2Cyy-mry5gbC8ypIR3YVGFfEpyFESummAta6sg/edit"", ""Sheet1!B:D""), 2, FALSE), ""Not Found"")"),"brum")</f>
        <v>brum</v>
      </c>
      <c r="E6347" s="2" t="str">
        <f>IFERROR(__xludf.DUMMYFUNCTION("IFERROR(VLOOKUP(A6347, IMPORTRANGE(""https://docs.google.com/spreadsheets/d/1-3Vjw2Cyy-mry5gbC8ypIR3YVGFfEpyFESummAta6sg/edit"", ""Sheet1!B:D""), 3, FALSE), ""Not Found"")"),"b r u m ")</f>
        <v>b r u m </v>
      </c>
    </row>
    <row r="6348">
      <c r="A6348" s="1" t="s">
        <v>6350</v>
      </c>
      <c r="B6348" s="1" t="s">
        <v>5</v>
      </c>
      <c r="C6348" s="2">
        <f>IFERROR(__xludf.DUMMYFUNCTION("IFERROR(VLOOKUP(A6348, IMPORTRANGE(""https://docs.google.com/spreadsheets/d/1AVX9GT0dgogEBStecCXMMQ29tWz3gBrtNB8yIromXbY/edit?gid=741673867"", ""out1g!A:B""), 2, FALSE), 0)"),53.0)</f>
        <v>53</v>
      </c>
      <c r="D6348" s="2" t="str">
        <f>IFERROR(__xludf.DUMMYFUNCTION("IFERROR(VLOOKUP(A6348, IMPORTRANGE(""https://docs.google.com/spreadsheets/d/1-3Vjw2Cyy-mry5gbC8ypIR3YVGFfEpyFESummAta6sg/edit"", ""Sheet1!B:D""), 2, FALSE), ""Not Found"")"),"pləmz")</f>
        <v>pləmz</v>
      </c>
      <c r="E6348" s="2" t="str">
        <f>IFERROR(__xludf.DUMMYFUNCTION("IFERROR(VLOOKUP(A6348, IMPORTRANGE(""https://docs.google.com/spreadsheets/d/1-3Vjw2Cyy-mry5gbC8ypIR3YVGFfEpyFESummAta6sg/edit"", ""Sheet1!B:D""), 3, FALSE), ""Not Found"")"),"p l ə m z ")</f>
        <v>p l ə m z </v>
      </c>
    </row>
    <row r="6349">
      <c r="A6349" s="1" t="s">
        <v>6351</v>
      </c>
      <c r="B6349" s="1" t="s">
        <v>5</v>
      </c>
      <c r="C6349" s="2">
        <f>IFERROR(__xludf.DUMMYFUNCTION("IFERROR(VLOOKUP(A6349, IMPORTRANGE(""https://docs.google.com/spreadsheets/d/1AVX9GT0dgogEBStecCXMMQ29tWz3gBrtNB8yIromXbY/edit?gid=741673867"", ""out1g!A:B""), 2, FALSE), 0)"),78.0)</f>
        <v>78</v>
      </c>
      <c r="D6349" s="2" t="str">
        <f>IFERROR(__xludf.DUMMYFUNCTION("IFERROR(VLOOKUP(A6349, IMPORTRANGE(""https://docs.google.com/spreadsheets/d/1-3Vjw2Cyy-mry5gbC8ypIR3YVGFfEpyFESummAta6sg/edit"", ""Sheet1!B:D""), 2, FALSE), ""Not Found"")"),"kwɔri")</f>
        <v>kwɔri</v>
      </c>
      <c r="E6349" s="2" t="str">
        <f>IFERROR(__xludf.DUMMYFUNCTION("IFERROR(VLOOKUP(A6349, IMPORTRANGE(""https://docs.google.com/spreadsheets/d/1-3Vjw2Cyy-mry5gbC8ypIR3YVGFfEpyFESummAta6sg/edit"", ""Sheet1!B:D""), 3, FALSE), ""Not Found"")"),"k w ɔ r i ")</f>
        <v>k w ɔ r i </v>
      </c>
    </row>
    <row r="6350">
      <c r="A6350" s="1" t="s">
        <v>6352</v>
      </c>
      <c r="B6350" s="1" t="s">
        <v>5</v>
      </c>
      <c r="C6350" s="2">
        <f>IFERROR(__xludf.DUMMYFUNCTION("IFERROR(VLOOKUP(A6350, IMPORTRANGE(""https://docs.google.com/spreadsheets/d/1AVX9GT0dgogEBStecCXMMQ29tWz3gBrtNB8yIromXbY/edit?gid=741673867"", ""out1g!A:B""), 2, FALSE), 0)"),84.0)</f>
        <v>84</v>
      </c>
      <c r="D6350" s="2" t="str">
        <f>IFERROR(__xludf.DUMMYFUNCTION("IFERROR(VLOOKUP(A6350, IMPORTRANGE(""https://docs.google.com/spreadsheets/d/1-3Vjw2Cyy-mry5gbC8ypIR3YVGFfEpyFESummAta6sg/edit"", ""Sheet1!B:D""), 2, FALSE), ""Not Found"")"),"mæskɑt")</f>
        <v>mæskɑt</v>
      </c>
      <c r="E6350" s="2" t="str">
        <f>IFERROR(__xludf.DUMMYFUNCTION("IFERROR(VLOOKUP(A6350, IMPORTRANGE(""https://docs.google.com/spreadsheets/d/1-3Vjw2Cyy-mry5gbC8ypIR3YVGFfEpyFESummAta6sg/edit"", ""Sheet1!B:D""), 3, FALSE), ""Not Found"")"),"m æ s k ɑ t ")</f>
        <v>m æ s k ɑ t </v>
      </c>
    </row>
    <row r="6351">
      <c r="A6351" s="1" t="s">
        <v>6353</v>
      </c>
      <c r="B6351" s="1" t="s">
        <v>5</v>
      </c>
      <c r="C6351" s="2">
        <f>IFERROR(__xludf.DUMMYFUNCTION("IFERROR(VLOOKUP(A6351, IMPORTRANGE(""https://docs.google.com/spreadsheets/d/1AVX9GT0dgogEBStecCXMMQ29tWz3gBrtNB8yIromXbY/edit?gid=741673867"", ""out1g!A:B""), 2, FALSE), 0)"),124.0)</f>
        <v>124</v>
      </c>
      <c r="D6351" s="2" t="str">
        <f>IFERROR(__xludf.DUMMYFUNCTION("IFERROR(VLOOKUP(A6351, IMPORTRANGE(""https://docs.google.com/spreadsheets/d/1-3Vjw2Cyy-mry5gbC8ypIR3YVGFfEpyFESummAta6sg/edit"", ""Sheet1!B:D""), 2, FALSE), ""Not Found"")"),"dɪfər")</f>
        <v>dɪfər</v>
      </c>
      <c r="E6351" s="2" t="str">
        <f>IFERROR(__xludf.DUMMYFUNCTION("IFERROR(VLOOKUP(A6351, IMPORTRANGE(""https://docs.google.com/spreadsheets/d/1-3Vjw2Cyy-mry5gbC8ypIR3YVGFfEpyFESummAta6sg/edit"", ""Sheet1!B:D""), 3, FALSE), ""Not Found"")"),"d ɪ f ə r ")</f>
        <v>d ɪ f ə r </v>
      </c>
    </row>
    <row r="6352">
      <c r="A6352" s="1" t="s">
        <v>6354</v>
      </c>
      <c r="B6352" s="1" t="s">
        <v>5</v>
      </c>
      <c r="C6352" s="2">
        <f>IFERROR(__xludf.DUMMYFUNCTION("IFERROR(VLOOKUP(A6352, IMPORTRANGE(""https://docs.google.com/spreadsheets/d/1AVX9GT0dgogEBStecCXMMQ29tWz3gBrtNB8yIromXbY/edit?gid=741673867"", ""out1g!A:B""), 2, FALSE), 0)"),53.0)</f>
        <v>53</v>
      </c>
      <c r="D6352" s="2" t="str">
        <f>IFERROR(__xludf.DUMMYFUNCTION("IFERROR(VLOOKUP(A6352, IMPORTRANGE(""https://docs.google.com/spreadsheets/d/1-3Vjw2Cyy-mry5gbC8ypIR3YVGFfEpyFESummAta6sg/edit"", ""Sheet1!B:D""), 2, FALSE), ""Not Found"")"),"ləkrɔs")</f>
        <v>ləkrɔs</v>
      </c>
      <c r="E6352" s="2" t="str">
        <f>IFERROR(__xludf.DUMMYFUNCTION("IFERROR(VLOOKUP(A6352, IMPORTRANGE(""https://docs.google.com/spreadsheets/d/1-3Vjw2Cyy-mry5gbC8ypIR3YVGFfEpyFESummAta6sg/edit"", ""Sheet1!B:D""), 3, FALSE), ""Not Found"")"),"l ə k r ɔ s ")</f>
        <v>l ə k r ɔ s </v>
      </c>
    </row>
    <row r="6353">
      <c r="A6353" s="1" t="s">
        <v>6355</v>
      </c>
      <c r="B6353" s="1" t="s">
        <v>5</v>
      </c>
      <c r="C6353" s="2">
        <f>IFERROR(__xludf.DUMMYFUNCTION("IFERROR(VLOOKUP(A6353, IMPORTRANGE(""https://docs.google.com/spreadsheets/d/1AVX9GT0dgogEBStecCXMMQ29tWz3gBrtNB8yIromXbY/edit?gid=741673867"", ""out1g!A:B""), 2, FALSE), 0)"),27.0)</f>
        <v>27</v>
      </c>
      <c r="D6353" s="2" t="str">
        <f>IFERROR(__xludf.DUMMYFUNCTION("IFERROR(VLOOKUP(A6353, IMPORTRANGE(""https://docs.google.com/spreadsheets/d/1-3Vjw2Cyy-mry5gbC8ypIR3YVGFfEpyFESummAta6sg/edit"", ""Sheet1!B:D""), 2, FALSE), ""Not Found"")"),"bekərz")</f>
        <v>bekərz</v>
      </c>
      <c r="E6353" s="2" t="str">
        <f>IFERROR(__xludf.DUMMYFUNCTION("IFERROR(VLOOKUP(A6353, IMPORTRANGE(""https://docs.google.com/spreadsheets/d/1-3Vjw2Cyy-mry5gbC8ypIR3YVGFfEpyFESummAta6sg/edit"", ""Sheet1!B:D""), 3, FALSE), ""Not Found"")"),"b e k ə r z ")</f>
        <v>b e k ə r z </v>
      </c>
    </row>
    <row r="6354">
      <c r="A6354" s="1" t="s">
        <v>6356</v>
      </c>
      <c r="B6354" s="1" t="s">
        <v>5</v>
      </c>
      <c r="C6354" s="2">
        <f>IFERROR(__xludf.DUMMYFUNCTION("IFERROR(VLOOKUP(A6354, IMPORTRANGE(""https://docs.google.com/spreadsheets/d/1AVX9GT0dgogEBStecCXMMQ29tWz3gBrtNB8yIromXbY/edit?gid=741673867"", ""out1g!A:B""), 2, FALSE), 0)"),173.0)</f>
        <v>173</v>
      </c>
      <c r="D6354" s="2" t="str">
        <f>IFERROR(__xludf.DUMMYFUNCTION("IFERROR(VLOOKUP(A6354, IMPORTRANGE(""https://docs.google.com/spreadsheets/d/1-3Vjw2Cyy-mry5gbC8ypIR3YVGFfEpyFESummAta6sg/edit"", ""Sheet1!B:D""), 2, FALSE), ""Not Found"")"),"ʧɑrmz")</f>
        <v>ʧɑrmz</v>
      </c>
      <c r="E6354" s="2" t="str">
        <f>IFERROR(__xludf.DUMMYFUNCTION("IFERROR(VLOOKUP(A6354, IMPORTRANGE(""https://docs.google.com/spreadsheets/d/1-3Vjw2Cyy-mry5gbC8ypIR3YVGFfEpyFESummAta6sg/edit"", ""Sheet1!B:D""), 3, FALSE), ""Not Found"")"),"ʧ ɑ r m z ")</f>
        <v>ʧ ɑ r m z </v>
      </c>
    </row>
    <row r="6355">
      <c r="A6355" s="1" t="s">
        <v>6357</v>
      </c>
      <c r="B6355" s="1" t="s">
        <v>5</v>
      </c>
      <c r="C6355" s="2">
        <f>IFERROR(__xludf.DUMMYFUNCTION("IFERROR(VLOOKUP(A6355, IMPORTRANGE(""https://docs.google.com/spreadsheets/d/1AVX9GT0dgogEBStecCXMMQ29tWz3gBrtNB8yIromXbY/edit?gid=741673867"", ""out1g!A:B""), 2, FALSE), 0)"),117.0)</f>
        <v>117</v>
      </c>
      <c r="D6355" s="2" t="str">
        <f>IFERROR(__xludf.DUMMYFUNCTION("IFERROR(VLOOKUP(A6355, IMPORTRANGE(""https://docs.google.com/spreadsheets/d/1-3Vjw2Cyy-mry5gbC8ypIR3YVGFfEpyFESummAta6sg/edit"", ""Sheet1!B:D""), 2, FALSE), ""Not Found"")"),"roʊbz")</f>
        <v>roʊbz</v>
      </c>
      <c r="E6355" s="2" t="str">
        <f>IFERROR(__xludf.DUMMYFUNCTION("IFERROR(VLOOKUP(A6355, IMPORTRANGE(""https://docs.google.com/spreadsheets/d/1-3Vjw2Cyy-mry5gbC8ypIR3YVGFfEpyFESummAta6sg/edit"", ""Sheet1!B:D""), 3, FALSE), ""Not Found"")"),"r o ʊ b z ")</f>
        <v>r o ʊ b z </v>
      </c>
    </row>
    <row r="6356">
      <c r="A6356" s="1" t="s">
        <v>6358</v>
      </c>
      <c r="B6356" s="1" t="s">
        <v>5</v>
      </c>
      <c r="C6356" s="2">
        <f>IFERROR(__xludf.DUMMYFUNCTION("IFERROR(VLOOKUP(A6356, IMPORTRANGE(""https://docs.google.com/spreadsheets/d/1AVX9GT0dgogEBStecCXMMQ29tWz3gBrtNB8yIromXbY/edit?gid=741673867"", ""out1g!A:B""), 2, FALSE), 0)"),12564.0)</f>
        <v>12564</v>
      </c>
      <c r="D6356" s="2" t="str">
        <f>IFERROR(__xludf.DUMMYFUNCTION("IFERROR(VLOOKUP(A6356, IMPORTRANGE(""https://docs.google.com/spreadsheets/d/1-3Vjw2Cyy-mry5gbC8ypIR3YVGFfEpyFESummAta6sg/edit"", ""Sheet1!B:D""), 2, FALSE), ""Not Found"")"),"hərt")</f>
        <v>hərt</v>
      </c>
      <c r="E6356" s="2" t="str">
        <f>IFERROR(__xludf.DUMMYFUNCTION("IFERROR(VLOOKUP(A6356, IMPORTRANGE(""https://docs.google.com/spreadsheets/d/1-3Vjw2Cyy-mry5gbC8ypIR3YVGFfEpyFESummAta6sg/edit"", ""Sheet1!B:D""), 3, FALSE), ""Not Found"")"),"h ə r t ")</f>
        <v>h ə r t </v>
      </c>
    </row>
    <row r="6357">
      <c r="A6357" s="1" t="s">
        <v>6359</v>
      </c>
      <c r="B6357" s="1" t="s">
        <v>5</v>
      </c>
      <c r="C6357" s="2">
        <f>IFERROR(__xludf.DUMMYFUNCTION("IFERROR(VLOOKUP(A6357, IMPORTRANGE(""https://docs.google.com/spreadsheets/d/1AVX9GT0dgogEBStecCXMMQ29tWz3gBrtNB8yIromXbY/edit?gid=741673867"", ""out1g!A:B""), 2, FALSE), 0)"),384.0)</f>
        <v>384</v>
      </c>
      <c r="D6357" s="2" t="str">
        <f>IFERROR(__xludf.DUMMYFUNCTION("IFERROR(VLOOKUP(A6357, IMPORTRANGE(""https://docs.google.com/spreadsheets/d/1-3Vjw2Cyy-mry5gbC8ypIR3YVGFfEpyFESummAta6sg/edit"", ""Sheet1!B:D""), 2, FALSE), ""Not Found"")"),"naɪts")</f>
        <v>naɪts</v>
      </c>
      <c r="E6357" s="2" t="str">
        <f>IFERROR(__xludf.DUMMYFUNCTION("IFERROR(VLOOKUP(A6357, IMPORTRANGE(""https://docs.google.com/spreadsheets/d/1-3Vjw2Cyy-mry5gbC8ypIR3YVGFfEpyFESummAta6sg/edit"", ""Sheet1!B:D""), 3, FALSE), ""Not Found"")"),"n a ɪ t s ")</f>
        <v>n a ɪ t s </v>
      </c>
    </row>
    <row r="6358">
      <c r="A6358" s="1" t="s">
        <v>6360</v>
      </c>
      <c r="B6358" s="1" t="s">
        <v>5</v>
      </c>
      <c r="C6358" s="2">
        <f>IFERROR(__xludf.DUMMYFUNCTION("IFERROR(VLOOKUP(A6358, IMPORTRANGE(""https://docs.google.com/spreadsheets/d/1AVX9GT0dgogEBStecCXMMQ29tWz3gBrtNB8yIromXbY/edit?gid=741673867"", ""out1g!A:B""), 2, FALSE), 0)"),254.0)</f>
        <v>254</v>
      </c>
      <c r="D6358" s="2" t="str">
        <f>IFERROR(__xludf.DUMMYFUNCTION("IFERROR(VLOOKUP(A6358, IMPORTRANGE(""https://docs.google.com/spreadsheets/d/1-3Vjw2Cyy-mry5gbC8ypIR3YVGFfEpyFESummAta6sg/edit"", ""Sheet1!B:D""), 2, FALSE), ""Not Found"")"),"pɪsɪŋ")</f>
        <v>pɪsɪŋ</v>
      </c>
      <c r="E6358" s="2" t="str">
        <f>IFERROR(__xludf.DUMMYFUNCTION("IFERROR(VLOOKUP(A6358, IMPORTRANGE(""https://docs.google.com/spreadsheets/d/1-3Vjw2Cyy-mry5gbC8ypIR3YVGFfEpyFESummAta6sg/edit"", ""Sheet1!B:D""), 3, FALSE), ""Not Found"")"),"p ɪ s ɪ ŋ ")</f>
        <v>p ɪ s ɪ ŋ </v>
      </c>
    </row>
    <row r="6359">
      <c r="A6359" s="1" t="s">
        <v>6361</v>
      </c>
      <c r="B6359" s="1" t="s">
        <v>5</v>
      </c>
      <c r="C6359" s="2">
        <f>IFERROR(__xludf.DUMMYFUNCTION("IFERROR(VLOOKUP(A6359, IMPORTRANGE(""https://docs.google.com/spreadsheets/d/1AVX9GT0dgogEBStecCXMMQ29tWz3gBrtNB8yIromXbY/edit?gid=741673867"", ""out1g!A:B""), 2, FALSE), 0)"),65.0)</f>
        <v>65</v>
      </c>
      <c r="D6359" s="2" t="str">
        <f>IFERROR(__xludf.DUMMYFUNCTION("IFERROR(VLOOKUP(A6359, IMPORTRANGE(""https://docs.google.com/spreadsheets/d/1-3Vjw2Cyy-mry5gbC8ypIR3YVGFfEpyFESummAta6sg/edit"", ""Sheet1!B:D""), 2, FALSE), ""Not Found"")"),"pɑʃ")</f>
        <v>pɑʃ</v>
      </c>
      <c r="E6359" s="2" t="str">
        <f>IFERROR(__xludf.DUMMYFUNCTION("IFERROR(VLOOKUP(A6359, IMPORTRANGE(""https://docs.google.com/spreadsheets/d/1-3Vjw2Cyy-mry5gbC8ypIR3YVGFfEpyFESummAta6sg/edit"", ""Sheet1!B:D""), 3, FALSE), ""Not Found"")"),"p ɑ ʃ ")</f>
        <v>p ɑ ʃ </v>
      </c>
    </row>
    <row r="6360">
      <c r="A6360" s="1" t="s">
        <v>6362</v>
      </c>
      <c r="B6360" s="1" t="s">
        <v>5</v>
      </c>
      <c r="C6360" s="2">
        <f>IFERROR(__xludf.DUMMYFUNCTION("IFERROR(VLOOKUP(A6360, IMPORTRANGE(""https://docs.google.com/spreadsheets/d/1AVX9GT0dgogEBStecCXMMQ29tWz3gBrtNB8yIromXbY/edit?gid=741673867"", ""out1g!A:B""), 2, FALSE), 0)"),595.0)</f>
        <v>595</v>
      </c>
      <c r="D6360" s="2" t="str">
        <f>IFERROR(__xludf.DUMMYFUNCTION("IFERROR(VLOOKUP(A6360, IMPORTRANGE(""https://docs.google.com/spreadsheets/d/1-3Vjw2Cyy-mry5gbC8ypIR3YVGFfEpyFESummAta6sg/edit"", ""Sheet1!B:D""), 2, FALSE), ""Not Found"")"),"lɛnd")</f>
        <v>lɛnd</v>
      </c>
      <c r="E6360" s="2" t="str">
        <f>IFERROR(__xludf.DUMMYFUNCTION("IFERROR(VLOOKUP(A6360, IMPORTRANGE(""https://docs.google.com/spreadsheets/d/1-3Vjw2Cyy-mry5gbC8ypIR3YVGFfEpyFESummAta6sg/edit"", ""Sheet1!B:D""), 3, FALSE), ""Not Found"")"),"l ɛ n d ")</f>
        <v>l ɛ n d </v>
      </c>
    </row>
    <row r="6361">
      <c r="A6361" s="1" t="s">
        <v>6363</v>
      </c>
      <c r="B6361" s="1" t="s">
        <v>5</v>
      </c>
      <c r="C6361" s="2">
        <f>IFERROR(__xludf.DUMMYFUNCTION("IFERROR(VLOOKUP(A6361, IMPORTRANGE(""https://docs.google.com/spreadsheets/d/1AVX9GT0dgogEBStecCXMMQ29tWz3gBrtNB8yIromXbY/edit?gid=741673867"", ""out1g!A:B""), 2, FALSE), 0)"),515.0)</f>
        <v>515</v>
      </c>
      <c r="D6361" s="2" t="str">
        <f>IFERROR(__xludf.DUMMYFUNCTION("IFERROR(VLOOKUP(A6361, IMPORTRANGE(""https://docs.google.com/spreadsheets/d/1-3Vjw2Cyy-mry5gbC8ypIR3YVGFfEpyFESummAta6sg/edit"", ""Sheet1!B:D""), 2, FALSE), ""Not Found"")"),"soʊbər")</f>
        <v>soʊbər</v>
      </c>
      <c r="E6361" s="2" t="str">
        <f>IFERROR(__xludf.DUMMYFUNCTION("IFERROR(VLOOKUP(A6361, IMPORTRANGE(""https://docs.google.com/spreadsheets/d/1-3Vjw2Cyy-mry5gbC8ypIR3YVGFfEpyFESummAta6sg/edit"", ""Sheet1!B:D""), 3, FALSE), ""Not Found"")"),"s o ʊ b ə r ")</f>
        <v>s o ʊ b ə r </v>
      </c>
    </row>
    <row r="6362">
      <c r="A6362" s="1" t="s">
        <v>6364</v>
      </c>
      <c r="B6362" s="1" t="s">
        <v>5</v>
      </c>
      <c r="C6362" s="2">
        <f>IFERROR(__xludf.DUMMYFUNCTION("IFERROR(VLOOKUP(A6362, IMPORTRANGE(""https://docs.google.com/spreadsheets/d/1AVX9GT0dgogEBStecCXMMQ29tWz3gBrtNB8yIromXbY/edit?gid=741673867"", ""out1g!A:B""), 2, FALSE), 0)"),287.0)</f>
        <v>287</v>
      </c>
      <c r="D6362" s="2" t="str">
        <f>IFERROR(__xludf.DUMMYFUNCTION("IFERROR(VLOOKUP(A6362, IMPORTRANGE(""https://docs.google.com/spreadsheets/d/1-3Vjw2Cyy-mry5gbC8ypIR3YVGFfEpyFESummAta6sg/edit"", ""Sheet1!B:D""), 2, FALSE), ""Not Found"")"),"fɑrðər")</f>
        <v>fɑrðər</v>
      </c>
      <c r="E6362" s="2" t="str">
        <f>IFERROR(__xludf.DUMMYFUNCTION("IFERROR(VLOOKUP(A6362, IMPORTRANGE(""https://docs.google.com/spreadsheets/d/1-3Vjw2Cyy-mry5gbC8ypIR3YVGFfEpyFESummAta6sg/edit"", ""Sheet1!B:D""), 3, FALSE), ""Not Found"")"),"f ɑ r ð ə r ")</f>
        <v>f ɑ r ð ə r </v>
      </c>
    </row>
    <row r="6363">
      <c r="A6363" s="1" t="s">
        <v>6365</v>
      </c>
      <c r="B6363" s="1" t="s">
        <v>5</v>
      </c>
      <c r="C6363" s="2">
        <f>IFERROR(__xludf.DUMMYFUNCTION("IFERROR(VLOOKUP(A6363, IMPORTRANGE(""https://docs.google.com/spreadsheets/d/1AVX9GT0dgogEBStecCXMMQ29tWz3gBrtNB8yIromXbY/edit?gid=741673867"", ""out1g!A:B""), 2, FALSE), 0)"),319.0)</f>
        <v>319</v>
      </c>
      <c r="D6363" s="2" t="str">
        <f>IFERROR(__xludf.DUMMYFUNCTION("IFERROR(VLOOKUP(A6363, IMPORTRANGE(""https://docs.google.com/spreadsheets/d/1-3Vjw2Cyy-mry5gbC8ypIR3YVGFfEpyFESummAta6sg/edit"", ""Sheet1!B:D""), 2, FALSE), ""Not Found"")"),"bres")</f>
        <v>bres</v>
      </c>
      <c r="E6363" s="2" t="str">
        <f>IFERROR(__xludf.DUMMYFUNCTION("IFERROR(VLOOKUP(A6363, IMPORTRANGE(""https://docs.google.com/spreadsheets/d/1-3Vjw2Cyy-mry5gbC8ypIR3YVGFfEpyFESummAta6sg/edit"", ""Sheet1!B:D""), 3, FALSE), ""Not Found"")"),"b r e s ")</f>
        <v>b r e s </v>
      </c>
    </row>
    <row r="6364">
      <c r="A6364" s="1" t="s">
        <v>6366</v>
      </c>
      <c r="B6364" s="1" t="s">
        <v>5</v>
      </c>
      <c r="C6364" s="2">
        <f>IFERROR(__xludf.DUMMYFUNCTION("IFERROR(VLOOKUP(A6364, IMPORTRANGE(""https://docs.google.com/spreadsheets/d/1AVX9GT0dgogEBStecCXMMQ29tWz3gBrtNB8yIromXbY/edit?gid=741673867"", ""out1g!A:B""), 2, FALSE), 0)"),51.0)</f>
        <v>51</v>
      </c>
      <c r="D6364" s="2" t="str">
        <f>IFERROR(__xludf.DUMMYFUNCTION("IFERROR(VLOOKUP(A6364, IMPORTRANGE(""https://docs.google.com/spreadsheets/d/1-3Vjw2Cyy-mry5gbC8ypIR3YVGFfEpyFESummAta6sg/edit"", ""Sheet1!B:D""), 2, FALSE), ""Not Found"")"),"dun")</f>
        <v>dun</v>
      </c>
      <c r="E6364" s="2" t="str">
        <f>IFERROR(__xludf.DUMMYFUNCTION("IFERROR(VLOOKUP(A6364, IMPORTRANGE(""https://docs.google.com/spreadsheets/d/1-3Vjw2Cyy-mry5gbC8ypIR3YVGFfEpyFESummAta6sg/edit"", ""Sheet1!B:D""), 3, FALSE), ""Not Found"")"),"d u n ")</f>
        <v>d u n </v>
      </c>
    </row>
    <row r="6365">
      <c r="A6365" s="1" t="s">
        <v>6367</v>
      </c>
      <c r="B6365" s="1" t="s">
        <v>5</v>
      </c>
      <c r="C6365" s="2">
        <f>IFERROR(__xludf.DUMMYFUNCTION("IFERROR(VLOOKUP(A6365, IMPORTRANGE(""https://docs.google.com/spreadsheets/d/1AVX9GT0dgogEBStecCXMMQ29tWz3gBrtNB8yIromXbY/edit?gid=741673867"", ""out1g!A:B""), 2, FALSE), 0)"),327.0)</f>
        <v>327</v>
      </c>
      <c r="D6365" s="2" t="str">
        <f>IFERROR(__xludf.DUMMYFUNCTION("IFERROR(VLOOKUP(A6365, IMPORTRANGE(""https://docs.google.com/spreadsheets/d/1-3Vjw2Cyy-mry5gbC8ypIR3YVGFfEpyFESummAta6sg/edit"", ""Sheet1!B:D""), 2, FALSE), ""Not Found"")"),"krips")</f>
        <v>krips</v>
      </c>
      <c r="E6365" s="2" t="str">
        <f>IFERROR(__xludf.DUMMYFUNCTION("IFERROR(VLOOKUP(A6365, IMPORTRANGE(""https://docs.google.com/spreadsheets/d/1-3Vjw2Cyy-mry5gbC8ypIR3YVGFfEpyFESummAta6sg/edit"", ""Sheet1!B:D""), 3, FALSE), ""Not Found"")"),"k r i p s ")</f>
        <v>k r i p s </v>
      </c>
    </row>
    <row r="6366">
      <c r="A6366" s="1" t="s">
        <v>6368</v>
      </c>
      <c r="B6366" s="1" t="s">
        <v>5</v>
      </c>
      <c r="C6366" s="2">
        <f>IFERROR(__xludf.DUMMYFUNCTION("IFERROR(VLOOKUP(A6366, IMPORTRANGE(""https://docs.google.com/spreadsheets/d/1AVX9GT0dgogEBStecCXMMQ29tWz3gBrtNB8yIromXbY/edit?gid=741673867"", ""out1g!A:B""), 2, FALSE), 0)"),242206.0)</f>
        <v>242206</v>
      </c>
      <c r="D6366" s="2" t="str">
        <f>IFERROR(__xludf.DUMMYFUNCTION("IFERROR(VLOOKUP(A6366, IMPORTRANGE(""https://docs.google.com/spreadsheets/d/1-3Vjw2Cyy-mry5gbC8ypIR3YVGFfEpyFESummAta6sg/edit"", ""Sheet1!B:D""), 2, FALSE), ""Not Found"")"),"ʤɪst")</f>
        <v>ʤɪst</v>
      </c>
      <c r="E6366" s="2" t="str">
        <f>IFERROR(__xludf.DUMMYFUNCTION("IFERROR(VLOOKUP(A6366, IMPORTRANGE(""https://docs.google.com/spreadsheets/d/1-3Vjw2Cyy-mry5gbC8ypIR3YVGFfEpyFESummAta6sg/edit"", ""Sheet1!B:D""), 3, FALSE), ""Not Found"")"),"ʤ ɪ s t ")</f>
        <v>ʤ ɪ s t </v>
      </c>
    </row>
    <row r="6367">
      <c r="A6367" s="1" t="s">
        <v>6369</v>
      </c>
      <c r="B6367" s="1" t="s">
        <v>5</v>
      </c>
      <c r="C6367" s="2">
        <f>IFERROR(__xludf.DUMMYFUNCTION("IFERROR(VLOOKUP(A6367, IMPORTRANGE(""https://docs.google.com/spreadsheets/d/1AVX9GT0dgogEBStecCXMMQ29tWz3gBrtNB8yIromXbY/edit?gid=741673867"", ""out1g!A:B""), 2, FALSE), 0)"),552.0)</f>
        <v>552</v>
      </c>
      <c r="D6367" s="2" t="str">
        <f>IFERROR(__xludf.DUMMYFUNCTION("IFERROR(VLOOKUP(A6367, IMPORTRANGE(""https://docs.google.com/spreadsheets/d/1-3Vjw2Cyy-mry5gbC8ypIR3YVGFfEpyFESummAta6sg/edit"", ""Sheet1!B:D""), 2, FALSE), ""Not Found"")"),"kɑmɪk")</f>
        <v>kɑmɪk</v>
      </c>
      <c r="E6367" s="2" t="str">
        <f>IFERROR(__xludf.DUMMYFUNCTION("IFERROR(VLOOKUP(A6367, IMPORTRANGE(""https://docs.google.com/spreadsheets/d/1-3Vjw2Cyy-mry5gbC8ypIR3YVGFfEpyFESummAta6sg/edit"", ""Sheet1!B:D""), 3, FALSE), ""Not Found"")"),"k ɑ m ɪ k ")</f>
        <v>k ɑ m ɪ k </v>
      </c>
    </row>
    <row r="6368">
      <c r="A6368" s="1" t="s">
        <v>6370</v>
      </c>
      <c r="B6368" s="1" t="s">
        <v>5</v>
      </c>
      <c r="C6368" s="2">
        <f>IFERROR(__xludf.DUMMYFUNCTION("IFERROR(VLOOKUP(A6368, IMPORTRANGE(""https://docs.google.com/spreadsheets/d/1AVX9GT0dgogEBStecCXMMQ29tWz3gBrtNB8yIromXbY/edit?gid=741673867"", ""out1g!A:B""), 2, FALSE), 0)"),57830.0)</f>
        <v>57830</v>
      </c>
      <c r="D6368" s="2" t="str">
        <f>IFERROR(__xludf.DUMMYFUNCTION("IFERROR(VLOOKUP(A6368, IMPORTRANGE(""https://docs.google.com/spreadsheets/d/1-3Vjw2Cyy-mry5gbC8ypIR3YVGFfEpyFESummAta6sg/edit"", ""Sheet1!B:D""), 2, FALSE), ""Not Found"")"),"həz")</f>
        <v>həz</v>
      </c>
      <c r="E6368" s="2" t="str">
        <f>IFERROR(__xludf.DUMMYFUNCTION("IFERROR(VLOOKUP(A6368, IMPORTRANGE(""https://docs.google.com/spreadsheets/d/1-3Vjw2Cyy-mry5gbC8ypIR3YVGFfEpyFESummAta6sg/edit"", ""Sheet1!B:D""), 3, FALSE), ""Not Found"")"),"h ə z ")</f>
        <v>h ə z </v>
      </c>
    </row>
    <row r="6369">
      <c r="A6369" s="1" t="s">
        <v>6371</v>
      </c>
      <c r="B6369" s="1" t="s">
        <v>5</v>
      </c>
      <c r="C6369" s="2">
        <f>IFERROR(__xludf.DUMMYFUNCTION("IFERROR(VLOOKUP(A6369, IMPORTRANGE(""https://docs.google.com/spreadsheets/d/1AVX9GT0dgogEBStecCXMMQ29tWz3gBrtNB8yIromXbY/edit?gid=741673867"", ""out1g!A:B""), 2, FALSE), 0)"),102.0)</f>
        <v>102</v>
      </c>
      <c r="D6369" s="2" t="str">
        <f>IFERROR(__xludf.DUMMYFUNCTION("IFERROR(VLOOKUP(A6369, IMPORTRANGE(""https://docs.google.com/spreadsheets/d/1-3Vjw2Cyy-mry5gbC8ypIR3YVGFfEpyFESummAta6sg/edit"", ""Sheet1!B:D""), 2, FALSE), ""Not Found"")"),"wəts")</f>
        <v>wəts</v>
      </c>
      <c r="E6369" s="2" t="str">
        <f>IFERROR(__xludf.DUMMYFUNCTION("IFERROR(VLOOKUP(A6369, IMPORTRANGE(""https://docs.google.com/spreadsheets/d/1-3Vjw2Cyy-mry5gbC8ypIR3YVGFfEpyFESummAta6sg/edit"", ""Sheet1!B:D""), 3, FALSE), ""Not Found"")"),"w ə t s ")</f>
        <v>w ə t s </v>
      </c>
    </row>
    <row r="6370">
      <c r="A6370" s="1" t="s">
        <v>6372</v>
      </c>
      <c r="B6370" s="1" t="s">
        <v>5</v>
      </c>
      <c r="C6370" s="2">
        <f>IFERROR(__xludf.DUMMYFUNCTION("IFERROR(VLOOKUP(A6370, IMPORTRANGE(""https://docs.google.com/spreadsheets/d/1AVX9GT0dgogEBStecCXMMQ29tWz3gBrtNB8yIromXbY/edit?gid=741673867"", ""out1g!A:B""), 2, FALSE), 0)"),49.0)</f>
        <v>49</v>
      </c>
      <c r="D6370" s="2" t="str">
        <f>IFERROR(__xludf.DUMMYFUNCTION("IFERROR(VLOOKUP(A6370, IMPORTRANGE(""https://docs.google.com/spreadsheets/d/1-3Vjw2Cyy-mry5gbC8ypIR3YVGFfEpyFESummAta6sg/edit"", ""Sheet1!B:D""), 2, FALSE), ""Not Found"")"),"tɛsti")</f>
        <v>tɛsti</v>
      </c>
      <c r="E6370" s="2" t="str">
        <f>IFERROR(__xludf.DUMMYFUNCTION("IFERROR(VLOOKUP(A6370, IMPORTRANGE(""https://docs.google.com/spreadsheets/d/1-3Vjw2Cyy-mry5gbC8ypIR3YVGFfEpyFESummAta6sg/edit"", ""Sheet1!B:D""), 3, FALSE), ""Not Found"")"),"t ɛ s t i ")</f>
        <v>t ɛ s t i </v>
      </c>
    </row>
    <row r="6371">
      <c r="A6371" s="1" t="s">
        <v>6373</v>
      </c>
      <c r="B6371" s="1" t="s">
        <v>5</v>
      </c>
      <c r="C6371" s="2">
        <f>IFERROR(__xludf.DUMMYFUNCTION("IFERROR(VLOOKUP(A6371, IMPORTRANGE(""https://docs.google.com/spreadsheets/d/1AVX9GT0dgogEBStecCXMMQ29tWz3gBrtNB8yIromXbY/edit?gid=741673867"", ""out1g!A:B""), 2, FALSE), 0)"),201.0)</f>
        <v>201</v>
      </c>
      <c r="D6371" s="2" t="str">
        <f>IFERROR(__xludf.DUMMYFUNCTION("IFERROR(VLOOKUP(A6371, IMPORTRANGE(""https://docs.google.com/spreadsheets/d/1-3Vjw2Cyy-mry5gbC8ypIR3YVGFfEpyFESummAta6sg/edit"", ""Sheet1!B:D""), 2, FALSE), ""Not Found"")"),"simən")</f>
        <v>simən</v>
      </c>
      <c r="E6371" s="2" t="str">
        <f>IFERROR(__xludf.DUMMYFUNCTION("IFERROR(VLOOKUP(A6371, IMPORTRANGE(""https://docs.google.com/spreadsheets/d/1-3Vjw2Cyy-mry5gbC8ypIR3YVGFfEpyFESummAta6sg/edit"", ""Sheet1!B:D""), 3, FALSE), ""Not Found"")"),"s i m ə n ")</f>
        <v>s i m ə n </v>
      </c>
    </row>
    <row r="6372">
      <c r="A6372" s="1" t="s">
        <v>6374</v>
      </c>
      <c r="B6372" s="1" t="s">
        <v>5</v>
      </c>
      <c r="C6372" s="2">
        <f>IFERROR(__xludf.DUMMYFUNCTION("IFERROR(VLOOKUP(A6372, IMPORTRANGE(""https://docs.google.com/spreadsheets/d/1AVX9GT0dgogEBStecCXMMQ29tWz3gBrtNB8yIromXbY/edit?gid=741673867"", ""out1g!A:B""), 2, FALSE), 0)"),47.0)</f>
        <v>47</v>
      </c>
      <c r="D6372" s="2" t="str">
        <f>IFERROR(__xludf.DUMMYFUNCTION("IFERROR(VLOOKUP(A6372, IMPORTRANGE(""https://docs.google.com/spreadsheets/d/1-3Vjw2Cyy-mry5gbC8ypIR3YVGFfEpyFESummAta6sg/edit"", ""Sheet1!B:D""), 2, FALSE), ""Not Found"")"),"saɪkoʊz")</f>
        <v>saɪkoʊz</v>
      </c>
      <c r="E6372" s="2" t="str">
        <f>IFERROR(__xludf.DUMMYFUNCTION("IFERROR(VLOOKUP(A6372, IMPORTRANGE(""https://docs.google.com/spreadsheets/d/1-3Vjw2Cyy-mry5gbC8ypIR3YVGFfEpyFESummAta6sg/edit"", ""Sheet1!B:D""), 3, FALSE), ""Not Found"")"),"s a ɪ k o ʊ z ")</f>
        <v>s a ɪ k o ʊ z </v>
      </c>
    </row>
    <row r="6373">
      <c r="A6373" s="1" t="s">
        <v>6375</v>
      </c>
      <c r="B6373" s="1" t="s">
        <v>5</v>
      </c>
      <c r="C6373" s="2">
        <f>IFERROR(__xludf.DUMMYFUNCTION("IFERROR(VLOOKUP(A6373, IMPORTRANGE(""https://docs.google.com/spreadsheets/d/1AVX9GT0dgogEBStecCXMMQ29tWz3gBrtNB8yIromXbY/edit?gid=741673867"", ""out1g!A:B""), 2, FALSE), 0)"),950.0)</f>
        <v>950</v>
      </c>
      <c r="D6373" s="2" t="str">
        <f>IFERROR(__xludf.DUMMYFUNCTION("IFERROR(VLOOKUP(A6373, IMPORTRANGE(""https://docs.google.com/spreadsheets/d/1-3Vjw2Cyy-mry5gbC8ypIR3YVGFfEpyFESummAta6sg/edit"", ""Sheet1!B:D""), 2, FALSE), ""Not Found"")"),"lig")</f>
        <v>lig</v>
      </c>
      <c r="E6373" s="2" t="str">
        <f>IFERROR(__xludf.DUMMYFUNCTION("IFERROR(VLOOKUP(A6373, IMPORTRANGE(""https://docs.google.com/spreadsheets/d/1-3Vjw2Cyy-mry5gbC8ypIR3YVGFfEpyFESummAta6sg/edit"", ""Sheet1!B:D""), 3, FALSE), ""Not Found"")"),"l i g ")</f>
        <v>l i g </v>
      </c>
    </row>
    <row r="6374">
      <c r="A6374" s="1" t="s">
        <v>6376</v>
      </c>
      <c r="B6374" s="1" t="s">
        <v>5</v>
      </c>
      <c r="C6374" s="2">
        <f>IFERROR(__xludf.DUMMYFUNCTION("IFERROR(VLOOKUP(A6374, IMPORTRANGE(""https://docs.google.com/spreadsheets/d/1AVX9GT0dgogEBStecCXMMQ29tWz3gBrtNB8yIromXbY/edit?gid=741673867"", ""out1g!A:B""), 2, FALSE), 0)"),3511.0)</f>
        <v>3511</v>
      </c>
      <c r="D6374" s="2" t="str">
        <f>IFERROR(__xludf.DUMMYFUNCTION("IFERROR(VLOOKUP(A6374, IMPORTRANGE(""https://docs.google.com/spreadsheets/d/1-3Vjw2Cyy-mry5gbC8ypIR3YVGFfEpyFESummAta6sg/edit"", ""Sheet1!B:D""), 2, FALSE), ""Not Found"")"),"tep")</f>
        <v>tep</v>
      </c>
      <c r="E6374" s="2" t="str">
        <f>IFERROR(__xludf.DUMMYFUNCTION("IFERROR(VLOOKUP(A6374, IMPORTRANGE(""https://docs.google.com/spreadsheets/d/1-3Vjw2Cyy-mry5gbC8ypIR3YVGFfEpyFESummAta6sg/edit"", ""Sheet1!B:D""), 3, FALSE), ""Not Found"")"),"t e p ")</f>
        <v>t e p </v>
      </c>
    </row>
    <row r="6375">
      <c r="A6375" s="1" t="s">
        <v>6377</v>
      </c>
      <c r="B6375" s="1" t="s">
        <v>5</v>
      </c>
      <c r="C6375" s="2">
        <f>IFERROR(__xludf.DUMMYFUNCTION("IFERROR(VLOOKUP(A6375, IMPORTRANGE(""https://docs.google.com/spreadsheets/d/1AVX9GT0dgogEBStecCXMMQ29tWz3gBrtNB8yIromXbY/edit?gid=741673867"", ""out1g!A:B""), 2, FALSE), 0)"),385.0)</f>
        <v>385</v>
      </c>
      <c r="D6375" s="2" t="str">
        <f>IFERROR(__xludf.DUMMYFUNCTION("IFERROR(VLOOKUP(A6375, IMPORTRANGE(""https://docs.google.com/spreadsheets/d/1-3Vjw2Cyy-mry5gbC8ypIR3YVGFfEpyFESummAta6sg/edit"", ""Sheet1!B:D""), 2, FALSE), ""Not Found"")"),"bæs")</f>
        <v>bæs</v>
      </c>
      <c r="E6375" s="2" t="str">
        <f>IFERROR(__xludf.DUMMYFUNCTION("IFERROR(VLOOKUP(A6375, IMPORTRANGE(""https://docs.google.com/spreadsheets/d/1-3Vjw2Cyy-mry5gbC8ypIR3YVGFfEpyFESummAta6sg/edit"", ""Sheet1!B:D""), 3, FALSE), ""Not Found"")"),"b æ s ")</f>
        <v>b æ s </v>
      </c>
    </row>
    <row r="6376">
      <c r="A6376" s="1" t="s">
        <v>6378</v>
      </c>
      <c r="B6376" s="1" t="s">
        <v>5</v>
      </c>
      <c r="C6376" s="2">
        <f>IFERROR(__xludf.DUMMYFUNCTION("IFERROR(VLOOKUP(A6376, IMPORTRANGE(""https://docs.google.com/spreadsheets/d/1AVX9GT0dgogEBStecCXMMQ29tWz3gBrtNB8yIromXbY/edit?gid=741673867"", ""out1g!A:B""), 2, FALSE), 0)"),180.0)</f>
        <v>180</v>
      </c>
      <c r="D6376" s="2" t="str">
        <f>IFERROR(__xludf.DUMMYFUNCTION("IFERROR(VLOOKUP(A6376, IMPORTRANGE(""https://docs.google.com/spreadsheets/d/1-3Vjw2Cyy-mry5gbC8ypIR3YVGFfEpyFESummAta6sg/edit"", ""Sheet1!B:D""), 2, FALSE), ""Not Found"")"),"dɛnt")</f>
        <v>dɛnt</v>
      </c>
      <c r="E6376" s="2" t="str">
        <f>IFERROR(__xludf.DUMMYFUNCTION("IFERROR(VLOOKUP(A6376, IMPORTRANGE(""https://docs.google.com/spreadsheets/d/1-3Vjw2Cyy-mry5gbC8ypIR3YVGFfEpyFESummAta6sg/edit"", ""Sheet1!B:D""), 3, FALSE), ""Not Found"")"),"d ɛ n t ")</f>
        <v>d ɛ n t </v>
      </c>
    </row>
    <row r="6377">
      <c r="A6377" s="1" t="s">
        <v>6379</v>
      </c>
      <c r="B6377" s="1" t="s">
        <v>5</v>
      </c>
      <c r="C6377" s="2">
        <f>IFERROR(__xludf.DUMMYFUNCTION("IFERROR(VLOOKUP(A6377, IMPORTRANGE(""https://docs.google.com/spreadsheets/d/1AVX9GT0dgogEBStecCXMMQ29tWz3gBrtNB8yIromXbY/edit?gid=741673867"", ""out1g!A:B""), 2, FALSE), 0)"),63.0)</f>
        <v>63</v>
      </c>
      <c r="D6377" s="2" t="str">
        <f>IFERROR(__xludf.DUMMYFUNCTION("IFERROR(VLOOKUP(A6377, IMPORTRANGE(""https://docs.google.com/spreadsheets/d/1-3Vjw2Cyy-mry5gbC8ypIR3YVGFfEpyFESummAta6sg/edit"", ""Sheet1!B:D""), 2, FALSE), ""Not Found"")"),"gənɪŋ")</f>
        <v>gənɪŋ</v>
      </c>
      <c r="E6377" s="2" t="str">
        <f>IFERROR(__xludf.DUMMYFUNCTION("IFERROR(VLOOKUP(A6377, IMPORTRANGE(""https://docs.google.com/spreadsheets/d/1-3Vjw2Cyy-mry5gbC8ypIR3YVGFfEpyFESummAta6sg/edit"", ""Sheet1!B:D""), 3, FALSE), ""Not Found"")"),"g ə n ɪ ŋ ")</f>
        <v>g ə n ɪ ŋ </v>
      </c>
    </row>
    <row r="6378">
      <c r="A6378" s="1" t="s">
        <v>6380</v>
      </c>
      <c r="B6378" s="1" t="s">
        <v>5</v>
      </c>
      <c r="C6378" s="2">
        <f>IFERROR(__xludf.DUMMYFUNCTION("IFERROR(VLOOKUP(A6378, IMPORTRANGE(""https://docs.google.com/spreadsheets/d/1AVX9GT0dgogEBStecCXMMQ29tWz3gBrtNB8yIromXbY/edit?gid=741673867"", ""out1g!A:B""), 2, FALSE), 0)"),180.0)</f>
        <v>180</v>
      </c>
      <c r="D6378" s="2" t="str">
        <f>IFERROR(__xludf.DUMMYFUNCTION("IFERROR(VLOOKUP(A6378, IMPORTRANGE(""https://docs.google.com/spreadsheets/d/1-3Vjw2Cyy-mry5gbC8ypIR3YVGFfEpyFESummAta6sg/edit"", ""Sheet1!B:D""), 2, FALSE), ""Not Found"")"),"mitiər")</f>
        <v>mitiər</v>
      </c>
      <c r="E6378" s="2" t="str">
        <f>IFERROR(__xludf.DUMMYFUNCTION("IFERROR(VLOOKUP(A6378, IMPORTRANGE(""https://docs.google.com/spreadsheets/d/1-3Vjw2Cyy-mry5gbC8ypIR3YVGFfEpyFESummAta6sg/edit"", ""Sheet1!B:D""), 3, FALSE), ""Not Found"")"),"m i t i ə r ")</f>
        <v>m i t i ə r </v>
      </c>
    </row>
    <row r="6379">
      <c r="A6379" s="1" t="s">
        <v>6381</v>
      </c>
      <c r="B6379" s="1" t="s">
        <v>5</v>
      </c>
      <c r="C6379" s="2">
        <f>IFERROR(__xludf.DUMMYFUNCTION("IFERROR(VLOOKUP(A6379, IMPORTRANGE(""https://docs.google.com/spreadsheets/d/1AVX9GT0dgogEBStecCXMMQ29tWz3gBrtNB8yIromXbY/edit?gid=741673867"", ""out1g!A:B""), 2, FALSE), 0)"),1045.0)</f>
        <v>1045</v>
      </c>
      <c r="D6379" s="2" t="str">
        <f>IFERROR(__xludf.DUMMYFUNCTION("IFERROR(VLOOKUP(A6379, IMPORTRANGE(""https://docs.google.com/spreadsheets/d/1-3Vjw2Cyy-mry5gbC8ypIR3YVGFfEpyFESummAta6sg/edit"", ""Sheet1!B:D""), 2, FALSE), ""Not Found"")"),"pʊʃt")</f>
        <v>pʊʃt</v>
      </c>
      <c r="E6379" s="2" t="str">
        <f>IFERROR(__xludf.DUMMYFUNCTION("IFERROR(VLOOKUP(A6379, IMPORTRANGE(""https://docs.google.com/spreadsheets/d/1-3Vjw2Cyy-mry5gbC8ypIR3YVGFfEpyFESummAta6sg/edit"", ""Sheet1!B:D""), 3, FALSE), ""Not Found"")"),"p ʊ ʃ t ")</f>
        <v>p ʊ ʃ t </v>
      </c>
    </row>
    <row r="6380">
      <c r="A6380" s="1" t="s">
        <v>6382</v>
      </c>
      <c r="B6380" s="1" t="s">
        <v>5</v>
      </c>
      <c r="C6380" s="2">
        <f>IFERROR(__xludf.DUMMYFUNCTION("IFERROR(VLOOKUP(A6380, IMPORTRANGE(""https://docs.google.com/spreadsheets/d/1AVX9GT0dgogEBStecCXMMQ29tWz3gBrtNB8yIromXbY/edit?gid=741673867"", ""out1g!A:B""), 2, FALSE), 0)"),166.0)</f>
        <v>166</v>
      </c>
      <c r="D6380" s="2" t="str">
        <f>IFERROR(__xludf.DUMMYFUNCTION("IFERROR(VLOOKUP(A6380, IMPORTRANGE(""https://docs.google.com/spreadsheets/d/1-3Vjw2Cyy-mry5gbC8ypIR3YVGFfEpyFESummAta6sg/edit"", ""Sheet1!B:D""), 2, FALSE), ""Not Found"")"),"duli")</f>
        <v>duli</v>
      </c>
      <c r="E6380" s="2" t="str">
        <f>IFERROR(__xludf.DUMMYFUNCTION("IFERROR(VLOOKUP(A6380, IMPORTRANGE(""https://docs.google.com/spreadsheets/d/1-3Vjw2Cyy-mry5gbC8ypIR3YVGFfEpyFESummAta6sg/edit"", ""Sheet1!B:D""), 3, FALSE), ""Not Found"")"),"d u l i ")</f>
        <v>d u l i </v>
      </c>
    </row>
    <row r="6381">
      <c r="A6381" s="1" t="s">
        <v>6383</v>
      </c>
      <c r="B6381" s="1" t="s">
        <v>5</v>
      </c>
      <c r="C6381" s="2">
        <f>IFERROR(__xludf.DUMMYFUNCTION("IFERROR(VLOOKUP(A6381, IMPORTRANGE(""https://docs.google.com/spreadsheets/d/1AVX9GT0dgogEBStecCXMMQ29tWz3gBrtNB8yIromXbY/edit?gid=741673867"", ""out1g!A:B""), 2, FALSE), 0)"),286.0)</f>
        <v>286</v>
      </c>
      <c r="D6381" s="2" t="str">
        <f>IFERROR(__xludf.DUMMYFUNCTION("IFERROR(VLOOKUP(A6381, IMPORTRANGE(""https://docs.google.com/spreadsheets/d/1-3Vjw2Cyy-mry5gbC8ypIR3YVGFfEpyFESummAta6sg/edit"", ""Sheet1!B:D""), 2, FALSE), ""Not Found"")"),"aʊl")</f>
        <v>aʊl</v>
      </c>
      <c r="E6381" s="2" t="str">
        <f>IFERROR(__xludf.DUMMYFUNCTION("IFERROR(VLOOKUP(A6381, IMPORTRANGE(""https://docs.google.com/spreadsheets/d/1-3Vjw2Cyy-mry5gbC8ypIR3YVGFfEpyFESummAta6sg/edit"", ""Sheet1!B:D""), 3, FALSE), ""Not Found"")"),"a ʊ l ")</f>
        <v>a ʊ l </v>
      </c>
    </row>
    <row r="6382">
      <c r="A6382" s="1" t="s">
        <v>6384</v>
      </c>
      <c r="B6382" s="1" t="s">
        <v>5</v>
      </c>
      <c r="C6382" s="2">
        <f>IFERROR(__xludf.DUMMYFUNCTION("IFERROR(VLOOKUP(A6382, IMPORTRANGE(""https://docs.google.com/spreadsheets/d/1AVX9GT0dgogEBStecCXMMQ29tWz3gBrtNB8yIromXbY/edit?gid=741673867"", ""out1g!A:B""), 2, FALSE), 0)"),37.0)</f>
        <v>37</v>
      </c>
      <c r="D6382" s="2" t="str">
        <f>IFERROR(__xludf.DUMMYFUNCTION("IFERROR(VLOOKUP(A6382, IMPORTRANGE(""https://docs.google.com/spreadsheets/d/1-3Vjw2Cyy-mry5gbC8ypIR3YVGFfEpyFESummAta6sg/edit"", ""Sheet1!B:D""), 2, FALSE), ""Not Found"")"),"sɛkt")</f>
        <v>sɛkt</v>
      </c>
      <c r="E6382" s="2" t="str">
        <f>IFERROR(__xludf.DUMMYFUNCTION("IFERROR(VLOOKUP(A6382, IMPORTRANGE(""https://docs.google.com/spreadsheets/d/1-3Vjw2Cyy-mry5gbC8ypIR3YVGFfEpyFESummAta6sg/edit"", ""Sheet1!B:D""), 3, FALSE), ""Not Found"")"),"s ɛ k t ")</f>
        <v>s ɛ k t </v>
      </c>
    </row>
    <row r="6383">
      <c r="A6383" s="1" t="s">
        <v>6385</v>
      </c>
      <c r="B6383" s="1" t="s">
        <v>5</v>
      </c>
      <c r="C6383" s="2">
        <f>IFERROR(__xludf.DUMMYFUNCTION("IFERROR(VLOOKUP(A6383, IMPORTRANGE(""https://docs.google.com/spreadsheets/d/1AVX9GT0dgogEBStecCXMMQ29tWz3gBrtNB8yIromXbY/edit?gid=741673867"", ""out1g!A:B""), 2, FALSE), 0)"),671.0)</f>
        <v>671</v>
      </c>
      <c r="D6383" s="2" t="str">
        <f>IFERROR(__xludf.DUMMYFUNCTION("IFERROR(VLOOKUP(A6383, IMPORTRANGE(""https://docs.google.com/spreadsheets/d/1-3Vjw2Cyy-mry5gbC8ypIR3YVGFfEpyFESummAta6sg/edit"", ""Sheet1!B:D""), 2, FALSE), ""Not Found"")"),"wɪp")</f>
        <v>wɪp</v>
      </c>
      <c r="E6383" s="2" t="str">
        <f>IFERROR(__xludf.DUMMYFUNCTION("IFERROR(VLOOKUP(A6383, IMPORTRANGE(""https://docs.google.com/spreadsheets/d/1-3Vjw2Cyy-mry5gbC8ypIR3YVGFfEpyFESummAta6sg/edit"", ""Sheet1!B:D""), 3, FALSE), ""Not Found"")"),"w ɪ p ")</f>
        <v>w ɪ p </v>
      </c>
    </row>
    <row r="6384">
      <c r="A6384" s="1" t="s">
        <v>6386</v>
      </c>
      <c r="B6384" s="1" t="s">
        <v>5</v>
      </c>
      <c r="C6384" s="2">
        <f>IFERROR(__xludf.DUMMYFUNCTION("IFERROR(VLOOKUP(A6384, IMPORTRANGE(""https://docs.google.com/spreadsheets/d/1AVX9GT0dgogEBStecCXMMQ29tWz3gBrtNB8yIromXbY/edit?gid=741673867"", ""out1g!A:B""), 2, FALSE), 0)"),141.0)</f>
        <v>141</v>
      </c>
      <c r="D6384" s="2" t="str">
        <f>IFERROR(__xludf.DUMMYFUNCTION("IFERROR(VLOOKUP(A6384, IMPORTRANGE(""https://docs.google.com/spreadsheets/d/1-3Vjw2Cyy-mry5gbC8ypIR3YVGFfEpyFESummAta6sg/edit"", ""Sheet1!B:D""), 2, FALSE), ""Not Found"")"),"kroʊz")</f>
        <v>kroʊz</v>
      </c>
      <c r="E6384" s="2" t="str">
        <f>IFERROR(__xludf.DUMMYFUNCTION("IFERROR(VLOOKUP(A6384, IMPORTRANGE(""https://docs.google.com/spreadsheets/d/1-3Vjw2Cyy-mry5gbC8ypIR3YVGFfEpyFESummAta6sg/edit"", ""Sheet1!B:D""), 3, FALSE), ""Not Found"")"),"k r o ʊ z ")</f>
        <v>k r o ʊ z </v>
      </c>
    </row>
    <row r="6385">
      <c r="A6385" s="1" t="s">
        <v>6387</v>
      </c>
      <c r="B6385" s="1" t="s">
        <v>5</v>
      </c>
      <c r="C6385" s="2">
        <f>IFERROR(__xludf.DUMMYFUNCTION("IFERROR(VLOOKUP(A6385, IMPORTRANGE(""https://docs.google.com/spreadsheets/d/1AVX9GT0dgogEBStecCXMMQ29tWz3gBrtNB8yIromXbY/edit?gid=741673867"", ""out1g!A:B""), 2, FALSE), 0)"),1212.0)</f>
        <v>1212</v>
      </c>
      <c r="D6385" s="2" t="str">
        <f>IFERROR(__xludf.DUMMYFUNCTION("IFERROR(VLOOKUP(A6385, IMPORTRANGE(""https://docs.google.com/spreadsheets/d/1-3Vjw2Cyy-mry5gbC8ypIR3YVGFfEpyFESummAta6sg/edit"", ""Sheet1!B:D""), 2, FALSE), ""Not Found"")"),"əsaɪd")</f>
        <v>əsaɪd</v>
      </c>
      <c r="E6385" s="2" t="str">
        <f>IFERROR(__xludf.DUMMYFUNCTION("IFERROR(VLOOKUP(A6385, IMPORTRANGE(""https://docs.google.com/spreadsheets/d/1-3Vjw2Cyy-mry5gbC8ypIR3YVGFfEpyFESummAta6sg/edit"", ""Sheet1!B:D""), 3, FALSE), ""Not Found"")"),"ə s a ɪ d ")</f>
        <v>ə s a ɪ d </v>
      </c>
    </row>
    <row r="6386">
      <c r="A6386" s="1" t="s">
        <v>6388</v>
      </c>
      <c r="B6386" s="1" t="s">
        <v>5</v>
      </c>
      <c r="C6386" s="2">
        <f>IFERROR(__xludf.DUMMYFUNCTION("IFERROR(VLOOKUP(A6386, IMPORTRANGE(""https://docs.google.com/spreadsheets/d/1AVX9GT0dgogEBStecCXMMQ29tWz3gBrtNB8yIromXbY/edit?gid=741673867"", ""out1g!A:B""), 2, FALSE), 0)"),69.0)</f>
        <v>69</v>
      </c>
      <c r="D6386" s="2" t="str">
        <f>IFERROR(__xludf.DUMMYFUNCTION("IFERROR(VLOOKUP(A6386, IMPORTRANGE(""https://docs.google.com/spreadsheets/d/1-3Vjw2Cyy-mry5gbC8ypIR3YVGFfEpyFESummAta6sg/edit"", ""Sheet1!B:D""), 2, FALSE), ""Not Found"")"),"wækst")</f>
        <v>wækst</v>
      </c>
      <c r="E6386" s="2" t="str">
        <f>IFERROR(__xludf.DUMMYFUNCTION("IFERROR(VLOOKUP(A6386, IMPORTRANGE(""https://docs.google.com/spreadsheets/d/1-3Vjw2Cyy-mry5gbC8ypIR3YVGFfEpyFESummAta6sg/edit"", ""Sheet1!B:D""), 3, FALSE), ""Not Found"")"),"w æ k s t ")</f>
        <v>w æ k s t </v>
      </c>
    </row>
    <row r="6387">
      <c r="A6387" s="1" t="s">
        <v>6389</v>
      </c>
      <c r="B6387" s="1" t="s">
        <v>5</v>
      </c>
      <c r="C6387" s="2">
        <f>IFERROR(__xludf.DUMMYFUNCTION("IFERROR(VLOOKUP(A6387, IMPORTRANGE(""https://docs.google.com/spreadsheets/d/1AVX9GT0dgogEBStecCXMMQ29tWz3gBrtNB8yIromXbY/edit?gid=741673867"", ""out1g!A:B""), 2, FALSE), 0)"),62.0)</f>
        <v>62</v>
      </c>
      <c r="D6387" s="2" t="str">
        <f>IFERROR(__xludf.DUMMYFUNCTION("IFERROR(VLOOKUP(A6387, IMPORTRANGE(""https://docs.google.com/spreadsheets/d/1-3Vjw2Cyy-mry5gbC8ypIR3YVGFfEpyFESummAta6sg/edit"", ""Sheet1!B:D""), 2, FALSE), ""Not Found"")"),"ɛlpi")</f>
        <v>ɛlpi</v>
      </c>
      <c r="E6387" s="2" t="str">
        <f>IFERROR(__xludf.DUMMYFUNCTION("IFERROR(VLOOKUP(A6387, IMPORTRANGE(""https://docs.google.com/spreadsheets/d/1-3Vjw2Cyy-mry5gbC8ypIR3YVGFfEpyFESummAta6sg/edit"", ""Sheet1!B:D""), 3, FALSE), ""Not Found"")"),"ɛ l p i ")</f>
        <v>ɛ l p i </v>
      </c>
    </row>
    <row r="6388">
      <c r="A6388" s="1" t="s">
        <v>6390</v>
      </c>
      <c r="B6388" s="1" t="s">
        <v>5</v>
      </c>
      <c r="C6388" s="2">
        <f>IFERROR(__xludf.DUMMYFUNCTION("IFERROR(VLOOKUP(A6388, IMPORTRANGE(""https://docs.google.com/spreadsheets/d/1AVX9GT0dgogEBStecCXMMQ29tWz3gBrtNB8yIromXbY/edit?gid=741673867"", ""out1g!A:B""), 2, FALSE), 0)"),227.0)</f>
        <v>227</v>
      </c>
      <c r="D6388" s="2" t="str">
        <f>IFERROR(__xludf.DUMMYFUNCTION("IFERROR(VLOOKUP(A6388, IMPORTRANGE(""https://docs.google.com/spreadsheets/d/1-3Vjw2Cyy-mry5gbC8ypIR3YVGFfEpyFESummAta6sg/edit"", ""Sheet1!B:D""), 2, FALSE), ""Not Found"")"),"gɪni")</f>
        <v>gɪni</v>
      </c>
      <c r="E6388" s="2" t="str">
        <f>IFERROR(__xludf.DUMMYFUNCTION("IFERROR(VLOOKUP(A6388, IMPORTRANGE(""https://docs.google.com/spreadsheets/d/1-3Vjw2Cyy-mry5gbC8ypIR3YVGFfEpyFESummAta6sg/edit"", ""Sheet1!B:D""), 3, FALSE), ""Not Found"")"),"g ɪ n i ")</f>
        <v>g ɪ n i </v>
      </c>
    </row>
    <row r="6389">
      <c r="A6389" s="1" t="s">
        <v>6391</v>
      </c>
      <c r="B6389" s="1" t="s">
        <v>5</v>
      </c>
      <c r="C6389" s="2">
        <f>IFERROR(__xludf.DUMMYFUNCTION("IFERROR(VLOOKUP(A6389, IMPORTRANGE(""https://docs.google.com/spreadsheets/d/1AVX9GT0dgogEBStecCXMMQ29tWz3gBrtNB8yIromXbY/edit?gid=741673867"", ""out1g!A:B""), 2, FALSE), 0)"),391.0)</f>
        <v>391</v>
      </c>
      <c r="D6389" s="2" t="str">
        <f>IFERROR(__xludf.DUMMYFUNCTION("IFERROR(VLOOKUP(A6389, IMPORTRANGE(""https://docs.google.com/spreadsheets/d/1-3Vjw2Cyy-mry5gbC8ypIR3YVGFfEpyFESummAta6sg/edit"", ""Sheet1!B:D""), 2, FALSE), ""Not Found"")"),"swɪʧt")</f>
        <v>swɪʧt</v>
      </c>
      <c r="E6389" s="2" t="str">
        <f>IFERROR(__xludf.DUMMYFUNCTION("IFERROR(VLOOKUP(A6389, IMPORTRANGE(""https://docs.google.com/spreadsheets/d/1-3Vjw2Cyy-mry5gbC8ypIR3YVGFfEpyFESummAta6sg/edit"", ""Sheet1!B:D""), 3, FALSE), ""Not Found"")"),"s w ɪ ʧ t ")</f>
        <v>s w ɪ ʧ t </v>
      </c>
    </row>
    <row r="6390">
      <c r="A6390" s="1" t="s">
        <v>6392</v>
      </c>
      <c r="B6390" s="1" t="s">
        <v>5</v>
      </c>
      <c r="C6390" s="2">
        <f>IFERROR(__xludf.DUMMYFUNCTION("IFERROR(VLOOKUP(A6390, IMPORTRANGE(""https://docs.google.com/spreadsheets/d/1AVX9GT0dgogEBStecCXMMQ29tWz3gBrtNB8yIromXbY/edit?gid=741673867"", ""out1g!A:B""), 2, FALSE), 0)"),134.0)</f>
        <v>134</v>
      </c>
      <c r="D6390" s="2" t="str">
        <f>IFERROR(__xludf.DUMMYFUNCTION("IFERROR(VLOOKUP(A6390, IMPORTRANGE(""https://docs.google.com/spreadsheets/d/1-3Vjw2Cyy-mry5gbC8ypIR3YVGFfEpyFESummAta6sg/edit"", ""Sheet1!B:D""), 2, FALSE), ""Not Found"")"),"wɪndi")</f>
        <v>wɪndi</v>
      </c>
      <c r="E6390" s="2" t="str">
        <f>IFERROR(__xludf.DUMMYFUNCTION("IFERROR(VLOOKUP(A6390, IMPORTRANGE(""https://docs.google.com/spreadsheets/d/1-3Vjw2Cyy-mry5gbC8ypIR3YVGFfEpyFESummAta6sg/edit"", ""Sheet1!B:D""), 3, FALSE), ""Not Found"")"),"w ɪ n d i ")</f>
        <v>w ɪ n d i </v>
      </c>
    </row>
    <row r="6391">
      <c r="A6391" s="1" t="s">
        <v>6393</v>
      </c>
      <c r="B6391" s="1" t="s">
        <v>5</v>
      </c>
      <c r="C6391" s="2">
        <f>IFERROR(__xludf.DUMMYFUNCTION("IFERROR(VLOOKUP(A6391, IMPORTRANGE(""https://docs.google.com/spreadsheets/d/1AVX9GT0dgogEBStecCXMMQ29tWz3gBrtNB8yIromXbY/edit?gid=741673867"", ""out1g!A:B""), 2, FALSE), 0)"),56.0)</f>
        <v>56</v>
      </c>
      <c r="D6391" s="2" t="str">
        <f>IFERROR(__xludf.DUMMYFUNCTION("IFERROR(VLOOKUP(A6391, IMPORTRANGE(""https://docs.google.com/spreadsheets/d/1-3Vjw2Cyy-mry5gbC8ypIR3YVGFfEpyFESummAta6sg/edit"", ""Sheet1!B:D""), 2, FALSE), ""Not Found"")"),"kræmd")</f>
        <v>kræmd</v>
      </c>
      <c r="E6391" s="2" t="str">
        <f>IFERROR(__xludf.DUMMYFUNCTION("IFERROR(VLOOKUP(A6391, IMPORTRANGE(""https://docs.google.com/spreadsheets/d/1-3Vjw2Cyy-mry5gbC8ypIR3YVGFfEpyFESummAta6sg/edit"", ""Sheet1!B:D""), 3, FALSE), ""Not Found"")"),"k r æ m d ")</f>
        <v>k r æ m d </v>
      </c>
    </row>
    <row r="6392">
      <c r="A6392" s="1" t="s">
        <v>6394</v>
      </c>
      <c r="B6392" s="1" t="s">
        <v>5</v>
      </c>
      <c r="C6392" s="2">
        <f>IFERROR(__xludf.DUMMYFUNCTION("IFERROR(VLOOKUP(A6392, IMPORTRANGE(""https://docs.google.com/spreadsheets/d/1AVX9GT0dgogEBStecCXMMQ29tWz3gBrtNB8yIromXbY/edit?gid=741673867"", ""out1g!A:B""), 2, FALSE), 0)"),165.0)</f>
        <v>165</v>
      </c>
      <c r="D6392" s="2" t="str">
        <f>IFERROR(__xludf.DUMMYFUNCTION("IFERROR(VLOOKUP(A6392, IMPORTRANGE(""https://docs.google.com/spreadsheets/d/1-3Vjw2Cyy-mry5gbC8ypIR3YVGFfEpyFESummAta6sg/edit"", ""Sheet1!B:D""), 2, FALSE), ""Not Found"")"),"taɪpɪŋ")</f>
        <v>taɪpɪŋ</v>
      </c>
      <c r="E6392" s="2" t="str">
        <f>IFERROR(__xludf.DUMMYFUNCTION("IFERROR(VLOOKUP(A6392, IMPORTRANGE(""https://docs.google.com/spreadsheets/d/1-3Vjw2Cyy-mry5gbC8ypIR3YVGFfEpyFESummAta6sg/edit"", ""Sheet1!B:D""), 3, FALSE), ""Not Found"")"),"t a ɪ p ɪ ŋ ")</f>
        <v>t a ɪ p ɪ ŋ </v>
      </c>
    </row>
    <row r="6393">
      <c r="A6393" s="1" t="s">
        <v>6395</v>
      </c>
      <c r="B6393" s="1" t="s">
        <v>5</v>
      </c>
      <c r="C6393" s="2">
        <f>IFERROR(__xludf.DUMMYFUNCTION("IFERROR(VLOOKUP(A6393, IMPORTRANGE(""https://docs.google.com/spreadsheets/d/1AVX9GT0dgogEBStecCXMMQ29tWz3gBrtNB8yIromXbY/edit?gid=741673867"", ""out1g!A:B""), 2, FALSE), 0)"),8744.0)</f>
        <v>8744</v>
      </c>
      <c r="D6393" s="2" t="str">
        <f>IFERROR(__xludf.DUMMYFUNCTION("IFERROR(VLOOKUP(A6393, IMPORTRANGE(""https://docs.google.com/spreadsheets/d/1-3Vjw2Cyy-mry5gbC8ypIR3YVGFfEpyFESummAta6sg/edit"", ""Sheet1!B:D""), 2, FALSE), ""Not Found"")"),"waɪt")</f>
        <v>waɪt</v>
      </c>
      <c r="E6393" s="2" t="str">
        <f>IFERROR(__xludf.DUMMYFUNCTION("IFERROR(VLOOKUP(A6393, IMPORTRANGE(""https://docs.google.com/spreadsheets/d/1-3Vjw2Cyy-mry5gbC8ypIR3YVGFfEpyFESummAta6sg/edit"", ""Sheet1!B:D""), 3, FALSE), ""Not Found"")"),"w a ɪ t ")</f>
        <v>w a ɪ t </v>
      </c>
    </row>
    <row r="6394">
      <c r="A6394" s="1" t="s">
        <v>6396</v>
      </c>
      <c r="B6394" s="1" t="s">
        <v>5</v>
      </c>
      <c r="C6394" s="2">
        <f>IFERROR(__xludf.DUMMYFUNCTION("IFERROR(VLOOKUP(A6394, IMPORTRANGE(""https://docs.google.com/spreadsheets/d/1AVX9GT0dgogEBStecCXMMQ29tWz3gBrtNB8yIromXbY/edit?gid=741673867"", ""out1g!A:B""), 2, FALSE), 0)"),70.0)</f>
        <v>70</v>
      </c>
      <c r="D6394" s="2" t="str">
        <f>IFERROR(__xludf.DUMMYFUNCTION("IFERROR(VLOOKUP(A6394, IMPORTRANGE(""https://docs.google.com/spreadsheets/d/1-3Vjw2Cyy-mry5gbC8ypIR3YVGFfEpyFESummAta6sg/edit"", ""Sheet1!B:D""), 2, FALSE), ""Not Found"")"),"ʃɔl")</f>
        <v>ʃɔl</v>
      </c>
      <c r="E6394" s="2" t="str">
        <f>IFERROR(__xludf.DUMMYFUNCTION("IFERROR(VLOOKUP(A6394, IMPORTRANGE(""https://docs.google.com/spreadsheets/d/1-3Vjw2Cyy-mry5gbC8ypIR3YVGFfEpyFESummAta6sg/edit"", ""Sheet1!B:D""), 3, FALSE), ""Not Found"")"),"ʃ ɔ l ")</f>
        <v>ʃ ɔ l </v>
      </c>
    </row>
    <row r="6395">
      <c r="A6395" s="1" t="s">
        <v>6397</v>
      </c>
      <c r="B6395" s="1" t="s">
        <v>5</v>
      </c>
      <c r="C6395" s="2">
        <f>IFERROR(__xludf.DUMMYFUNCTION("IFERROR(VLOOKUP(A6395, IMPORTRANGE(""https://docs.google.com/spreadsheets/d/1AVX9GT0dgogEBStecCXMMQ29tWz3gBrtNB8yIromXbY/edit?gid=741673867"", ""out1g!A:B""), 2, FALSE), 0)"),475.0)</f>
        <v>475</v>
      </c>
      <c r="D6395" s="2" t="str">
        <f>IFERROR(__xludf.DUMMYFUNCTION("IFERROR(VLOOKUP(A6395, IMPORTRANGE(""https://docs.google.com/spreadsheets/d/1-3Vjw2Cyy-mry5gbC8ypIR3YVGFfEpyFESummAta6sg/edit"", ""Sheet1!B:D""), 2, FALSE), ""Not Found"")"),"mits")</f>
        <v>mits</v>
      </c>
      <c r="E6395" s="2" t="str">
        <f>IFERROR(__xludf.DUMMYFUNCTION("IFERROR(VLOOKUP(A6395, IMPORTRANGE(""https://docs.google.com/spreadsheets/d/1-3Vjw2Cyy-mry5gbC8ypIR3YVGFfEpyFESummAta6sg/edit"", ""Sheet1!B:D""), 3, FALSE), ""Not Found"")"),"m i t s ")</f>
        <v>m i t s </v>
      </c>
    </row>
    <row r="6396">
      <c r="A6396" s="1" t="s">
        <v>6398</v>
      </c>
      <c r="B6396" s="1" t="s">
        <v>5</v>
      </c>
      <c r="C6396" s="2">
        <f>IFERROR(__xludf.DUMMYFUNCTION("IFERROR(VLOOKUP(A6396, IMPORTRANGE(""https://docs.google.com/spreadsheets/d/1AVX9GT0dgogEBStecCXMMQ29tWz3gBrtNB8yIromXbY/edit?gid=741673867"", ""out1g!A:B""), 2, FALSE), 0)"),2146.0)</f>
        <v>2146</v>
      </c>
      <c r="D6396" s="2" t="str">
        <f>IFERROR(__xludf.DUMMYFUNCTION("IFERROR(VLOOKUP(A6396, IMPORTRANGE(""https://docs.google.com/spreadsheets/d/1-3Vjw2Cyy-mry5gbC8ypIR3YVGFfEpyFESummAta6sg/edit"", ""Sheet1!B:D""), 2, FALSE), ""Not Found"")"),"koʊt")</f>
        <v>koʊt</v>
      </c>
      <c r="E6396" s="2" t="str">
        <f>IFERROR(__xludf.DUMMYFUNCTION("IFERROR(VLOOKUP(A6396, IMPORTRANGE(""https://docs.google.com/spreadsheets/d/1-3Vjw2Cyy-mry5gbC8ypIR3YVGFfEpyFESummAta6sg/edit"", ""Sheet1!B:D""), 3, FALSE), ""Not Found"")"),"k o ʊ t ")</f>
        <v>k o ʊ t </v>
      </c>
    </row>
    <row r="6397">
      <c r="A6397" s="1" t="s">
        <v>6399</v>
      </c>
      <c r="B6397" s="1" t="s">
        <v>5</v>
      </c>
      <c r="C6397" s="2">
        <f>IFERROR(__xludf.DUMMYFUNCTION("IFERROR(VLOOKUP(A6397, IMPORTRANGE(""https://docs.google.com/spreadsheets/d/1AVX9GT0dgogEBStecCXMMQ29tWz3gBrtNB8yIromXbY/edit?gid=741673867"", ""out1g!A:B""), 2, FALSE), 0)"),4885.0)</f>
        <v>4885</v>
      </c>
      <c r="D6397" s="2" t="str">
        <f>IFERROR(__xludf.DUMMYFUNCTION("IFERROR(VLOOKUP(A6397, IMPORTRANGE(""https://docs.google.com/spreadsheets/d/1-3Vjw2Cyy-mry5gbC8ypIR3YVGFfEpyFESummAta6sg/edit"", ""Sheet1!B:D""), 2, FALSE), ""Not Found"")"),"boʊt")</f>
        <v>boʊt</v>
      </c>
      <c r="E6397" s="2" t="str">
        <f>IFERROR(__xludf.DUMMYFUNCTION("IFERROR(VLOOKUP(A6397, IMPORTRANGE(""https://docs.google.com/spreadsheets/d/1-3Vjw2Cyy-mry5gbC8ypIR3YVGFfEpyFESummAta6sg/edit"", ""Sheet1!B:D""), 3, FALSE), ""Not Found"")"),"b o ʊ t ")</f>
        <v>b o ʊ t </v>
      </c>
    </row>
    <row r="6398">
      <c r="A6398" s="1" t="s">
        <v>6400</v>
      </c>
      <c r="B6398" s="1" t="s">
        <v>5</v>
      </c>
      <c r="C6398" s="2">
        <f>IFERROR(__xludf.DUMMYFUNCTION("IFERROR(VLOOKUP(A6398, IMPORTRANGE(""https://docs.google.com/spreadsheets/d/1AVX9GT0dgogEBStecCXMMQ29tWz3gBrtNB8yIromXbY/edit?gid=741673867"", ""out1g!A:B""), 2, FALSE), 0)"),476.0)</f>
        <v>476</v>
      </c>
      <c r="D6398" s="2" t="str">
        <f>IFERROR(__xludf.DUMMYFUNCTION("IFERROR(VLOOKUP(A6398, IMPORTRANGE(""https://docs.google.com/spreadsheets/d/1-3Vjw2Cyy-mry5gbC8ypIR3YVGFfEpyFESummAta6sg/edit"", ""Sheet1!B:D""), 2, FALSE), ""Not Found"")"),"haɪt")</f>
        <v>haɪt</v>
      </c>
      <c r="E6398" s="2" t="str">
        <f>IFERROR(__xludf.DUMMYFUNCTION("IFERROR(VLOOKUP(A6398, IMPORTRANGE(""https://docs.google.com/spreadsheets/d/1-3Vjw2Cyy-mry5gbC8ypIR3YVGFfEpyFESummAta6sg/edit"", ""Sheet1!B:D""), 3, FALSE), ""Not Found"")"),"h a ɪ t ")</f>
        <v>h a ɪ t </v>
      </c>
    </row>
    <row r="6399">
      <c r="A6399" s="1" t="s">
        <v>6401</v>
      </c>
      <c r="B6399" s="1" t="s">
        <v>5</v>
      </c>
      <c r="C6399" s="2">
        <f>IFERROR(__xludf.DUMMYFUNCTION("IFERROR(VLOOKUP(A6399, IMPORTRANGE(""https://docs.google.com/spreadsheets/d/1AVX9GT0dgogEBStecCXMMQ29tWz3gBrtNB8yIromXbY/edit?gid=741673867"", ""out1g!A:B""), 2, FALSE), 0)"),2826.0)</f>
        <v>2826</v>
      </c>
      <c r="D6399" s="2" t="str">
        <f>IFERROR(__xludf.DUMMYFUNCTION("IFERROR(VLOOKUP(A6399, IMPORTRANGE(""https://docs.google.com/spreadsheets/d/1-3Vjw2Cyy-mry5gbC8ypIR3YVGFfEpyFESummAta6sg/edit"", ""Sheet1!B:D""), 2, FALSE), ""Not Found"")"),"dɛr")</f>
        <v>dɛr</v>
      </c>
      <c r="E6399" s="2" t="str">
        <f>IFERROR(__xludf.DUMMYFUNCTION("IFERROR(VLOOKUP(A6399, IMPORTRANGE(""https://docs.google.com/spreadsheets/d/1-3Vjw2Cyy-mry5gbC8ypIR3YVGFfEpyFESummAta6sg/edit"", ""Sheet1!B:D""), 3, FALSE), ""Not Found"")"),"d ɛ r ")</f>
        <v>d ɛ r </v>
      </c>
    </row>
    <row r="6400">
      <c r="A6400" s="1" t="s">
        <v>6402</v>
      </c>
      <c r="B6400" s="1" t="s">
        <v>5</v>
      </c>
      <c r="C6400" s="2">
        <f>IFERROR(__xludf.DUMMYFUNCTION("IFERROR(VLOOKUP(A6400, IMPORTRANGE(""https://docs.google.com/spreadsheets/d/1AVX9GT0dgogEBStecCXMMQ29tWz3gBrtNB8yIromXbY/edit?gid=741673867"", ""out1g!A:B""), 2, FALSE), 0)"),1006.0)</f>
        <v>1006</v>
      </c>
      <c r="D6400" s="2" t="str">
        <f>IFERROR(__xludf.DUMMYFUNCTION("IFERROR(VLOOKUP(A6400, IMPORTRANGE(""https://docs.google.com/spreadsheets/d/1-3Vjw2Cyy-mry5gbC8ypIR3YVGFfEpyFESummAta6sg/edit"", ""Sheet1!B:D""), 2, FALSE), ""Not Found"")"),"kæts")</f>
        <v>kæts</v>
      </c>
      <c r="E6400" s="2" t="str">
        <f>IFERROR(__xludf.DUMMYFUNCTION("IFERROR(VLOOKUP(A6400, IMPORTRANGE(""https://docs.google.com/spreadsheets/d/1-3Vjw2Cyy-mry5gbC8ypIR3YVGFfEpyFESummAta6sg/edit"", ""Sheet1!B:D""), 3, FALSE), ""Not Found"")"),"k æ t s ")</f>
        <v>k æ t s </v>
      </c>
    </row>
    <row r="6401">
      <c r="A6401" s="1" t="s">
        <v>6403</v>
      </c>
      <c r="B6401" s="1" t="s">
        <v>5</v>
      </c>
      <c r="C6401" s="2">
        <f>IFERROR(__xludf.DUMMYFUNCTION("IFERROR(VLOOKUP(A6401, IMPORTRANGE(""https://docs.google.com/spreadsheets/d/1AVX9GT0dgogEBStecCXMMQ29tWz3gBrtNB8yIromXbY/edit?gid=741673867"", ""out1g!A:B""), 2, FALSE), 0)"),2459.0)</f>
        <v>2459</v>
      </c>
      <c r="D6401" s="2" t="str">
        <f>IFERROR(__xludf.DUMMYFUNCTION("IFERROR(VLOOKUP(A6401, IMPORTRANGE(""https://docs.google.com/spreadsheets/d/1-3Vjw2Cyy-mry5gbC8ypIR3YVGFfEpyFESummAta6sg/edit"", ""Sheet1!B:D""), 2, FALSE), ""Not Found"")"),"letli")</f>
        <v>letli</v>
      </c>
      <c r="E6401" s="2" t="str">
        <f>IFERROR(__xludf.DUMMYFUNCTION("IFERROR(VLOOKUP(A6401, IMPORTRANGE(""https://docs.google.com/spreadsheets/d/1-3Vjw2Cyy-mry5gbC8ypIR3YVGFfEpyFESummAta6sg/edit"", ""Sheet1!B:D""), 3, FALSE), ""Not Found"")"),"l e t l i ")</f>
        <v>l e t l i </v>
      </c>
    </row>
    <row r="6402">
      <c r="A6402" s="1" t="s">
        <v>6404</v>
      </c>
      <c r="B6402" s="1" t="s">
        <v>5</v>
      </c>
      <c r="C6402" s="2">
        <f>IFERROR(__xludf.DUMMYFUNCTION("IFERROR(VLOOKUP(A6402, IMPORTRANGE(""https://docs.google.com/spreadsheets/d/1AVX9GT0dgogEBStecCXMMQ29tWz3gBrtNB8yIromXbY/edit?gid=741673867"", ""out1g!A:B""), 2, FALSE), 0)"),450.0)</f>
        <v>450</v>
      </c>
      <c r="D6402" s="2" t="str">
        <f>IFERROR(__xludf.DUMMYFUNCTION("IFERROR(VLOOKUP(A6402, IMPORTRANGE(""https://docs.google.com/spreadsheets/d/1-3Vjw2Cyy-mry5gbC8ypIR3YVGFfEpyFESummAta6sg/edit"", ""Sheet1!B:D""), 2, FALSE), ""Not Found"")"),"rɪpɛr")</f>
        <v>rɪpɛr</v>
      </c>
      <c r="E6402" s="2" t="str">
        <f>IFERROR(__xludf.DUMMYFUNCTION("IFERROR(VLOOKUP(A6402, IMPORTRANGE(""https://docs.google.com/spreadsheets/d/1-3Vjw2Cyy-mry5gbC8ypIR3YVGFfEpyFESummAta6sg/edit"", ""Sheet1!B:D""), 3, FALSE), ""Not Found"")"),"r ɪ p ɛ r ")</f>
        <v>r ɪ p ɛ r </v>
      </c>
    </row>
    <row r="6403">
      <c r="A6403" s="1" t="s">
        <v>6405</v>
      </c>
      <c r="B6403" s="1" t="s">
        <v>5</v>
      </c>
      <c r="C6403" s="2">
        <f>IFERROR(__xludf.DUMMYFUNCTION("IFERROR(VLOOKUP(A6403, IMPORTRANGE(""https://docs.google.com/spreadsheets/d/1AVX9GT0dgogEBStecCXMMQ29tWz3gBrtNB8yIromXbY/edit?gid=741673867"", ""out1g!A:B""), 2, FALSE), 0)"),397.0)</f>
        <v>397</v>
      </c>
      <c r="D6403" s="2" t="str">
        <f>IFERROR(__xludf.DUMMYFUNCTION("IFERROR(VLOOKUP(A6403, IMPORTRANGE(""https://docs.google.com/spreadsheets/d/1-3Vjw2Cyy-mry5gbC8ypIR3YVGFfEpyFESummAta6sg/edit"", ""Sheet1!B:D""), 2, FALSE), ""Not Found"")"),"sɔɪl")</f>
        <v>sɔɪl</v>
      </c>
      <c r="E6403" s="2" t="str">
        <f>IFERROR(__xludf.DUMMYFUNCTION("IFERROR(VLOOKUP(A6403, IMPORTRANGE(""https://docs.google.com/spreadsheets/d/1-3Vjw2Cyy-mry5gbC8ypIR3YVGFfEpyFESummAta6sg/edit"", ""Sheet1!B:D""), 3, FALSE), ""Not Found"")"),"s ɔ ɪ l ")</f>
        <v>s ɔ ɪ l </v>
      </c>
    </row>
    <row r="6404">
      <c r="A6404" s="1" t="s">
        <v>6406</v>
      </c>
      <c r="B6404" s="1" t="s">
        <v>5</v>
      </c>
      <c r="C6404" s="2">
        <f>IFERROR(__xludf.DUMMYFUNCTION("IFERROR(VLOOKUP(A6404, IMPORTRANGE(""https://docs.google.com/spreadsheets/d/1AVX9GT0dgogEBStecCXMMQ29tWz3gBrtNB8yIromXbY/edit?gid=741673867"", ""out1g!A:B""), 2, FALSE), 0)"),354.0)</f>
        <v>354</v>
      </c>
      <c r="D6404" s="2" t="str">
        <f>IFERROR(__xludf.DUMMYFUNCTION("IFERROR(VLOOKUP(A6404, IMPORTRANGE(""https://docs.google.com/spreadsheets/d/1-3Vjw2Cyy-mry5gbC8ypIR3YVGFfEpyFESummAta6sg/edit"", ""Sheet1!B:D""), 2, FALSE), ""Not Found"")"),"tɪz")</f>
        <v>tɪz</v>
      </c>
      <c r="E6404" s="2" t="str">
        <f>IFERROR(__xludf.DUMMYFUNCTION("IFERROR(VLOOKUP(A6404, IMPORTRANGE(""https://docs.google.com/spreadsheets/d/1-3Vjw2Cyy-mry5gbC8ypIR3YVGFfEpyFESummAta6sg/edit"", ""Sheet1!B:D""), 3, FALSE), ""Not Found"")"),"t ɪ z ")</f>
        <v>t ɪ z </v>
      </c>
    </row>
    <row r="6405">
      <c r="A6405" s="1" t="s">
        <v>6407</v>
      </c>
      <c r="B6405" s="1" t="s">
        <v>5</v>
      </c>
      <c r="C6405" s="2">
        <f>IFERROR(__xludf.DUMMYFUNCTION("IFERROR(VLOOKUP(A6405, IMPORTRANGE(""https://docs.google.com/spreadsheets/d/1AVX9GT0dgogEBStecCXMMQ29tWz3gBrtNB8yIromXbY/edit?gid=741673867"", ""out1g!A:B""), 2, FALSE), 0)"),67.0)</f>
        <v>67</v>
      </c>
      <c r="D6405" s="2" t="str">
        <f>IFERROR(__xludf.DUMMYFUNCTION("IFERROR(VLOOKUP(A6405, IMPORTRANGE(""https://docs.google.com/spreadsheets/d/1-3Vjw2Cyy-mry5gbC8ypIR3YVGFfEpyFESummAta6sg/edit"", ""Sheet1!B:D""), 2, FALSE), ""Not Found"")"),"kləstər")</f>
        <v>kləstər</v>
      </c>
      <c r="E6405" s="2" t="str">
        <f>IFERROR(__xludf.DUMMYFUNCTION("IFERROR(VLOOKUP(A6405, IMPORTRANGE(""https://docs.google.com/spreadsheets/d/1-3Vjw2Cyy-mry5gbC8ypIR3YVGFfEpyFESummAta6sg/edit"", ""Sheet1!B:D""), 3, FALSE), ""Not Found"")"),"k l ə s t ə r ")</f>
        <v>k l ə s t ə r </v>
      </c>
    </row>
    <row r="6406">
      <c r="A6406" s="1" t="s">
        <v>6408</v>
      </c>
      <c r="B6406" s="1" t="s">
        <v>5</v>
      </c>
      <c r="C6406" s="2">
        <f>IFERROR(__xludf.DUMMYFUNCTION("IFERROR(VLOOKUP(A6406, IMPORTRANGE(""https://docs.google.com/spreadsheets/d/1AVX9GT0dgogEBStecCXMMQ29tWz3gBrtNB8yIromXbY/edit?gid=741673867"", ""out1g!A:B""), 2, FALSE), 0)"),254.0)</f>
        <v>254</v>
      </c>
      <c r="D6406" s="2" t="str">
        <f>IFERROR(__xludf.DUMMYFUNCTION("IFERROR(VLOOKUP(A6406, IMPORTRANGE(""https://docs.google.com/spreadsheets/d/1-3Vjw2Cyy-mry5gbC8ypIR3YVGFfEpyFESummAta6sg/edit"", ""Sheet1!B:D""), 2, FALSE), ""Not Found"")"),"sɪstər")</f>
        <v>sɪstər</v>
      </c>
      <c r="E6406" s="2" t="str">
        <f>IFERROR(__xludf.DUMMYFUNCTION("IFERROR(VLOOKUP(A6406, IMPORTRANGE(""https://docs.google.com/spreadsheets/d/1-3Vjw2Cyy-mry5gbC8ypIR3YVGFfEpyFESummAta6sg/edit"", ""Sheet1!B:D""), 3, FALSE), ""Not Found"")"),"s ɪ s t ə r ")</f>
        <v>s ɪ s t ə r </v>
      </c>
    </row>
    <row r="6407">
      <c r="A6407" s="1" t="s">
        <v>6409</v>
      </c>
      <c r="B6407" s="1" t="s">
        <v>5</v>
      </c>
      <c r="C6407" s="2">
        <f>IFERROR(__xludf.DUMMYFUNCTION("IFERROR(VLOOKUP(A6407, IMPORTRANGE(""https://docs.google.com/spreadsheets/d/1AVX9GT0dgogEBStecCXMMQ29tWz3gBrtNB8yIromXbY/edit?gid=741673867"", ""out1g!A:B""), 2, FALSE), 0)"),406.0)</f>
        <v>406</v>
      </c>
      <c r="D6407" s="2" t="str">
        <f>IFERROR(__xludf.DUMMYFUNCTION("IFERROR(VLOOKUP(A6407, IMPORTRANGE(""https://docs.google.com/spreadsheets/d/1-3Vjw2Cyy-mry5gbC8ypIR3YVGFfEpyFESummAta6sg/edit"", ""Sheet1!B:D""), 2, FALSE), ""Not Found"")"),"dɪp")</f>
        <v>dɪp</v>
      </c>
      <c r="E6407" s="2" t="str">
        <f>IFERROR(__xludf.DUMMYFUNCTION("IFERROR(VLOOKUP(A6407, IMPORTRANGE(""https://docs.google.com/spreadsheets/d/1-3Vjw2Cyy-mry5gbC8ypIR3YVGFfEpyFESummAta6sg/edit"", ""Sheet1!B:D""), 3, FALSE), ""Not Found"")"),"d ɪ p ")</f>
        <v>d ɪ p </v>
      </c>
    </row>
    <row r="6408">
      <c r="A6408" s="1" t="s">
        <v>6410</v>
      </c>
      <c r="B6408" s="1" t="s">
        <v>5</v>
      </c>
      <c r="C6408" s="2">
        <f>IFERROR(__xludf.DUMMYFUNCTION("IFERROR(VLOOKUP(A6408, IMPORTRANGE(""https://docs.google.com/spreadsheets/d/1AVX9GT0dgogEBStecCXMMQ29tWz3gBrtNB8yIromXbY/edit?gid=741673867"", ""out1g!A:B""), 2, FALSE), 0)"),761.0)</f>
        <v>761</v>
      </c>
      <c r="D6408" s="2" t="str">
        <f>IFERROR(__xludf.DUMMYFUNCTION("IFERROR(VLOOKUP(A6408, IMPORTRANGE(""https://docs.google.com/spreadsheets/d/1-3Vjw2Cyy-mry5gbC8ypIR3YVGFfEpyFESummAta6sg/edit"", ""Sheet1!B:D""), 2, FALSE), ""Not Found"")"),"dəʧ")</f>
        <v>dəʧ</v>
      </c>
      <c r="E6408" s="2" t="str">
        <f>IFERROR(__xludf.DUMMYFUNCTION("IFERROR(VLOOKUP(A6408, IMPORTRANGE(""https://docs.google.com/spreadsheets/d/1-3Vjw2Cyy-mry5gbC8ypIR3YVGFfEpyFESummAta6sg/edit"", ""Sheet1!B:D""), 3, FALSE), ""Not Found"")"),"d ə ʧ ")</f>
        <v>d ə ʧ </v>
      </c>
    </row>
    <row r="6409">
      <c r="A6409" s="1" t="s">
        <v>6411</v>
      </c>
      <c r="B6409" s="1" t="s">
        <v>5</v>
      </c>
      <c r="C6409" s="2">
        <f>IFERROR(__xludf.DUMMYFUNCTION("IFERROR(VLOOKUP(A6409, IMPORTRANGE(""https://docs.google.com/spreadsheets/d/1AVX9GT0dgogEBStecCXMMQ29tWz3gBrtNB8yIromXbY/edit?gid=741673867"", ""out1g!A:B""), 2, FALSE), 0)"),779.0)</f>
        <v>779</v>
      </c>
      <c r="D6409" s="2" t="str">
        <f>IFERROR(__xludf.DUMMYFUNCTION("IFERROR(VLOOKUP(A6409, IMPORTRANGE(""https://docs.google.com/spreadsheets/d/1-3Vjw2Cyy-mry5gbC8ypIR3YVGFfEpyFESummAta6sg/edit"", ""Sheet1!B:D""), 2, FALSE), ""Not Found"")"),"hoʊlz")</f>
        <v>hoʊlz</v>
      </c>
      <c r="E6409" s="2" t="str">
        <f>IFERROR(__xludf.DUMMYFUNCTION("IFERROR(VLOOKUP(A6409, IMPORTRANGE(""https://docs.google.com/spreadsheets/d/1-3Vjw2Cyy-mry5gbC8ypIR3YVGFfEpyFESummAta6sg/edit"", ""Sheet1!B:D""), 3, FALSE), ""Not Found"")"),"h o ʊ l z ")</f>
        <v>h o ʊ l z </v>
      </c>
    </row>
    <row r="6410">
      <c r="A6410" s="1" t="s">
        <v>6412</v>
      </c>
      <c r="B6410" s="1" t="s">
        <v>5</v>
      </c>
      <c r="C6410" s="2">
        <f>IFERROR(__xludf.DUMMYFUNCTION("IFERROR(VLOOKUP(A6410, IMPORTRANGE(""https://docs.google.com/spreadsheets/d/1AVX9GT0dgogEBStecCXMMQ29tWz3gBrtNB8yIromXbY/edit?gid=741673867"", ""out1g!A:B""), 2, FALSE), 0)"),155.0)</f>
        <v>155</v>
      </c>
      <c r="D6410" s="2" t="str">
        <f>IFERROR(__xludf.DUMMYFUNCTION("IFERROR(VLOOKUP(A6410, IMPORTRANGE(""https://docs.google.com/spreadsheets/d/1-3Vjw2Cyy-mry5gbC8ypIR3YVGFfEpyFESummAta6sg/edit"", ""Sheet1!B:D""), 2, FALSE), ""Not Found"")"),"staɪn")</f>
        <v>staɪn</v>
      </c>
      <c r="E6410" s="2" t="str">
        <f>IFERROR(__xludf.DUMMYFUNCTION("IFERROR(VLOOKUP(A6410, IMPORTRANGE(""https://docs.google.com/spreadsheets/d/1-3Vjw2Cyy-mry5gbC8ypIR3YVGFfEpyFESummAta6sg/edit"", ""Sheet1!B:D""), 3, FALSE), ""Not Found"")"),"s t a ɪ n ")</f>
        <v>s t a ɪ n </v>
      </c>
    </row>
    <row r="6411">
      <c r="A6411" s="1" t="s">
        <v>6413</v>
      </c>
      <c r="B6411" s="1" t="s">
        <v>5</v>
      </c>
      <c r="C6411" s="2">
        <f>IFERROR(__xludf.DUMMYFUNCTION("IFERROR(VLOOKUP(A6411, IMPORTRANGE(""https://docs.google.com/spreadsheets/d/1AVX9GT0dgogEBStecCXMMQ29tWz3gBrtNB8yIromXbY/edit?gid=741673867"", ""out1g!A:B""), 2, FALSE), 0)"),3016.0)</f>
        <v>3016</v>
      </c>
      <c r="D6411" s="2" t="str">
        <f>IFERROR(__xludf.DUMMYFUNCTION("IFERROR(VLOOKUP(A6411, IMPORTRANGE(""https://docs.google.com/spreadsheets/d/1-3Vjw2Cyy-mry5gbC8ypIR3YVGFfEpyFESummAta6sg/edit"", ""Sheet1!B:D""), 2, FALSE), ""Not Found"")"),"loʊ")</f>
        <v>loʊ</v>
      </c>
      <c r="E6411" s="2" t="str">
        <f>IFERROR(__xludf.DUMMYFUNCTION("IFERROR(VLOOKUP(A6411, IMPORTRANGE(""https://docs.google.com/spreadsheets/d/1-3Vjw2Cyy-mry5gbC8ypIR3YVGFfEpyFESummAta6sg/edit"", ""Sheet1!B:D""), 3, FALSE), ""Not Found"")"),"l o ʊ ")</f>
        <v>l o ʊ </v>
      </c>
    </row>
    <row r="6412">
      <c r="A6412" s="1" t="s">
        <v>6414</v>
      </c>
      <c r="B6412" s="1" t="s">
        <v>5</v>
      </c>
      <c r="C6412" s="2">
        <f>IFERROR(__xludf.DUMMYFUNCTION("IFERROR(VLOOKUP(A6412, IMPORTRANGE(""https://docs.google.com/spreadsheets/d/1AVX9GT0dgogEBStecCXMMQ29tWz3gBrtNB8yIromXbY/edit?gid=741673867"", ""out1g!A:B""), 2, FALSE), 0)"),877.0)</f>
        <v>877</v>
      </c>
      <c r="D6412" s="2" t="str">
        <f>IFERROR(__xludf.DUMMYFUNCTION("IFERROR(VLOOKUP(A6412, IMPORTRANGE(""https://docs.google.com/spreadsheets/d/1-3Vjw2Cyy-mry5gbC8ypIR3YVGFfEpyFESummAta6sg/edit"", ""Sheet1!B:D""), 2, FALSE), ""Not Found"")"),"sɛk")</f>
        <v>sɛk</v>
      </c>
      <c r="E6412" s="2" t="str">
        <f>IFERROR(__xludf.DUMMYFUNCTION("IFERROR(VLOOKUP(A6412, IMPORTRANGE(""https://docs.google.com/spreadsheets/d/1-3Vjw2Cyy-mry5gbC8ypIR3YVGFfEpyFESummAta6sg/edit"", ""Sheet1!B:D""), 3, FALSE), ""Not Found"")"),"s ɛ k ")</f>
        <v>s ɛ k </v>
      </c>
    </row>
    <row r="6413">
      <c r="A6413" s="1" t="s">
        <v>6415</v>
      </c>
      <c r="B6413" s="1" t="s">
        <v>5</v>
      </c>
      <c r="C6413" s="2">
        <f>IFERROR(__xludf.DUMMYFUNCTION("IFERROR(VLOOKUP(A6413, IMPORTRANGE(""https://docs.google.com/spreadsheets/d/1AVX9GT0dgogEBStecCXMMQ29tWz3gBrtNB8yIromXbY/edit?gid=741673867"", ""out1g!A:B""), 2, FALSE), 0)"),368.0)</f>
        <v>368</v>
      </c>
      <c r="D6413" s="2" t="str">
        <f>IFERROR(__xludf.DUMMYFUNCTION("IFERROR(VLOOKUP(A6413, IMPORTRANGE(""https://docs.google.com/spreadsheets/d/1-3Vjw2Cyy-mry5gbC8ypIR3YVGFfEpyFESummAta6sg/edit"", ""Sheet1!B:D""), 2, FALSE), ""Not Found"")"),"bɛnt")</f>
        <v>bɛnt</v>
      </c>
      <c r="E6413" s="2" t="str">
        <f>IFERROR(__xludf.DUMMYFUNCTION("IFERROR(VLOOKUP(A6413, IMPORTRANGE(""https://docs.google.com/spreadsheets/d/1-3Vjw2Cyy-mry5gbC8ypIR3YVGFfEpyFESummAta6sg/edit"", ""Sheet1!B:D""), 3, FALSE), ""Not Found"")"),"b ɛ n t ")</f>
        <v>b ɛ n t </v>
      </c>
    </row>
    <row r="6414">
      <c r="A6414" s="1" t="s">
        <v>6416</v>
      </c>
      <c r="B6414" s="1" t="s">
        <v>5</v>
      </c>
      <c r="C6414" s="2">
        <f>IFERROR(__xludf.DUMMYFUNCTION("IFERROR(VLOOKUP(A6414, IMPORTRANGE(""https://docs.google.com/spreadsheets/d/1AVX9GT0dgogEBStecCXMMQ29tWz3gBrtNB8yIromXbY/edit?gid=741673867"", ""out1g!A:B""), 2, FALSE), 0)"),87949.0)</f>
        <v>87949</v>
      </c>
      <c r="D6414" s="2" t="str">
        <f>IFERROR(__xludf.DUMMYFUNCTION("IFERROR(VLOOKUP(A6414, IMPORTRANGE(""https://docs.google.com/spreadsheets/d/1-3Vjw2Cyy-mry5gbC8ypIR3YVGFfEpyFESummAta6sg/edit"", ""Sheet1!B:D""), 2, FALSE), ""Not Found"")"),"tɛl")</f>
        <v>tɛl</v>
      </c>
      <c r="E6414" s="2" t="str">
        <f>IFERROR(__xludf.DUMMYFUNCTION("IFERROR(VLOOKUP(A6414, IMPORTRANGE(""https://docs.google.com/spreadsheets/d/1-3Vjw2Cyy-mry5gbC8ypIR3YVGFfEpyFESummAta6sg/edit"", ""Sheet1!B:D""), 3, FALSE), ""Not Found"")"),"t ɛ l ")</f>
        <v>t ɛ l </v>
      </c>
    </row>
    <row r="6415">
      <c r="A6415" s="1" t="s">
        <v>6417</v>
      </c>
      <c r="B6415" s="1" t="s">
        <v>5</v>
      </c>
      <c r="C6415" s="2">
        <f>IFERROR(__xludf.DUMMYFUNCTION("IFERROR(VLOOKUP(A6415, IMPORTRANGE(""https://docs.google.com/spreadsheets/d/1AVX9GT0dgogEBStecCXMMQ29tWz3gBrtNB8yIromXbY/edit?gid=741673867"", ""out1g!A:B""), 2, FALSE), 0)"),1349.0)</f>
        <v>1349</v>
      </c>
      <c r="D6415" s="2" t="str">
        <f>IFERROR(__xludf.DUMMYFUNCTION("IFERROR(VLOOKUP(A6415, IMPORTRANGE(""https://docs.google.com/spreadsheets/d/1-3Vjw2Cyy-mry5gbC8ypIR3YVGFfEpyFESummAta6sg/edit"", ""Sheet1!B:D""), 2, FALSE), ""Not Found"")"),"fɔrθ")</f>
        <v>fɔrθ</v>
      </c>
      <c r="E6415" s="2" t="str">
        <f>IFERROR(__xludf.DUMMYFUNCTION("IFERROR(VLOOKUP(A6415, IMPORTRANGE(""https://docs.google.com/spreadsheets/d/1-3Vjw2Cyy-mry5gbC8ypIR3YVGFfEpyFESummAta6sg/edit"", ""Sheet1!B:D""), 3, FALSE), ""Not Found"")"),"f ɔ r θ ")</f>
        <v>f ɔ r θ </v>
      </c>
    </row>
    <row r="6416">
      <c r="A6416" s="1" t="s">
        <v>6418</v>
      </c>
      <c r="B6416" s="1" t="s">
        <v>5</v>
      </c>
      <c r="C6416" s="2">
        <f>IFERROR(__xludf.DUMMYFUNCTION("IFERROR(VLOOKUP(A6416, IMPORTRANGE(""https://docs.google.com/spreadsheets/d/1AVX9GT0dgogEBStecCXMMQ29tWz3gBrtNB8yIromXbY/edit?gid=741673867"", ""out1g!A:B""), 2, FALSE), 0)"),178.0)</f>
        <v>178</v>
      </c>
      <c r="D6416" s="2" t="str">
        <f>IFERROR(__xludf.DUMMYFUNCTION("IFERROR(VLOOKUP(A6416, IMPORTRANGE(""https://docs.google.com/spreadsheets/d/1-3Vjw2Cyy-mry5gbC8ypIR3YVGFfEpyFESummAta6sg/edit"", ""Sheet1!B:D""), 2, FALSE), ""Not Found"")"),"θəg")</f>
        <v>θəg</v>
      </c>
      <c r="E6416" s="2" t="str">
        <f>IFERROR(__xludf.DUMMYFUNCTION("IFERROR(VLOOKUP(A6416, IMPORTRANGE(""https://docs.google.com/spreadsheets/d/1-3Vjw2Cyy-mry5gbC8ypIR3YVGFfEpyFESummAta6sg/edit"", ""Sheet1!B:D""), 3, FALSE), ""Not Found"")"),"θ ə g ")</f>
        <v>θ ə g </v>
      </c>
    </row>
    <row r="6417">
      <c r="A6417" s="1" t="s">
        <v>6419</v>
      </c>
      <c r="B6417" s="1" t="s">
        <v>5</v>
      </c>
      <c r="C6417" s="2">
        <f>IFERROR(__xludf.DUMMYFUNCTION("IFERROR(VLOOKUP(A6417, IMPORTRANGE(""https://docs.google.com/spreadsheets/d/1AVX9GT0dgogEBStecCXMMQ29tWz3gBrtNB8yIromXbY/edit?gid=741673867"", ""out1g!A:B""), 2, FALSE), 0)"),49.0)</f>
        <v>49</v>
      </c>
      <c r="D6417" s="2" t="str">
        <f>IFERROR(__xludf.DUMMYFUNCTION("IFERROR(VLOOKUP(A6417, IMPORTRANGE(""https://docs.google.com/spreadsheets/d/1-3Vjw2Cyy-mry5gbC8ypIR3YVGFfEpyFESummAta6sg/edit"", ""Sheet1!B:D""), 2, FALSE), ""Not Found"")"),"maɪən")</f>
        <v>maɪən</v>
      </c>
      <c r="E6417" s="2" t="str">
        <f>IFERROR(__xludf.DUMMYFUNCTION("IFERROR(VLOOKUP(A6417, IMPORTRANGE(""https://docs.google.com/spreadsheets/d/1-3Vjw2Cyy-mry5gbC8ypIR3YVGFfEpyFESummAta6sg/edit"", ""Sheet1!B:D""), 3, FALSE), ""Not Found"")"),"m a ɪ ə n ")</f>
        <v>m a ɪ ə n </v>
      </c>
    </row>
    <row r="6418">
      <c r="A6418" s="1" t="s">
        <v>6420</v>
      </c>
      <c r="B6418" s="1" t="s">
        <v>5</v>
      </c>
      <c r="C6418" s="2">
        <f>IFERROR(__xludf.DUMMYFUNCTION("IFERROR(VLOOKUP(A6418, IMPORTRANGE(""https://docs.google.com/spreadsheets/d/1AVX9GT0dgogEBStecCXMMQ29tWz3gBrtNB8yIromXbY/edit?gid=741673867"", ""out1g!A:B""), 2, FALSE), 0)"),67.0)</f>
        <v>67</v>
      </c>
      <c r="D6418" s="2" t="str">
        <f>IFERROR(__xludf.DUMMYFUNCTION("IFERROR(VLOOKUP(A6418, IMPORTRANGE(""https://docs.google.com/spreadsheets/d/1-3Vjw2Cyy-mry5gbC8ypIR3YVGFfEpyFESummAta6sg/edit"", ""Sheet1!B:D""), 2, FALSE), ""Not Found"")"),"helɪŋ")</f>
        <v>helɪŋ</v>
      </c>
      <c r="E6418" s="2" t="str">
        <f>IFERROR(__xludf.DUMMYFUNCTION("IFERROR(VLOOKUP(A6418, IMPORTRANGE(""https://docs.google.com/spreadsheets/d/1-3Vjw2Cyy-mry5gbC8ypIR3YVGFfEpyFESummAta6sg/edit"", ""Sheet1!B:D""), 3, FALSE), ""Not Found"")"),"h e l ɪ ŋ ")</f>
        <v>h e l ɪ ŋ </v>
      </c>
    </row>
    <row r="6419">
      <c r="A6419" s="1" t="s">
        <v>6421</v>
      </c>
      <c r="B6419" s="1" t="s">
        <v>5</v>
      </c>
      <c r="C6419" s="2">
        <f>IFERROR(__xludf.DUMMYFUNCTION("IFERROR(VLOOKUP(A6419, IMPORTRANGE(""https://docs.google.com/spreadsheets/d/1AVX9GT0dgogEBStecCXMMQ29tWz3gBrtNB8yIromXbY/edit?gid=741673867"", ""out1g!A:B""), 2, FALSE), 0)"),10156.0)</f>
        <v>10156</v>
      </c>
      <c r="D6419" s="2" t="str">
        <f>IFERROR(__xludf.DUMMYFUNCTION("IFERROR(VLOOKUP(A6419, IMPORTRANGE(""https://docs.google.com/spreadsheets/d/1-3Vjw2Cyy-mry5gbC8ypIR3YVGFfEpyFESummAta6sg/edit"", ""Sheet1!B:D""), 2, FALSE), ""Not Found"")"),"hæf")</f>
        <v>hæf</v>
      </c>
      <c r="E6419" s="2" t="str">
        <f>IFERROR(__xludf.DUMMYFUNCTION("IFERROR(VLOOKUP(A6419, IMPORTRANGE(""https://docs.google.com/spreadsheets/d/1-3Vjw2Cyy-mry5gbC8ypIR3YVGFfEpyFESummAta6sg/edit"", ""Sheet1!B:D""), 3, FALSE), ""Not Found"")"),"h æ f ")</f>
        <v>h æ f </v>
      </c>
    </row>
    <row r="6420">
      <c r="A6420" s="1" t="s">
        <v>6422</v>
      </c>
      <c r="B6420" s="1" t="s">
        <v>5</v>
      </c>
      <c r="C6420" s="2">
        <f>IFERROR(__xludf.DUMMYFUNCTION("IFERROR(VLOOKUP(A6420, IMPORTRANGE(""https://docs.google.com/spreadsheets/d/1AVX9GT0dgogEBStecCXMMQ29tWz3gBrtNB8yIromXbY/edit?gid=741673867"", ""out1g!A:B""), 2, FALSE), 0)"),1035.0)</f>
        <v>1035</v>
      </c>
      <c r="D6420" s="2" t="str">
        <f>IFERROR(__xludf.DUMMYFUNCTION("IFERROR(VLOOKUP(A6420, IMPORTRANGE(""https://docs.google.com/spreadsheets/d/1-3Vjw2Cyy-mry5gbC8ypIR3YVGFfEpyFESummAta6sg/edit"", ""Sheet1!B:D""), 2, FALSE), ""Not Found"")"),"sænd")</f>
        <v>sænd</v>
      </c>
      <c r="E6420" s="2" t="str">
        <f>IFERROR(__xludf.DUMMYFUNCTION("IFERROR(VLOOKUP(A6420, IMPORTRANGE(""https://docs.google.com/spreadsheets/d/1-3Vjw2Cyy-mry5gbC8ypIR3YVGFfEpyFESummAta6sg/edit"", ""Sheet1!B:D""), 3, FALSE), ""Not Found"")"),"s æ n d ")</f>
        <v>s æ n d </v>
      </c>
    </row>
    <row r="6421">
      <c r="A6421" s="1" t="s">
        <v>6423</v>
      </c>
      <c r="B6421" s="1" t="s">
        <v>5</v>
      </c>
      <c r="C6421" s="2">
        <f>IFERROR(__xludf.DUMMYFUNCTION("IFERROR(VLOOKUP(A6421, IMPORTRANGE(""https://docs.google.com/spreadsheets/d/1AVX9GT0dgogEBStecCXMMQ29tWz3gBrtNB8yIromXbY/edit?gid=741673867"", ""out1g!A:B""), 2, FALSE), 0)"),778.0)</f>
        <v>778</v>
      </c>
      <c r="D6421" s="2" t="str">
        <f>IFERROR(__xludf.DUMMYFUNCTION("IFERROR(VLOOKUP(A6421, IMPORTRANGE(""https://docs.google.com/spreadsheets/d/1-3Vjw2Cyy-mry5gbC8ypIR3YVGFfEpyFESummAta6sg/edit"", ""Sheet1!B:D""), 2, FALSE), ""Not Found"")"),"bæʤ")</f>
        <v>bæʤ</v>
      </c>
      <c r="E6421" s="2" t="str">
        <f>IFERROR(__xludf.DUMMYFUNCTION("IFERROR(VLOOKUP(A6421, IMPORTRANGE(""https://docs.google.com/spreadsheets/d/1-3Vjw2Cyy-mry5gbC8ypIR3YVGFfEpyFESummAta6sg/edit"", ""Sheet1!B:D""), 3, FALSE), ""Not Found"")"),"b æ ʤ ")</f>
        <v>b æ ʤ </v>
      </c>
    </row>
    <row r="6422">
      <c r="A6422" s="1" t="s">
        <v>6424</v>
      </c>
      <c r="B6422" s="1" t="s">
        <v>5</v>
      </c>
      <c r="C6422" s="2">
        <f>IFERROR(__xludf.DUMMYFUNCTION("IFERROR(VLOOKUP(A6422, IMPORTRANGE(""https://docs.google.com/spreadsheets/d/1AVX9GT0dgogEBStecCXMMQ29tWz3gBrtNB8yIromXbY/edit?gid=741673867"", ""out1g!A:B""), 2, FALSE), 0)"),188.0)</f>
        <v>188</v>
      </c>
      <c r="D6422" s="2" t="str">
        <f>IFERROR(__xludf.DUMMYFUNCTION("IFERROR(VLOOKUP(A6422, IMPORTRANGE(""https://docs.google.com/spreadsheets/d/1-3Vjw2Cyy-mry5gbC8ypIR3YVGFfEpyFESummAta6sg/edit"", ""Sheet1!B:D""), 2, FALSE), ""Not Found"")"),"nɑt")</f>
        <v>nɑt</v>
      </c>
      <c r="E6422" s="2" t="str">
        <f>IFERROR(__xludf.DUMMYFUNCTION("IFERROR(VLOOKUP(A6422, IMPORTRANGE(""https://docs.google.com/spreadsheets/d/1-3Vjw2Cyy-mry5gbC8ypIR3YVGFfEpyFESummAta6sg/edit"", ""Sheet1!B:D""), 3, FALSE), ""Not Found"")"),"n ɑ t ")</f>
        <v>n ɑ t </v>
      </c>
    </row>
    <row r="6423">
      <c r="A6423" s="1" t="s">
        <v>6425</v>
      </c>
      <c r="B6423" s="1" t="s">
        <v>5</v>
      </c>
      <c r="C6423" s="2">
        <f>IFERROR(__xludf.DUMMYFUNCTION("IFERROR(VLOOKUP(A6423, IMPORTRANGE(""https://docs.google.com/spreadsheets/d/1AVX9GT0dgogEBStecCXMMQ29tWz3gBrtNB8yIromXbY/edit?gid=741673867"", ""out1g!A:B""), 2, FALSE), 0)"),55.0)</f>
        <v>55</v>
      </c>
      <c r="D6423" s="2" t="str">
        <f>IFERROR(__xludf.DUMMYFUNCTION("IFERROR(VLOOKUP(A6423, IMPORTRANGE(""https://docs.google.com/spreadsheets/d/1-3Vjw2Cyy-mry5gbC8ypIR3YVGFfEpyFESummAta6sg/edit"", ""Sheet1!B:D""), 2, FALSE), ""Not Found"")"),"stɔks")</f>
        <v>stɔks</v>
      </c>
      <c r="E6423" s="2" t="str">
        <f>IFERROR(__xludf.DUMMYFUNCTION("IFERROR(VLOOKUP(A6423, IMPORTRANGE(""https://docs.google.com/spreadsheets/d/1-3Vjw2Cyy-mry5gbC8ypIR3YVGFfEpyFESummAta6sg/edit"", ""Sheet1!B:D""), 3, FALSE), ""Not Found"")"),"s t ɔ k s ")</f>
        <v>s t ɔ k s </v>
      </c>
    </row>
    <row r="6424">
      <c r="A6424" s="1" t="s">
        <v>6426</v>
      </c>
      <c r="B6424" s="1" t="s">
        <v>5</v>
      </c>
      <c r="C6424" s="2">
        <f>IFERROR(__xludf.DUMMYFUNCTION("IFERROR(VLOOKUP(A6424, IMPORTRANGE(""https://docs.google.com/spreadsheets/d/1AVX9GT0dgogEBStecCXMMQ29tWz3gBrtNB8yIromXbY/edit?gid=741673867"", ""out1g!A:B""), 2, FALSE), 0)"),189.0)</f>
        <v>189</v>
      </c>
      <c r="D6424" s="2" t="str">
        <f>IFERROR(__xludf.DUMMYFUNCTION("IFERROR(VLOOKUP(A6424, IMPORTRANGE(""https://docs.google.com/spreadsheets/d/1-3Vjw2Cyy-mry5gbC8ypIR3YVGFfEpyFESummAta6sg/edit"", ""Sheet1!B:D""), 2, FALSE), ""Not Found"")"),"əhɔɪ")</f>
        <v>əhɔɪ</v>
      </c>
      <c r="E6424" s="2" t="str">
        <f>IFERROR(__xludf.DUMMYFUNCTION("IFERROR(VLOOKUP(A6424, IMPORTRANGE(""https://docs.google.com/spreadsheets/d/1-3Vjw2Cyy-mry5gbC8ypIR3YVGFfEpyFESummAta6sg/edit"", ""Sheet1!B:D""), 3, FALSE), ""Not Found"")"),"ə h ɔ ɪ ")</f>
        <v>ə h ɔ ɪ </v>
      </c>
    </row>
    <row r="6425">
      <c r="A6425" s="1" t="s">
        <v>6427</v>
      </c>
      <c r="B6425" s="1" t="s">
        <v>5</v>
      </c>
      <c r="C6425" s="2">
        <f>IFERROR(__xludf.DUMMYFUNCTION("IFERROR(VLOOKUP(A6425, IMPORTRANGE(""https://docs.google.com/spreadsheets/d/1AVX9GT0dgogEBStecCXMMQ29tWz3gBrtNB8yIromXbY/edit?gid=741673867"", ""out1g!A:B""), 2, FALSE), 0)"),3633.0)</f>
        <v>3633</v>
      </c>
      <c r="D6425" s="2" t="str">
        <f>IFERROR(__xludf.DUMMYFUNCTION("IFERROR(VLOOKUP(A6425, IMPORTRANGE(""https://docs.google.com/spreadsheets/d/1-3Vjw2Cyy-mry5gbC8ypIR3YVGFfEpyFESummAta6sg/edit"", ""Sheet1!B:D""), 2, FALSE), ""Not Found"")"),"kraɪm")</f>
        <v>kraɪm</v>
      </c>
      <c r="E6425" s="2" t="str">
        <f>IFERROR(__xludf.DUMMYFUNCTION("IFERROR(VLOOKUP(A6425, IMPORTRANGE(""https://docs.google.com/spreadsheets/d/1-3Vjw2Cyy-mry5gbC8ypIR3YVGFfEpyFESummAta6sg/edit"", ""Sheet1!B:D""), 3, FALSE), ""Not Found"")"),"k r a ɪ m ")</f>
        <v>k r a ɪ m </v>
      </c>
    </row>
    <row r="6426">
      <c r="A6426" s="1" t="s">
        <v>6428</v>
      </c>
      <c r="B6426" s="1" t="s">
        <v>5</v>
      </c>
      <c r="C6426" s="2">
        <f>IFERROR(__xludf.DUMMYFUNCTION("IFERROR(VLOOKUP(A6426, IMPORTRANGE(""https://docs.google.com/spreadsheets/d/1AVX9GT0dgogEBStecCXMMQ29tWz3gBrtNB8yIromXbY/edit?gid=741673867"", ""out1g!A:B""), 2, FALSE), 0)"),111.0)</f>
        <v>111</v>
      </c>
      <c r="D6426" s="2" t="str">
        <f>IFERROR(__xludf.DUMMYFUNCTION("IFERROR(VLOOKUP(A6426, IMPORTRANGE(""https://docs.google.com/spreadsheets/d/1-3Vjw2Cyy-mry5gbC8ypIR3YVGFfEpyFESummAta6sg/edit"", ""Sheet1!B:D""), 2, FALSE), ""Not Found"")"),"drend")</f>
        <v>drend</v>
      </c>
      <c r="E6426" s="2" t="str">
        <f>IFERROR(__xludf.DUMMYFUNCTION("IFERROR(VLOOKUP(A6426, IMPORTRANGE(""https://docs.google.com/spreadsheets/d/1-3Vjw2Cyy-mry5gbC8ypIR3YVGFfEpyFESummAta6sg/edit"", ""Sheet1!B:D""), 3, FALSE), ""Not Found"")"),"d r e n d ")</f>
        <v>d r e n d </v>
      </c>
    </row>
    <row r="6427">
      <c r="A6427" s="1" t="s">
        <v>6429</v>
      </c>
      <c r="B6427" s="1" t="s">
        <v>5</v>
      </c>
      <c r="C6427" s="2">
        <f>IFERROR(__xludf.DUMMYFUNCTION("IFERROR(VLOOKUP(A6427, IMPORTRANGE(""https://docs.google.com/spreadsheets/d/1AVX9GT0dgogEBStecCXMMQ29tWz3gBrtNB8yIromXbY/edit?gid=741673867"", ""out1g!A:B""), 2, FALSE), 0)"),499.0)</f>
        <v>499</v>
      </c>
      <c r="D6427" s="2" t="str">
        <f>IFERROR(__xludf.DUMMYFUNCTION("IFERROR(VLOOKUP(A6427, IMPORTRANGE(""https://docs.google.com/spreadsheets/d/1-3Vjw2Cyy-mry5gbC8ypIR3YVGFfEpyFESummAta6sg/edit"", ""Sheet1!B:D""), 2, FALSE), ""Not Found"")"),"ʃutər")</f>
        <v>ʃutər</v>
      </c>
      <c r="E6427" s="2" t="str">
        <f>IFERROR(__xludf.DUMMYFUNCTION("IFERROR(VLOOKUP(A6427, IMPORTRANGE(""https://docs.google.com/spreadsheets/d/1-3Vjw2Cyy-mry5gbC8ypIR3YVGFfEpyFESummAta6sg/edit"", ""Sheet1!B:D""), 3, FALSE), ""Not Found"")"),"ʃ u t ə r ")</f>
        <v>ʃ u t ə r </v>
      </c>
    </row>
    <row r="6428">
      <c r="A6428" s="1" t="s">
        <v>6430</v>
      </c>
      <c r="B6428" s="1" t="s">
        <v>5</v>
      </c>
      <c r="C6428" s="2">
        <f>IFERROR(__xludf.DUMMYFUNCTION("IFERROR(VLOOKUP(A6428, IMPORTRANGE(""https://docs.google.com/spreadsheets/d/1AVX9GT0dgogEBStecCXMMQ29tWz3gBrtNB8yIromXbY/edit?gid=741673867"", ""out1g!A:B""), 2, FALSE), 0)"),30.0)</f>
        <v>30</v>
      </c>
      <c r="D6428" s="2" t="str">
        <f>IFERROR(__xludf.DUMMYFUNCTION("IFERROR(VLOOKUP(A6428, IMPORTRANGE(""https://docs.google.com/spreadsheets/d/1-3Vjw2Cyy-mry5gbC8ypIR3YVGFfEpyFESummAta6sg/edit"", ""Sheet1!B:D""), 2, FALSE), ""Not Found"")"),"fɛs")</f>
        <v>fɛs</v>
      </c>
      <c r="E6428" s="2" t="str">
        <f>IFERROR(__xludf.DUMMYFUNCTION("IFERROR(VLOOKUP(A6428, IMPORTRANGE(""https://docs.google.com/spreadsheets/d/1-3Vjw2Cyy-mry5gbC8ypIR3YVGFfEpyFESummAta6sg/edit"", ""Sheet1!B:D""), 3, FALSE), ""Not Found"")"),"f ɛ s ")</f>
        <v>f ɛ s </v>
      </c>
    </row>
    <row r="6429">
      <c r="A6429" s="1" t="s">
        <v>6431</v>
      </c>
      <c r="B6429" s="1" t="s">
        <v>5</v>
      </c>
      <c r="C6429" s="2">
        <f>IFERROR(__xludf.DUMMYFUNCTION("IFERROR(VLOOKUP(A6429, IMPORTRANGE(""https://docs.google.com/spreadsheets/d/1AVX9GT0dgogEBStecCXMMQ29tWz3gBrtNB8yIromXbY/edit?gid=741673867"", ""out1g!A:B""), 2, FALSE), 0)"),79.0)</f>
        <v>79</v>
      </c>
      <c r="D6429" s="2" t="str">
        <f>IFERROR(__xludf.DUMMYFUNCTION("IFERROR(VLOOKUP(A6429, IMPORTRANGE(""https://docs.google.com/spreadsheets/d/1-3Vjw2Cyy-mry5gbC8ypIR3YVGFfEpyFESummAta6sg/edit"", ""Sheet1!B:D""), 2, FALSE), ""Not Found"")"),"feks")</f>
        <v>feks</v>
      </c>
      <c r="E6429" s="2" t="str">
        <f>IFERROR(__xludf.DUMMYFUNCTION("IFERROR(VLOOKUP(A6429, IMPORTRANGE(""https://docs.google.com/spreadsheets/d/1-3Vjw2Cyy-mry5gbC8ypIR3YVGFfEpyFESummAta6sg/edit"", ""Sheet1!B:D""), 3, FALSE), ""Not Found"")"),"f e k s ")</f>
        <v>f e k s </v>
      </c>
    </row>
    <row r="6430">
      <c r="A6430" s="1" t="s">
        <v>6432</v>
      </c>
      <c r="B6430" s="1" t="s">
        <v>5</v>
      </c>
      <c r="C6430" s="2">
        <f>IFERROR(__xludf.DUMMYFUNCTION("IFERROR(VLOOKUP(A6430, IMPORTRANGE(""https://docs.google.com/spreadsheets/d/1AVX9GT0dgogEBStecCXMMQ29tWz3gBrtNB8yIromXbY/edit?gid=741673867"", ""out1g!A:B""), 2, FALSE), 0)"),1792.0)</f>
        <v>1792</v>
      </c>
      <c r="D6430" s="2" t="str">
        <f>IFERROR(__xludf.DUMMYFUNCTION("IFERROR(VLOOKUP(A6430, IMPORTRANGE(""https://docs.google.com/spreadsheets/d/1-3Vjw2Cyy-mry5gbC8ypIR3YVGFfEpyFESummAta6sg/edit"", ""Sheet1!B:D""), 2, FALSE), ""Not Found"")"),"fæn")</f>
        <v>fæn</v>
      </c>
      <c r="E6430" s="2" t="str">
        <f>IFERROR(__xludf.DUMMYFUNCTION("IFERROR(VLOOKUP(A6430, IMPORTRANGE(""https://docs.google.com/spreadsheets/d/1-3Vjw2Cyy-mry5gbC8ypIR3YVGFfEpyFESummAta6sg/edit"", ""Sheet1!B:D""), 3, FALSE), ""Not Found"")"),"f æ n ")</f>
        <v>f æ n </v>
      </c>
    </row>
    <row r="6431">
      <c r="A6431" s="1" t="s">
        <v>6433</v>
      </c>
      <c r="B6431" s="1" t="s">
        <v>5</v>
      </c>
      <c r="C6431" s="2">
        <f>IFERROR(__xludf.DUMMYFUNCTION("IFERROR(VLOOKUP(A6431, IMPORTRANGE(""https://docs.google.com/spreadsheets/d/1AVX9GT0dgogEBStecCXMMQ29tWz3gBrtNB8yIromXbY/edit?gid=741673867"", ""out1g!A:B""), 2, FALSE), 0)"),111.0)</f>
        <v>111</v>
      </c>
      <c r="D6431" s="2" t="str">
        <f>IFERROR(__xludf.DUMMYFUNCTION("IFERROR(VLOOKUP(A6431, IMPORTRANGE(""https://docs.google.com/spreadsheets/d/1-3Vjw2Cyy-mry5gbC8ypIR3YVGFfEpyFESummAta6sg/edit"", ""Sheet1!B:D""), 2, FALSE), ""Not Found"")"),"mɛrəli")</f>
        <v>mɛrəli</v>
      </c>
      <c r="E6431" s="2" t="str">
        <f>IFERROR(__xludf.DUMMYFUNCTION("IFERROR(VLOOKUP(A6431, IMPORTRANGE(""https://docs.google.com/spreadsheets/d/1-3Vjw2Cyy-mry5gbC8ypIR3YVGFfEpyFESummAta6sg/edit"", ""Sheet1!B:D""), 3, FALSE), ""Not Found"")"),"m ɛ r ə l i ")</f>
        <v>m ɛ r ə l i </v>
      </c>
    </row>
    <row r="6432">
      <c r="A6432" s="1" t="s">
        <v>6434</v>
      </c>
      <c r="B6432" s="1" t="s">
        <v>5</v>
      </c>
      <c r="C6432" s="2">
        <f>IFERROR(__xludf.DUMMYFUNCTION("IFERROR(VLOOKUP(A6432, IMPORTRANGE(""https://docs.google.com/spreadsheets/d/1AVX9GT0dgogEBStecCXMMQ29tWz3gBrtNB8yIromXbY/edit?gid=741673867"", ""out1g!A:B""), 2, FALSE), 0)"),84.0)</f>
        <v>84</v>
      </c>
      <c r="D6432" s="2" t="str">
        <f>IFERROR(__xludf.DUMMYFUNCTION("IFERROR(VLOOKUP(A6432, IMPORTRANGE(""https://docs.google.com/spreadsheets/d/1-3Vjw2Cyy-mry5gbC8ypIR3YVGFfEpyFESummAta6sg/edit"", ""Sheet1!B:D""), 2, FALSE), ""Not Found"")"),"straʊs")</f>
        <v>straʊs</v>
      </c>
      <c r="E6432" s="2" t="str">
        <f>IFERROR(__xludf.DUMMYFUNCTION("IFERROR(VLOOKUP(A6432, IMPORTRANGE(""https://docs.google.com/spreadsheets/d/1-3Vjw2Cyy-mry5gbC8ypIR3YVGFfEpyFESummAta6sg/edit"", ""Sheet1!B:D""), 3, FALSE), ""Not Found"")"),"s t r a ʊ s ")</f>
        <v>s t r a ʊ s </v>
      </c>
    </row>
    <row r="6433">
      <c r="A6433" s="1" t="s">
        <v>6435</v>
      </c>
      <c r="B6433" s="1" t="s">
        <v>5</v>
      </c>
      <c r="C6433" s="2">
        <f>IFERROR(__xludf.DUMMYFUNCTION("IFERROR(VLOOKUP(A6433, IMPORTRANGE(""https://docs.google.com/spreadsheets/d/1AVX9GT0dgogEBStecCXMMQ29tWz3gBrtNB8yIromXbY/edit?gid=741673867"", ""out1g!A:B""), 2, FALSE), 0)"),155.0)</f>
        <v>155</v>
      </c>
      <c r="D6433" s="2" t="str">
        <f>IFERROR(__xludf.DUMMYFUNCTION("IFERROR(VLOOKUP(A6433, IMPORTRANGE(""https://docs.google.com/spreadsheets/d/1-3Vjw2Cyy-mry5gbC8ypIR3YVGFfEpyFESummAta6sg/edit"", ""Sheet1!B:D""), 2, FALSE), ""Not Found"")"),"plutoʊ")</f>
        <v>plutoʊ</v>
      </c>
      <c r="E6433" s="2" t="str">
        <f>IFERROR(__xludf.DUMMYFUNCTION("IFERROR(VLOOKUP(A6433, IMPORTRANGE(""https://docs.google.com/spreadsheets/d/1-3Vjw2Cyy-mry5gbC8ypIR3YVGFfEpyFESummAta6sg/edit"", ""Sheet1!B:D""), 3, FALSE), ""Not Found"")"),"p l u t o ʊ ")</f>
        <v>p l u t o ʊ </v>
      </c>
    </row>
    <row r="6434">
      <c r="A6434" s="1" t="s">
        <v>6436</v>
      </c>
      <c r="B6434" s="1" t="s">
        <v>5</v>
      </c>
      <c r="C6434" s="2">
        <f>IFERROR(__xludf.DUMMYFUNCTION("IFERROR(VLOOKUP(A6434, IMPORTRANGE(""https://docs.google.com/spreadsheets/d/1AVX9GT0dgogEBStecCXMMQ29tWz3gBrtNB8yIromXbY/edit?gid=741673867"", ""out1g!A:B""), 2, FALSE), 0)"),88.0)</f>
        <v>88</v>
      </c>
      <c r="D6434" s="2" t="str">
        <f>IFERROR(__xludf.DUMMYFUNCTION("IFERROR(VLOOKUP(A6434, IMPORTRANGE(""https://docs.google.com/spreadsheets/d/1-3Vjw2Cyy-mry5gbC8ypIR3YVGFfEpyFESummAta6sg/edit"", ""Sheet1!B:D""), 2, FALSE), ""Not Found"")"),"pɪrs")</f>
        <v>pɪrs</v>
      </c>
      <c r="E6434" s="2" t="str">
        <f>IFERROR(__xludf.DUMMYFUNCTION("IFERROR(VLOOKUP(A6434, IMPORTRANGE(""https://docs.google.com/spreadsheets/d/1-3Vjw2Cyy-mry5gbC8ypIR3YVGFfEpyFESummAta6sg/edit"", ""Sheet1!B:D""), 3, FALSE), ""Not Found"")"),"p ɪ r s ")</f>
        <v>p ɪ r s </v>
      </c>
    </row>
    <row r="6435">
      <c r="A6435" s="1" t="s">
        <v>6437</v>
      </c>
      <c r="B6435" s="1" t="s">
        <v>5</v>
      </c>
      <c r="C6435" s="2">
        <f>IFERROR(__xludf.DUMMYFUNCTION("IFERROR(VLOOKUP(A6435, IMPORTRANGE(""https://docs.google.com/spreadsheets/d/1AVX9GT0dgogEBStecCXMMQ29tWz3gBrtNB8yIromXbY/edit?gid=741673867"", ""out1g!A:B""), 2, FALSE), 0)"),193.0)</f>
        <v>193</v>
      </c>
      <c r="D6435" s="2" t="str">
        <f>IFERROR(__xludf.DUMMYFUNCTION("IFERROR(VLOOKUP(A6435, IMPORTRANGE(""https://docs.google.com/spreadsheets/d/1-3Vjw2Cyy-mry5gbC8ypIR3YVGFfEpyFESummAta6sg/edit"", ""Sheet1!B:D""), 2, FALSE), ""Not Found"")"),"gruvi")</f>
        <v>gruvi</v>
      </c>
      <c r="E6435" s="2" t="str">
        <f>IFERROR(__xludf.DUMMYFUNCTION("IFERROR(VLOOKUP(A6435, IMPORTRANGE(""https://docs.google.com/spreadsheets/d/1-3Vjw2Cyy-mry5gbC8ypIR3YVGFfEpyFESummAta6sg/edit"", ""Sheet1!B:D""), 3, FALSE), ""Not Found"")"),"g r u v i ")</f>
        <v>g r u v i </v>
      </c>
    </row>
    <row r="6436">
      <c r="A6436" s="1" t="s">
        <v>6438</v>
      </c>
      <c r="B6436" s="1" t="s">
        <v>5</v>
      </c>
      <c r="C6436" s="2">
        <f>IFERROR(__xludf.DUMMYFUNCTION("IFERROR(VLOOKUP(A6436, IMPORTRANGE(""https://docs.google.com/spreadsheets/d/1AVX9GT0dgogEBStecCXMMQ29tWz3gBrtNB8yIromXbY/edit?gid=741673867"", ""out1g!A:B""), 2, FALSE), 0)"),60155.0)</f>
        <v>60155</v>
      </c>
      <c r="D6436" s="2" t="str">
        <f>IFERROR(__xludf.DUMMYFUNCTION("IFERROR(VLOOKUP(A6436, IMPORTRANGE(""https://docs.google.com/spreadsheets/d/1-3Vjw2Cyy-mry5gbC8ypIR3YVGFfEpyFESummAta6sg/edit"", ""Sheet1!B:D""), 2, FALSE), ""Not Found"")"),"ɔf")</f>
        <v>ɔf</v>
      </c>
      <c r="E6436" s="2" t="str">
        <f>IFERROR(__xludf.DUMMYFUNCTION("IFERROR(VLOOKUP(A6436, IMPORTRANGE(""https://docs.google.com/spreadsheets/d/1-3Vjw2Cyy-mry5gbC8ypIR3YVGFfEpyFESummAta6sg/edit"", ""Sheet1!B:D""), 3, FALSE), ""Not Found"")"),"ɔ f ")</f>
        <v>ɔ f </v>
      </c>
    </row>
    <row r="6437">
      <c r="A6437" s="1" t="s">
        <v>6439</v>
      </c>
      <c r="B6437" s="1" t="s">
        <v>5</v>
      </c>
      <c r="C6437" s="2">
        <f>IFERROR(__xludf.DUMMYFUNCTION("IFERROR(VLOOKUP(A6437, IMPORTRANGE(""https://docs.google.com/spreadsheets/d/1AVX9GT0dgogEBStecCXMMQ29tWz3gBrtNB8yIromXbY/edit?gid=741673867"", ""out1g!A:B""), 2, FALSE), 0)"),873.0)</f>
        <v>873</v>
      </c>
      <c r="D6437" s="2" t="str">
        <f>IFERROR(__xludf.DUMMYFUNCTION("IFERROR(VLOOKUP(A6437, IMPORTRANGE(""https://docs.google.com/spreadsheets/d/1-3Vjw2Cyy-mry5gbC8ypIR3YVGFfEpyFESummAta6sg/edit"", ""Sheet1!B:D""), 2, FALSE), ""Not Found"")"),"ɑprə")</f>
        <v>ɑprə</v>
      </c>
      <c r="E6437" s="2" t="str">
        <f>IFERROR(__xludf.DUMMYFUNCTION("IFERROR(VLOOKUP(A6437, IMPORTRANGE(""https://docs.google.com/spreadsheets/d/1-3Vjw2Cyy-mry5gbC8ypIR3YVGFfEpyFESummAta6sg/edit"", ""Sheet1!B:D""), 3, FALSE), ""Not Found"")"),"ɑ p r ə ")</f>
        <v>ɑ p r ə </v>
      </c>
    </row>
    <row r="6438">
      <c r="A6438" s="1" t="s">
        <v>6440</v>
      </c>
      <c r="B6438" s="1" t="s">
        <v>5</v>
      </c>
      <c r="C6438" s="2">
        <f>IFERROR(__xludf.DUMMYFUNCTION("IFERROR(VLOOKUP(A6438, IMPORTRANGE(""https://docs.google.com/spreadsheets/d/1AVX9GT0dgogEBStecCXMMQ29tWz3gBrtNB8yIromXbY/edit?gid=741673867"", ""out1g!A:B""), 2, FALSE), 0)"),663.0)</f>
        <v>663</v>
      </c>
      <c r="D6438" s="2" t="str">
        <f>IFERROR(__xludf.DUMMYFUNCTION("IFERROR(VLOOKUP(A6438, IMPORTRANGE(""https://docs.google.com/spreadsheets/d/1-3Vjw2Cyy-mry5gbC8ypIR3YVGFfEpyFESummAta6sg/edit"", ""Sheet1!B:D""), 2, FALSE), ""Not Found"")"),"əpil")</f>
        <v>əpil</v>
      </c>
      <c r="E6438" s="2" t="str">
        <f>IFERROR(__xludf.DUMMYFUNCTION("IFERROR(VLOOKUP(A6438, IMPORTRANGE(""https://docs.google.com/spreadsheets/d/1-3Vjw2Cyy-mry5gbC8ypIR3YVGFfEpyFESummAta6sg/edit"", ""Sheet1!B:D""), 3, FALSE), ""Not Found"")"),"ə p i l ")</f>
        <v>ə p i l </v>
      </c>
    </row>
    <row r="6439">
      <c r="A6439" s="1" t="s">
        <v>6441</v>
      </c>
      <c r="B6439" s="1" t="s">
        <v>5</v>
      </c>
      <c r="C6439" s="2">
        <f>IFERROR(__xludf.DUMMYFUNCTION("IFERROR(VLOOKUP(A6439, IMPORTRANGE(""https://docs.google.com/spreadsheets/d/1AVX9GT0dgogEBStecCXMMQ29tWz3gBrtNB8yIromXbY/edit?gid=741673867"", ""out1g!A:B""), 2, FALSE), 0)"),106.0)</f>
        <v>106</v>
      </c>
      <c r="D6439" s="2" t="str">
        <f>IFERROR(__xludf.DUMMYFUNCTION("IFERROR(VLOOKUP(A6439, IMPORTRANGE(""https://docs.google.com/spreadsheets/d/1-3Vjw2Cyy-mry5gbC8ypIR3YVGFfEpyFESummAta6sg/edit"", ""Sheet1!B:D""), 2, FALSE), ""Not Found"")"),"smoʊki")</f>
        <v>smoʊki</v>
      </c>
      <c r="E6439" s="2" t="str">
        <f>IFERROR(__xludf.DUMMYFUNCTION("IFERROR(VLOOKUP(A6439, IMPORTRANGE(""https://docs.google.com/spreadsheets/d/1-3Vjw2Cyy-mry5gbC8ypIR3YVGFfEpyFESummAta6sg/edit"", ""Sheet1!B:D""), 3, FALSE), ""Not Found"")"),"s m o ʊ k i ")</f>
        <v>s m o ʊ k i </v>
      </c>
    </row>
    <row r="6440">
      <c r="A6440" s="1" t="s">
        <v>6442</v>
      </c>
      <c r="B6440" s="1" t="s">
        <v>5</v>
      </c>
      <c r="C6440" s="2">
        <f>IFERROR(__xludf.DUMMYFUNCTION("IFERROR(VLOOKUP(A6440, IMPORTRANGE(""https://docs.google.com/spreadsheets/d/1AVX9GT0dgogEBStecCXMMQ29tWz3gBrtNB8yIromXbY/edit?gid=741673867"", ""out1g!A:B""), 2, FALSE), 0)"),583.0)</f>
        <v>583</v>
      </c>
      <c r="D6440" s="2" t="str">
        <f>IFERROR(__xludf.DUMMYFUNCTION("IFERROR(VLOOKUP(A6440, IMPORTRANGE(""https://docs.google.com/spreadsheets/d/1-3Vjw2Cyy-mry5gbC8ypIR3YVGFfEpyFESummAta6sg/edit"", ""Sheet1!B:D""), 2, FALSE), ""Not Found"")"),"kəts")</f>
        <v>kəts</v>
      </c>
      <c r="E6440" s="2" t="str">
        <f>IFERROR(__xludf.DUMMYFUNCTION("IFERROR(VLOOKUP(A6440, IMPORTRANGE(""https://docs.google.com/spreadsheets/d/1-3Vjw2Cyy-mry5gbC8ypIR3YVGFfEpyFESummAta6sg/edit"", ""Sheet1!B:D""), 3, FALSE), ""Not Found"")"),"k ə t s ")</f>
        <v>k ə t s </v>
      </c>
    </row>
    <row r="6441">
      <c r="A6441" s="1" t="s">
        <v>6443</v>
      </c>
      <c r="B6441" s="1" t="s">
        <v>5</v>
      </c>
      <c r="C6441" s="2">
        <f>IFERROR(__xludf.DUMMYFUNCTION("IFERROR(VLOOKUP(A6441, IMPORTRANGE(""https://docs.google.com/spreadsheets/d/1AVX9GT0dgogEBStecCXMMQ29tWz3gBrtNB8yIromXbY/edit?gid=741673867"", ""out1g!A:B""), 2, FALSE), 0)"),67.0)</f>
        <v>67</v>
      </c>
      <c r="D6441" s="2" t="str">
        <f>IFERROR(__xludf.DUMMYFUNCTION("IFERROR(VLOOKUP(A6441, IMPORTRANGE(""https://docs.google.com/spreadsheets/d/1-3Vjw2Cyy-mry5gbC8ypIR3YVGFfEpyFESummAta6sg/edit"", ""Sheet1!B:D""), 2, FALSE), ""Not Found"")"),"bræn")</f>
        <v>bræn</v>
      </c>
      <c r="E6441" s="2" t="str">
        <f>IFERROR(__xludf.DUMMYFUNCTION("IFERROR(VLOOKUP(A6441, IMPORTRANGE(""https://docs.google.com/spreadsheets/d/1-3Vjw2Cyy-mry5gbC8ypIR3YVGFfEpyFESummAta6sg/edit"", ""Sheet1!B:D""), 3, FALSE), ""Not Found"")"),"b r æ n ")</f>
        <v>b r æ n </v>
      </c>
    </row>
    <row r="6442">
      <c r="A6442" s="1" t="s">
        <v>6444</v>
      </c>
      <c r="B6442" s="1" t="s">
        <v>5</v>
      </c>
      <c r="C6442" s="2">
        <f>IFERROR(__xludf.DUMMYFUNCTION("IFERROR(VLOOKUP(A6442, IMPORTRANGE(""https://docs.google.com/spreadsheets/d/1AVX9GT0dgogEBStecCXMMQ29tWz3gBrtNB8yIromXbY/edit?gid=741673867"", ""out1g!A:B""), 2, FALSE), 0)"),2275.0)</f>
        <v>2275</v>
      </c>
      <c r="D6442" s="2" t="str">
        <f>IFERROR(__xludf.DUMMYFUNCTION("IFERROR(VLOOKUP(A6442, IMPORTRANGE(""https://docs.google.com/spreadsheets/d/1-3Vjw2Cyy-mry5gbC8ypIR3YVGFfEpyFESummAta6sg/edit"", ""Sheet1!B:D""), 2, FALSE), ""Not Found"")"),"kɑmən")</f>
        <v>kɑmən</v>
      </c>
      <c r="E6442" s="2" t="str">
        <f>IFERROR(__xludf.DUMMYFUNCTION("IFERROR(VLOOKUP(A6442, IMPORTRANGE(""https://docs.google.com/spreadsheets/d/1-3Vjw2Cyy-mry5gbC8ypIR3YVGFfEpyFESummAta6sg/edit"", ""Sheet1!B:D""), 3, FALSE), ""Not Found"")"),"k ɑ m ə n ")</f>
        <v>k ɑ m ə n </v>
      </c>
    </row>
    <row r="6443">
      <c r="A6443" s="1" t="s">
        <v>6445</v>
      </c>
      <c r="B6443" s="1" t="s">
        <v>5</v>
      </c>
      <c r="C6443" s="2">
        <f>IFERROR(__xludf.DUMMYFUNCTION("IFERROR(VLOOKUP(A6443, IMPORTRANGE(""https://docs.google.com/spreadsheets/d/1AVX9GT0dgogEBStecCXMMQ29tWz3gBrtNB8yIromXbY/edit?gid=741673867"", ""out1g!A:B""), 2, FALSE), 0)"),81.0)</f>
        <v>81</v>
      </c>
      <c r="D6443" s="2" t="str">
        <f>IFERROR(__xludf.DUMMYFUNCTION("IFERROR(VLOOKUP(A6443, IMPORTRANGE(""https://docs.google.com/spreadsheets/d/1-3Vjw2Cyy-mry5gbC8ypIR3YVGFfEpyFESummAta6sg/edit"", ""Sheet1!B:D""), 2, FALSE), ""Not Found"")"),"fərz")</f>
        <v>fərz</v>
      </c>
      <c r="E6443" s="2" t="str">
        <f>IFERROR(__xludf.DUMMYFUNCTION("IFERROR(VLOOKUP(A6443, IMPORTRANGE(""https://docs.google.com/spreadsheets/d/1-3Vjw2Cyy-mry5gbC8ypIR3YVGFfEpyFESummAta6sg/edit"", ""Sheet1!B:D""), 3, FALSE), ""Not Found"")"),"f ə r z ")</f>
        <v>f ə r z </v>
      </c>
    </row>
    <row r="6444">
      <c r="A6444" s="1" t="s">
        <v>6446</v>
      </c>
      <c r="B6444" s="1" t="s">
        <v>5</v>
      </c>
      <c r="C6444" s="2">
        <f>IFERROR(__xludf.DUMMYFUNCTION("IFERROR(VLOOKUP(A6444, IMPORTRANGE(""https://docs.google.com/spreadsheets/d/1AVX9GT0dgogEBStecCXMMQ29tWz3gBrtNB8yIromXbY/edit?gid=741673867"", ""out1g!A:B""), 2, FALSE), 0)"),94.0)</f>
        <v>94</v>
      </c>
      <c r="D6444" s="2" t="str">
        <f>IFERROR(__xludf.DUMMYFUNCTION("IFERROR(VLOOKUP(A6444, IMPORTRANGE(""https://docs.google.com/spreadsheets/d/1-3Vjw2Cyy-mry5gbC8ypIR3YVGFfEpyFESummAta6sg/edit"", ""Sheet1!B:D""), 2, FALSE), ""Not Found"")"),"foʊ")</f>
        <v>foʊ</v>
      </c>
      <c r="E6444" s="2" t="str">
        <f>IFERROR(__xludf.DUMMYFUNCTION("IFERROR(VLOOKUP(A6444, IMPORTRANGE(""https://docs.google.com/spreadsheets/d/1-3Vjw2Cyy-mry5gbC8ypIR3YVGFfEpyFESummAta6sg/edit"", ""Sheet1!B:D""), 3, FALSE), ""Not Found"")"),"f o ʊ ")</f>
        <v>f o ʊ </v>
      </c>
    </row>
    <row r="6445">
      <c r="A6445" s="1" t="s">
        <v>6447</v>
      </c>
      <c r="B6445" s="1" t="s">
        <v>5</v>
      </c>
      <c r="C6445" s="2">
        <f>IFERROR(__xludf.DUMMYFUNCTION("IFERROR(VLOOKUP(A6445, IMPORTRANGE(""https://docs.google.com/spreadsheets/d/1AVX9GT0dgogEBStecCXMMQ29tWz3gBrtNB8yIromXbY/edit?gid=741673867"", ""out1g!A:B""), 2, FALSE), 0)"),381.0)</f>
        <v>381</v>
      </c>
      <c r="D6445" s="2" t="str">
        <f>IFERROR(__xludf.DUMMYFUNCTION("IFERROR(VLOOKUP(A6445, IMPORTRANGE(""https://docs.google.com/spreadsheets/d/1-3Vjw2Cyy-mry5gbC8ypIR3YVGFfEpyFESummAta6sg/edit"", ""Sheet1!B:D""), 2, FALSE), ""Not Found"")"),"wɑn")</f>
        <v>wɑn</v>
      </c>
      <c r="E6445" s="2" t="str">
        <f>IFERROR(__xludf.DUMMYFUNCTION("IFERROR(VLOOKUP(A6445, IMPORTRANGE(""https://docs.google.com/spreadsheets/d/1-3Vjw2Cyy-mry5gbC8ypIR3YVGFfEpyFESummAta6sg/edit"", ""Sheet1!B:D""), 3, FALSE), ""Not Found"")"),"w ɑ n ")</f>
        <v>w ɑ n </v>
      </c>
    </row>
    <row r="6446">
      <c r="A6446" s="1" t="s">
        <v>6448</v>
      </c>
      <c r="B6446" s="1" t="s">
        <v>5</v>
      </c>
      <c r="C6446" s="2">
        <f>IFERROR(__xludf.DUMMYFUNCTION("IFERROR(VLOOKUP(A6446, IMPORTRANGE(""https://docs.google.com/spreadsheets/d/1AVX9GT0dgogEBStecCXMMQ29tWz3gBrtNB8yIromXbY/edit?gid=741673867"", ""out1g!A:B""), 2, FALSE), 0)"),1029.0)</f>
        <v>1029</v>
      </c>
      <c r="D6446" s="2" t="str">
        <f>IFERROR(__xludf.DUMMYFUNCTION("IFERROR(VLOOKUP(A6446, IMPORTRANGE(""https://docs.google.com/spreadsheets/d/1-3Vjw2Cyy-mry5gbC8ypIR3YVGFfEpyFESummAta6sg/edit"", ""Sheet1!B:D""), 2, FALSE), ""Not Found"")"),"θɪn")</f>
        <v>θɪn</v>
      </c>
      <c r="E6446" s="2" t="str">
        <f>IFERROR(__xludf.DUMMYFUNCTION("IFERROR(VLOOKUP(A6446, IMPORTRANGE(""https://docs.google.com/spreadsheets/d/1-3Vjw2Cyy-mry5gbC8ypIR3YVGFfEpyFESummAta6sg/edit"", ""Sheet1!B:D""), 3, FALSE), ""Not Found"")"),"θ ɪ n ")</f>
        <v>θ ɪ n </v>
      </c>
    </row>
    <row r="6447">
      <c r="A6447" s="1" t="s">
        <v>6449</v>
      </c>
      <c r="B6447" s="1" t="s">
        <v>5</v>
      </c>
      <c r="C6447" s="2">
        <f>IFERROR(__xludf.DUMMYFUNCTION("IFERROR(VLOOKUP(A6447, IMPORTRANGE(""https://docs.google.com/spreadsheets/d/1AVX9GT0dgogEBStecCXMMQ29tWz3gBrtNB8yIromXbY/edit?gid=741673867"", ""out1g!A:B""), 2, FALSE), 0)"),126.0)</f>
        <v>126</v>
      </c>
      <c r="D6447" s="2" t="str">
        <f>IFERROR(__xludf.DUMMYFUNCTION("IFERROR(VLOOKUP(A6447, IMPORTRANGE(""https://docs.google.com/spreadsheets/d/1-3Vjw2Cyy-mry5gbC8ypIR3YVGFfEpyFESummAta6sg/edit"", ""Sheet1!B:D""), 2, FALSE), ""Not Found"")"),"bɛgər")</f>
        <v>bɛgər</v>
      </c>
      <c r="E6447" s="2" t="str">
        <f>IFERROR(__xludf.DUMMYFUNCTION("IFERROR(VLOOKUP(A6447, IMPORTRANGE(""https://docs.google.com/spreadsheets/d/1-3Vjw2Cyy-mry5gbC8ypIR3YVGFfEpyFESummAta6sg/edit"", ""Sheet1!B:D""), 3, FALSE), ""Not Found"")"),"b ɛ g ə r ")</f>
        <v>b ɛ g ə r </v>
      </c>
    </row>
    <row r="6448">
      <c r="A6448" s="1" t="s">
        <v>6450</v>
      </c>
      <c r="B6448" s="1" t="s">
        <v>5</v>
      </c>
      <c r="C6448" s="2">
        <f>IFERROR(__xludf.DUMMYFUNCTION("IFERROR(VLOOKUP(A6448, IMPORTRANGE(""https://docs.google.com/spreadsheets/d/1AVX9GT0dgogEBStecCXMMQ29tWz3gBrtNB8yIromXbY/edit?gid=741673867"", ""out1g!A:B""), 2, FALSE), 0)"),12492.0)</f>
        <v>12492</v>
      </c>
      <c r="D6448" s="2" t="str">
        <f>IFERROR(__xludf.DUMMYFUNCTION("IFERROR(VLOOKUP(A6448, IMPORTRANGE(""https://docs.google.com/spreadsheets/d/1-3Vjw2Cyy-mry5gbC8ypIR3YVGFfEpyFESummAta6sg/edit"", ""Sheet1!B:D""), 2, FALSE), ""Not Found"")"),"noʊz")</f>
        <v>noʊz</v>
      </c>
      <c r="E6448" s="2" t="str">
        <f>IFERROR(__xludf.DUMMYFUNCTION("IFERROR(VLOOKUP(A6448, IMPORTRANGE(""https://docs.google.com/spreadsheets/d/1-3Vjw2Cyy-mry5gbC8ypIR3YVGFfEpyFESummAta6sg/edit"", ""Sheet1!B:D""), 3, FALSE), ""Not Found"")"),"n o ʊ z ")</f>
        <v>n o ʊ z </v>
      </c>
    </row>
    <row r="6449">
      <c r="A6449" s="1" t="s">
        <v>6451</v>
      </c>
      <c r="B6449" s="1" t="s">
        <v>5</v>
      </c>
      <c r="C6449" s="2">
        <f>IFERROR(__xludf.DUMMYFUNCTION("IFERROR(VLOOKUP(A6449, IMPORTRANGE(""https://docs.google.com/spreadsheets/d/1AVX9GT0dgogEBStecCXMMQ29tWz3gBrtNB8yIromXbY/edit?gid=741673867"", ""out1g!A:B""), 2, FALSE), 0)"),189.0)</f>
        <v>189</v>
      </c>
      <c r="D6449" s="2" t="str">
        <f>IFERROR(__xludf.DUMMYFUNCTION("IFERROR(VLOOKUP(A6449, IMPORTRANGE(""https://docs.google.com/spreadsheets/d/1-3Vjw2Cyy-mry5gbC8ypIR3YVGFfEpyFESummAta6sg/edit"", ""Sheet1!B:D""), 2, FALSE), ""Not Found"")"),"les")</f>
        <v>les</v>
      </c>
      <c r="E6449" s="2" t="str">
        <f>IFERROR(__xludf.DUMMYFUNCTION("IFERROR(VLOOKUP(A6449, IMPORTRANGE(""https://docs.google.com/spreadsheets/d/1-3Vjw2Cyy-mry5gbC8ypIR3YVGFfEpyFESummAta6sg/edit"", ""Sheet1!B:D""), 3, FALSE), ""Not Found"")"),"l e s ")</f>
        <v>l e s </v>
      </c>
    </row>
    <row r="6450">
      <c r="A6450" s="1" t="s">
        <v>6452</v>
      </c>
      <c r="B6450" s="1" t="s">
        <v>5</v>
      </c>
      <c r="C6450" s="2">
        <f>IFERROR(__xludf.DUMMYFUNCTION("IFERROR(VLOOKUP(A6450, IMPORTRANGE(""https://docs.google.com/spreadsheets/d/1AVX9GT0dgogEBStecCXMMQ29tWz3gBrtNB8yIromXbY/edit?gid=741673867"", ""out1g!A:B""), 2, FALSE), 0)"),616.0)</f>
        <v>616</v>
      </c>
      <c r="D6450" s="2" t="str">
        <f>IFERROR(__xludf.DUMMYFUNCTION("IFERROR(VLOOKUP(A6450, IMPORTRANGE(""https://docs.google.com/spreadsheets/d/1-3Vjw2Cyy-mry5gbC8ypIR3YVGFfEpyFESummAta6sg/edit"", ""Sheet1!B:D""), 2, FALSE), ""Not Found"")"),"dəl")</f>
        <v>dəl</v>
      </c>
      <c r="E6450" s="2" t="str">
        <f>IFERROR(__xludf.DUMMYFUNCTION("IFERROR(VLOOKUP(A6450, IMPORTRANGE(""https://docs.google.com/spreadsheets/d/1-3Vjw2Cyy-mry5gbC8ypIR3YVGFfEpyFESummAta6sg/edit"", ""Sheet1!B:D""), 3, FALSE), ""Not Found"")"),"d ə l ")</f>
        <v>d ə l </v>
      </c>
    </row>
    <row r="6451">
      <c r="A6451" s="1" t="s">
        <v>6453</v>
      </c>
      <c r="B6451" s="1" t="s">
        <v>5</v>
      </c>
      <c r="C6451" s="2">
        <f>IFERROR(__xludf.DUMMYFUNCTION("IFERROR(VLOOKUP(A6451, IMPORTRANGE(""https://docs.google.com/spreadsheets/d/1AVX9GT0dgogEBStecCXMMQ29tWz3gBrtNB8yIromXbY/edit?gid=741673867"", ""out1g!A:B""), 2, FALSE), 0)"),56.0)</f>
        <v>56</v>
      </c>
      <c r="D6451" s="2" t="str">
        <f>IFERROR(__xludf.DUMMYFUNCTION("IFERROR(VLOOKUP(A6451, IMPORTRANGE(""https://docs.google.com/spreadsheets/d/1-3Vjw2Cyy-mry5gbC8ypIR3YVGFfEpyFESummAta6sg/edit"", ""Sheet1!B:D""), 2, FALSE), ""Not Found"")"),"dɑbi")</f>
        <v>dɑbi</v>
      </c>
      <c r="E6451" s="2" t="str">
        <f>IFERROR(__xludf.DUMMYFUNCTION("IFERROR(VLOOKUP(A6451, IMPORTRANGE(""https://docs.google.com/spreadsheets/d/1-3Vjw2Cyy-mry5gbC8ypIR3YVGFfEpyFESummAta6sg/edit"", ""Sheet1!B:D""), 3, FALSE), ""Not Found"")"),"d ɑ b i ")</f>
        <v>d ɑ b i </v>
      </c>
    </row>
    <row r="6452">
      <c r="A6452" s="1" t="s">
        <v>6454</v>
      </c>
      <c r="B6452" s="1" t="s">
        <v>5</v>
      </c>
      <c r="C6452" s="2">
        <f>IFERROR(__xludf.DUMMYFUNCTION("IFERROR(VLOOKUP(A6452, IMPORTRANGE(""https://docs.google.com/spreadsheets/d/1AVX9GT0dgogEBStecCXMMQ29tWz3gBrtNB8yIromXbY/edit?gid=741673867"", ""out1g!A:B""), 2, FALSE), 0)"),113.0)</f>
        <v>113</v>
      </c>
      <c r="D6452" s="2" t="str">
        <f>IFERROR(__xludf.DUMMYFUNCTION("IFERROR(VLOOKUP(A6452, IMPORTRANGE(""https://docs.google.com/spreadsheets/d/1-3Vjw2Cyy-mry5gbC8ypIR3YVGFfEpyFESummAta6sg/edit"", ""Sheet1!B:D""), 2, FALSE), ""Not Found"")"),"ʤækt")</f>
        <v>ʤækt</v>
      </c>
      <c r="E6452" s="2" t="str">
        <f>IFERROR(__xludf.DUMMYFUNCTION("IFERROR(VLOOKUP(A6452, IMPORTRANGE(""https://docs.google.com/spreadsheets/d/1-3Vjw2Cyy-mry5gbC8ypIR3YVGFfEpyFESummAta6sg/edit"", ""Sheet1!B:D""), 3, FALSE), ""Not Found"")"),"ʤ æ k t ")</f>
        <v>ʤ æ k t </v>
      </c>
    </row>
    <row r="6453">
      <c r="A6453" s="1" t="s">
        <v>6455</v>
      </c>
      <c r="B6453" s="1" t="s">
        <v>5</v>
      </c>
      <c r="C6453" s="2">
        <f>IFERROR(__xludf.DUMMYFUNCTION("IFERROR(VLOOKUP(A6453, IMPORTRANGE(""https://docs.google.com/spreadsheets/d/1AVX9GT0dgogEBStecCXMMQ29tWz3gBrtNB8yIromXbY/edit?gid=741673867"", ""out1g!A:B""), 2, FALSE), 0)"),493.0)</f>
        <v>493</v>
      </c>
      <c r="D6453" s="2" t="str">
        <f>IFERROR(__xludf.DUMMYFUNCTION("IFERROR(VLOOKUP(A6453, IMPORTRANGE(""https://docs.google.com/spreadsheets/d/1-3Vjw2Cyy-mry5gbC8ypIR3YVGFfEpyFESummAta6sg/edit"", ""Sheet1!B:D""), 2, FALSE), ""Not Found"")"),"bɛnʧ")</f>
        <v>bɛnʧ</v>
      </c>
      <c r="E6453" s="2" t="str">
        <f>IFERROR(__xludf.DUMMYFUNCTION("IFERROR(VLOOKUP(A6453, IMPORTRANGE(""https://docs.google.com/spreadsheets/d/1-3Vjw2Cyy-mry5gbC8ypIR3YVGFfEpyFESummAta6sg/edit"", ""Sheet1!B:D""), 3, FALSE), ""Not Found"")"),"b ɛ n ʧ ")</f>
        <v>b ɛ n ʧ </v>
      </c>
    </row>
    <row r="6454">
      <c r="A6454" s="1" t="s">
        <v>6456</v>
      </c>
      <c r="B6454" s="1" t="s">
        <v>5</v>
      </c>
      <c r="C6454" s="2">
        <f>IFERROR(__xludf.DUMMYFUNCTION("IFERROR(VLOOKUP(A6454, IMPORTRANGE(""https://docs.google.com/spreadsheets/d/1AVX9GT0dgogEBStecCXMMQ29tWz3gBrtNB8yIromXbY/edit?gid=741673867"", ""out1g!A:B""), 2, FALSE), 0)"),141.0)</f>
        <v>141</v>
      </c>
      <c r="D6454" s="2" t="str">
        <f>IFERROR(__xludf.DUMMYFUNCTION("IFERROR(VLOOKUP(A6454, IMPORTRANGE(""https://docs.google.com/spreadsheets/d/1-3Vjw2Cyy-mry5gbC8ypIR3YVGFfEpyFESummAta6sg/edit"", ""Sheet1!B:D""), 2, FALSE), ""Not Found"")"),"pen")</f>
        <v>pen</v>
      </c>
      <c r="E6454" s="2" t="str">
        <f>IFERROR(__xludf.DUMMYFUNCTION("IFERROR(VLOOKUP(A6454, IMPORTRANGE(""https://docs.google.com/spreadsheets/d/1-3Vjw2Cyy-mry5gbC8ypIR3YVGFfEpyFESummAta6sg/edit"", ""Sheet1!B:D""), 3, FALSE), ""Not Found"")"),"p e n ")</f>
        <v>p e n </v>
      </c>
    </row>
    <row r="6455">
      <c r="A6455" s="1" t="s">
        <v>6457</v>
      </c>
      <c r="B6455" s="1" t="s">
        <v>5</v>
      </c>
      <c r="C6455" s="2">
        <f>IFERROR(__xludf.DUMMYFUNCTION("IFERROR(VLOOKUP(A6455, IMPORTRANGE(""https://docs.google.com/spreadsheets/d/1AVX9GT0dgogEBStecCXMMQ29tWz3gBrtNB8yIromXbY/edit?gid=741673867"", ""out1g!A:B""), 2, FALSE), 0)"),54.0)</f>
        <v>54</v>
      </c>
      <c r="D6455" s="2" t="str">
        <f>IFERROR(__xludf.DUMMYFUNCTION("IFERROR(VLOOKUP(A6455, IMPORTRANGE(""https://docs.google.com/spreadsheets/d/1-3Vjw2Cyy-mry5gbC8ypIR3YVGFfEpyFESummAta6sg/edit"", ""Sheet1!B:D""), 2, FALSE), ""Not Found"")"),"saɪdəl")</f>
        <v>saɪdəl</v>
      </c>
      <c r="E6455" s="2" t="str">
        <f>IFERROR(__xludf.DUMMYFUNCTION("IFERROR(VLOOKUP(A6455, IMPORTRANGE(""https://docs.google.com/spreadsheets/d/1-3Vjw2Cyy-mry5gbC8ypIR3YVGFfEpyFESummAta6sg/edit"", ""Sheet1!B:D""), 3, FALSE), ""Not Found"")"),"s a ɪ d ə l ")</f>
        <v>s a ɪ d ə l </v>
      </c>
    </row>
    <row r="6456">
      <c r="A6456" s="1" t="s">
        <v>6458</v>
      </c>
      <c r="B6456" s="1" t="s">
        <v>5</v>
      </c>
      <c r="C6456" s="2">
        <f>IFERROR(__xludf.DUMMYFUNCTION("IFERROR(VLOOKUP(A6456, IMPORTRANGE(""https://docs.google.com/spreadsheets/d/1AVX9GT0dgogEBStecCXMMQ29tWz3gBrtNB8yIromXbY/edit?gid=741673867"", ""out1g!A:B""), 2, FALSE), 0)"),214.0)</f>
        <v>214</v>
      </c>
      <c r="D6456" s="2" t="str">
        <f>IFERROR(__xludf.DUMMYFUNCTION("IFERROR(VLOOKUP(A6456, IMPORTRANGE(""https://docs.google.com/spreadsheets/d/1-3Vjw2Cyy-mry5gbC8ypIR3YVGFfEpyFESummAta6sg/edit"", ""Sheet1!B:D""), 2, FALSE), ""Not Found"")"),"ʧɔrz")</f>
        <v>ʧɔrz</v>
      </c>
      <c r="E6456" s="2" t="str">
        <f>IFERROR(__xludf.DUMMYFUNCTION("IFERROR(VLOOKUP(A6456, IMPORTRANGE(""https://docs.google.com/spreadsheets/d/1-3Vjw2Cyy-mry5gbC8ypIR3YVGFfEpyFESummAta6sg/edit"", ""Sheet1!B:D""), 3, FALSE), ""Not Found"")"),"ʧ ɔ r z ")</f>
        <v>ʧ ɔ r z </v>
      </c>
    </row>
    <row r="6457">
      <c r="A6457" s="1" t="s">
        <v>6459</v>
      </c>
      <c r="B6457" s="1" t="s">
        <v>5</v>
      </c>
      <c r="C6457" s="2">
        <f>IFERROR(__xludf.DUMMYFUNCTION("IFERROR(VLOOKUP(A6457, IMPORTRANGE(""https://docs.google.com/spreadsheets/d/1AVX9GT0dgogEBStecCXMMQ29tWz3gBrtNB8yIromXbY/edit?gid=741673867"", ""out1g!A:B""), 2, FALSE), 0)"),289.0)</f>
        <v>289</v>
      </c>
      <c r="D6457" s="2" t="str">
        <f>IFERROR(__xludf.DUMMYFUNCTION("IFERROR(VLOOKUP(A6457, IMPORTRANGE(""https://docs.google.com/spreadsheets/d/1-3Vjw2Cyy-mry5gbC8ypIR3YVGFfEpyFESummAta6sg/edit"", ""Sheet1!B:D""), 2, FALSE), ""Not Found"")"),"kræft")</f>
        <v>kræft</v>
      </c>
      <c r="E6457" s="2" t="str">
        <f>IFERROR(__xludf.DUMMYFUNCTION("IFERROR(VLOOKUP(A6457, IMPORTRANGE(""https://docs.google.com/spreadsheets/d/1-3Vjw2Cyy-mry5gbC8ypIR3YVGFfEpyFESummAta6sg/edit"", ""Sheet1!B:D""), 3, FALSE), ""Not Found"")"),"k r æ f t ")</f>
        <v>k r æ f t </v>
      </c>
    </row>
    <row r="6458">
      <c r="A6458" s="1" t="s">
        <v>6460</v>
      </c>
      <c r="B6458" s="1" t="s">
        <v>5</v>
      </c>
      <c r="C6458" s="2">
        <f>IFERROR(__xludf.DUMMYFUNCTION("IFERROR(VLOOKUP(A6458, IMPORTRANGE(""https://docs.google.com/spreadsheets/d/1AVX9GT0dgogEBStecCXMMQ29tWz3gBrtNB8yIromXbY/edit?gid=741673867"", ""out1g!A:B""), 2, FALSE), 0)"),143.0)</f>
        <v>143</v>
      </c>
      <c r="D6458" s="2" t="str">
        <f>IFERROR(__xludf.DUMMYFUNCTION("IFERROR(VLOOKUP(A6458, IMPORTRANGE(""https://docs.google.com/spreadsheets/d/1-3Vjw2Cyy-mry5gbC8ypIR3YVGFfEpyFESummAta6sg/edit"", ""Sheet1!B:D""), 2, FALSE), ""Not Found"")"),"klɔz")</f>
        <v>klɔz</v>
      </c>
      <c r="E6458" s="2" t="str">
        <f>IFERROR(__xludf.DUMMYFUNCTION("IFERROR(VLOOKUP(A6458, IMPORTRANGE(""https://docs.google.com/spreadsheets/d/1-3Vjw2Cyy-mry5gbC8ypIR3YVGFfEpyFESummAta6sg/edit"", ""Sheet1!B:D""), 3, FALSE), ""Not Found"")"),"k l ɔ z ")</f>
        <v>k l ɔ z </v>
      </c>
    </row>
    <row r="6459">
      <c r="A6459" s="1" t="s">
        <v>6461</v>
      </c>
      <c r="B6459" s="1" t="s">
        <v>5</v>
      </c>
      <c r="C6459" s="2">
        <f>IFERROR(__xludf.DUMMYFUNCTION("IFERROR(VLOOKUP(A6459, IMPORTRANGE(""https://docs.google.com/spreadsheets/d/1AVX9GT0dgogEBStecCXMMQ29tWz3gBrtNB8yIromXbY/edit?gid=741673867"", ""out1g!A:B""), 2, FALSE), 0)"),511.0)</f>
        <v>511</v>
      </c>
      <c r="D6459" s="2" t="str">
        <f>IFERROR(__xludf.DUMMYFUNCTION("IFERROR(VLOOKUP(A6459, IMPORTRANGE(""https://docs.google.com/spreadsheets/d/1-3Vjw2Cyy-mry5gbC8ypIR3YVGFfEpyFESummAta6sg/edit"", ""Sheet1!B:D""), 2, FALSE), ""Not Found"")"),"bəkɪt")</f>
        <v>bəkɪt</v>
      </c>
      <c r="E6459" s="2" t="str">
        <f>IFERROR(__xludf.DUMMYFUNCTION("IFERROR(VLOOKUP(A6459, IMPORTRANGE(""https://docs.google.com/spreadsheets/d/1-3Vjw2Cyy-mry5gbC8ypIR3YVGFfEpyFESummAta6sg/edit"", ""Sheet1!B:D""), 3, FALSE), ""Not Found"")"),"b ə k ɪ t ")</f>
        <v>b ə k ɪ t </v>
      </c>
    </row>
    <row r="6460">
      <c r="A6460" s="1" t="s">
        <v>6462</v>
      </c>
      <c r="B6460" s="1" t="s">
        <v>5</v>
      </c>
      <c r="C6460" s="2">
        <f>IFERROR(__xludf.DUMMYFUNCTION("IFERROR(VLOOKUP(A6460, IMPORTRANGE(""https://docs.google.com/spreadsheets/d/1AVX9GT0dgogEBStecCXMMQ29tWz3gBrtNB8yIromXbY/edit?gid=741673867"", ""out1g!A:B""), 2, FALSE), 0)"),58.0)</f>
        <v>58</v>
      </c>
      <c r="D6460" s="2" t="str">
        <f>IFERROR(__xludf.DUMMYFUNCTION("IFERROR(VLOOKUP(A6460, IMPORTRANGE(""https://docs.google.com/spreadsheets/d/1-3Vjw2Cyy-mry5gbC8ypIR3YVGFfEpyFESummAta6sg/edit"", ""Sheet1!B:D""), 2, FALSE), ""Not Found"")"),"lɑr")</f>
        <v>lɑr</v>
      </c>
      <c r="E6460" s="2" t="str">
        <f>IFERROR(__xludf.DUMMYFUNCTION("IFERROR(VLOOKUP(A6460, IMPORTRANGE(""https://docs.google.com/spreadsheets/d/1-3Vjw2Cyy-mry5gbC8ypIR3YVGFfEpyFESummAta6sg/edit"", ""Sheet1!B:D""), 3, FALSE), ""Not Found"")"),"l ɑ r ")</f>
        <v>l ɑ r </v>
      </c>
    </row>
    <row r="6461">
      <c r="A6461" s="1" t="s">
        <v>6463</v>
      </c>
      <c r="B6461" s="1" t="s">
        <v>5</v>
      </c>
      <c r="C6461" s="2">
        <f>IFERROR(__xludf.DUMMYFUNCTION("IFERROR(VLOOKUP(A6461, IMPORTRANGE(""https://docs.google.com/spreadsheets/d/1AVX9GT0dgogEBStecCXMMQ29tWz3gBrtNB8yIromXbY/edit?gid=741673867"", ""out1g!A:B""), 2, FALSE), 0)"),56.0)</f>
        <v>56</v>
      </c>
      <c r="D6461" s="2" t="str">
        <f>IFERROR(__xludf.DUMMYFUNCTION("IFERROR(VLOOKUP(A6461, IMPORTRANGE(""https://docs.google.com/spreadsheets/d/1-3Vjw2Cyy-mry5gbC8ypIR3YVGFfEpyFESummAta6sg/edit"", ""Sheet1!B:D""), 2, FALSE), ""Not Found"")"),"laɪtɪd")</f>
        <v>laɪtɪd</v>
      </c>
      <c r="E6461" s="2" t="str">
        <f>IFERROR(__xludf.DUMMYFUNCTION("IFERROR(VLOOKUP(A6461, IMPORTRANGE(""https://docs.google.com/spreadsheets/d/1-3Vjw2Cyy-mry5gbC8ypIR3YVGFfEpyFESummAta6sg/edit"", ""Sheet1!B:D""), 3, FALSE), ""Not Found"")"),"l a ɪ t ɪ d ")</f>
        <v>l a ɪ t ɪ d </v>
      </c>
    </row>
    <row r="6462">
      <c r="A6462" s="1" t="s">
        <v>6464</v>
      </c>
      <c r="B6462" s="1" t="s">
        <v>5</v>
      </c>
      <c r="C6462" s="2">
        <f>IFERROR(__xludf.DUMMYFUNCTION("IFERROR(VLOOKUP(A6462, IMPORTRANGE(""https://docs.google.com/spreadsheets/d/1AVX9GT0dgogEBStecCXMMQ29tWz3gBrtNB8yIromXbY/edit?gid=741673867"", ""out1g!A:B""), 2, FALSE), 0)"),221.0)</f>
        <v>221</v>
      </c>
      <c r="D6462" s="2" t="str">
        <f>IFERROR(__xludf.DUMMYFUNCTION("IFERROR(VLOOKUP(A6462, IMPORTRANGE(""https://docs.google.com/spreadsheets/d/1-3Vjw2Cyy-mry5gbC8ypIR3YVGFfEpyFESummAta6sg/edit"", ""Sheet1!B:D""), 2, FALSE), ""Not Found"")"),"pɔn")</f>
        <v>pɔn</v>
      </c>
      <c r="E6462" s="2" t="str">
        <f>IFERROR(__xludf.DUMMYFUNCTION("IFERROR(VLOOKUP(A6462, IMPORTRANGE(""https://docs.google.com/spreadsheets/d/1-3Vjw2Cyy-mry5gbC8ypIR3YVGFfEpyFESummAta6sg/edit"", ""Sheet1!B:D""), 3, FALSE), ""Not Found"")"),"p ɔ n ")</f>
        <v>p ɔ n </v>
      </c>
    </row>
    <row r="6463">
      <c r="A6463" s="1" t="s">
        <v>6465</v>
      </c>
      <c r="B6463" s="1" t="s">
        <v>5</v>
      </c>
      <c r="C6463" s="2">
        <f>IFERROR(__xludf.DUMMYFUNCTION("IFERROR(VLOOKUP(A6463, IMPORTRANGE(""https://docs.google.com/spreadsheets/d/1AVX9GT0dgogEBStecCXMMQ29tWz3gBrtNB8yIromXbY/edit?gid=741673867"", ""out1g!A:B""), 2, FALSE), 0)"),35.0)</f>
        <v>35</v>
      </c>
      <c r="D6463" s="2" t="str">
        <f>IFERROR(__xludf.DUMMYFUNCTION("IFERROR(VLOOKUP(A6463, IMPORTRANGE(""https://docs.google.com/spreadsheets/d/1-3Vjw2Cyy-mry5gbC8ypIR3YVGFfEpyFESummAta6sg/edit"", ""Sheet1!B:D""), 2, FALSE), ""Not Found"")"),"blɑndz")</f>
        <v>blɑndz</v>
      </c>
      <c r="E6463" s="2" t="str">
        <f>IFERROR(__xludf.DUMMYFUNCTION("IFERROR(VLOOKUP(A6463, IMPORTRANGE(""https://docs.google.com/spreadsheets/d/1-3Vjw2Cyy-mry5gbC8ypIR3YVGFfEpyFESummAta6sg/edit"", ""Sheet1!B:D""), 3, FALSE), ""Not Found"")"),"b l ɑ n d z ")</f>
        <v>b l ɑ n d z </v>
      </c>
    </row>
    <row r="6464">
      <c r="A6464" s="1" t="s">
        <v>6466</v>
      </c>
      <c r="B6464" s="1" t="s">
        <v>5</v>
      </c>
      <c r="C6464" s="2">
        <f>IFERROR(__xludf.DUMMYFUNCTION("IFERROR(VLOOKUP(A6464, IMPORTRANGE(""https://docs.google.com/spreadsheets/d/1AVX9GT0dgogEBStecCXMMQ29tWz3gBrtNB8yIromXbY/edit?gid=741673867"", ""out1g!A:B""), 2, FALSE), 0)"),149.0)</f>
        <v>149</v>
      </c>
      <c r="D6464" s="2" t="str">
        <f>IFERROR(__xludf.DUMMYFUNCTION("IFERROR(VLOOKUP(A6464, IMPORTRANGE(""https://docs.google.com/spreadsheets/d/1-3Vjw2Cyy-mry5gbC8ypIR3YVGFfEpyFESummAta6sg/edit"", ""Sheet1!B:D""), 2, FALSE), ""Not Found"")"),"plætər")</f>
        <v>plætər</v>
      </c>
      <c r="E6464" s="2" t="str">
        <f>IFERROR(__xludf.DUMMYFUNCTION("IFERROR(VLOOKUP(A6464, IMPORTRANGE(""https://docs.google.com/spreadsheets/d/1-3Vjw2Cyy-mry5gbC8ypIR3YVGFfEpyFESummAta6sg/edit"", ""Sheet1!B:D""), 3, FALSE), ""Not Found"")"),"p l æ t ə r ")</f>
        <v>p l æ t ə r </v>
      </c>
    </row>
    <row r="6465">
      <c r="A6465" s="1" t="s">
        <v>6467</v>
      </c>
      <c r="B6465" s="1" t="s">
        <v>5</v>
      </c>
      <c r="C6465" s="2">
        <f>IFERROR(__xludf.DUMMYFUNCTION("IFERROR(VLOOKUP(A6465, IMPORTRANGE(""https://docs.google.com/spreadsheets/d/1AVX9GT0dgogEBStecCXMMQ29tWz3gBrtNB8yIromXbY/edit?gid=741673867"", ""out1g!A:B""), 2, FALSE), 0)"),486.0)</f>
        <v>486</v>
      </c>
      <c r="D6465" s="2" t="str">
        <f>IFERROR(__xludf.DUMMYFUNCTION("IFERROR(VLOOKUP(A6465, IMPORTRANGE(""https://docs.google.com/spreadsheets/d/1-3Vjw2Cyy-mry5gbC8ypIR3YVGFfEpyFESummAta6sg/edit"", ""Sheet1!B:D""), 2, FALSE), ""Not Found"")"),"mɪl")</f>
        <v>mɪl</v>
      </c>
      <c r="E6465" s="2" t="str">
        <f>IFERROR(__xludf.DUMMYFUNCTION("IFERROR(VLOOKUP(A6465, IMPORTRANGE(""https://docs.google.com/spreadsheets/d/1-3Vjw2Cyy-mry5gbC8ypIR3YVGFfEpyFESummAta6sg/edit"", ""Sheet1!B:D""), 3, FALSE), ""Not Found"")"),"m ɪ l ")</f>
        <v>m ɪ l </v>
      </c>
    </row>
    <row r="6466">
      <c r="A6466" s="1" t="s">
        <v>6468</v>
      </c>
      <c r="B6466" s="1" t="s">
        <v>5</v>
      </c>
      <c r="C6466" s="2">
        <f>IFERROR(__xludf.DUMMYFUNCTION("IFERROR(VLOOKUP(A6466, IMPORTRANGE(""https://docs.google.com/spreadsheets/d/1AVX9GT0dgogEBStecCXMMQ29tWz3gBrtNB8yIromXbY/edit?gid=741673867"", ""out1g!A:B""), 2, FALSE), 0)"),47.0)</f>
        <v>47</v>
      </c>
      <c r="D6466" s="2" t="str">
        <f>IFERROR(__xludf.DUMMYFUNCTION("IFERROR(VLOOKUP(A6466, IMPORTRANGE(""https://docs.google.com/spreadsheets/d/1-3Vjw2Cyy-mry5gbC8ypIR3YVGFfEpyFESummAta6sg/edit"", ""Sheet1!B:D""), 2, FALSE), ""Not Found"")"),"baɪəst")</f>
        <v>baɪəst</v>
      </c>
      <c r="E6466" s="2" t="str">
        <f>IFERROR(__xludf.DUMMYFUNCTION("IFERROR(VLOOKUP(A6466, IMPORTRANGE(""https://docs.google.com/spreadsheets/d/1-3Vjw2Cyy-mry5gbC8ypIR3YVGFfEpyFESummAta6sg/edit"", ""Sheet1!B:D""), 3, FALSE), ""Not Found"")"),"b a ɪ ə s t ")</f>
        <v>b a ɪ ə s t </v>
      </c>
    </row>
    <row r="6467">
      <c r="A6467" s="1" t="s">
        <v>6469</v>
      </c>
      <c r="B6467" s="1" t="s">
        <v>5</v>
      </c>
      <c r="C6467" s="2">
        <f>IFERROR(__xludf.DUMMYFUNCTION("IFERROR(VLOOKUP(A6467, IMPORTRANGE(""https://docs.google.com/spreadsheets/d/1AVX9GT0dgogEBStecCXMMQ29tWz3gBrtNB8yIromXbY/edit?gid=741673867"", ""out1g!A:B""), 2, FALSE), 0)"),66.0)</f>
        <v>66</v>
      </c>
      <c r="D6467" s="2" t="str">
        <f>IFERROR(__xludf.DUMMYFUNCTION("IFERROR(VLOOKUP(A6467, IMPORTRANGE(""https://docs.google.com/spreadsheets/d/1-3Vjw2Cyy-mry5gbC8ypIR3YVGFfEpyFESummAta6sg/edit"", ""Sheet1!B:D""), 2, FALSE), ""Not Found"")"),"kəmɪts")</f>
        <v>kəmɪts</v>
      </c>
      <c r="E6467" s="2" t="str">
        <f>IFERROR(__xludf.DUMMYFUNCTION("IFERROR(VLOOKUP(A6467, IMPORTRANGE(""https://docs.google.com/spreadsheets/d/1-3Vjw2Cyy-mry5gbC8ypIR3YVGFfEpyFESummAta6sg/edit"", ""Sheet1!B:D""), 3, FALSE), ""Not Found"")"),"k ə m ɪ t s ")</f>
        <v>k ə m ɪ t s </v>
      </c>
    </row>
    <row r="6468">
      <c r="A6468" s="1" t="s">
        <v>6470</v>
      </c>
      <c r="B6468" s="1" t="s">
        <v>5</v>
      </c>
      <c r="C6468" s="2">
        <f>IFERROR(__xludf.DUMMYFUNCTION("IFERROR(VLOOKUP(A6468, IMPORTRANGE(""https://docs.google.com/spreadsheets/d/1AVX9GT0dgogEBStecCXMMQ29tWz3gBrtNB8yIromXbY/edit?gid=741673867"", ""out1g!A:B""), 2, FALSE), 0)"),2263.0)</f>
        <v>2263</v>
      </c>
      <c r="D6468" s="2" t="str">
        <f>IFERROR(__xludf.DUMMYFUNCTION("IFERROR(VLOOKUP(A6468, IMPORTRANGE(""https://docs.google.com/spreadsheets/d/1-3Vjw2Cyy-mry5gbC8ypIR3YVGFfEpyFESummAta6sg/edit"", ""Sheet1!B:D""), 2, FALSE), ""Not Found"")"),"əlaʊ")</f>
        <v>əlaʊ</v>
      </c>
      <c r="E6468" s="2" t="str">
        <f>IFERROR(__xludf.DUMMYFUNCTION("IFERROR(VLOOKUP(A6468, IMPORTRANGE(""https://docs.google.com/spreadsheets/d/1-3Vjw2Cyy-mry5gbC8ypIR3YVGFfEpyFESummAta6sg/edit"", ""Sheet1!B:D""), 3, FALSE), ""Not Found"")"),"ə l a ʊ ")</f>
        <v>ə l a ʊ </v>
      </c>
    </row>
    <row r="6469">
      <c r="A6469" s="1" t="s">
        <v>6471</v>
      </c>
      <c r="B6469" s="1" t="s">
        <v>5</v>
      </c>
      <c r="C6469" s="2">
        <f>IFERROR(__xludf.DUMMYFUNCTION("IFERROR(VLOOKUP(A6469, IMPORTRANGE(""https://docs.google.com/spreadsheets/d/1AVX9GT0dgogEBStecCXMMQ29tWz3gBrtNB8yIromXbY/edit?gid=741673867"", ""out1g!A:B""), 2, FALSE), 0)"),127.0)</f>
        <v>127</v>
      </c>
      <c r="D6469" s="2" t="str">
        <f>IFERROR(__xludf.DUMMYFUNCTION("IFERROR(VLOOKUP(A6469, IMPORTRANGE(""https://docs.google.com/spreadsheets/d/1-3Vjw2Cyy-mry5gbC8ypIR3YVGFfEpyFESummAta6sg/edit"", ""Sheet1!B:D""), 2, FALSE), ""Not Found"")"),"rɑg")</f>
        <v>rɑg</v>
      </c>
      <c r="E6469" s="2" t="str">
        <f>IFERROR(__xludf.DUMMYFUNCTION("IFERROR(VLOOKUP(A6469, IMPORTRANGE(""https://docs.google.com/spreadsheets/d/1-3Vjw2Cyy-mry5gbC8ypIR3YVGFfEpyFESummAta6sg/edit"", ""Sheet1!B:D""), 3, FALSE), ""Not Found"")"),"r ɑ g ")</f>
        <v>r ɑ g </v>
      </c>
    </row>
    <row r="6470">
      <c r="A6470" s="1" t="s">
        <v>6472</v>
      </c>
      <c r="B6470" s="1" t="s">
        <v>5</v>
      </c>
      <c r="C6470" s="2">
        <f>IFERROR(__xludf.DUMMYFUNCTION("IFERROR(VLOOKUP(A6470, IMPORTRANGE(""https://docs.google.com/spreadsheets/d/1AVX9GT0dgogEBStecCXMMQ29tWz3gBrtNB8yIromXbY/edit?gid=741673867"", ""out1g!A:B""), 2, FALSE), 0)"),65.0)</f>
        <v>65</v>
      </c>
      <c r="D6470" s="2" t="str">
        <f>IFERROR(__xludf.DUMMYFUNCTION("IFERROR(VLOOKUP(A6470, IMPORTRANGE(""https://docs.google.com/spreadsheets/d/1-3Vjw2Cyy-mry5gbC8ypIR3YVGFfEpyFESummAta6sg/edit"", ""Sheet1!B:D""), 2, FALSE), ""Not Found"")"),"fɪb")</f>
        <v>fɪb</v>
      </c>
      <c r="E6470" s="2" t="str">
        <f>IFERROR(__xludf.DUMMYFUNCTION("IFERROR(VLOOKUP(A6470, IMPORTRANGE(""https://docs.google.com/spreadsheets/d/1-3Vjw2Cyy-mry5gbC8ypIR3YVGFfEpyFESummAta6sg/edit"", ""Sheet1!B:D""), 3, FALSE), ""Not Found"")"),"f ɪ b ")</f>
        <v>f ɪ b </v>
      </c>
    </row>
    <row r="6471">
      <c r="A6471" s="1" t="s">
        <v>6473</v>
      </c>
      <c r="B6471" s="1" t="s">
        <v>5</v>
      </c>
      <c r="C6471" s="2">
        <f>IFERROR(__xludf.DUMMYFUNCTION("IFERROR(VLOOKUP(A6471, IMPORTRANGE(""https://docs.google.com/spreadsheets/d/1AVX9GT0dgogEBStecCXMMQ29tWz3gBrtNB8yIromXbY/edit?gid=741673867"", ""out1g!A:B""), 2, FALSE), 0)"),73.0)</f>
        <v>73</v>
      </c>
      <c r="D6471" s="2" t="str">
        <f>IFERROR(__xludf.DUMMYFUNCTION("IFERROR(VLOOKUP(A6471, IMPORTRANGE(""https://docs.google.com/spreadsheets/d/1-3Vjw2Cyy-mry5gbC8ypIR3YVGFfEpyFESummAta6sg/edit"", ""Sheet1!B:D""), 2, FALSE), ""Not Found"")"),"flæps")</f>
        <v>flæps</v>
      </c>
      <c r="E6471" s="2" t="str">
        <f>IFERROR(__xludf.DUMMYFUNCTION("IFERROR(VLOOKUP(A6471, IMPORTRANGE(""https://docs.google.com/spreadsheets/d/1-3Vjw2Cyy-mry5gbC8ypIR3YVGFfEpyFESummAta6sg/edit"", ""Sheet1!B:D""), 3, FALSE), ""Not Found"")"),"f l æ p s ")</f>
        <v>f l æ p s </v>
      </c>
    </row>
    <row r="6472">
      <c r="A6472" s="1" t="s">
        <v>6474</v>
      </c>
      <c r="B6472" s="1" t="s">
        <v>5</v>
      </c>
      <c r="C6472" s="2">
        <f>IFERROR(__xludf.DUMMYFUNCTION("IFERROR(VLOOKUP(A6472, IMPORTRANGE(""https://docs.google.com/spreadsheets/d/1AVX9GT0dgogEBStecCXMMQ29tWz3gBrtNB8yIromXbY/edit?gid=741673867"", ""out1g!A:B""), 2, FALSE), 0)"),3214.0)</f>
        <v>3214</v>
      </c>
      <c r="D6472" s="2" t="str">
        <f>IFERROR(__xludf.DUMMYFUNCTION("IFERROR(VLOOKUP(A6472, IMPORTRANGE(""https://docs.google.com/spreadsheets/d/1-3Vjw2Cyy-mry5gbC8ypIR3YVGFfEpyFESummAta6sg/edit"", ""Sheet1!B:D""), 2, FALSE), ""Not Found"")"),"grænd")</f>
        <v>grænd</v>
      </c>
      <c r="E6472" s="2" t="str">
        <f>IFERROR(__xludf.DUMMYFUNCTION("IFERROR(VLOOKUP(A6472, IMPORTRANGE(""https://docs.google.com/spreadsheets/d/1-3Vjw2Cyy-mry5gbC8ypIR3YVGFfEpyFESummAta6sg/edit"", ""Sheet1!B:D""), 3, FALSE), ""Not Found"")"),"g r æ n d ")</f>
        <v>g r æ n d </v>
      </c>
    </row>
    <row r="6473">
      <c r="A6473" s="1" t="s">
        <v>6475</v>
      </c>
      <c r="B6473" s="1" t="s">
        <v>5</v>
      </c>
      <c r="C6473" s="2">
        <f>IFERROR(__xludf.DUMMYFUNCTION("IFERROR(VLOOKUP(A6473, IMPORTRANGE(""https://docs.google.com/spreadsheets/d/1AVX9GT0dgogEBStecCXMMQ29tWz3gBrtNB8yIromXbY/edit?gid=741673867"", ""out1g!A:B""), 2, FALSE), 0)"),746.0)</f>
        <v>746</v>
      </c>
      <c r="D6473" s="2" t="str">
        <f>IFERROR(__xludf.DUMMYFUNCTION("IFERROR(VLOOKUP(A6473, IMPORTRANGE(""https://docs.google.com/spreadsheets/d/1-3Vjw2Cyy-mry5gbC8ypIR3YVGFfEpyFESummAta6sg/edit"", ""Sheet1!B:D""), 2, FALSE), ""Not Found"")"),"spɪn")</f>
        <v>spɪn</v>
      </c>
      <c r="E6473" s="2" t="str">
        <f>IFERROR(__xludf.DUMMYFUNCTION("IFERROR(VLOOKUP(A6473, IMPORTRANGE(""https://docs.google.com/spreadsheets/d/1-3Vjw2Cyy-mry5gbC8ypIR3YVGFfEpyFESummAta6sg/edit"", ""Sheet1!B:D""), 3, FALSE), ""Not Found"")"),"s p ɪ n ")</f>
        <v>s p ɪ n </v>
      </c>
    </row>
    <row r="6474">
      <c r="A6474" s="1" t="s">
        <v>6476</v>
      </c>
      <c r="B6474" s="1" t="s">
        <v>5</v>
      </c>
      <c r="C6474" s="2">
        <f>IFERROR(__xludf.DUMMYFUNCTION("IFERROR(VLOOKUP(A6474, IMPORTRANGE(""https://docs.google.com/spreadsheets/d/1AVX9GT0dgogEBStecCXMMQ29tWz3gBrtNB8yIromXbY/edit?gid=741673867"", ""out1g!A:B""), 2, FALSE), 0)"),15325.0)</f>
        <v>15325</v>
      </c>
      <c r="D6474" s="2" t="str">
        <f>IFERROR(__xludf.DUMMYFUNCTION("IFERROR(VLOOKUP(A6474, IMPORTRANGE(""https://docs.google.com/spreadsheets/d/1-3Vjw2Cyy-mry5gbC8ypIR3YVGFfEpyFESummAta6sg/edit"", ""Sheet1!B:D""), 2, FALSE), ""Not Found"")"),"həni")</f>
        <v>həni</v>
      </c>
      <c r="E6474" s="2" t="str">
        <f>IFERROR(__xludf.DUMMYFUNCTION("IFERROR(VLOOKUP(A6474, IMPORTRANGE(""https://docs.google.com/spreadsheets/d/1-3Vjw2Cyy-mry5gbC8ypIR3YVGFfEpyFESummAta6sg/edit"", ""Sheet1!B:D""), 3, FALSE), ""Not Found"")"),"h ə n i ")</f>
        <v>h ə n i </v>
      </c>
    </row>
    <row r="6475">
      <c r="A6475" s="1" t="s">
        <v>6477</v>
      </c>
      <c r="B6475" s="1" t="s">
        <v>5</v>
      </c>
      <c r="C6475" s="2">
        <f>IFERROR(__xludf.DUMMYFUNCTION("IFERROR(VLOOKUP(A6475, IMPORTRANGE(""https://docs.google.com/spreadsheets/d/1AVX9GT0dgogEBStecCXMMQ29tWz3gBrtNB8yIromXbY/edit?gid=741673867"", ""out1g!A:B""), 2, FALSE), 0)"),499.0)</f>
        <v>499</v>
      </c>
      <c r="D6475" s="2" t="str">
        <f>IFERROR(__xludf.DUMMYFUNCTION("IFERROR(VLOOKUP(A6475, IMPORTRANGE(""https://docs.google.com/spreadsheets/d/1-3Vjw2Cyy-mry5gbC8ypIR3YVGFfEpyFESummAta6sg/edit"", ""Sheet1!B:D""), 2, FALSE), ""Not Found"")"),"renɪŋ")</f>
        <v>renɪŋ</v>
      </c>
      <c r="E6475" s="2" t="str">
        <f>IFERROR(__xludf.DUMMYFUNCTION("IFERROR(VLOOKUP(A6475, IMPORTRANGE(""https://docs.google.com/spreadsheets/d/1-3Vjw2Cyy-mry5gbC8ypIR3YVGFfEpyFESummAta6sg/edit"", ""Sheet1!B:D""), 3, FALSE), ""Not Found"")"),"r e n ɪ ŋ ")</f>
        <v>r e n ɪ ŋ </v>
      </c>
    </row>
    <row r="6476">
      <c r="A6476" s="1" t="s">
        <v>6478</v>
      </c>
      <c r="B6476" s="1" t="s">
        <v>5</v>
      </c>
      <c r="C6476" s="2">
        <f>IFERROR(__xludf.DUMMYFUNCTION("IFERROR(VLOOKUP(A6476, IMPORTRANGE(""https://docs.google.com/spreadsheets/d/1AVX9GT0dgogEBStecCXMMQ29tWz3gBrtNB8yIromXbY/edit?gid=741673867"", ""out1g!A:B""), 2, FALSE), 0)"),47.0)</f>
        <v>47</v>
      </c>
      <c r="D6476" s="2" t="str">
        <f>IFERROR(__xludf.DUMMYFUNCTION("IFERROR(VLOOKUP(A6476, IMPORTRANGE(""https://docs.google.com/spreadsheets/d/1-3Vjw2Cyy-mry5gbC8ypIR3YVGFfEpyFESummAta6sg/edit"", ""Sheet1!B:D""), 2, FALSE), ""Not Found"")"),"kɔrsoʊ")</f>
        <v>kɔrsoʊ</v>
      </c>
      <c r="E6476" s="2" t="str">
        <f>IFERROR(__xludf.DUMMYFUNCTION("IFERROR(VLOOKUP(A6476, IMPORTRANGE(""https://docs.google.com/spreadsheets/d/1-3Vjw2Cyy-mry5gbC8ypIR3YVGFfEpyFESummAta6sg/edit"", ""Sheet1!B:D""), 3, FALSE), ""Not Found"")"),"k ɔ r s o ʊ ")</f>
        <v>k ɔ r s o ʊ </v>
      </c>
    </row>
    <row r="6477">
      <c r="A6477" s="1" t="s">
        <v>6479</v>
      </c>
      <c r="B6477" s="1" t="s">
        <v>5</v>
      </c>
      <c r="C6477" s="2">
        <f>IFERROR(__xludf.DUMMYFUNCTION("IFERROR(VLOOKUP(A6477, IMPORTRANGE(""https://docs.google.com/spreadsheets/d/1AVX9GT0dgogEBStecCXMMQ29tWz3gBrtNB8yIromXbY/edit?gid=741673867"", ""out1g!A:B""), 2, FALSE), 0)"),222.0)</f>
        <v>222</v>
      </c>
      <c r="D6477" s="2" t="str">
        <f>IFERROR(__xludf.DUMMYFUNCTION("IFERROR(VLOOKUP(A6477, IMPORTRANGE(""https://docs.google.com/spreadsheets/d/1-3Vjw2Cyy-mry5gbC8ypIR3YVGFfEpyFESummAta6sg/edit"", ""Sheet1!B:D""), 2, FALSE), ""Not Found"")"),"bəgər")</f>
        <v>bəgər</v>
      </c>
      <c r="E6477" s="2" t="str">
        <f>IFERROR(__xludf.DUMMYFUNCTION("IFERROR(VLOOKUP(A6477, IMPORTRANGE(""https://docs.google.com/spreadsheets/d/1-3Vjw2Cyy-mry5gbC8ypIR3YVGFfEpyFESummAta6sg/edit"", ""Sheet1!B:D""), 3, FALSE), ""Not Found"")"),"b ə g ə r ")</f>
        <v>b ə g ə r </v>
      </c>
    </row>
    <row r="6478">
      <c r="A6478" s="1" t="s">
        <v>6480</v>
      </c>
      <c r="B6478" s="1" t="s">
        <v>5</v>
      </c>
      <c r="C6478" s="2">
        <f>IFERROR(__xludf.DUMMYFUNCTION("IFERROR(VLOOKUP(A6478, IMPORTRANGE(""https://docs.google.com/spreadsheets/d/1AVX9GT0dgogEBStecCXMMQ29tWz3gBrtNB8yIromXbY/edit?gid=741673867"", ""out1g!A:B""), 2, FALSE), 0)"),90720.0)</f>
        <v>90720</v>
      </c>
      <c r="D6478" s="2" t="str">
        <f>IFERROR(__xludf.DUMMYFUNCTION("IFERROR(VLOOKUP(A6478, IMPORTRANGE(""https://docs.google.com/spreadsheets/d/1-3Vjw2Cyy-mry5gbC8ypIR3YVGFfEpyFESummAta6sg/edit"", ""Sheet1!B:D""), 2, FALSE), ""Not Found"")"),"ðɛm")</f>
        <v>ðɛm</v>
      </c>
      <c r="E6478" s="2" t="str">
        <f>IFERROR(__xludf.DUMMYFUNCTION("IFERROR(VLOOKUP(A6478, IMPORTRANGE(""https://docs.google.com/spreadsheets/d/1-3Vjw2Cyy-mry5gbC8ypIR3YVGFfEpyFESummAta6sg/edit"", ""Sheet1!B:D""), 3, FALSE), ""Not Found"")"),"ð ɛ m ")</f>
        <v>ð ɛ m </v>
      </c>
    </row>
    <row r="6479">
      <c r="A6479" s="1" t="s">
        <v>6481</v>
      </c>
      <c r="B6479" s="1" t="s">
        <v>5</v>
      </c>
      <c r="C6479" s="2">
        <f>IFERROR(__xludf.DUMMYFUNCTION("IFERROR(VLOOKUP(A6479, IMPORTRANGE(""https://docs.google.com/spreadsheets/d/1AVX9GT0dgogEBStecCXMMQ29tWz3gBrtNB8yIromXbY/edit?gid=741673867"", ""out1g!A:B""), 2, FALSE), 0)"),100.0)</f>
        <v>100</v>
      </c>
      <c r="D6479" s="2" t="str">
        <f>IFERROR(__xludf.DUMMYFUNCTION("IFERROR(VLOOKUP(A6479, IMPORTRANGE(""https://docs.google.com/spreadsheets/d/1-3Vjw2Cyy-mry5gbC8ypIR3YVGFfEpyFESummAta6sg/edit"", ""Sheet1!B:D""), 2, FALSE), ""Not Found"")"),"stimd")</f>
        <v>stimd</v>
      </c>
      <c r="E6479" s="2" t="str">
        <f>IFERROR(__xludf.DUMMYFUNCTION("IFERROR(VLOOKUP(A6479, IMPORTRANGE(""https://docs.google.com/spreadsheets/d/1-3Vjw2Cyy-mry5gbC8ypIR3YVGFfEpyFESummAta6sg/edit"", ""Sheet1!B:D""), 3, FALSE), ""Not Found"")"),"s t i m d ")</f>
        <v>s t i m d </v>
      </c>
    </row>
    <row r="6480">
      <c r="A6480" s="1" t="s">
        <v>6482</v>
      </c>
      <c r="B6480" s="1" t="s">
        <v>5</v>
      </c>
      <c r="C6480" s="2">
        <f>IFERROR(__xludf.DUMMYFUNCTION("IFERROR(VLOOKUP(A6480, IMPORTRANGE(""https://docs.google.com/spreadsheets/d/1AVX9GT0dgogEBStecCXMMQ29tWz3gBrtNB8yIromXbY/edit?gid=741673867"", ""out1g!A:B""), 2, FALSE), 0)"),64.0)</f>
        <v>64</v>
      </c>
      <c r="D6480" s="2" t="str">
        <f>IFERROR(__xludf.DUMMYFUNCTION("IFERROR(VLOOKUP(A6480, IMPORTRANGE(""https://docs.google.com/spreadsheets/d/1-3Vjw2Cyy-mry5gbC8ypIR3YVGFfEpyFESummAta6sg/edit"", ""Sheet1!B:D""), 2, FALSE), ""Not Found"")"),"snizd")</f>
        <v>snizd</v>
      </c>
      <c r="E6480" s="2" t="str">
        <f>IFERROR(__xludf.DUMMYFUNCTION("IFERROR(VLOOKUP(A6480, IMPORTRANGE(""https://docs.google.com/spreadsheets/d/1-3Vjw2Cyy-mry5gbC8ypIR3YVGFfEpyFESummAta6sg/edit"", ""Sheet1!B:D""), 3, FALSE), ""Not Found"")"),"s n i z d ")</f>
        <v>s n i z d </v>
      </c>
    </row>
    <row r="6481">
      <c r="A6481" s="1" t="s">
        <v>6483</v>
      </c>
      <c r="B6481" s="1" t="s">
        <v>5</v>
      </c>
      <c r="C6481" s="2">
        <f>IFERROR(__xludf.DUMMYFUNCTION("IFERROR(VLOOKUP(A6481, IMPORTRANGE(""https://docs.google.com/spreadsheets/d/1AVX9GT0dgogEBStecCXMMQ29tWz3gBrtNB8yIromXbY/edit?gid=741673867"", ""out1g!A:B""), 2, FALSE), 0)"),48.0)</f>
        <v>48</v>
      </c>
      <c r="D6481" s="2" t="str">
        <f>IFERROR(__xludf.DUMMYFUNCTION("IFERROR(VLOOKUP(A6481, IMPORTRANGE(""https://docs.google.com/spreadsheets/d/1-3Vjw2Cyy-mry5gbC8ypIR3YVGFfEpyFESummAta6sg/edit"", ""Sheet1!B:D""), 2, FALSE), ""Not Found"")"),"fæts")</f>
        <v>fæts</v>
      </c>
      <c r="E6481" s="2" t="str">
        <f>IFERROR(__xludf.DUMMYFUNCTION("IFERROR(VLOOKUP(A6481, IMPORTRANGE(""https://docs.google.com/spreadsheets/d/1-3Vjw2Cyy-mry5gbC8ypIR3YVGFfEpyFESummAta6sg/edit"", ""Sheet1!B:D""), 3, FALSE), ""Not Found"")"),"f æ t s ")</f>
        <v>f æ t s </v>
      </c>
    </row>
    <row r="6482">
      <c r="A6482" s="1" t="s">
        <v>6484</v>
      </c>
      <c r="B6482" s="1" t="s">
        <v>5</v>
      </c>
      <c r="C6482" s="2">
        <f>IFERROR(__xludf.DUMMYFUNCTION("IFERROR(VLOOKUP(A6482, IMPORTRANGE(""https://docs.google.com/spreadsheets/d/1AVX9GT0dgogEBStecCXMMQ29tWz3gBrtNB8yIromXbY/edit?gid=741673867"", ""out1g!A:B""), 2, FALSE), 0)"),241.0)</f>
        <v>241</v>
      </c>
      <c r="D6482" s="2" t="str">
        <f>IFERROR(__xludf.DUMMYFUNCTION("IFERROR(VLOOKUP(A6482, IMPORTRANGE(""https://docs.google.com/spreadsheets/d/1-3Vjw2Cyy-mry5gbC8ypIR3YVGFfEpyFESummAta6sg/edit"", ""Sheet1!B:D""), 2, FALSE), ""Not Found"")"),"ɪnvɛst")</f>
        <v>ɪnvɛst</v>
      </c>
      <c r="E6482" s="2" t="str">
        <f>IFERROR(__xludf.DUMMYFUNCTION("IFERROR(VLOOKUP(A6482, IMPORTRANGE(""https://docs.google.com/spreadsheets/d/1-3Vjw2Cyy-mry5gbC8ypIR3YVGFfEpyFESummAta6sg/edit"", ""Sheet1!B:D""), 3, FALSE), ""Not Found"")"),"ɪ n v ɛ s t ")</f>
        <v>ɪ n v ɛ s t </v>
      </c>
    </row>
    <row r="6483">
      <c r="A6483" s="1" t="s">
        <v>6485</v>
      </c>
      <c r="B6483" s="1" t="s">
        <v>5</v>
      </c>
      <c r="C6483" s="2">
        <f>IFERROR(__xludf.DUMMYFUNCTION("IFERROR(VLOOKUP(A6483, IMPORTRANGE(""https://docs.google.com/spreadsheets/d/1AVX9GT0dgogEBStecCXMMQ29tWz3gBrtNB8yIromXbY/edit?gid=741673867"", ""out1g!A:B""), 2, FALSE), 0)"),207.0)</f>
        <v>207</v>
      </c>
      <c r="D6483" s="2" t="str">
        <f>IFERROR(__xludf.DUMMYFUNCTION("IFERROR(VLOOKUP(A6483, IMPORTRANGE(""https://docs.google.com/spreadsheets/d/1-3Vjw2Cyy-mry5gbC8ypIR3YVGFfEpyFESummAta6sg/edit"", ""Sheet1!B:D""), 2, FALSE), ""Not Found"")"),"haʊzɪŋ")</f>
        <v>haʊzɪŋ</v>
      </c>
      <c r="E6483" s="2" t="str">
        <f>IFERROR(__xludf.DUMMYFUNCTION("IFERROR(VLOOKUP(A6483, IMPORTRANGE(""https://docs.google.com/spreadsheets/d/1-3Vjw2Cyy-mry5gbC8ypIR3YVGFfEpyFESummAta6sg/edit"", ""Sheet1!B:D""), 3, FALSE), ""Not Found"")"),"h a ʊ z ɪ ŋ ")</f>
        <v>h a ʊ z ɪ ŋ </v>
      </c>
    </row>
    <row r="6484">
      <c r="A6484" s="1" t="s">
        <v>6486</v>
      </c>
      <c r="B6484" s="1" t="s">
        <v>5</v>
      </c>
      <c r="C6484" s="2">
        <f>IFERROR(__xludf.DUMMYFUNCTION("IFERROR(VLOOKUP(A6484, IMPORTRANGE(""https://docs.google.com/spreadsheets/d/1AVX9GT0dgogEBStecCXMMQ29tWz3gBrtNB8yIromXbY/edit?gid=741673867"", ""out1g!A:B""), 2, FALSE), 0)"),99.0)</f>
        <v>99</v>
      </c>
      <c r="D6484" s="2" t="str">
        <f>IFERROR(__xludf.DUMMYFUNCTION("IFERROR(VLOOKUP(A6484, IMPORTRANGE(""https://docs.google.com/spreadsheets/d/1-3Vjw2Cyy-mry5gbC8ypIR3YVGFfEpyFESummAta6sg/edit"", ""Sheet1!B:D""), 2, FALSE), ""Not Found"")"),"lɔrə")</f>
        <v>lɔrə</v>
      </c>
      <c r="E6484" s="2" t="str">
        <f>IFERROR(__xludf.DUMMYFUNCTION("IFERROR(VLOOKUP(A6484, IMPORTRANGE(""https://docs.google.com/spreadsheets/d/1-3Vjw2Cyy-mry5gbC8ypIR3YVGFfEpyFESummAta6sg/edit"", ""Sheet1!B:D""), 3, FALSE), ""Not Found"")"),"l ɔ r ə ")</f>
        <v>l ɔ r ə </v>
      </c>
    </row>
    <row r="6485">
      <c r="A6485" s="1" t="s">
        <v>6487</v>
      </c>
      <c r="B6485" s="1" t="s">
        <v>5</v>
      </c>
      <c r="C6485" s="2">
        <f>IFERROR(__xludf.DUMMYFUNCTION("IFERROR(VLOOKUP(A6485, IMPORTRANGE(""https://docs.google.com/spreadsheets/d/1AVX9GT0dgogEBStecCXMMQ29tWz3gBrtNB8yIromXbY/edit?gid=741673867"", ""out1g!A:B""), 2, FALSE), 0)"),57.0)</f>
        <v>57</v>
      </c>
      <c r="D6485" s="2" t="str">
        <f>IFERROR(__xludf.DUMMYFUNCTION("IFERROR(VLOOKUP(A6485, IMPORTRANGE(""https://docs.google.com/spreadsheets/d/1-3Vjw2Cyy-mry5gbC8ypIR3YVGFfEpyFESummAta6sg/edit"", ""Sheet1!B:D""), 2, FALSE), ""Not Found"")"),"dɑti")</f>
        <v>dɑti</v>
      </c>
      <c r="E6485" s="2" t="str">
        <f>IFERROR(__xludf.DUMMYFUNCTION("IFERROR(VLOOKUP(A6485, IMPORTRANGE(""https://docs.google.com/spreadsheets/d/1-3Vjw2Cyy-mry5gbC8ypIR3YVGFfEpyFESummAta6sg/edit"", ""Sheet1!B:D""), 3, FALSE), ""Not Found"")"),"d ɑ t i ")</f>
        <v>d ɑ t i </v>
      </c>
    </row>
    <row r="6486">
      <c r="A6486" s="1" t="s">
        <v>6488</v>
      </c>
      <c r="B6486" s="1" t="s">
        <v>5</v>
      </c>
      <c r="C6486" s="2">
        <f>IFERROR(__xludf.DUMMYFUNCTION("IFERROR(VLOOKUP(A6486, IMPORTRANGE(""https://docs.google.com/spreadsheets/d/1AVX9GT0dgogEBStecCXMMQ29tWz3gBrtNB8yIromXbY/edit?gid=741673867"", ""out1g!A:B""), 2, FALSE), 0)"),158.0)</f>
        <v>158</v>
      </c>
      <c r="D6486" s="2" t="str">
        <f>IFERROR(__xludf.DUMMYFUNCTION("IFERROR(VLOOKUP(A6486, IMPORTRANGE(""https://docs.google.com/spreadsheets/d/1-3Vjw2Cyy-mry5gbC8ypIR3YVGFfEpyFESummAta6sg/edit"", ""Sheet1!B:D""), 2, FALSE), ""Not Found"")"),"mɑkɪŋ")</f>
        <v>mɑkɪŋ</v>
      </c>
      <c r="E6486" s="2" t="str">
        <f>IFERROR(__xludf.DUMMYFUNCTION("IFERROR(VLOOKUP(A6486, IMPORTRANGE(""https://docs.google.com/spreadsheets/d/1-3Vjw2Cyy-mry5gbC8ypIR3YVGFfEpyFESummAta6sg/edit"", ""Sheet1!B:D""), 3, FALSE), ""Not Found"")"),"m ɑ k ɪ ŋ ")</f>
        <v>m ɑ k ɪ ŋ </v>
      </c>
    </row>
    <row r="6487">
      <c r="A6487" s="1" t="s">
        <v>6489</v>
      </c>
      <c r="B6487" s="1" t="s">
        <v>5</v>
      </c>
      <c r="C6487" s="2">
        <f>IFERROR(__xludf.DUMMYFUNCTION("IFERROR(VLOOKUP(A6487, IMPORTRANGE(""https://docs.google.com/spreadsheets/d/1AVX9GT0dgogEBStecCXMMQ29tWz3gBrtNB8yIromXbY/edit?gid=741673867"", ""out1g!A:B""), 2, FALSE), 0)"),206.0)</f>
        <v>206</v>
      </c>
      <c r="D6487" s="2" t="str">
        <f>IFERROR(__xludf.DUMMYFUNCTION("IFERROR(VLOOKUP(A6487, IMPORTRANGE(""https://docs.google.com/spreadsheets/d/1-3Vjw2Cyy-mry5gbC8ypIR3YVGFfEpyFESummAta6sg/edit"", ""Sheet1!B:D""), 2, FALSE), ""Not Found"")"),"gɛrɪθ")</f>
        <v>gɛrɪθ</v>
      </c>
      <c r="E6487" s="2" t="str">
        <f>IFERROR(__xludf.DUMMYFUNCTION("IFERROR(VLOOKUP(A6487, IMPORTRANGE(""https://docs.google.com/spreadsheets/d/1-3Vjw2Cyy-mry5gbC8ypIR3YVGFfEpyFESummAta6sg/edit"", ""Sheet1!B:D""), 3, FALSE), ""Not Found"")"),"g ɛ r ɪ θ ")</f>
        <v>g ɛ r ɪ θ </v>
      </c>
    </row>
    <row r="6488">
      <c r="A6488" s="1" t="s">
        <v>6490</v>
      </c>
      <c r="B6488" s="1" t="s">
        <v>5</v>
      </c>
      <c r="C6488" s="2">
        <f>IFERROR(__xludf.DUMMYFUNCTION("IFERROR(VLOOKUP(A6488, IMPORTRANGE(""https://docs.google.com/spreadsheets/d/1AVX9GT0dgogEBStecCXMMQ29tWz3gBrtNB8yIromXbY/edit?gid=741673867"", ""out1g!A:B""), 2, FALSE), 0)"),301.0)</f>
        <v>301</v>
      </c>
      <c r="D6488" s="2" t="str">
        <f>IFERROR(__xludf.DUMMYFUNCTION("IFERROR(VLOOKUP(A6488, IMPORTRANGE(""https://docs.google.com/spreadsheets/d/1-3Vjw2Cyy-mry5gbC8ypIR3YVGFfEpyFESummAta6sg/edit"", ""Sheet1!B:D""), 2, FALSE), ""Not Found"")"),"nud")</f>
        <v>nud</v>
      </c>
      <c r="E6488" s="2" t="str">
        <f>IFERROR(__xludf.DUMMYFUNCTION("IFERROR(VLOOKUP(A6488, IMPORTRANGE(""https://docs.google.com/spreadsheets/d/1-3Vjw2Cyy-mry5gbC8ypIR3YVGFfEpyFESummAta6sg/edit"", ""Sheet1!B:D""), 3, FALSE), ""Not Found"")"),"n u d ")</f>
        <v>n u d </v>
      </c>
    </row>
    <row r="6489">
      <c r="A6489" s="1" t="s">
        <v>6491</v>
      </c>
      <c r="B6489" s="1" t="s">
        <v>5</v>
      </c>
      <c r="C6489" s="2">
        <f>IFERROR(__xludf.DUMMYFUNCTION("IFERROR(VLOOKUP(A6489, IMPORTRANGE(""https://docs.google.com/spreadsheets/d/1AVX9GT0dgogEBStecCXMMQ29tWz3gBrtNB8yIromXbY/edit?gid=741673867"", ""out1g!A:B""), 2, FALSE), 0)"),422.0)</f>
        <v>422</v>
      </c>
      <c r="D6489" s="2" t="str">
        <f>IFERROR(__xludf.DUMMYFUNCTION("IFERROR(VLOOKUP(A6489, IMPORTRANGE(""https://docs.google.com/spreadsheets/d/1-3Vjw2Cyy-mry5gbC8ypIR3YVGFfEpyFESummAta6sg/edit"", ""Sheet1!B:D""), 2, FALSE), ""Not Found"")"),"əraɪvəl")</f>
        <v>əraɪvəl</v>
      </c>
      <c r="E6489" s="2" t="str">
        <f>IFERROR(__xludf.DUMMYFUNCTION("IFERROR(VLOOKUP(A6489, IMPORTRANGE(""https://docs.google.com/spreadsheets/d/1-3Vjw2Cyy-mry5gbC8ypIR3YVGFfEpyFESummAta6sg/edit"", ""Sheet1!B:D""), 3, FALSE), ""Not Found"")"),"ə r a ɪ v ə l ")</f>
        <v>ə r a ɪ v ə l </v>
      </c>
    </row>
    <row r="6490">
      <c r="A6490" s="1" t="s">
        <v>6492</v>
      </c>
      <c r="B6490" s="1" t="s">
        <v>5</v>
      </c>
      <c r="C6490" s="2">
        <f>IFERROR(__xludf.DUMMYFUNCTION("IFERROR(VLOOKUP(A6490, IMPORTRANGE(""https://docs.google.com/spreadsheets/d/1AVX9GT0dgogEBStecCXMMQ29tWz3gBrtNB8yIromXbY/edit?gid=741673867"", ""out1g!A:B""), 2, FALSE), 0)"),270.0)</f>
        <v>270</v>
      </c>
      <c r="D6490" s="2" t="str">
        <f>IFERROR(__xludf.DUMMYFUNCTION("IFERROR(VLOOKUP(A6490, IMPORTRANGE(""https://docs.google.com/spreadsheets/d/1-3Vjw2Cyy-mry5gbC8ypIR3YVGFfEpyFESummAta6sg/edit"", ""Sheet1!B:D""), 2, FALSE), ""Not Found"")"),"eʒə")</f>
        <v>eʒə</v>
      </c>
      <c r="E6490" s="2" t="str">
        <f>IFERROR(__xludf.DUMMYFUNCTION("IFERROR(VLOOKUP(A6490, IMPORTRANGE(""https://docs.google.com/spreadsheets/d/1-3Vjw2Cyy-mry5gbC8ypIR3YVGFfEpyFESummAta6sg/edit"", ""Sheet1!B:D""), 3, FALSE), ""Not Found"")"),"e ʒ ə ")</f>
        <v>e ʒ ə </v>
      </c>
    </row>
    <row r="6491">
      <c r="A6491" s="1" t="s">
        <v>6493</v>
      </c>
      <c r="B6491" s="1" t="s">
        <v>5</v>
      </c>
      <c r="C6491" s="2">
        <f>IFERROR(__xludf.DUMMYFUNCTION("IFERROR(VLOOKUP(A6491, IMPORTRANGE(""https://docs.google.com/spreadsheets/d/1AVX9GT0dgogEBStecCXMMQ29tWz3gBrtNB8yIromXbY/edit?gid=741673867"", ""out1g!A:B""), 2, FALSE), 0)"),342.0)</f>
        <v>342</v>
      </c>
      <c r="D6491" s="2" t="str">
        <f>IFERROR(__xludf.DUMMYFUNCTION("IFERROR(VLOOKUP(A6491, IMPORTRANGE(""https://docs.google.com/spreadsheets/d/1-3Vjw2Cyy-mry5gbC8ypIR3YVGFfEpyFESummAta6sg/edit"", ""Sheet1!B:D""), 2, FALSE), ""Not Found"")"),"rɛrli")</f>
        <v>rɛrli</v>
      </c>
      <c r="E6491" s="2" t="str">
        <f>IFERROR(__xludf.DUMMYFUNCTION("IFERROR(VLOOKUP(A6491, IMPORTRANGE(""https://docs.google.com/spreadsheets/d/1-3Vjw2Cyy-mry5gbC8ypIR3YVGFfEpyFESummAta6sg/edit"", ""Sheet1!B:D""), 3, FALSE), ""Not Found"")"),"r ɛ r l i ")</f>
        <v>r ɛ r l i </v>
      </c>
    </row>
    <row r="6492">
      <c r="A6492" s="1" t="s">
        <v>6494</v>
      </c>
      <c r="B6492" s="1" t="s">
        <v>5</v>
      </c>
      <c r="C6492" s="2">
        <f>IFERROR(__xludf.DUMMYFUNCTION("IFERROR(VLOOKUP(A6492, IMPORTRANGE(""https://docs.google.com/spreadsheets/d/1AVX9GT0dgogEBStecCXMMQ29tWz3gBrtNB8yIromXbY/edit?gid=741673867"", ""out1g!A:B""), 2, FALSE), 0)"),494.0)</f>
        <v>494</v>
      </c>
      <c r="D6492" s="2" t="str">
        <f>IFERROR(__xludf.DUMMYFUNCTION("IFERROR(VLOOKUP(A6492, IMPORTRANGE(""https://docs.google.com/spreadsheets/d/1-3Vjw2Cyy-mry5gbC8ypIR3YVGFfEpyFESummAta6sg/edit"", ""Sheet1!B:D""), 2, FALSE), ""Not Found"")"),"fi")</f>
        <v>fi</v>
      </c>
      <c r="E6492" s="2" t="str">
        <f>IFERROR(__xludf.DUMMYFUNCTION("IFERROR(VLOOKUP(A6492, IMPORTRANGE(""https://docs.google.com/spreadsheets/d/1-3Vjw2Cyy-mry5gbC8ypIR3YVGFfEpyFESummAta6sg/edit"", ""Sheet1!B:D""), 3, FALSE), ""Not Found"")"),"f i ")</f>
        <v>f i </v>
      </c>
    </row>
    <row r="6493">
      <c r="A6493" s="1" t="s">
        <v>6495</v>
      </c>
      <c r="B6493" s="1" t="s">
        <v>5</v>
      </c>
      <c r="C6493" s="2">
        <f>IFERROR(__xludf.DUMMYFUNCTION("IFERROR(VLOOKUP(A6493, IMPORTRANGE(""https://docs.google.com/spreadsheets/d/1AVX9GT0dgogEBStecCXMMQ29tWz3gBrtNB8yIromXbY/edit?gid=741673867"", ""out1g!A:B""), 2, FALSE), 0)"),46.0)</f>
        <v>46</v>
      </c>
      <c r="D6493" s="2" t="str">
        <f>IFERROR(__xludf.DUMMYFUNCTION("IFERROR(VLOOKUP(A6493, IMPORTRANGE(""https://docs.google.com/spreadsheets/d/1-3Vjw2Cyy-mry5gbC8ypIR3YVGFfEpyFESummAta6sg/edit"", ""Sheet1!B:D""), 2, FALSE), ""Not Found"")"),"tet")</f>
        <v>tet</v>
      </c>
      <c r="E6493" s="2" t="str">
        <f>IFERROR(__xludf.DUMMYFUNCTION("IFERROR(VLOOKUP(A6493, IMPORTRANGE(""https://docs.google.com/spreadsheets/d/1-3Vjw2Cyy-mry5gbC8ypIR3YVGFfEpyFESummAta6sg/edit"", ""Sheet1!B:D""), 3, FALSE), ""Not Found"")"),"t e t ")</f>
        <v>t e t </v>
      </c>
    </row>
    <row r="6494">
      <c r="A6494" s="1" t="s">
        <v>6496</v>
      </c>
      <c r="B6494" s="1" t="s">
        <v>5</v>
      </c>
      <c r="C6494" s="2">
        <f>IFERROR(__xludf.DUMMYFUNCTION("IFERROR(VLOOKUP(A6494, IMPORTRANGE(""https://docs.google.com/spreadsheets/d/1AVX9GT0dgogEBStecCXMMQ29tWz3gBrtNB8yIromXbY/edit?gid=741673867"", ""out1g!A:B""), 2, FALSE), 0)"),245.0)</f>
        <v>245</v>
      </c>
      <c r="D6494" s="2" t="str">
        <f>IFERROR(__xludf.DUMMYFUNCTION("IFERROR(VLOOKUP(A6494, IMPORTRANGE(""https://docs.google.com/spreadsheets/d/1-3Vjw2Cyy-mry5gbC8ypIR3YVGFfEpyFESummAta6sg/edit"", ""Sheet1!B:D""), 2, FALSE), ""Not Found"")"),"maɪld")</f>
        <v>maɪld</v>
      </c>
      <c r="E6494" s="2" t="str">
        <f>IFERROR(__xludf.DUMMYFUNCTION("IFERROR(VLOOKUP(A6494, IMPORTRANGE(""https://docs.google.com/spreadsheets/d/1-3Vjw2Cyy-mry5gbC8ypIR3YVGFfEpyFESummAta6sg/edit"", ""Sheet1!B:D""), 3, FALSE), ""Not Found"")"),"m a ɪ l d ")</f>
        <v>m a ɪ l d </v>
      </c>
    </row>
    <row r="6495">
      <c r="A6495" s="1" t="s">
        <v>6497</v>
      </c>
      <c r="B6495" s="1" t="s">
        <v>5</v>
      </c>
      <c r="C6495" s="2">
        <f>IFERROR(__xludf.DUMMYFUNCTION("IFERROR(VLOOKUP(A6495, IMPORTRANGE(""https://docs.google.com/spreadsheets/d/1AVX9GT0dgogEBStecCXMMQ29tWz3gBrtNB8yIromXbY/edit?gid=741673867"", ""out1g!A:B""), 2, FALSE), 0)"),420.0)</f>
        <v>420</v>
      </c>
      <c r="D6495" s="2" t="str">
        <f>IFERROR(__xludf.DUMMYFUNCTION("IFERROR(VLOOKUP(A6495, IMPORTRANGE(""https://docs.google.com/spreadsheets/d/1-3Vjw2Cyy-mry5gbC8ypIR3YVGFfEpyFESummAta6sg/edit"", ""Sheet1!B:D""), 2, FALSE), ""Not Found"")"),"kep")</f>
        <v>kep</v>
      </c>
      <c r="E6495" s="2" t="str">
        <f>IFERROR(__xludf.DUMMYFUNCTION("IFERROR(VLOOKUP(A6495, IMPORTRANGE(""https://docs.google.com/spreadsheets/d/1-3Vjw2Cyy-mry5gbC8ypIR3YVGFfEpyFESummAta6sg/edit"", ""Sheet1!B:D""), 3, FALSE), ""Not Found"")"),"k e p ")</f>
        <v>k e p </v>
      </c>
    </row>
    <row r="6496">
      <c r="A6496" s="1" t="s">
        <v>6498</v>
      </c>
      <c r="B6496" s="1" t="s">
        <v>5</v>
      </c>
      <c r="C6496" s="2">
        <f>IFERROR(__xludf.DUMMYFUNCTION("IFERROR(VLOOKUP(A6496, IMPORTRANGE(""https://docs.google.com/spreadsheets/d/1AVX9GT0dgogEBStecCXMMQ29tWz3gBrtNB8yIromXbY/edit?gid=741673867"", ""out1g!A:B""), 2, FALSE), 0)"),111.0)</f>
        <v>111</v>
      </c>
      <c r="D6496" s="2" t="str">
        <f>IFERROR(__xludf.DUMMYFUNCTION("IFERROR(VLOOKUP(A6496, IMPORTRANGE(""https://docs.google.com/spreadsheets/d/1-3Vjw2Cyy-mry5gbC8ypIR3YVGFfEpyFESummAta6sg/edit"", ""Sheet1!B:D""), 2, FALSE), ""Not Found"")"),"skɪd")</f>
        <v>skɪd</v>
      </c>
      <c r="E6496" s="2" t="str">
        <f>IFERROR(__xludf.DUMMYFUNCTION("IFERROR(VLOOKUP(A6496, IMPORTRANGE(""https://docs.google.com/spreadsheets/d/1-3Vjw2Cyy-mry5gbC8ypIR3YVGFfEpyFESummAta6sg/edit"", ""Sheet1!B:D""), 3, FALSE), ""Not Found"")"),"s k ɪ d ")</f>
        <v>s k ɪ d </v>
      </c>
    </row>
    <row r="6497">
      <c r="A6497" s="1" t="s">
        <v>6499</v>
      </c>
      <c r="B6497" s="1" t="s">
        <v>5</v>
      </c>
      <c r="C6497" s="2">
        <f>IFERROR(__xludf.DUMMYFUNCTION("IFERROR(VLOOKUP(A6497, IMPORTRANGE(""https://docs.google.com/spreadsheets/d/1AVX9GT0dgogEBStecCXMMQ29tWz3gBrtNB8yIromXbY/edit?gid=741673867"", ""out1g!A:B""), 2, FALSE), 0)"),1352.0)</f>
        <v>1352</v>
      </c>
      <c r="D6497" s="2" t="str">
        <f>IFERROR(__xludf.DUMMYFUNCTION("IFERROR(VLOOKUP(A6497, IMPORTRANGE(""https://docs.google.com/spreadsheets/d/1-3Vjw2Cyy-mry5gbC8ypIR3YVGFfEpyFESummAta6sg/edit"", ""Sheet1!B:D""), 2, FALSE), ""Not Found"")"),"sæli")</f>
        <v>sæli</v>
      </c>
      <c r="E6497" s="2" t="str">
        <f>IFERROR(__xludf.DUMMYFUNCTION("IFERROR(VLOOKUP(A6497, IMPORTRANGE(""https://docs.google.com/spreadsheets/d/1-3Vjw2Cyy-mry5gbC8ypIR3YVGFfEpyFESummAta6sg/edit"", ""Sheet1!B:D""), 3, FALSE), ""Not Found"")"),"s æ l i ")</f>
        <v>s æ l i </v>
      </c>
    </row>
    <row r="6498">
      <c r="A6498" s="1" t="s">
        <v>6500</v>
      </c>
      <c r="B6498" s="1" t="s">
        <v>5</v>
      </c>
      <c r="C6498" s="2">
        <f>IFERROR(__xludf.DUMMYFUNCTION("IFERROR(VLOOKUP(A6498, IMPORTRANGE(""https://docs.google.com/spreadsheets/d/1AVX9GT0dgogEBStecCXMMQ29tWz3gBrtNB8yIromXbY/edit?gid=741673867"", ""out1g!A:B""), 2, FALSE), 0)"),122.0)</f>
        <v>122</v>
      </c>
      <c r="D6498" s="2" t="str">
        <f>IFERROR(__xludf.DUMMYFUNCTION("IFERROR(VLOOKUP(A6498, IMPORTRANGE(""https://docs.google.com/spreadsheets/d/1-3Vjw2Cyy-mry5gbC8ypIR3YVGFfEpyFESummAta6sg/edit"", ""Sheet1!B:D""), 2, FALSE), ""Not Found"")"),"priʧ")</f>
        <v>priʧ</v>
      </c>
      <c r="E6498" s="2" t="str">
        <f>IFERROR(__xludf.DUMMYFUNCTION("IFERROR(VLOOKUP(A6498, IMPORTRANGE(""https://docs.google.com/spreadsheets/d/1-3Vjw2Cyy-mry5gbC8ypIR3YVGFfEpyFESummAta6sg/edit"", ""Sheet1!B:D""), 3, FALSE), ""Not Found"")"),"p r i ʧ ")</f>
        <v>p r i ʧ </v>
      </c>
    </row>
    <row r="6499">
      <c r="A6499" s="1" t="s">
        <v>6501</v>
      </c>
      <c r="B6499" s="1" t="s">
        <v>5</v>
      </c>
      <c r="C6499" s="2">
        <f>IFERROR(__xludf.DUMMYFUNCTION("IFERROR(VLOOKUP(A6499, IMPORTRANGE(""https://docs.google.com/spreadsheets/d/1AVX9GT0dgogEBStecCXMMQ29tWz3gBrtNB8yIromXbY/edit?gid=741673867"", ""out1g!A:B""), 2, FALSE), 0)"),33.0)</f>
        <v>33</v>
      </c>
      <c r="D6499" s="2" t="str">
        <f>IFERROR(__xludf.DUMMYFUNCTION("IFERROR(VLOOKUP(A6499, IMPORTRANGE(""https://docs.google.com/spreadsheets/d/1-3Vjw2Cyy-mry5gbC8ypIR3YVGFfEpyFESummAta6sg/edit"", ""Sheet1!B:D""), 2, FALSE), ""Not Found"")"),"faɪbər")</f>
        <v>faɪbər</v>
      </c>
      <c r="E6499" s="2" t="str">
        <f>IFERROR(__xludf.DUMMYFUNCTION("IFERROR(VLOOKUP(A6499, IMPORTRANGE(""https://docs.google.com/spreadsheets/d/1-3Vjw2Cyy-mry5gbC8ypIR3YVGFfEpyFESummAta6sg/edit"", ""Sheet1!B:D""), 3, FALSE), ""Not Found"")"),"f a ɪ b ə r ")</f>
        <v>f a ɪ b ə r </v>
      </c>
    </row>
    <row r="6500">
      <c r="A6500" s="1" t="s">
        <v>6502</v>
      </c>
      <c r="B6500" s="1" t="s">
        <v>5</v>
      </c>
      <c r="C6500" s="2">
        <f>IFERROR(__xludf.DUMMYFUNCTION("IFERROR(VLOOKUP(A6500, IMPORTRANGE(""https://docs.google.com/spreadsheets/d/1AVX9GT0dgogEBStecCXMMQ29tWz3gBrtNB8yIromXbY/edit?gid=741673867"", ""out1g!A:B""), 2, FALSE), 0)"),87.0)</f>
        <v>87</v>
      </c>
      <c r="D6500" s="2" t="str">
        <f>IFERROR(__xludf.DUMMYFUNCTION("IFERROR(VLOOKUP(A6500, IMPORTRANGE(""https://docs.google.com/spreadsheets/d/1-3Vjw2Cyy-mry5gbC8ypIR3YVGFfEpyFESummAta6sg/edit"", ""Sheet1!B:D""), 2, FALSE), ""Not Found"")"),"bɛliz")</f>
        <v>bɛliz</v>
      </c>
      <c r="E6500" s="2" t="str">
        <f>IFERROR(__xludf.DUMMYFUNCTION("IFERROR(VLOOKUP(A6500, IMPORTRANGE(""https://docs.google.com/spreadsheets/d/1-3Vjw2Cyy-mry5gbC8ypIR3YVGFfEpyFESummAta6sg/edit"", ""Sheet1!B:D""), 3, FALSE), ""Not Found"")"),"b ɛ l i z ")</f>
        <v>b ɛ l i z </v>
      </c>
    </row>
    <row r="6501">
      <c r="A6501" s="1" t="s">
        <v>6503</v>
      </c>
      <c r="B6501" s="1" t="s">
        <v>5</v>
      </c>
      <c r="C6501" s="2">
        <f>IFERROR(__xludf.DUMMYFUNCTION("IFERROR(VLOOKUP(A6501, IMPORTRANGE(""https://docs.google.com/spreadsheets/d/1AVX9GT0dgogEBStecCXMMQ29tWz3gBrtNB8yIromXbY/edit?gid=741673867"", ""out1g!A:B""), 2, FALSE), 0)"),16.0)</f>
        <v>16</v>
      </c>
      <c r="D6501" s="2" t="str">
        <f>IFERROR(__xludf.DUMMYFUNCTION("IFERROR(VLOOKUP(A6501, IMPORTRANGE(""https://docs.google.com/spreadsheets/d/1-3Vjw2Cyy-mry5gbC8ypIR3YVGFfEpyFESummAta6sg/edit"", ""Sheet1!B:D""), 2, FALSE), ""Not Found"")"),"fet")</f>
        <v>fet</v>
      </c>
      <c r="E6501" s="2" t="str">
        <f>IFERROR(__xludf.DUMMYFUNCTION("IFERROR(VLOOKUP(A6501, IMPORTRANGE(""https://docs.google.com/spreadsheets/d/1-3Vjw2Cyy-mry5gbC8ypIR3YVGFfEpyFESummAta6sg/edit"", ""Sheet1!B:D""), 3, FALSE), ""Not Found"")"),"f e t ")</f>
        <v>f e t </v>
      </c>
    </row>
    <row r="6502">
      <c r="A6502" s="1" t="s">
        <v>6504</v>
      </c>
      <c r="B6502" s="1" t="s">
        <v>5</v>
      </c>
      <c r="C6502" s="2">
        <f>IFERROR(__xludf.DUMMYFUNCTION("IFERROR(VLOOKUP(A6502, IMPORTRANGE(""https://docs.google.com/spreadsheets/d/1AVX9GT0dgogEBStecCXMMQ29tWz3gBrtNB8yIromXbY/edit?gid=741673867"", ""out1g!A:B""), 2, FALSE), 0)"),108.0)</f>
        <v>108</v>
      </c>
      <c r="D6502" s="2" t="str">
        <f>IFERROR(__xludf.DUMMYFUNCTION("IFERROR(VLOOKUP(A6502, IMPORTRANGE(""https://docs.google.com/spreadsheets/d/1-3Vjw2Cyy-mry5gbC8ypIR3YVGFfEpyFESummAta6sg/edit"", ""Sheet1!B:D""), 2, FALSE), ""Not Found"")"),"ærəbz")</f>
        <v>ærəbz</v>
      </c>
      <c r="E6502" s="2" t="str">
        <f>IFERROR(__xludf.DUMMYFUNCTION("IFERROR(VLOOKUP(A6502, IMPORTRANGE(""https://docs.google.com/spreadsheets/d/1-3Vjw2Cyy-mry5gbC8ypIR3YVGFfEpyFESummAta6sg/edit"", ""Sheet1!B:D""), 3, FALSE), ""Not Found"")"),"æ r ə b z ")</f>
        <v>æ r ə b z </v>
      </c>
    </row>
    <row r="6503">
      <c r="A6503" s="1" t="s">
        <v>6505</v>
      </c>
      <c r="B6503" s="1" t="s">
        <v>5</v>
      </c>
      <c r="C6503" s="2">
        <f>IFERROR(__xludf.DUMMYFUNCTION("IFERROR(VLOOKUP(A6503, IMPORTRANGE(""https://docs.google.com/spreadsheets/d/1AVX9GT0dgogEBStecCXMMQ29tWz3gBrtNB8yIromXbY/edit?gid=741673867"", ""out1g!A:B""), 2, FALSE), 0)"),109.0)</f>
        <v>109</v>
      </c>
      <c r="D6503" s="2" t="str">
        <f>IFERROR(__xludf.DUMMYFUNCTION("IFERROR(VLOOKUP(A6503, IMPORTRANGE(""https://docs.google.com/spreadsheets/d/1-3Vjw2Cyy-mry5gbC8ypIR3YVGFfEpyFESummAta6sg/edit"", ""Sheet1!B:D""), 2, FALSE), ""Not Found"")"),"spri")</f>
        <v>spri</v>
      </c>
      <c r="E6503" s="2" t="str">
        <f>IFERROR(__xludf.DUMMYFUNCTION("IFERROR(VLOOKUP(A6503, IMPORTRANGE(""https://docs.google.com/spreadsheets/d/1-3Vjw2Cyy-mry5gbC8ypIR3YVGFfEpyFESummAta6sg/edit"", ""Sheet1!B:D""), 3, FALSE), ""Not Found"")"),"s p r i ")</f>
        <v>s p r i </v>
      </c>
    </row>
    <row r="6504">
      <c r="A6504" s="1" t="s">
        <v>6506</v>
      </c>
      <c r="B6504" s="1" t="s">
        <v>5</v>
      </c>
      <c r="C6504" s="2">
        <f>IFERROR(__xludf.DUMMYFUNCTION("IFERROR(VLOOKUP(A6504, IMPORTRANGE(""https://docs.google.com/spreadsheets/d/1AVX9GT0dgogEBStecCXMMQ29tWz3gBrtNB8yIromXbY/edit?gid=741673867"", ""out1g!A:B""), 2, FALSE), 0)"),7970.0)</f>
        <v>7970</v>
      </c>
      <c r="D6504" s="2" t="str">
        <f>IFERROR(__xludf.DUMMYFUNCTION("IFERROR(VLOOKUP(A6504, IMPORTRANGE(""https://docs.google.com/spreadsheets/d/1-3Vjw2Cyy-mry5gbC8ypIR3YVGFfEpyFESummAta6sg/edit"", ""Sheet1!B:D""), 2, FALSE), ""Not Found"")"),"saʊnz")</f>
        <v>saʊnz</v>
      </c>
      <c r="E6504" s="2" t="str">
        <f>IFERROR(__xludf.DUMMYFUNCTION("IFERROR(VLOOKUP(A6504, IMPORTRANGE(""https://docs.google.com/spreadsheets/d/1-3Vjw2Cyy-mry5gbC8ypIR3YVGFfEpyFESummAta6sg/edit"", ""Sheet1!B:D""), 3, FALSE), ""Not Found"")"),"s a ʊ n z ")</f>
        <v>s a ʊ n z </v>
      </c>
    </row>
    <row r="6505">
      <c r="A6505" s="1" t="s">
        <v>6507</v>
      </c>
      <c r="B6505" s="1" t="s">
        <v>5</v>
      </c>
      <c r="C6505" s="2">
        <f>IFERROR(__xludf.DUMMYFUNCTION("IFERROR(VLOOKUP(A6505, IMPORTRANGE(""https://docs.google.com/spreadsheets/d/1AVX9GT0dgogEBStecCXMMQ29tWz3gBrtNB8yIromXbY/edit?gid=741673867"", ""out1g!A:B""), 2, FALSE), 0)"),1632.0)</f>
        <v>1632</v>
      </c>
      <c r="D6505" s="2" t="str">
        <f>IFERROR(__xludf.DUMMYFUNCTION("IFERROR(VLOOKUP(A6505, IMPORTRANGE(""https://docs.google.com/spreadsheets/d/1-3Vjw2Cyy-mry5gbC8ypIR3YVGFfEpyFESummAta6sg/edit"", ""Sheet1!B:D""), 2, FALSE), ""Not Found"")"),"ɪr")</f>
        <v>ɪr</v>
      </c>
      <c r="E6505" s="2" t="str">
        <f>IFERROR(__xludf.DUMMYFUNCTION("IFERROR(VLOOKUP(A6505, IMPORTRANGE(""https://docs.google.com/spreadsheets/d/1-3Vjw2Cyy-mry5gbC8ypIR3YVGFfEpyFESummAta6sg/edit"", ""Sheet1!B:D""), 3, FALSE), ""Not Found"")"),"ɪ r ")</f>
        <v>ɪ r </v>
      </c>
    </row>
    <row r="6506">
      <c r="A6506" s="1" t="s">
        <v>6508</v>
      </c>
      <c r="B6506" s="1" t="s">
        <v>5</v>
      </c>
      <c r="C6506" s="2">
        <f>IFERROR(__xludf.DUMMYFUNCTION("IFERROR(VLOOKUP(A6506, IMPORTRANGE(""https://docs.google.com/spreadsheets/d/1AVX9GT0dgogEBStecCXMMQ29tWz3gBrtNB8yIromXbY/edit?gid=741673867"", ""out1g!A:B""), 2, FALSE), 0)"),1266.0)</f>
        <v>1266</v>
      </c>
      <c r="D6506" s="2" t="str">
        <f>IFERROR(__xludf.DUMMYFUNCTION("IFERROR(VLOOKUP(A6506, IMPORTRANGE(""https://docs.google.com/spreadsheets/d/1-3Vjw2Cyy-mry5gbC8ypIR3YVGFfEpyFESummAta6sg/edit"", ""Sheet1!B:D""), 2, FALSE), ""Not Found"")"),"pɪlz")</f>
        <v>pɪlz</v>
      </c>
      <c r="E6506" s="2" t="str">
        <f>IFERROR(__xludf.DUMMYFUNCTION("IFERROR(VLOOKUP(A6506, IMPORTRANGE(""https://docs.google.com/spreadsheets/d/1-3Vjw2Cyy-mry5gbC8ypIR3YVGFfEpyFESummAta6sg/edit"", ""Sheet1!B:D""), 3, FALSE), ""Not Found"")"),"p ɪ l z ")</f>
        <v>p ɪ l z </v>
      </c>
    </row>
    <row r="6507">
      <c r="A6507" s="1" t="s">
        <v>6509</v>
      </c>
      <c r="B6507" s="1" t="s">
        <v>5</v>
      </c>
      <c r="C6507" s="2">
        <f>IFERROR(__xludf.DUMMYFUNCTION("IFERROR(VLOOKUP(A6507, IMPORTRANGE(""https://docs.google.com/spreadsheets/d/1AVX9GT0dgogEBStecCXMMQ29tWz3gBrtNB8yIromXbY/edit?gid=741673867"", ""out1g!A:B""), 2, FALSE), 0)"),859.0)</f>
        <v>859</v>
      </c>
      <c r="D6507" s="2" t="str">
        <f>IFERROR(__xludf.DUMMYFUNCTION("IFERROR(VLOOKUP(A6507, IMPORTRANGE(""https://docs.google.com/spreadsheets/d/1-3Vjw2Cyy-mry5gbC8ypIR3YVGFfEpyFESummAta6sg/edit"", ""Sheet1!B:D""), 2, FALSE), ""Not Found"")"),"tɔɪ")</f>
        <v>tɔɪ</v>
      </c>
      <c r="E6507" s="2" t="str">
        <f>IFERROR(__xludf.DUMMYFUNCTION("IFERROR(VLOOKUP(A6507, IMPORTRANGE(""https://docs.google.com/spreadsheets/d/1-3Vjw2Cyy-mry5gbC8ypIR3YVGFfEpyFESummAta6sg/edit"", ""Sheet1!B:D""), 3, FALSE), ""Not Found"")"),"t ɔ ɪ ")</f>
        <v>t ɔ ɪ </v>
      </c>
    </row>
    <row r="6508">
      <c r="A6508" s="1" t="s">
        <v>6510</v>
      </c>
      <c r="B6508" s="1" t="s">
        <v>5</v>
      </c>
      <c r="C6508" s="2">
        <f>IFERROR(__xludf.DUMMYFUNCTION("IFERROR(VLOOKUP(A6508, IMPORTRANGE(""https://docs.google.com/spreadsheets/d/1AVX9GT0dgogEBStecCXMMQ29tWz3gBrtNB8yIromXbY/edit?gid=741673867"", ""out1g!A:B""), 2, FALSE), 0)"),126.0)</f>
        <v>126</v>
      </c>
      <c r="D6508" s="2" t="str">
        <f>IFERROR(__xludf.DUMMYFUNCTION("IFERROR(VLOOKUP(A6508, IMPORTRANGE(""https://docs.google.com/spreadsheets/d/1-3Vjw2Cyy-mry5gbC8ypIR3YVGFfEpyFESummAta6sg/edit"", ""Sheet1!B:D""), 2, FALSE), ""Not Found"")"),"ʤɛm")</f>
        <v>ʤɛm</v>
      </c>
      <c r="E6508" s="2" t="str">
        <f>IFERROR(__xludf.DUMMYFUNCTION("IFERROR(VLOOKUP(A6508, IMPORTRANGE(""https://docs.google.com/spreadsheets/d/1-3Vjw2Cyy-mry5gbC8ypIR3YVGFfEpyFESummAta6sg/edit"", ""Sheet1!B:D""), 3, FALSE), ""Not Found"")"),"ʤ ɛ m ")</f>
        <v>ʤ ɛ m </v>
      </c>
    </row>
    <row r="6509">
      <c r="A6509" s="1" t="s">
        <v>6511</v>
      </c>
      <c r="B6509" s="1" t="s">
        <v>5</v>
      </c>
      <c r="C6509" s="2">
        <f>IFERROR(__xludf.DUMMYFUNCTION("IFERROR(VLOOKUP(A6509, IMPORTRANGE(""https://docs.google.com/spreadsheets/d/1AVX9GT0dgogEBStecCXMMQ29tWz3gBrtNB8yIromXbY/edit?gid=741673867"", ""out1g!A:B""), 2, FALSE), 0)"),125.0)</f>
        <v>125</v>
      </c>
      <c r="D6509" s="2" t="str">
        <f>IFERROR(__xludf.DUMMYFUNCTION("IFERROR(VLOOKUP(A6509, IMPORTRANGE(""https://docs.google.com/spreadsheets/d/1-3Vjw2Cyy-mry5gbC8ypIR3YVGFfEpyFESummAta6sg/edit"", ""Sheet1!B:D""), 2, FALSE), ""Not Found"")"),"rɪm")</f>
        <v>rɪm</v>
      </c>
      <c r="E6509" s="2" t="str">
        <f>IFERROR(__xludf.DUMMYFUNCTION("IFERROR(VLOOKUP(A6509, IMPORTRANGE(""https://docs.google.com/spreadsheets/d/1-3Vjw2Cyy-mry5gbC8ypIR3YVGFfEpyFESummAta6sg/edit"", ""Sheet1!B:D""), 3, FALSE), ""Not Found"")"),"r ɪ m ")</f>
        <v>r ɪ m </v>
      </c>
    </row>
    <row r="6510">
      <c r="A6510" s="1" t="s">
        <v>6512</v>
      </c>
      <c r="B6510" s="1" t="s">
        <v>5</v>
      </c>
      <c r="C6510" s="2">
        <f>IFERROR(__xludf.DUMMYFUNCTION("IFERROR(VLOOKUP(A6510, IMPORTRANGE(""https://docs.google.com/spreadsheets/d/1AVX9GT0dgogEBStecCXMMQ29tWz3gBrtNB8yIromXbY/edit?gid=741673867"", ""out1g!A:B""), 2, FALSE), 0)"),344.0)</f>
        <v>344</v>
      </c>
      <c r="D6510" s="2" t="str">
        <f>IFERROR(__xludf.DUMMYFUNCTION("IFERROR(VLOOKUP(A6510, IMPORTRANGE(""https://docs.google.com/spreadsheets/d/1-3Vjw2Cyy-mry5gbC8ypIR3YVGFfEpyFESummAta6sg/edit"", ""Sheet1!B:D""), 2, FALSE), ""Not Found"")"),"saɪk")</f>
        <v>saɪk</v>
      </c>
      <c r="E6510" s="2" t="str">
        <f>IFERROR(__xludf.DUMMYFUNCTION("IFERROR(VLOOKUP(A6510, IMPORTRANGE(""https://docs.google.com/spreadsheets/d/1-3Vjw2Cyy-mry5gbC8ypIR3YVGFfEpyFESummAta6sg/edit"", ""Sheet1!B:D""), 3, FALSE), ""Not Found"")"),"s a ɪ k ")</f>
        <v>s a ɪ k </v>
      </c>
    </row>
    <row r="6511">
      <c r="A6511" s="1" t="s">
        <v>6513</v>
      </c>
      <c r="B6511" s="1" t="s">
        <v>5</v>
      </c>
      <c r="C6511" s="2">
        <f>IFERROR(__xludf.DUMMYFUNCTION("IFERROR(VLOOKUP(A6511, IMPORTRANGE(""https://docs.google.com/spreadsheets/d/1AVX9GT0dgogEBStecCXMMQ29tWz3gBrtNB8yIromXbY/edit?gid=741673867"", ""out1g!A:B""), 2, FALSE), 0)"),770.0)</f>
        <v>770</v>
      </c>
      <c r="D6511" s="2" t="str">
        <f>IFERROR(__xludf.DUMMYFUNCTION("IFERROR(VLOOKUP(A6511, IMPORTRANGE(""https://docs.google.com/spreadsheets/d/1-3Vjw2Cyy-mry5gbC8ypIR3YVGFfEpyFESummAta6sg/edit"", ""Sheet1!B:D""), 2, FALSE), ""Not Found"")"),"twɪnz")</f>
        <v>twɪnz</v>
      </c>
      <c r="E6511" s="2" t="str">
        <f>IFERROR(__xludf.DUMMYFUNCTION("IFERROR(VLOOKUP(A6511, IMPORTRANGE(""https://docs.google.com/spreadsheets/d/1-3Vjw2Cyy-mry5gbC8ypIR3YVGFfEpyFESummAta6sg/edit"", ""Sheet1!B:D""), 3, FALSE), ""Not Found"")"),"t w ɪ n z ")</f>
        <v>t w ɪ n z </v>
      </c>
    </row>
    <row r="6512">
      <c r="A6512" s="1" t="s">
        <v>6514</v>
      </c>
      <c r="B6512" s="1" t="s">
        <v>5</v>
      </c>
      <c r="C6512" s="2">
        <f>IFERROR(__xludf.DUMMYFUNCTION("IFERROR(VLOOKUP(A6512, IMPORTRANGE(""https://docs.google.com/spreadsheets/d/1AVX9GT0dgogEBStecCXMMQ29tWz3gBrtNB8yIromXbY/edit?gid=741673867"", ""out1g!A:B""), 2, FALSE), 0)"),53.0)</f>
        <v>53</v>
      </c>
      <c r="D6512" s="2" t="str">
        <f>IFERROR(__xludf.DUMMYFUNCTION("IFERROR(VLOOKUP(A6512, IMPORTRANGE(""https://docs.google.com/spreadsheets/d/1-3Vjw2Cyy-mry5gbC8ypIR3YVGFfEpyFESummAta6sg/edit"", ""Sheet1!B:D""), 2, FALSE), ""Not Found"")"),"dɑd")</f>
        <v>dɑd</v>
      </c>
      <c r="E6512" s="2" t="str">
        <f>IFERROR(__xludf.DUMMYFUNCTION("IFERROR(VLOOKUP(A6512, IMPORTRANGE(""https://docs.google.com/spreadsheets/d/1-3Vjw2Cyy-mry5gbC8ypIR3YVGFfEpyFESummAta6sg/edit"", ""Sheet1!B:D""), 3, FALSE), ""Not Found"")"),"d ɑ d ")</f>
        <v>d ɑ d </v>
      </c>
    </row>
    <row r="6513">
      <c r="A6513" s="1" t="s">
        <v>6515</v>
      </c>
      <c r="B6513" s="1" t="s">
        <v>5</v>
      </c>
      <c r="C6513" s="2">
        <f>IFERROR(__xludf.DUMMYFUNCTION("IFERROR(VLOOKUP(A6513, IMPORTRANGE(""https://docs.google.com/spreadsheets/d/1AVX9GT0dgogEBStecCXMMQ29tWz3gBrtNB8yIromXbY/edit?gid=741673867"", ""out1g!A:B""), 2, FALSE), 0)"),3762.0)</f>
        <v>3762</v>
      </c>
      <c r="D6513" s="2" t="str">
        <f>IFERROR(__xludf.DUMMYFUNCTION("IFERROR(VLOOKUP(A6513, IMPORTRANGE(""https://docs.google.com/spreadsheets/d/1-3Vjw2Cyy-mry5gbC8ypIR3YVGFfEpyFESummAta6sg/edit"", ""Sheet1!B:D""), 2, FALSE), ""Not Found"")"),"grup")</f>
        <v>grup</v>
      </c>
      <c r="E6513" s="2" t="str">
        <f>IFERROR(__xludf.DUMMYFUNCTION("IFERROR(VLOOKUP(A6513, IMPORTRANGE(""https://docs.google.com/spreadsheets/d/1-3Vjw2Cyy-mry5gbC8ypIR3YVGFfEpyFESummAta6sg/edit"", ""Sheet1!B:D""), 3, FALSE), ""Not Found"")"),"g r u p ")</f>
        <v>g r u p </v>
      </c>
    </row>
    <row r="6514">
      <c r="A6514" s="1" t="s">
        <v>6516</v>
      </c>
      <c r="B6514" s="1" t="s">
        <v>5</v>
      </c>
      <c r="C6514" s="2">
        <f>IFERROR(__xludf.DUMMYFUNCTION("IFERROR(VLOOKUP(A6514, IMPORTRANGE(""https://docs.google.com/spreadsheets/d/1AVX9GT0dgogEBStecCXMMQ29tWz3gBrtNB8yIromXbY/edit?gid=741673867"", ""out1g!A:B""), 2, FALSE), 0)"),106.0)</f>
        <v>106</v>
      </c>
      <c r="D6514" s="2" t="str">
        <f>IFERROR(__xludf.DUMMYFUNCTION("IFERROR(VLOOKUP(A6514, IMPORTRANGE(""https://docs.google.com/spreadsheets/d/1-3Vjw2Cyy-mry5gbC8ypIR3YVGFfEpyFESummAta6sg/edit"", ""Sheet1!B:D""), 2, FALSE), ""Not Found"")"),"ʤɪŋ")</f>
        <v>ʤɪŋ</v>
      </c>
      <c r="E6514" s="2" t="str">
        <f>IFERROR(__xludf.DUMMYFUNCTION("IFERROR(VLOOKUP(A6514, IMPORTRANGE(""https://docs.google.com/spreadsheets/d/1-3Vjw2Cyy-mry5gbC8ypIR3YVGFfEpyFESummAta6sg/edit"", ""Sheet1!B:D""), 3, FALSE), ""Not Found"")"),"ʤ ɪ ŋ ")</f>
        <v>ʤ ɪ ŋ </v>
      </c>
    </row>
    <row r="6515">
      <c r="A6515" s="1" t="s">
        <v>6517</v>
      </c>
      <c r="B6515" s="1" t="s">
        <v>5</v>
      </c>
      <c r="C6515" s="2">
        <f>IFERROR(__xludf.DUMMYFUNCTION("IFERROR(VLOOKUP(A6515, IMPORTRANGE(""https://docs.google.com/spreadsheets/d/1AVX9GT0dgogEBStecCXMMQ29tWz3gBrtNB8yIromXbY/edit?gid=741673867"", ""out1g!A:B""), 2, FALSE), 0)"),1112.0)</f>
        <v>1112</v>
      </c>
      <c r="D6515" s="2" t="str">
        <f>IFERROR(__xludf.DUMMYFUNCTION("IFERROR(VLOOKUP(A6515, IMPORTRANGE(""https://docs.google.com/spreadsheets/d/1-3Vjw2Cyy-mry5gbC8ypIR3YVGFfEpyFESummAta6sg/edit"", ""Sheet1!B:D""), 2, FALSE), ""Not Found"")"),"bum")</f>
        <v>bum</v>
      </c>
      <c r="E6515" s="2" t="str">
        <f>IFERROR(__xludf.DUMMYFUNCTION("IFERROR(VLOOKUP(A6515, IMPORTRANGE(""https://docs.google.com/spreadsheets/d/1-3Vjw2Cyy-mry5gbC8ypIR3YVGFfEpyFESummAta6sg/edit"", ""Sheet1!B:D""), 3, FALSE), ""Not Found"")"),"b u m ")</f>
        <v>b u m </v>
      </c>
    </row>
    <row r="6516">
      <c r="A6516" s="1" t="s">
        <v>6518</v>
      </c>
      <c r="B6516" s="1" t="s">
        <v>5</v>
      </c>
      <c r="C6516" s="2">
        <f>IFERROR(__xludf.DUMMYFUNCTION("IFERROR(VLOOKUP(A6516, IMPORTRANGE(""https://docs.google.com/spreadsheets/d/1AVX9GT0dgogEBStecCXMMQ29tWz3gBrtNB8yIromXbY/edit?gid=741673867"", ""out1g!A:B""), 2, FALSE), 0)"),96.0)</f>
        <v>96</v>
      </c>
      <c r="D6516" s="2" t="str">
        <f>IFERROR(__xludf.DUMMYFUNCTION("IFERROR(VLOOKUP(A6516, IMPORTRANGE(""https://docs.google.com/spreadsheets/d/1-3Vjw2Cyy-mry5gbC8ypIR3YVGFfEpyFESummAta6sg/edit"", ""Sheet1!B:D""), 2, FALSE), ""Not Found"")"),"prɛpt")</f>
        <v>prɛpt</v>
      </c>
      <c r="E6516" s="2" t="str">
        <f>IFERROR(__xludf.DUMMYFUNCTION("IFERROR(VLOOKUP(A6516, IMPORTRANGE(""https://docs.google.com/spreadsheets/d/1-3Vjw2Cyy-mry5gbC8ypIR3YVGFfEpyFESummAta6sg/edit"", ""Sheet1!B:D""), 3, FALSE), ""Not Found"")"),"p r ɛ p t ")</f>
        <v>p r ɛ p t </v>
      </c>
    </row>
    <row r="6517">
      <c r="A6517" s="1" t="s">
        <v>6519</v>
      </c>
      <c r="B6517" s="1" t="s">
        <v>5</v>
      </c>
      <c r="C6517" s="2">
        <f>IFERROR(__xludf.DUMMYFUNCTION("IFERROR(VLOOKUP(A6517, IMPORTRANGE(""https://docs.google.com/spreadsheets/d/1AVX9GT0dgogEBStecCXMMQ29tWz3gBrtNB8yIromXbY/edit?gid=741673867"", ""out1g!A:B""), 2, FALSE), 0)"),4966.0)</f>
        <v>4966</v>
      </c>
      <c r="D6517" s="2" t="str">
        <f>IFERROR(__xludf.DUMMYFUNCTION("IFERROR(VLOOKUP(A6517, IMPORTRANGE(""https://docs.google.com/spreadsheets/d/1-3Vjw2Cyy-mry5gbC8ypIR3YVGFfEpyFESummAta6sg/edit"", ""Sheet1!B:D""), 2, FALSE), ""Not Found"")"),"re")</f>
        <v>re</v>
      </c>
      <c r="E6517" s="2" t="str">
        <f>IFERROR(__xludf.DUMMYFUNCTION("IFERROR(VLOOKUP(A6517, IMPORTRANGE(""https://docs.google.com/spreadsheets/d/1-3Vjw2Cyy-mry5gbC8ypIR3YVGFfEpyFESummAta6sg/edit"", ""Sheet1!B:D""), 3, FALSE), ""Not Found"")"),"r e ")</f>
        <v>r e </v>
      </c>
    </row>
    <row r="6518">
      <c r="A6518" s="1" t="s">
        <v>6520</v>
      </c>
      <c r="B6518" s="1" t="s">
        <v>5</v>
      </c>
      <c r="C6518" s="2">
        <f>IFERROR(__xludf.DUMMYFUNCTION("IFERROR(VLOOKUP(A6518, IMPORTRANGE(""https://docs.google.com/spreadsheets/d/1AVX9GT0dgogEBStecCXMMQ29tWz3gBrtNB8yIromXbY/edit?gid=741673867"", ""out1g!A:B""), 2, FALSE), 0)"),644.0)</f>
        <v>644</v>
      </c>
      <c r="D6518" s="2" t="str">
        <f>IFERROR(__xludf.DUMMYFUNCTION("IFERROR(VLOOKUP(A6518, IMPORTRANGE(""https://docs.google.com/spreadsheets/d/1-3Vjw2Cyy-mry5gbC8ypIR3YVGFfEpyFESummAta6sg/edit"", ""Sheet1!B:D""), 2, FALSE), ""Not Found"")"),"kɑn")</f>
        <v>kɑn</v>
      </c>
      <c r="E6518" s="2" t="str">
        <f>IFERROR(__xludf.DUMMYFUNCTION("IFERROR(VLOOKUP(A6518, IMPORTRANGE(""https://docs.google.com/spreadsheets/d/1-3Vjw2Cyy-mry5gbC8ypIR3YVGFfEpyFESummAta6sg/edit"", ""Sheet1!B:D""), 3, FALSE), ""Not Found"")"),"k ɑ n ")</f>
        <v>k ɑ n </v>
      </c>
    </row>
    <row r="6519">
      <c r="A6519" s="1" t="s">
        <v>6521</v>
      </c>
      <c r="B6519" s="1" t="s">
        <v>5</v>
      </c>
      <c r="C6519" s="2">
        <f>IFERROR(__xludf.DUMMYFUNCTION("IFERROR(VLOOKUP(A6519, IMPORTRANGE(""https://docs.google.com/spreadsheets/d/1AVX9GT0dgogEBStecCXMMQ29tWz3gBrtNB8yIromXbY/edit?gid=741673867"", ""out1g!A:B""), 2, FALSE), 0)"),674.0)</f>
        <v>674</v>
      </c>
      <c r="D6519" s="2" t="str">
        <f>IFERROR(__xludf.DUMMYFUNCTION("IFERROR(VLOOKUP(A6519, IMPORTRANGE(""https://docs.google.com/spreadsheets/d/1-3Vjw2Cyy-mry5gbC8ypIR3YVGFfEpyFESummAta6sg/edit"", ""Sheet1!B:D""), 2, FALSE), ""Not Found"")"),"tɔɪz")</f>
        <v>tɔɪz</v>
      </c>
      <c r="E6519" s="2" t="str">
        <f>IFERROR(__xludf.DUMMYFUNCTION("IFERROR(VLOOKUP(A6519, IMPORTRANGE(""https://docs.google.com/spreadsheets/d/1-3Vjw2Cyy-mry5gbC8ypIR3YVGFfEpyFESummAta6sg/edit"", ""Sheet1!B:D""), 3, FALSE), ""Not Found"")"),"t ɔ ɪ z ")</f>
        <v>t ɔ ɪ z </v>
      </c>
    </row>
    <row r="6520">
      <c r="A6520" s="1" t="s">
        <v>6522</v>
      </c>
      <c r="B6520" s="1" t="s">
        <v>5</v>
      </c>
      <c r="C6520" s="2">
        <f>IFERROR(__xludf.DUMMYFUNCTION("IFERROR(VLOOKUP(A6520, IMPORTRANGE(""https://docs.google.com/spreadsheets/d/1AVX9GT0dgogEBStecCXMMQ29tWz3gBrtNB8yIromXbY/edit?gid=741673867"", ""out1g!A:B""), 2, FALSE), 0)"),70.0)</f>
        <v>70</v>
      </c>
      <c r="D6520" s="2" t="str">
        <f>IFERROR(__xludf.DUMMYFUNCTION("IFERROR(VLOOKUP(A6520, IMPORTRANGE(""https://docs.google.com/spreadsheets/d/1-3Vjw2Cyy-mry5gbC8ypIR3YVGFfEpyFESummAta6sg/edit"", ""Sheet1!B:D""), 2, FALSE), ""Not Found"")"),"læps")</f>
        <v>læps</v>
      </c>
      <c r="E6520" s="2" t="str">
        <f>IFERROR(__xludf.DUMMYFUNCTION("IFERROR(VLOOKUP(A6520, IMPORTRANGE(""https://docs.google.com/spreadsheets/d/1-3Vjw2Cyy-mry5gbC8ypIR3YVGFfEpyFESummAta6sg/edit"", ""Sheet1!B:D""), 3, FALSE), ""Not Found"")"),"l æ p s ")</f>
        <v>l æ p s </v>
      </c>
    </row>
    <row r="6521">
      <c r="A6521" s="1" t="s">
        <v>6523</v>
      </c>
      <c r="B6521" s="1" t="s">
        <v>5</v>
      </c>
      <c r="C6521" s="2">
        <f>IFERROR(__xludf.DUMMYFUNCTION("IFERROR(VLOOKUP(A6521, IMPORTRANGE(""https://docs.google.com/spreadsheets/d/1AVX9GT0dgogEBStecCXMMQ29tWz3gBrtNB8yIromXbY/edit?gid=741673867"", ""out1g!A:B""), 2, FALSE), 0)"),54.0)</f>
        <v>54</v>
      </c>
      <c r="D6521" s="2" t="str">
        <f>IFERROR(__xludf.DUMMYFUNCTION("IFERROR(VLOOKUP(A6521, IMPORTRANGE(""https://docs.google.com/spreadsheets/d/1-3Vjw2Cyy-mry5gbC8ypIR3YVGFfEpyFESummAta6sg/edit"", ""Sheet1!B:D""), 2, FALSE), ""Not Found"")"),"edɪŋ")</f>
        <v>edɪŋ</v>
      </c>
      <c r="E6521" s="2" t="str">
        <f>IFERROR(__xludf.DUMMYFUNCTION("IFERROR(VLOOKUP(A6521, IMPORTRANGE(""https://docs.google.com/spreadsheets/d/1-3Vjw2Cyy-mry5gbC8ypIR3YVGFfEpyFESummAta6sg/edit"", ""Sheet1!B:D""), 3, FALSE), ""Not Found"")"),"e d ɪ ŋ ")</f>
        <v>e d ɪ ŋ </v>
      </c>
    </row>
    <row r="6522">
      <c r="A6522" s="1" t="s">
        <v>6524</v>
      </c>
      <c r="B6522" s="1" t="s">
        <v>5</v>
      </c>
      <c r="C6522" s="2">
        <f>IFERROR(__xludf.DUMMYFUNCTION("IFERROR(VLOOKUP(A6522, IMPORTRANGE(""https://docs.google.com/spreadsheets/d/1AVX9GT0dgogEBStecCXMMQ29tWz3gBrtNB8yIromXbY/edit?gid=741673867"", ""out1g!A:B""), 2, FALSE), 0)"),99.0)</f>
        <v>99</v>
      </c>
      <c r="D6522" s="2" t="str">
        <f>IFERROR(__xludf.DUMMYFUNCTION("IFERROR(VLOOKUP(A6522, IMPORTRANGE(""https://docs.google.com/spreadsheets/d/1-3Vjw2Cyy-mry5gbC8ypIR3YVGFfEpyFESummAta6sg/edit"", ""Sheet1!B:D""), 2, FALSE), ""Not Found"")"),"pədəl")</f>
        <v>pədəl</v>
      </c>
      <c r="E6522" s="2" t="str">
        <f>IFERROR(__xludf.DUMMYFUNCTION("IFERROR(VLOOKUP(A6522, IMPORTRANGE(""https://docs.google.com/spreadsheets/d/1-3Vjw2Cyy-mry5gbC8ypIR3YVGFfEpyFESummAta6sg/edit"", ""Sheet1!B:D""), 3, FALSE), ""Not Found"")"),"p ə d ə l ")</f>
        <v>p ə d ə l </v>
      </c>
    </row>
    <row r="6523">
      <c r="A6523" s="1" t="s">
        <v>6525</v>
      </c>
      <c r="B6523" s="1" t="s">
        <v>5</v>
      </c>
      <c r="C6523" s="2">
        <f>IFERROR(__xludf.DUMMYFUNCTION("IFERROR(VLOOKUP(A6523, IMPORTRANGE(""https://docs.google.com/spreadsheets/d/1AVX9GT0dgogEBStecCXMMQ29tWz3gBrtNB8yIromXbY/edit?gid=741673867"", ""out1g!A:B""), 2, FALSE), 0)"),1010.0)</f>
        <v>1010</v>
      </c>
      <c r="D6523" s="2" t="str">
        <f>IFERROR(__xludf.DUMMYFUNCTION("IFERROR(VLOOKUP(A6523, IMPORTRANGE(""https://docs.google.com/spreadsheets/d/1-3Vjw2Cyy-mry5gbC8ypIR3YVGFfEpyFESummAta6sg/edit"", ""Sheet1!B:D""), 2, FALSE), ""Not Found"")"),"mæsk")</f>
        <v>mæsk</v>
      </c>
      <c r="E6523" s="2" t="str">
        <f>IFERROR(__xludf.DUMMYFUNCTION("IFERROR(VLOOKUP(A6523, IMPORTRANGE(""https://docs.google.com/spreadsheets/d/1-3Vjw2Cyy-mry5gbC8ypIR3YVGFfEpyFESummAta6sg/edit"", ""Sheet1!B:D""), 3, FALSE), ""Not Found"")"),"m æ s k ")</f>
        <v>m æ s k </v>
      </c>
    </row>
    <row r="6524">
      <c r="A6524" s="1" t="s">
        <v>6526</v>
      </c>
      <c r="B6524" s="1" t="s">
        <v>5</v>
      </c>
      <c r="C6524" s="2">
        <f>IFERROR(__xludf.DUMMYFUNCTION("IFERROR(VLOOKUP(A6524, IMPORTRANGE(""https://docs.google.com/spreadsheets/d/1AVX9GT0dgogEBStecCXMMQ29tWz3gBrtNB8yIromXbY/edit?gid=741673867"", ""out1g!A:B""), 2, FALSE), 0)"),156.0)</f>
        <v>156</v>
      </c>
      <c r="D6524" s="2" t="str">
        <f>IFERROR(__xludf.DUMMYFUNCTION("IFERROR(VLOOKUP(A6524, IMPORTRANGE(""https://docs.google.com/spreadsheets/d/1-3Vjw2Cyy-mry5gbC8ypIR3YVGFfEpyFESummAta6sg/edit"", ""Sheet1!B:D""), 2, FALSE), ""Not Found"")"),"proʊz")</f>
        <v>proʊz</v>
      </c>
      <c r="E6524" s="2" t="str">
        <f>IFERROR(__xludf.DUMMYFUNCTION("IFERROR(VLOOKUP(A6524, IMPORTRANGE(""https://docs.google.com/spreadsheets/d/1-3Vjw2Cyy-mry5gbC8ypIR3YVGFfEpyFESummAta6sg/edit"", ""Sheet1!B:D""), 3, FALSE), ""Not Found"")"),"p r o ʊ z ")</f>
        <v>p r o ʊ z </v>
      </c>
    </row>
    <row r="6525">
      <c r="A6525" s="1" t="s">
        <v>6527</v>
      </c>
      <c r="B6525" s="1" t="s">
        <v>5</v>
      </c>
      <c r="C6525" s="2">
        <f>IFERROR(__xludf.DUMMYFUNCTION("IFERROR(VLOOKUP(A6525, IMPORTRANGE(""https://docs.google.com/spreadsheets/d/1AVX9GT0dgogEBStecCXMMQ29tWz3gBrtNB8yIromXbY/edit?gid=741673867"", ""out1g!A:B""), 2, FALSE), 0)"),1029.0)</f>
        <v>1029</v>
      </c>
      <c r="D6525" s="2" t="str">
        <f>IFERROR(__xludf.DUMMYFUNCTION("IFERROR(VLOOKUP(A6525, IMPORTRANGE(""https://docs.google.com/spreadsheets/d/1-3Vjw2Cyy-mry5gbC8ypIR3YVGFfEpyFESummAta6sg/edit"", ""Sheet1!B:D""), 2, FALSE), ""Not Found"")"),"bɔrd")</f>
        <v>bɔrd</v>
      </c>
      <c r="E6525" s="2" t="str">
        <f>IFERROR(__xludf.DUMMYFUNCTION("IFERROR(VLOOKUP(A6525, IMPORTRANGE(""https://docs.google.com/spreadsheets/d/1-3Vjw2Cyy-mry5gbC8ypIR3YVGFfEpyFESummAta6sg/edit"", ""Sheet1!B:D""), 3, FALSE), ""Not Found"")"),"b ɔ r d ")</f>
        <v>b ɔ r d </v>
      </c>
    </row>
    <row r="6526">
      <c r="A6526" s="1" t="s">
        <v>6528</v>
      </c>
      <c r="B6526" s="1" t="s">
        <v>5</v>
      </c>
      <c r="C6526" s="2">
        <f>IFERROR(__xludf.DUMMYFUNCTION("IFERROR(VLOOKUP(A6526, IMPORTRANGE(""https://docs.google.com/spreadsheets/d/1AVX9GT0dgogEBStecCXMMQ29tWz3gBrtNB8yIromXbY/edit?gid=741673867"", ""out1g!A:B""), 2, FALSE), 0)"),515.0)</f>
        <v>515</v>
      </c>
      <c r="D6526" s="2" t="str">
        <f>IFERROR(__xludf.DUMMYFUNCTION("IFERROR(VLOOKUP(A6526, IMPORTRANGE(""https://docs.google.com/spreadsheets/d/1-3Vjw2Cyy-mry5gbC8ypIR3YVGFfEpyFESummAta6sg/edit"", ""Sheet1!B:D""), 2, FALSE), ""Not Found"")"),"gləv")</f>
        <v>gləv</v>
      </c>
      <c r="E6526" s="2" t="str">
        <f>IFERROR(__xludf.DUMMYFUNCTION("IFERROR(VLOOKUP(A6526, IMPORTRANGE(""https://docs.google.com/spreadsheets/d/1-3Vjw2Cyy-mry5gbC8ypIR3YVGFfEpyFESummAta6sg/edit"", ""Sheet1!B:D""), 3, FALSE), ""Not Found"")"),"g l ə v ")</f>
        <v>g l ə v </v>
      </c>
    </row>
    <row r="6527">
      <c r="A6527" s="1" t="s">
        <v>6529</v>
      </c>
      <c r="B6527" s="1" t="s">
        <v>5</v>
      </c>
      <c r="C6527" s="2">
        <f>IFERROR(__xludf.DUMMYFUNCTION("IFERROR(VLOOKUP(A6527, IMPORTRANGE(""https://docs.google.com/spreadsheets/d/1AVX9GT0dgogEBStecCXMMQ29tWz3gBrtNB8yIromXbY/edit?gid=741673867"", ""out1g!A:B""), 2, FALSE), 0)"),123.0)</f>
        <v>123</v>
      </c>
      <c r="D6527" s="2" t="str">
        <f>IFERROR(__xludf.DUMMYFUNCTION("IFERROR(VLOOKUP(A6527, IMPORTRANGE(""https://docs.google.com/spreadsheets/d/1-3Vjw2Cyy-mry5gbC8ypIR3YVGFfEpyFESummAta6sg/edit"", ""Sheet1!B:D""), 2, FALSE), ""Not Found"")"),"əphoʊld")</f>
        <v>əphoʊld</v>
      </c>
      <c r="E6527" s="2" t="str">
        <f>IFERROR(__xludf.DUMMYFUNCTION("IFERROR(VLOOKUP(A6527, IMPORTRANGE(""https://docs.google.com/spreadsheets/d/1-3Vjw2Cyy-mry5gbC8ypIR3YVGFfEpyFESummAta6sg/edit"", ""Sheet1!B:D""), 3, FALSE), ""Not Found"")"),"ə p h o ʊ l d ")</f>
        <v>ə p h o ʊ l d </v>
      </c>
    </row>
    <row r="6528">
      <c r="A6528" s="1" t="s">
        <v>6530</v>
      </c>
      <c r="B6528" s="1" t="s">
        <v>5</v>
      </c>
      <c r="C6528" s="2">
        <f>IFERROR(__xludf.DUMMYFUNCTION("IFERROR(VLOOKUP(A6528, IMPORTRANGE(""https://docs.google.com/spreadsheets/d/1AVX9GT0dgogEBStecCXMMQ29tWz3gBrtNB8yIromXbY/edit?gid=741673867"", ""out1g!A:B""), 2, FALSE), 0)"),53.0)</f>
        <v>53</v>
      </c>
      <c r="D6528" s="2" t="str">
        <f>IFERROR(__xludf.DUMMYFUNCTION("IFERROR(VLOOKUP(A6528, IMPORTRANGE(""https://docs.google.com/spreadsheets/d/1-3Vjw2Cyy-mry5gbC8ypIR3YVGFfEpyFESummAta6sg/edit"", ""Sheet1!B:D""), 2, FALSE), ""Not Found"")"),"faɪf")</f>
        <v>faɪf</v>
      </c>
      <c r="E6528" s="2" t="str">
        <f>IFERROR(__xludf.DUMMYFUNCTION("IFERROR(VLOOKUP(A6528, IMPORTRANGE(""https://docs.google.com/spreadsheets/d/1-3Vjw2Cyy-mry5gbC8ypIR3YVGFfEpyFESummAta6sg/edit"", ""Sheet1!B:D""), 3, FALSE), ""Not Found"")"),"f a ɪ f ")</f>
        <v>f a ɪ f </v>
      </c>
    </row>
    <row r="6529">
      <c r="A6529" s="1" t="s">
        <v>6531</v>
      </c>
      <c r="B6529" s="1" t="s">
        <v>5</v>
      </c>
      <c r="C6529" s="2">
        <f>IFERROR(__xludf.DUMMYFUNCTION("IFERROR(VLOOKUP(A6529, IMPORTRANGE(""https://docs.google.com/spreadsheets/d/1AVX9GT0dgogEBStecCXMMQ29tWz3gBrtNB8yIromXbY/edit?gid=741673867"", ""out1g!A:B""), 2, FALSE), 0)"),1213.0)</f>
        <v>1213</v>
      </c>
      <c r="D6529" s="2" t="str">
        <f>IFERROR(__xludf.DUMMYFUNCTION("IFERROR(VLOOKUP(A6529, IMPORTRANGE(""https://docs.google.com/spreadsheets/d/1-3Vjw2Cyy-mry5gbC8ypIR3YVGFfEpyFESummAta6sg/edit"", ""Sheet1!B:D""), 2, FALSE), ""Not Found"")"),"ʃɑrp")</f>
        <v>ʃɑrp</v>
      </c>
      <c r="E6529" s="2" t="str">
        <f>IFERROR(__xludf.DUMMYFUNCTION("IFERROR(VLOOKUP(A6529, IMPORTRANGE(""https://docs.google.com/spreadsheets/d/1-3Vjw2Cyy-mry5gbC8ypIR3YVGFfEpyFESummAta6sg/edit"", ""Sheet1!B:D""), 3, FALSE), ""Not Found"")"),"ʃ ɑ r p ")</f>
        <v>ʃ ɑ r p </v>
      </c>
    </row>
    <row r="6530">
      <c r="A6530" s="1" t="s">
        <v>6532</v>
      </c>
      <c r="B6530" s="1" t="s">
        <v>5</v>
      </c>
      <c r="C6530" s="2">
        <f>IFERROR(__xludf.DUMMYFUNCTION("IFERROR(VLOOKUP(A6530, IMPORTRANGE(""https://docs.google.com/spreadsheets/d/1AVX9GT0dgogEBStecCXMMQ29tWz3gBrtNB8yIromXbY/edit?gid=741673867"", ""out1g!A:B""), 2, FALSE), 0)"),864.0)</f>
        <v>864</v>
      </c>
      <c r="D6530" s="2" t="str">
        <f>IFERROR(__xludf.DUMMYFUNCTION("IFERROR(VLOOKUP(A6530, IMPORTRANGE(""https://docs.google.com/spreadsheets/d/1-3Vjw2Cyy-mry5gbC8ypIR3YVGFfEpyFESummAta6sg/edit"", ""Sheet1!B:D""), 2, FALSE), ""Not Found"")"),"nebər")</f>
        <v>nebər</v>
      </c>
      <c r="E6530" s="2" t="str">
        <f>IFERROR(__xludf.DUMMYFUNCTION("IFERROR(VLOOKUP(A6530, IMPORTRANGE(""https://docs.google.com/spreadsheets/d/1-3Vjw2Cyy-mry5gbC8ypIR3YVGFfEpyFESummAta6sg/edit"", ""Sheet1!B:D""), 3, FALSE), ""Not Found"")"),"n e b ə r ")</f>
        <v>n e b ə r </v>
      </c>
    </row>
    <row r="6531">
      <c r="A6531" s="1" t="s">
        <v>6533</v>
      </c>
      <c r="B6531" s="1" t="s">
        <v>5</v>
      </c>
      <c r="C6531" s="2">
        <f>IFERROR(__xludf.DUMMYFUNCTION("IFERROR(VLOOKUP(A6531, IMPORTRANGE(""https://docs.google.com/spreadsheets/d/1AVX9GT0dgogEBStecCXMMQ29tWz3gBrtNB8yIromXbY/edit?gid=741673867"", ""out1g!A:B""), 2, FALSE), 0)"),215.0)</f>
        <v>215</v>
      </c>
      <c r="D6531" s="2" t="str">
        <f>IFERROR(__xludf.DUMMYFUNCTION("IFERROR(VLOOKUP(A6531, IMPORTRANGE(""https://docs.google.com/spreadsheets/d/1-3Vjw2Cyy-mry5gbC8ypIR3YVGFfEpyFESummAta6sg/edit"", ""Sheet1!B:D""), 2, FALSE), ""Not Found"")"),"doʊnət")</f>
        <v>doʊnət</v>
      </c>
      <c r="E6531" s="2" t="str">
        <f>IFERROR(__xludf.DUMMYFUNCTION("IFERROR(VLOOKUP(A6531, IMPORTRANGE(""https://docs.google.com/spreadsheets/d/1-3Vjw2Cyy-mry5gbC8ypIR3YVGFfEpyFESummAta6sg/edit"", ""Sheet1!B:D""), 3, FALSE), ""Not Found"")"),"d o ʊ n ə t ")</f>
        <v>d o ʊ n ə t </v>
      </c>
    </row>
    <row r="6532">
      <c r="A6532" s="1" t="s">
        <v>6534</v>
      </c>
      <c r="B6532" s="1" t="s">
        <v>5</v>
      </c>
      <c r="C6532" s="2">
        <f>IFERROR(__xludf.DUMMYFUNCTION("IFERROR(VLOOKUP(A6532, IMPORTRANGE(""https://docs.google.com/spreadsheets/d/1AVX9GT0dgogEBStecCXMMQ29tWz3gBrtNB8yIromXbY/edit?gid=741673867"", ""out1g!A:B""), 2, FALSE), 0)"),116.0)</f>
        <v>116</v>
      </c>
      <c r="D6532" s="2" t="str">
        <f>IFERROR(__xludf.DUMMYFUNCTION("IFERROR(VLOOKUP(A6532, IMPORTRANGE(""https://docs.google.com/spreadsheets/d/1-3Vjw2Cyy-mry5gbC8ypIR3YVGFfEpyFESummAta6sg/edit"", ""Sheet1!B:D""), 2, FALSE), ""Not Found"")"),"ɪʧi")</f>
        <v>ɪʧi</v>
      </c>
      <c r="E6532" s="2" t="str">
        <f>IFERROR(__xludf.DUMMYFUNCTION("IFERROR(VLOOKUP(A6532, IMPORTRANGE(""https://docs.google.com/spreadsheets/d/1-3Vjw2Cyy-mry5gbC8ypIR3YVGFfEpyFESummAta6sg/edit"", ""Sheet1!B:D""), 3, FALSE), ""Not Found"")"),"ɪ ʧ i ")</f>
        <v>ɪ ʧ i </v>
      </c>
    </row>
    <row r="6533">
      <c r="A6533" s="1" t="s">
        <v>6535</v>
      </c>
      <c r="B6533" s="1" t="s">
        <v>5</v>
      </c>
      <c r="C6533" s="2">
        <f>IFERROR(__xludf.DUMMYFUNCTION("IFERROR(VLOOKUP(A6533, IMPORTRANGE(""https://docs.google.com/spreadsheets/d/1AVX9GT0dgogEBStecCXMMQ29tWz3gBrtNB8yIromXbY/edit?gid=741673867"", ""out1g!A:B""), 2, FALSE), 0)"),6223.0)</f>
        <v>6223</v>
      </c>
      <c r="D6533" s="2" t="str">
        <f>IFERROR(__xludf.DUMMYFUNCTION("IFERROR(VLOOKUP(A6533, IMPORTRANGE(""https://docs.google.com/spreadsheets/d/1-3Vjw2Cyy-mry5gbC8ypIR3YVGFfEpyFESummAta6sg/edit"", ""Sheet1!B:D""), 2, FALSE), ""Not Found"")"),"wərdz")</f>
        <v>wərdz</v>
      </c>
      <c r="E6533" s="2" t="str">
        <f>IFERROR(__xludf.DUMMYFUNCTION("IFERROR(VLOOKUP(A6533, IMPORTRANGE(""https://docs.google.com/spreadsheets/d/1-3Vjw2Cyy-mry5gbC8ypIR3YVGFfEpyFESummAta6sg/edit"", ""Sheet1!B:D""), 3, FALSE), ""Not Found"")"),"w ə r d z ")</f>
        <v>w ə r d z </v>
      </c>
    </row>
    <row r="6534">
      <c r="A6534" s="1" t="s">
        <v>6536</v>
      </c>
      <c r="B6534" s="1" t="s">
        <v>5</v>
      </c>
      <c r="C6534" s="2">
        <f>IFERROR(__xludf.DUMMYFUNCTION("IFERROR(VLOOKUP(A6534, IMPORTRANGE(""https://docs.google.com/spreadsheets/d/1AVX9GT0dgogEBStecCXMMQ29tWz3gBrtNB8yIromXbY/edit?gid=741673867"", ""out1g!A:B""), 2, FALSE), 0)"),5989.0)</f>
        <v>5989</v>
      </c>
      <c r="D6534" s="2" t="str">
        <f>IFERROR(__xludf.DUMMYFUNCTION("IFERROR(VLOOKUP(A6534, IMPORTRANGE(""https://docs.google.com/spreadsheets/d/1-3Vjw2Cyy-mry5gbC8ypIR3YVGFfEpyFESummAta6sg/edit"", ""Sheet1!B:D""), 2, FALSE), ""Not Found"")"),"faɪnəli")</f>
        <v>faɪnəli</v>
      </c>
      <c r="E6534" s="2" t="str">
        <f>IFERROR(__xludf.DUMMYFUNCTION("IFERROR(VLOOKUP(A6534, IMPORTRANGE(""https://docs.google.com/spreadsheets/d/1-3Vjw2Cyy-mry5gbC8ypIR3YVGFfEpyFESummAta6sg/edit"", ""Sheet1!B:D""), 3, FALSE), ""Not Found"")"),"f a ɪ n ə l i ")</f>
        <v>f a ɪ n ə l i </v>
      </c>
    </row>
    <row r="6535">
      <c r="A6535" s="1" t="s">
        <v>6537</v>
      </c>
      <c r="B6535" s="1" t="s">
        <v>5</v>
      </c>
      <c r="C6535" s="2">
        <f>IFERROR(__xludf.DUMMYFUNCTION("IFERROR(VLOOKUP(A6535, IMPORTRANGE(""https://docs.google.com/spreadsheets/d/1AVX9GT0dgogEBStecCXMMQ29tWz3gBrtNB8yIromXbY/edit?gid=741673867"", ""out1g!A:B""), 2, FALSE), 0)"),102.0)</f>
        <v>102</v>
      </c>
      <c r="D6535" s="2" t="str">
        <f>IFERROR(__xludf.DUMMYFUNCTION("IFERROR(VLOOKUP(A6535, IMPORTRANGE(""https://docs.google.com/spreadsheets/d/1-3Vjw2Cyy-mry5gbC8ypIR3YVGFfEpyFESummAta6sg/edit"", ""Sheet1!B:D""), 2, FALSE), ""Not Found"")"),"duks")</f>
        <v>duks</v>
      </c>
      <c r="E6535" s="2" t="str">
        <f>IFERROR(__xludf.DUMMYFUNCTION("IFERROR(VLOOKUP(A6535, IMPORTRANGE(""https://docs.google.com/spreadsheets/d/1-3Vjw2Cyy-mry5gbC8ypIR3YVGFfEpyFESummAta6sg/edit"", ""Sheet1!B:D""), 3, FALSE), ""Not Found"")"),"d u k s ")</f>
        <v>d u k s </v>
      </c>
    </row>
    <row r="6536">
      <c r="A6536" s="1" t="s">
        <v>6538</v>
      </c>
      <c r="B6536" s="1" t="s">
        <v>5</v>
      </c>
      <c r="C6536" s="2">
        <f>IFERROR(__xludf.DUMMYFUNCTION("IFERROR(VLOOKUP(A6536, IMPORTRANGE(""https://docs.google.com/spreadsheets/d/1AVX9GT0dgogEBStecCXMMQ29tWz3gBrtNB8yIromXbY/edit?gid=741673867"", ""out1g!A:B""), 2, FALSE), 0)"),251.0)</f>
        <v>251</v>
      </c>
      <c r="D6536" s="2" t="str">
        <f>IFERROR(__xludf.DUMMYFUNCTION("IFERROR(VLOOKUP(A6536, IMPORTRANGE(""https://docs.google.com/spreadsheets/d/1-3Vjw2Cyy-mry5gbC8ypIR3YVGFfEpyFESummAta6sg/edit"", ""Sheet1!B:D""), 2, FALSE), ""Not Found"")"),"smaɪld")</f>
        <v>smaɪld</v>
      </c>
      <c r="E6536" s="2" t="str">
        <f>IFERROR(__xludf.DUMMYFUNCTION("IFERROR(VLOOKUP(A6536, IMPORTRANGE(""https://docs.google.com/spreadsheets/d/1-3Vjw2Cyy-mry5gbC8ypIR3YVGFfEpyFESummAta6sg/edit"", ""Sheet1!B:D""), 3, FALSE), ""Not Found"")"),"s m a ɪ l d ")</f>
        <v>s m a ɪ l d </v>
      </c>
    </row>
    <row r="6537">
      <c r="A6537" s="1" t="s">
        <v>6539</v>
      </c>
      <c r="B6537" s="1" t="s">
        <v>5</v>
      </c>
      <c r="C6537" s="2">
        <f>IFERROR(__xludf.DUMMYFUNCTION("IFERROR(VLOOKUP(A6537, IMPORTRANGE(""https://docs.google.com/spreadsheets/d/1AVX9GT0dgogEBStecCXMMQ29tWz3gBrtNB8yIromXbY/edit?gid=741673867"", ""out1g!A:B""), 2, FALSE), 0)"),165.0)</f>
        <v>165</v>
      </c>
      <c r="D6537" s="2" t="str">
        <f>IFERROR(__xludf.DUMMYFUNCTION("IFERROR(VLOOKUP(A6537, IMPORTRANGE(""https://docs.google.com/spreadsheets/d/1-3Vjw2Cyy-mry5gbC8ypIR3YVGFfEpyFESummAta6sg/edit"", ""Sheet1!B:D""), 2, FALSE), ""Not Found"")"),"gɑrθ")</f>
        <v>gɑrθ</v>
      </c>
      <c r="E6537" s="2" t="str">
        <f>IFERROR(__xludf.DUMMYFUNCTION("IFERROR(VLOOKUP(A6537, IMPORTRANGE(""https://docs.google.com/spreadsheets/d/1-3Vjw2Cyy-mry5gbC8ypIR3YVGFfEpyFESummAta6sg/edit"", ""Sheet1!B:D""), 3, FALSE), ""Not Found"")"),"g ɑ r θ ")</f>
        <v>g ɑ r θ </v>
      </c>
    </row>
    <row r="6538">
      <c r="A6538" s="1" t="s">
        <v>6540</v>
      </c>
      <c r="B6538" s="1" t="s">
        <v>5</v>
      </c>
      <c r="C6538" s="2">
        <f>IFERROR(__xludf.DUMMYFUNCTION("IFERROR(VLOOKUP(A6538, IMPORTRANGE(""https://docs.google.com/spreadsheets/d/1AVX9GT0dgogEBStecCXMMQ29tWz3gBrtNB8yIromXbY/edit?gid=741673867"", ""out1g!A:B""), 2, FALSE), 0)"),147.0)</f>
        <v>147</v>
      </c>
      <c r="D6538" s="2" t="str">
        <f>IFERROR(__xludf.DUMMYFUNCTION("IFERROR(VLOOKUP(A6538, IMPORTRANGE(""https://docs.google.com/spreadsheets/d/1-3Vjw2Cyy-mry5gbC8ypIR3YVGFfEpyFESummAta6sg/edit"", ""Sheet1!B:D""), 2, FALSE), ""Not Found"")"),"pək")</f>
        <v>pək</v>
      </c>
      <c r="E6538" s="2" t="str">
        <f>IFERROR(__xludf.DUMMYFUNCTION("IFERROR(VLOOKUP(A6538, IMPORTRANGE(""https://docs.google.com/spreadsheets/d/1-3Vjw2Cyy-mry5gbC8ypIR3YVGFfEpyFESummAta6sg/edit"", ""Sheet1!B:D""), 3, FALSE), ""Not Found"")"),"p ə k ")</f>
        <v>p ə k </v>
      </c>
    </row>
    <row r="6539">
      <c r="A6539" s="1" t="s">
        <v>6541</v>
      </c>
      <c r="B6539" s="1" t="s">
        <v>5</v>
      </c>
      <c r="C6539" s="2">
        <f>IFERROR(__xludf.DUMMYFUNCTION("IFERROR(VLOOKUP(A6539, IMPORTRANGE(""https://docs.google.com/spreadsheets/d/1AVX9GT0dgogEBStecCXMMQ29tWz3gBrtNB8yIromXbY/edit?gid=741673867"", ""out1g!A:B""), 2, FALSE), 0)"),307.0)</f>
        <v>307</v>
      </c>
      <c r="D6539" s="2" t="str">
        <f>IFERROR(__xludf.DUMMYFUNCTION("IFERROR(VLOOKUP(A6539, IMPORTRANGE(""https://docs.google.com/spreadsheets/d/1-3Vjw2Cyy-mry5gbC8ypIR3YVGFfEpyFESummAta6sg/edit"", ""Sheet1!B:D""), 2, FALSE), ""Not Found"")"),"rəʃɪŋ")</f>
        <v>rəʃɪŋ</v>
      </c>
      <c r="E6539" s="2" t="str">
        <f>IFERROR(__xludf.DUMMYFUNCTION("IFERROR(VLOOKUP(A6539, IMPORTRANGE(""https://docs.google.com/spreadsheets/d/1-3Vjw2Cyy-mry5gbC8ypIR3YVGFfEpyFESummAta6sg/edit"", ""Sheet1!B:D""), 3, FALSE), ""Not Found"")"),"r ə ʃ ɪ ŋ ")</f>
        <v>r ə ʃ ɪ ŋ </v>
      </c>
    </row>
    <row r="6540">
      <c r="A6540" s="1" t="s">
        <v>6542</v>
      </c>
      <c r="B6540" s="1" t="s">
        <v>5</v>
      </c>
      <c r="C6540" s="2">
        <f>IFERROR(__xludf.DUMMYFUNCTION("IFERROR(VLOOKUP(A6540, IMPORTRANGE(""https://docs.google.com/spreadsheets/d/1AVX9GT0dgogEBStecCXMMQ29tWz3gBrtNB8yIromXbY/edit?gid=741673867"", ""out1g!A:B""), 2, FALSE), 0)"),66.0)</f>
        <v>66</v>
      </c>
      <c r="D6540" s="2" t="str">
        <f>IFERROR(__xludf.DUMMYFUNCTION("IFERROR(VLOOKUP(A6540, IMPORTRANGE(""https://docs.google.com/spreadsheets/d/1-3Vjw2Cyy-mry5gbC8ypIR3YVGFfEpyFESummAta6sg/edit"", ""Sheet1!B:D""), 2, FALSE), ""Not Found"")"),"kərvz")</f>
        <v>kərvz</v>
      </c>
      <c r="E6540" s="2" t="str">
        <f>IFERROR(__xludf.DUMMYFUNCTION("IFERROR(VLOOKUP(A6540, IMPORTRANGE(""https://docs.google.com/spreadsheets/d/1-3Vjw2Cyy-mry5gbC8ypIR3YVGFfEpyFESummAta6sg/edit"", ""Sheet1!B:D""), 3, FALSE), ""Not Found"")"),"k ə r v z ")</f>
        <v>k ə r v z </v>
      </c>
    </row>
    <row r="6541">
      <c r="A6541" s="1" t="s">
        <v>6543</v>
      </c>
      <c r="B6541" s="1" t="s">
        <v>5</v>
      </c>
      <c r="C6541" s="2">
        <f>IFERROR(__xludf.DUMMYFUNCTION("IFERROR(VLOOKUP(A6541, IMPORTRANGE(""https://docs.google.com/spreadsheets/d/1AVX9GT0dgogEBStecCXMMQ29tWz3gBrtNB8yIromXbY/edit?gid=741673867"", ""out1g!A:B""), 2, FALSE), 0)"),63.0)</f>
        <v>63</v>
      </c>
      <c r="D6541" s="2" t="str">
        <f>IFERROR(__xludf.DUMMYFUNCTION("IFERROR(VLOOKUP(A6541, IMPORTRANGE(""https://docs.google.com/spreadsheets/d/1-3Vjw2Cyy-mry5gbC8ypIR3YVGFfEpyFESummAta6sg/edit"", ""Sheet1!B:D""), 2, FALSE), ""Not Found"")"),"boʊnə")</f>
        <v>boʊnə</v>
      </c>
      <c r="E6541" s="2" t="str">
        <f>IFERROR(__xludf.DUMMYFUNCTION("IFERROR(VLOOKUP(A6541, IMPORTRANGE(""https://docs.google.com/spreadsheets/d/1-3Vjw2Cyy-mry5gbC8ypIR3YVGFfEpyFESummAta6sg/edit"", ""Sheet1!B:D""), 3, FALSE), ""Not Found"")"),"b o ʊ n ə ")</f>
        <v>b o ʊ n ə </v>
      </c>
    </row>
    <row r="6542">
      <c r="A6542" s="1" t="s">
        <v>6544</v>
      </c>
      <c r="B6542" s="1" t="s">
        <v>5</v>
      </c>
      <c r="C6542" s="2">
        <f>IFERROR(__xludf.DUMMYFUNCTION("IFERROR(VLOOKUP(A6542, IMPORTRANGE(""https://docs.google.com/spreadsheets/d/1AVX9GT0dgogEBStecCXMMQ29tWz3gBrtNB8yIromXbY/edit?gid=741673867"", ""out1g!A:B""), 2, FALSE), 0)"),54.0)</f>
        <v>54</v>
      </c>
      <c r="D6542" s="2" t="str">
        <f>IFERROR(__xludf.DUMMYFUNCTION("IFERROR(VLOOKUP(A6542, IMPORTRANGE(""https://docs.google.com/spreadsheets/d/1-3Vjw2Cyy-mry5gbC8ypIR3YVGFfEpyFESummAta6sg/edit"", ""Sheet1!B:D""), 2, FALSE), ""Not Found"")"),"stɛd")</f>
        <v>stɛd</v>
      </c>
      <c r="E6542" s="2" t="str">
        <f>IFERROR(__xludf.DUMMYFUNCTION("IFERROR(VLOOKUP(A6542, IMPORTRANGE(""https://docs.google.com/spreadsheets/d/1-3Vjw2Cyy-mry5gbC8ypIR3YVGFfEpyFESummAta6sg/edit"", ""Sheet1!B:D""), 3, FALSE), ""Not Found"")"),"s t ɛ d ")</f>
        <v>s t ɛ d </v>
      </c>
    </row>
    <row r="6543">
      <c r="A6543" s="1" t="s">
        <v>6545</v>
      </c>
      <c r="B6543" s="1" t="s">
        <v>5</v>
      </c>
      <c r="C6543" s="2">
        <f>IFERROR(__xludf.DUMMYFUNCTION("IFERROR(VLOOKUP(A6543, IMPORTRANGE(""https://docs.google.com/spreadsheets/d/1AVX9GT0dgogEBStecCXMMQ29tWz3gBrtNB8yIromXbY/edit?gid=741673867"", ""out1g!A:B""), 2, FALSE), 0)"),599.0)</f>
        <v>599</v>
      </c>
      <c r="D6543" s="2" t="str">
        <f>IFERROR(__xludf.DUMMYFUNCTION("IFERROR(VLOOKUP(A6543, IMPORTRANGE(""https://docs.google.com/spreadsheets/d/1-3Vjw2Cyy-mry5gbC8ypIR3YVGFfEpyFESummAta6sg/edit"", ""Sheet1!B:D""), 2, FALSE), ""Not Found"")"),"klaʊd")</f>
        <v>klaʊd</v>
      </c>
      <c r="E6543" s="2" t="str">
        <f>IFERROR(__xludf.DUMMYFUNCTION("IFERROR(VLOOKUP(A6543, IMPORTRANGE(""https://docs.google.com/spreadsheets/d/1-3Vjw2Cyy-mry5gbC8ypIR3YVGFfEpyFESummAta6sg/edit"", ""Sheet1!B:D""), 3, FALSE), ""Not Found"")"),"k l a ʊ d ")</f>
        <v>k l a ʊ d </v>
      </c>
    </row>
    <row r="6544">
      <c r="A6544" s="1" t="s">
        <v>6546</v>
      </c>
      <c r="B6544" s="1" t="s">
        <v>5</v>
      </c>
      <c r="C6544" s="2">
        <f>IFERROR(__xludf.DUMMYFUNCTION("IFERROR(VLOOKUP(A6544, IMPORTRANGE(""https://docs.google.com/spreadsheets/d/1AVX9GT0dgogEBStecCXMMQ29tWz3gBrtNB8yIromXbY/edit?gid=741673867"", ""out1g!A:B""), 2, FALSE), 0)"),15.0)</f>
        <v>15</v>
      </c>
      <c r="D6544" s="2" t="str">
        <f>IFERROR(__xludf.DUMMYFUNCTION("IFERROR(VLOOKUP(A6544, IMPORTRANGE(""https://docs.google.com/spreadsheets/d/1-3Vjw2Cyy-mry5gbC8ypIR3YVGFfEpyFESummAta6sg/edit"", ""Sheet1!B:D""), 2, FALSE), ""Not Found"")"),"koʊtoʊ")</f>
        <v>koʊtoʊ</v>
      </c>
      <c r="E6544" s="2" t="str">
        <f>IFERROR(__xludf.DUMMYFUNCTION("IFERROR(VLOOKUP(A6544, IMPORTRANGE(""https://docs.google.com/spreadsheets/d/1-3Vjw2Cyy-mry5gbC8ypIR3YVGFfEpyFESummAta6sg/edit"", ""Sheet1!B:D""), 3, FALSE), ""Not Found"")"),"k o ʊ t o ʊ ")</f>
        <v>k o ʊ t o ʊ </v>
      </c>
    </row>
    <row r="6545">
      <c r="A6545" s="1" t="s">
        <v>6547</v>
      </c>
      <c r="B6545" s="1" t="s">
        <v>5</v>
      </c>
      <c r="C6545" s="2">
        <f>IFERROR(__xludf.DUMMYFUNCTION("IFERROR(VLOOKUP(A6545, IMPORTRANGE(""https://docs.google.com/spreadsheets/d/1AVX9GT0dgogEBStecCXMMQ29tWz3gBrtNB8yIromXbY/edit?gid=741673867"", ""out1g!A:B""), 2, FALSE), 0)"),6867.0)</f>
        <v>6867</v>
      </c>
      <c r="D6545" s="2" t="str">
        <f>IFERROR(__xludf.DUMMYFUNCTION("IFERROR(VLOOKUP(A6545, IMPORTRANGE(""https://docs.google.com/spreadsheets/d/1-3Vjw2Cyy-mry5gbC8ypIR3YVGFfEpyFESummAta6sg/edit"", ""Sheet1!B:D""), 2, FALSE), ""Not Found"")"),"wɪn")</f>
        <v>wɪn</v>
      </c>
      <c r="E6545" s="2" t="str">
        <f>IFERROR(__xludf.DUMMYFUNCTION("IFERROR(VLOOKUP(A6545, IMPORTRANGE(""https://docs.google.com/spreadsheets/d/1-3Vjw2Cyy-mry5gbC8ypIR3YVGFfEpyFESummAta6sg/edit"", ""Sheet1!B:D""), 3, FALSE), ""Not Found"")"),"w ɪ n ")</f>
        <v>w ɪ n </v>
      </c>
    </row>
    <row r="6546">
      <c r="A6546" s="1" t="s">
        <v>6548</v>
      </c>
      <c r="B6546" s="1" t="s">
        <v>5</v>
      </c>
      <c r="C6546" s="2">
        <f>IFERROR(__xludf.DUMMYFUNCTION("IFERROR(VLOOKUP(A6546, IMPORTRANGE(""https://docs.google.com/spreadsheets/d/1AVX9GT0dgogEBStecCXMMQ29tWz3gBrtNB8yIromXbY/edit?gid=741673867"", ""out1g!A:B""), 2, FALSE), 0)"),82.0)</f>
        <v>82</v>
      </c>
      <c r="D6546" s="2" t="str">
        <f>IFERROR(__xludf.DUMMYFUNCTION("IFERROR(VLOOKUP(A6546, IMPORTRANGE(""https://docs.google.com/spreadsheets/d/1-3Vjw2Cyy-mry5gbC8ypIR3YVGFfEpyFESummAta6sg/edit"", ""Sheet1!B:D""), 2, FALSE), ""Not Found"")"),"ʤɛnt")</f>
        <v>ʤɛnt</v>
      </c>
      <c r="E6546" s="2" t="str">
        <f>IFERROR(__xludf.DUMMYFUNCTION("IFERROR(VLOOKUP(A6546, IMPORTRANGE(""https://docs.google.com/spreadsheets/d/1-3Vjw2Cyy-mry5gbC8ypIR3YVGFfEpyFESummAta6sg/edit"", ""Sheet1!B:D""), 3, FALSE), ""Not Found"")"),"ʤ ɛ n t ")</f>
        <v>ʤ ɛ n t </v>
      </c>
    </row>
    <row r="6547">
      <c r="A6547" s="1" t="s">
        <v>6549</v>
      </c>
      <c r="B6547" s="1" t="s">
        <v>5</v>
      </c>
      <c r="C6547" s="2">
        <f>IFERROR(__xludf.DUMMYFUNCTION("IFERROR(VLOOKUP(A6547, IMPORTRANGE(""https://docs.google.com/spreadsheets/d/1AVX9GT0dgogEBStecCXMMQ29tWz3gBrtNB8yIromXbY/edit?gid=741673867"", ""out1g!A:B""), 2, FALSE), 0)"),88.0)</f>
        <v>88</v>
      </c>
      <c r="D6547" s="2" t="str">
        <f>IFERROR(__xludf.DUMMYFUNCTION("IFERROR(VLOOKUP(A6547, IMPORTRANGE(""https://docs.google.com/spreadsheets/d/1-3Vjw2Cyy-mry5gbC8ypIR3YVGFfEpyFESummAta6sg/edit"", ""Sheet1!B:D""), 2, FALSE), ""Not Found"")"),"huf")</f>
        <v>huf</v>
      </c>
      <c r="E6547" s="2" t="str">
        <f>IFERROR(__xludf.DUMMYFUNCTION("IFERROR(VLOOKUP(A6547, IMPORTRANGE(""https://docs.google.com/spreadsheets/d/1-3Vjw2Cyy-mry5gbC8ypIR3YVGFfEpyFESummAta6sg/edit"", ""Sheet1!B:D""), 3, FALSE), ""Not Found"")"),"h u f ")</f>
        <v>h u f </v>
      </c>
    </row>
    <row r="6548">
      <c r="A6548" s="1" t="s">
        <v>6550</v>
      </c>
      <c r="B6548" s="1" t="s">
        <v>5</v>
      </c>
      <c r="C6548" s="2">
        <f>IFERROR(__xludf.DUMMYFUNCTION("IFERROR(VLOOKUP(A6548, IMPORTRANGE(""https://docs.google.com/spreadsheets/d/1AVX9GT0dgogEBStecCXMMQ29tWz3gBrtNB8yIromXbY/edit?gid=741673867"", ""out1g!A:B""), 2, FALSE), 0)"),1649.0)</f>
        <v>1649</v>
      </c>
      <c r="D6548" s="2" t="str">
        <f>IFERROR(__xludf.DUMMYFUNCTION("IFERROR(VLOOKUP(A6548, IMPORTRANGE(""https://docs.google.com/spreadsheets/d/1-3Vjw2Cyy-mry5gbC8ypIR3YVGFfEpyFESummAta6sg/edit"", ""Sheet1!B:D""), 2, FALSE), ""Not Found"")"),"tɔl")</f>
        <v>tɔl</v>
      </c>
      <c r="E6548" s="2" t="str">
        <f>IFERROR(__xludf.DUMMYFUNCTION("IFERROR(VLOOKUP(A6548, IMPORTRANGE(""https://docs.google.com/spreadsheets/d/1-3Vjw2Cyy-mry5gbC8ypIR3YVGFfEpyFESummAta6sg/edit"", ""Sheet1!B:D""), 3, FALSE), ""Not Found"")"),"t ɔ l ")</f>
        <v>t ɔ l </v>
      </c>
    </row>
    <row r="6549">
      <c r="A6549" s="1" t="s">
        <v>6551</v>
      </c>
      <c r="B6549" s="1" t="s">
        <v>5</v>
      </c>
      <c r="C6549" s="2">
        <f>IFERROR(__xludf.DUMMYFUNCTION("IFERROR(VLOOKUP(A6549, IMPORTRANGE(""https://docs.google.com/spreadsheets/d/1AVX9GT0dgogEBStecCXMMQ29tWz3gBrtNB8yIromXbY/edit?gid=741673867"", ""out1g!A:B""), 2, FALSE), 0)"),14874.0)</f>
        <v>14874</v>
      </c>
      <c r="D6549" s="2" t="str">
        <f>IFERROR(__xludf.DUMMYFUNCTION("IFERROR(VLOOKUP(A6549, IMPORTRANGE(""https://docs.google.com/spreadsheets/d/1-3Vjw2Cyy-mry5gbC8ypIR3YVGFfEpyFESummAta6sg/edit"", ""Sheet1!B:D""), 2, FALSE), ""Not Found"")"),"seɪŋ")</f>
        <v>seɪŋ</v>
      </c>
      <c r="E6549" s="2" t="str">
        <f>IFERROR(__xludf.DUMMYFUNCTION("IFERROR(VLOOKUP(A6549, IMPORTRANGE(""https://docs.google.com/spreadsheets/d/1-3Vjw2Cyy-mry5gbC8ypIR3YVGFfEpyFESummAta6sg/edit"", ""Sheet1!B:D""), 3, FALSE), ""Not Found"")"),"s e ɪ ŋ ")</f>
        <v>s e ɪ ŋ </v>
      </c>
    </row>
    <row r="6550">
      <c r="A6550" s="1" t="s">
        <v>6552</v>
      </c>
      <c r="B6550" s="1" t="s">
        <v>5</v>
      </c>
      <c r="C6550" s="2">
        <f>IFERROR(__xludf.DUMMYFUNCTION("IFERROR(VLOOKUP(A6550, IMPORTRANGE(""https://docs.google.com/spreadsheets/d/1AVX9GT0dgogEBStecCXMMQ29tWz3gBrtNB8yIromXbY/edit?gid=741673867"", ""out1g!A:B""), 2, FALSE), 0)"),96.0)</f>
        <v>96</v>
      </c>
      <c r="D6550" s="2" t="str">
        <f>IFERROR(__xludf.DUMMYFUNCTION("IFERROR(VLOOKUP(A6550, IMPORTRANGE(""https://docs.google.com/spreadsheets/d/1-3Vjw2Cyy-mry5gbC8ypIR3YVGFfEpyFESummAta6sg/edit"", ""Sheet1!B:D""), 2, FALSE), ""Not Found"")"),"pæʧt")</f>
        <v>pæʧt</v>
      </c>
      <c r="E6550" s="2" t="str">
        <f>IFERROR(__xludf.DUMMYFUNCTION("IFERROR(VLOOKUP(A6550, IMPORTRANGE(""https://docs.google.com/spreadsheets/d/1-3Vjw2Cyy-mry5gbC8ypIR3YVGFfEpyFESummAta6sg/edit"", ""Sheet1!B:D""), 3, FALSE), ""Not Found"")"),"p æ ʧ t ")</f>
        <v>p æ ʧ t </v>
      </c>
    </row>
    <row r="6551">
      <c r="A6551" s="1" t="s">
        <v>6553</v>
      </c>
      <c r="B6551" s="1" t="s">
        <v>5</v>
      </c>
      <c r="C6551" s="2">
        <f>IFERROR(__xludf.DUMMYFUNCTION("IFERROR(VLOOKUP(A6551, IMPORTRANGE(""https://docs.google.com/spreadsheets/d/1AVX9GT0dgogEBStecCXMMQ29tWz3gBrtNB8yIromXbY/edit?gid=741673867"", ""out1g!A:B""), 2, FALSE), 0)"),380.0)</f>
        <v>380</v>
      </c>
      <c r="D6551" s="2" t="str">
        <f>IFERROR(__xludf.DUMMYFUNCTION("IFERROR(VLOOKUP(A6551, IMPORTRANGE(""https://docs.google.com/spreadsheets/d/1-3Vjw2Cyy-mry5gbC8ypIR3YVGFfEpyFESummAta6sg/edit"", ""Sheet1!B:D""), 2, FALSE), ""Not Found"")"),"poʊʃən")</f>
        <v>poʊʃən</v>
      </c>
      <c r="E6551" s="2" t="str">
        <f>IFERROR(__xludf.DUMMYFUNCTION("IFERROR(VLOOKUP(A6551, IMPORTRANGE(""https://docs.google.com/spreadsheets/d/1-3Vjw2Cyy-mry5gbC8ypIR3YVGFfEpyFESummAta6sg/edit"", ""Sheet1!B:D""), 3, FALSE), ""Not Found"")"),"p o ʊ ʃ ə n ")</f>
        <v>p o ʊ ʃ ə n </v>
      </c>
    </row>
    <row r="6552">
      <c r="A6552" s="1" t="s">
        <v>6554</v>
      </c>
      <c r="B6552" s="1" t="s">
        <v>5</v>
      </c>
      <c r="C6552" s="2">
        <f>IFERROR(__xludf.DUMMYFUNCTION("IFERROR(VLOOKUP(A6552, IMPORTRANGE(""https://docs.google.com/spreadsheets/d/1AVX9GT0dgogEBStecCXMMQ29tWz3gBrtNB8yIromXbY/edit?gid=741673867"", ""out1g!A:B""), 2, FALSE), 0)"),5784.0)</f>
        <v>5784</v>
      </c>
      <c r="D6552" s="2" t="str">
        <f>IFERROR(__xludf.DUMMYFUNCTION("IFERROR(VLOOKUP(A6552, IMPORTRANGE(""https://docs.google.com/spreadsheets/d/1-3Vjw2Cyy-mry5gbC8ypIR3YVGFfEpyFESummAta6sg/edit"", ""Sheet1!B:D""), 2, FALSE), ""Not Found"")"),"mæd")</f>
        <v>mæd</v>
      </c>
      <c r="E6552" s="2" t="str">
        <f>IFERROR(__xludf.DUMMYFUNCTION("IFERROR(VLOOKUP(A6552, IMPORTRANGE(""https://docs.google.com/spreadsheets/d/1-3Vjw2Cyy-mry5gbC8ypIR3YVGFfEpyFESummAta6sg/edit"", ""Sheet1!B:D""), 3, FALSE), ""Not Found"")"),"m æ d ")</f>
        <v>m æ d </v>
      </c>
    </row>
    <row r="6553">
      <c r="A6553" s="1" t="s">
        <v>6555</v>
      </c>
      <c r="B6553" s="1" t="s">
        <v>5</v>
      </c>
      <c r="C6553" s="2">
        <f>IFERROR(__xludf.DUMMYFUNCTION("IFERROR(VLOOKUP(A6553, IMPORTRANGE(""https://docs.google.com/spreadsheets/d/1AVX9GT0dgogEBStecCXMMQ29tWz3gBrtNB8yIromXbY/edit?gid=741673867"", ""out1g!A:B""), 2, FALSE), 0)"),237.0)</f>
        <v>237</v>
      </c>
      <c r="D6553" s="2" t="str">
        <f>IFERROR(__xludf.DUMMYFUNCTION("IFERROR(VLOOKUP(A6553, IMPORTRANGE(""https://docs.google.com/spreadsheets/d/1-3Vjw2Cyy-mry5gbC8ypIR3YVGFfEpyFESummAta6sg/edit"", ""Sheet1!B:D""), 2, FALSE), ""Not Found"")"),"flɑk")</f>
        <v>flɑk</v>
      </c>
      <c r="E6553" s="2" t="str">
        <f>IFERROR(__xludf.DUMMYFUNCTION("IFERROR(VLOOKUP(A6553, IMPORTRANGE(""https://docs.google.com/spreadsheets/d/1-3Vjw2Cyy-mry5gbC8ypIR3YVGFfEpyFESummAta6sg/edit"", ""Sheet1!B:D""), 3, FALSE), ""Not Found"")"),"f l ɑ k ")</f>
        <v>f l ɑ k </v>
      </c>
    </row>
    <row r="6554">
      <c r="A6554" s="1" t="s">
        <v>6556</v>
      </c>
      <c r="B6554" s="1" t="s">
        <v>5</v>
      </c>
      <c r="C6554" s="2">
        <f>IFERROR(__xludf.DUMMYFUNCTION("IFERROR(VLOOKUP(A6554, IMPORTRANGE(""https://docs.google.com/spreadsheets/d/1AVX9GT0dgogEBStecCXMMQ29tWz3gBrtNB8yIromXbY/edit?gid=741673867"", ""out1g!A:B""), 2, FALSE), 0)"),119.0)</f>
        <v>119</v>
      </c>
      <c r="D6554" s="2" t="str">
        <f>IFERROR(__xludf.DUMMYFUNCTION("IFERROR(VLOOKUP(A6554, IMPORTRANGE(""https://docs.google.com/spreadsheets/d/1-3Vjw2Cyy-mry5gbC8ypIR3YVGFfEpyFESummAta6sg/edit"", ""Sheet1!B:D""), 2, FALSE), ""Not Found"")"),"pɑz")</f>
        <v>pɑz</v>
      </c>
      <c r="E6554" s="2" t="str">
        <f>IFERROR(__xludf.DUMMYFUNCTION("IFERROR(VLOOKUP(A6554, IMPORTRANGE(""https://docs.google.com/spreadsheets/d/1-3Vjw2Cyy-mry5gbC8ypIR3YVGFfEpyFESummAta6sg/edit"", ""Sheet1!B:D""), 3, FALSE), ""Not Found"")"),"p ɑ z ")</f>
        <v>p ɑ z </v>
      </c>
    </row>
    <row r="6555">
      <c r="A6555" s="1" t="s">
        <v>6557</v>
      </c>
      <c r="B6555" s="1" t="s">
        <v>5</v>
      </c>
      <c r="C6555" s="2">
        <f>IFERROR(__xludf.DUMMYFUNCTION("IFERROR(VLOOKUP(A6555, IMPORTRANGE(""https://docs.google.com/spreadsheets/d/1AVX9GT0dgogEBStecCXMMQ29tWz3gBrtNB8yIromXbY/edit?gid=741673867"", ""out1g!A:B""), 2, FALSE), 0)"),480.0)</f>
        <v>480</v>
      </c>
      <c r="D6555" s="2" t="str">
        <f>IFERROR(__xludf.DUMMYFUNCTION("IFERROR(VLOOKUP(A6555, IMPORTRANGE(""https://docs.google.com/spreadsheets/d/1-3Vjw2Cyy-mry5gbC8ypIR3YVGFfEpyFESummAta6sg/edit"", ""Sheet1!B:D""), 2, FALSE), ""Not Found"")"),"tənz")</f>
        <v>tənz</v>
      </c>
      <c r="E6555" s="2" t="str">
        <f>IFERROR(__xludf.DUMMYFUNCTION("IFERROR(VLOOKUP(A6555, IMPORTRANGE(""https://docs.google.com/spreadsheets/d/1-3Vjw2Cyy-mry5gbC8ypIR3YVGFfEpyFESummAta6sg/edit"", ""Sheet1!B:D""), 3, FALSE), ""Not Found"")"),"t ə n z ")</f>
        <v>t ə n z </v>
      </c>
    </row>
    <row r="6556">
      <c r="A6556" s="1" t="s">
        <v>6558</v>
      </c>
      <c r="B6556" s="1" t="s">
        <v>5</v>
      </c>
      <c r="C6556" s="2">
        <f>IFERROR(__xludf.DUMMYFUNCTION("IFERROR(VLOOKUP(A6556, IMPORTRANGE(""https://docs.google.com/spreadsheets/d/1AVX9GT0dgogEBStecCXMMQ29tWz3gBrtNB8yIromXbY/edit?gid=741673867"", ""out1g!A:B""), 2, FALSE), 0)"),717.0)</f>
        <v>717</v>
      </c>
      <c r="D6556" s="2" t="str">
        <f>IFERROR(__xludf.DUMMYFUNCTION("IFERROR(VLOOKUP(A6556, IMPORTRANGE(""https://docs.google.com/spreadsheets/d/1-3Vjw2Cyy-mry5gbC8ypIR3YVGFfEpyFESummAta6sg/edit"", ""Sheet1!B:D""), 2, FALSE), ""Not Found"")"),"wundz")</f>
        <v>wundz</v>
      </c>
      <c r="E6556" s="2" t="str">
        <f>IFERROR(__xludf.DUMMYFUNCTION("IFERROR(VLOOKUP(A6556, IMPORTRANGE(""https://docs.google.com/spreadsheets/d/1-3Vjw2Cyy-mry5gbC8ypIR3YVGFfEpyFESummAta6sg/edit"", ""Sheet1!B:D""), 3, FALSE), ""Not Found"")"),"w u n d z ")</f>
        <v>w u n d z </v>
      </c>
    </row>
    <row r="6557">
      <c r="A6557" s="1" t="s">
        <v>6559</v>
      </c>
      <c r="B6557" s="1" t="s">
        <v>5</v>
      </c>
      <c r="C6557" s="2">
        <f>IFERROR(__xludf.DUMMYFUNCTION("IFERROR(VLOOKUP(A6557, IMPORTRANGE(""https://docs.google.com/spreadsheets/d/1AVX9GT0dgogEBStecCXMMQ29tWz3gBrtNB8yIromXbY/edit?gid=741673867"", ""out1g!A:B""), 2, FALSE), 0)"),210.0)</f>
        <v>210</v>
      </c>
      <c r="D6557" s="2" t="str">
        <f>IFERROR(__xludf.DUMMYFUNCTION("IFERROR(VLOOKUP(A6557, IMPORTRANGE(""https://docs.google.com/spreadsheets/d/1-3Vjw2Cyy-mry5gbC8ypIR3YVGFfEpyFESummAta6sg/edit"", ""Sheet1!B:D""), 2, FALSE), ""Not Found"")"),"ʧɑ")</f>
        <v>ʧɑ</v>
      </c>
      <c r="E6557" s="2" t="str">
        <f>IFERROR(__xludf.DUMMYFUNCTION("IFERROR(VLOOKUP(A6557, IMPORTRANGE(""https://docs.google.com/spreadsheets/d/1-3Vjw2Cyy-mry5gbC8ypIR3YVGFfEpyFESummAta6sg/edit"", ""Sheet1!B:D""), 3, FALSE), ""Not Found"")"),"ʧ ɑ ")</f>
        <v>ʧ ɑ </v>
      </c>
    </row>
    <row r="6558">
      <c r="A6558" s="1" t="s">
        <v>6560</v>
      </c>
      <c r="B6558" s="1" t="s">
        <v>5</v>
      </c>
      <c r="C6558" s="2">
        <f>IFERROR(__xludf.DUMMYFUNCTION("IFERROR(VLOOKUP(A6558, IMPORTRANGE(""https://docs.google.com/spreadsheets/d/1AVX9GT0dgogEBStecCXMMQ29tWz3gBrtNB8yIromXbY/edit?gid=741673867"", ""out1g!A:B""), 2, FALSE), 0)"),794.0)</f>
        <v>794</v>
      </c>
      <c r="D6558" s="2" t="str">
        <f>IFERROR(__xludf.DUMMYFUNCTION("IFERROR(VLOOKUP(A6558, IMPORTRANGE(""https://docs.google.com/spreadsheets/d/1-3Vjw2Cyy-mry5gbC8ypIR3YVGFfEpyFESummAta6sg/edit"", ""Sheet1!B:D""), 2, FALSE), ""Not Found"")"),"bɛli")</f>
        <v>bɛli</v>
      </c>
      <c r="E6558" s="2" t="str">
        <f>IFERROR(__xludf.DUMMYFUNCTION("IFERROR(VLOOKUP(A6558, IMPORTRANGE(""https://docs.google.com/spreadsheets/d/1-3Vjw2Cyy-mry5gbC8ypIR3YVGFfEpyFESummAta6sg/edit"", ""Sheet1!B:D""), 3, FALSE), ""Not Found"")"),"b ɛ l i ")</f>
        <v>b ɛ l i </v>
      </c>
    </row>
    <row r="6559">
      <c r="A6559" s="1" t="s">
        <v>6561</v>
      </c>
      <c r="B6559" s="1" t="s">
        <v>5</v>
      </c>
      <c r="C6559" s="2">
        <f>IFERROR(__xludf.DUMMYFUNCTION("IFERROR(VLOOKUP(A6559, IMPORTRANGE(""https://docs.google.com/spreadsheets/d/1AVX9GT0dgogEBStecCXMMQ29tWz3gBrtNB8yIromXbY/edit?gid=741673867"", ""out1g!A:B""), 2, FALSE), 0)"),752.0)</f>
        <v>752</v>
      </c>
      <c r="D6559" s="2" t="str">
        <f>IFERROR(__xludf.DUMMYFUNCTION("IFERROR(VLOOKUP(A6559, IMPORTRANGE(""https://docs.google.com/spreadsheets/d/1-3Vjw2Cyy-mry5gbC8ypIR3YVGFfEpyFESummAta6sg/edit"", ""Sheet1!B:D""), 2, FALSE), ""Not Found"")"),"tæp")</f>
        <v>tæp</v>
      </c>
      <c r="E6559" s="2" t="str">
        <f>IFERROR(__xludf.DUMMYFUNCTION("IFERROR(VLOOKUP(A6559, IMPORTRANGE(""https://docs.google.com/spreadsheets/d/1-3Vjw2Cyy-mry5gbC8ypIR3YVGFfEpyFESummAta6sg/edit"", ""Sheet1!B:D""), 3, FALSE), ""Not Found"")"),"t æ p ")</f>
        <v>t æ p </v>
      </c>
    </row>
    <row r="6560">
      <c r="A6560" s="1" t="s">
        <v>6562</v>
      </c>
      <c r="B6560" s="1" t="s">
        <v>5</v>
      </c>
      <c r="C6560" s="2">
        <f>IFERROR(__xludf.DUMMYFUNCTION("IFERROR(VLOOKUP(A6560, IMPORTRANGE(""https://docs.google.com/spreadsheets/d/1AVX9GT0dgogEBStecCXMMQ29tWz3gBrtNB8yIromXbY/edit?gid=741673867"", ""out1g!A:B""), 2, FALSE), 0)"),374.0)</f>
        <v>374</v>
      </c>
      <c r="D6560" s="2" t="str">
        <f>IFERROR(__xludf.DUMMYFUNCTION("IFERROR(VLOOKUP(A6560, IMPORTRANGE(""https://docs.google.com/spreadsheets/d/1-3Vjw2Cyy-mry5gbC8ypIR3YVGFfEpyFESummAta6sg/edit"", ""Sheet1!B:D""), 2, FALSE), ""Not Found"")"),"rɪfər")</f>
        <v>rɪfər</v>
      </c>
      <c r="E6560" s="2" t="str">
        <f>IFERROR(__xludf.DUMMYFUNCTION("IFERROR(VLOOKUP(A6560, IMPORTRANGE(""https://docs.google.com/spreadsheets/d/1-3Vjw2Cyy-mry5gbC8ypIR3YVGFfEpyFESummAta6sg/edit"", ""Sheet1!B:D""), 3, FALSE), ""Not Found"")"),"r ɪ f ə r ")</f>
        <v>r ɪ f ə r </v>
      </c>
    </row>
    <row r="6561">
      <c r="A6561" s="1" t="s">
        <v>6563</v>
      </c>
      <c r="B6561" s="1" t="s">
        <v>5</v>
      </c>
      <c r="C6561" s="2">
        <f>IFERROR(__xludf.DUMMYFUNCTION("IFERROR(VLOOKUP(A6561, IMPORTRANGE(""https://docs.google.com/spreadsheets/d/1AVX9GT0dgogEBStecCXMMQ29tWz3gBrtNB8yIromXbY/edit?gid=741673867"", ""out1g!A:B""), 2, FALSE), 0)"),1396.0)</f>
        <v>1396</v>
      </c>
      <c r="D6561" s="2" t="str">
        <f>IFERROR(__xludf.DUMMYFUNCTION("IFERROR(VLOOKUP(A6561, IMPORTRANGE(""https://docs.google.com/spreadsheets/d/1-3Vjw2Cyy-mry5gbC8ypIR3YVGFfEpyFESummAta6sg/edit"", ""Sheet1!B:D""), 2, FALSE), ""Not Found"")"),"tɑt")</f>
        <v>tɑt</v>
      </c>
      <c r="E6561" s="2" t="str">
        <f>IFERROR(__xludf.DUMMYFUNCTION("IFERROR(VLOOKUP(A6561, IMPORTRANGE(""https://docs.google.com/spreadsheets/d/1-3Vjw2Cyy-mry5gbC8ypIR3YVGFfEpyFESummAta6sg/edit"", ""Sheet1!B:D""), 3, FALSE), ""Not Found"")"),"t ɑ t ")</f>
        <v>t ɑ t </v>
      </c>
    </row>
    <row r="6562">
      <c r="A6562" s="1" t="s">
        <v>6564</v>
      </c>
      <c r="B6562" s="1" t="s">
        <v>5</v>
      </c>
      <c r="C6562" s="2">
        <f>IFERROR(__xludf.DUMMYFUNCTION("IFERROR(VLOOKUP(A6562, IMPORTRANGE(""https://docs.google.com/spreadsheets/d/1AVX9GT0dgogEBStecCXMMQ29tWz3gBrtNB8yIromXbY/edit?gid=741673867"", ""out1g!A:B""), 2, FALSE), 0)"),87.0)</f>
        <v>87</v>
      </c>
      <c r="D6562" s="2" t="str">
        <f>IFERROR(__xludf.DUMMYFUNCTION("IFERROR(VLOOKUP(A6562, IMPORTRANGE(""https://docs.google.com/spreadsheets/d/1-3Vjw2Cyy-mry5gbC8ypIR3YVGFfEpyFESummAta6sg/edit"", ""Sheet1!B:D""), 2, FALSE), ""Not Found"")"),"lind")</f>
        <v>lind</v>
      </c>
      <c r="E6562" s="2" t="str">
        <f>IFERROR(__xludf.DUMMYFUNCTION("IFERROR(VLOOKUP(A6562, IMPORTRANGE(""https://docs.google.com/spreadsheets/d/1-3Vjw2Cyy-mry5gbC8ypIR3YVGFfEpyFESummAta6sg/edit"", ""Sheet1!B:D""), 3, FALSE), ""Not Found"")"),"l i n d ")</f>
        <v>l i n d </v>
      </c>
    </row>
    <row r="6563">
      <c r="A6563" s="1" t="s">
        <v>6565</v>
      </c>
      <c r="B6563" s="1" t="s">
        <v>5</v>
      </c>
      <c r="C6563" s="2">
        <f>IFERROR(__xludf.DUMMYFUNCTION("IFERROR(VLOOKUP(A6563, IMPORTRANGE(""https://docs.google.com/spreadsheets/d/1AVX9GT0dgogEBStecCXMMQ29tWz3gBrtNB8yIromXbY/edit?gid=741673867"", ""out1g!A:B""), 2, FALSE), 0)"),83.0)</f>
        <v>83</v>
      </c>
      <c r="D6563" s="2" t="str">
        <f>IFERROR(__xludf.DUMMYFUNCTION("IFERROR(VLOOKUP(A6563, IMPORTRANGE(""https://docs.google.com/spreadsheets/d/1-3Vjw2Cyy-mry5gbC8ypIR3YVGFfEpyFESummAta6sg/edit"", ""Sheet1!B:D""), 2, FALSE), ""Not Found"")"),"wɔrpt")</f>
        <v>wɔrpt</v>
      </c>
      <c r="E6563" s="2" t="str">
        <f>IFERROR(__xludf.DUMMYFUNCTION("IFERROR(VLOOKUP(A6563, IMPORTRANGE(""https://docs.google.com/spreadsheets/d/1-3Vjw2Cyy-mry5gbC8ypIR3YVGFfEpyFESummAta6sg/edit"", ""Sheet1!B:D""), 3, FALSE), ""Not Found"")"),"w ɔ r p t ")</f>
        <v>w ɔ r p t </v>
      </c>
    </row>
    <row r="6564">
      <c r="A6564" s="1" t="s">
        <v>6566</v>
      </c>
      <c r="B6564" s="1" t="s">
        <v>5</v>
      </c>
      <c r="C6564" s="2">
        <f>IFERROR(__xludf.DUMMYFUNCTION("IFERROR(VLOOKUP(A6564, IMPORTRANGE(""https://docs.google.com/spreadsheets/d/1AVX9GT0dgogEBStecCXMMQ29tWz3gBrtNB8yIromXbY/edit?gid=741673867"", ""out1g!A:B""), 2, FALSE), 0)"),370.0)</f>
        <v>370</v>
      </c>
      <c r="D6564" s="2" t="str">
        <f>IFERROR(__xludf.DUMMYFUNCTION("IFERROR(VLOOKUP(A6564, IMPORTRANGE(""https://docs.google.com/spreadsheets/d/1-3Vjw2Cyy-mry5gbC8ypIR3YVGFfEpyFESummAta6sg/edit"", ""Sheet1!B:D""), 2, FALSE), ""Not Found"")"),"wɪpt")</f>
        <v>wɪpt</v>
      </c>
      <c r="E6564" s="2" t="str">
        <f>IFERROR(__xludf.DUMMYFUNCTION("IFERROR(VLOOKUP(A6564, IMPORTRANGE(""https://docs.google.com/spreadsheets/d/1-3Vjw2Cyy-mry5gbC8ypIR3YVGFfEpyFESummAta6sg/edit"", ""Sheet1!B:D""), 3, FALSE), ""Not Found"")"),"w ɪ p t ")</f>
        <v>w ɪ p t </v>
      </c>
    </row>
    <row r="6565">
      <c r="A6565" s="1" t="s">
        <v>6567</v>
      </c>
      <c r="B6565" s="1" t="s">
        <v>5</v>
      </c>
      <c r="C6565" s="2">
        <f>IFERROR(__xludf.DUMMYFUNCTION("IFERROR(VLOOKUP(A6565, IMPORTRANGE(""https://docs.google.com/spreadsheets/d/1AVX9GT0dgogEBStecCXMMQ29tWz3gBrtNB8yIromXbY/edit?gid=741673867"", ""out1g!A:B""), 2, FALSE), 0)"),174.0)</f>
        <v>174</v>
      </c>
      <c r="D6565" s="2" t="str">
        <f>IFERROR(__xludf.DUMMYFUNCTION("IFERROR(VLOOKUP(A6565, IMPORTRANGE(""https://docs.google.com/spreadsheets/d/1-3Vjw2Cyy-mry5gbC8ypIR3YVGFfEpyFESummAta6sg/edit"", ""Sheet1!B:D""), 2, FALSE), ""Not Found"")"),"mænər")</f>
        <v>mænər</v>
      </c>
      <c r="E6565" s="2" t="str">
        <f>IFERROR(__xludf.DUMMYFUNCTION("IFERROR(VLOOKUP(A6565, IMPORTRANGE(""https://docs.google.com/spreadsheets/d/1-3Vjw2Cyy-mry5gbC8ypIR3YVGFfEpyFESummAta6sg/edit"", ""Sheet1!B:D""), 3, FALSE), ""Not Found"")"),"m æ n ə r ")</f>
        <v>m æ n ə r </v>
      </c>
    </row>
    <row r="6566">
      <c r="A6566" s="1" t="s">
        <v>6568</v>
      </c>
      <c r="B6566" s="1" t="s">
        <v>5</v>
      </c>
      <c r="C6566" s="2">
        <f>IFERROR(__xludf.DUMMYFUNCTION("IFERROR(VLOOKUP(A6566, IMPORTRANGE(""https://docs.google.com/spreadsheets/d/1AVX9GT0dgogEBStecCXMMQ29tWz3gBrtNB8yIromXbY/edit?gid=741673867"", ""out1g!A:B""), 2, FALSE), 0)"),89.0)</f>
        <v>89</v>
      </c>
      <c r="D6566" s="2" t="str">
        <f>IFERROR(__xludf.DUMMYFUNCTION("IFERROR(VLOOKUP(A6566, IMPORTRANGE(""https://docs.google.com/spreadsheets/d/1-3Vjw2Cyy-mry5gbC8ypIR3YVGFfEpyFESummAta6sg/edit"", ""Sheet1!B:D""), 2, FALSE), ""Not Found"")"),"dɪŋz")</f>
        <v>dɪŋz</v>
      </c>
      <c r="E6566" s="2" t="str">
        <f>IFERROR(__xludf.DUMMYFUNCTION("IFERROR(VLOOKUP(A6566, IMPORTRANGE(""https://docs.google.com/spreadsheets/d/1-3Vjw2Cyy-mry5gbC8ypIR3YVGFfEpyFESummAta6sg/edit"", ""Sheet1!B:D""), 3, FALSE), ""Not Found"")"),"d ɪ ŋ z ")</f>
        <v>d ɪ ŋ z </v>
      </c>
    </row>
    <row r="6567">
      <c r="A6567" s="1" t="s">
        <v>6569</v>
      </c>
      <c r="B6567" s="1" t="s">
        <v>5</v>
      </c>
      <c r="C6567" s="2">
        <f>IFERROR(__xludf.DUMMYFUNCTION("IFERROR(VLOOKUP(A6567, IMPORTRANGE(""https://docs.google.com/spreadsheets/d/1AVX9GT0dgogEBStecCXMMQ29tWz3gBrtNB8yIromXbY/edit?gid=741673867"", ""out1g!A:B""), 2, FALSE), 0)"),88.0)</f>
        <v>88</v>
      </c>
      <c r="D6567" s="2" t="str">
        <f>IFERROR(__xludf.DUMMYFUNCTION("IFERROR(VLOOKUP(A6567, IMPORTRANGE(""https://docs.google.com/spreadsheets/d/1-3Vjw2Cyy-mry5gbC8ypIR3YVGFfEpyFESummAta6sg/edit"", ""Sheet1!B:D""), 2, FALSE), ""Not Found"")"),"səmz")</f>
        <v>səmz</v>
      </c>
      <c r="E6567" s="2" t="str">
        <f>IFERROR(__xludf.DUMMYFUNCTION("IFERROR(VLOOKUP(A6567, IMPORTRANGE(""https://docs.google.com/spreadsheets/d/1-3Vjw2Cyy-mry5gbC8ypIR3YVGFfEpyFESummAta6sg/edit"", ""Sheet1!B:D""), 3, FALSE), ""Not Found"")"),"s ə m z ")</f>
        <v>s ə m z </v>
      </c>
    </row>
    <row r="6568">
      <c r="A6568" s="1" t="s">
        <v>6570</v>
      </c>
      <c r="B6568" s="1" t="s">
        <v>5</v>
      </c>
      <c r="C6568" s="2">
        <f>IFERROR(__xludf.DUMMYFUNCTION("IFERROR(VLOOKUP(A6568, IMPORTRANGE(""https://docs.google.com/spreadsheets/d/1AVX9GT0dgogEBStecCXMMQ29tWz3gBrtNB8yIromXbY/edit?gid=741673867"", ""out1g!A:B""), 2, FALSE), 0)"),66.0)</f>
        <v>66</v>
      </c>
      <c r="D6568" s="2" t="str">
        <f>IFERROR(__xludf.DUMMYFUNCTION("IFERROR(VLOOKUP(A6568, IMPORTRANGE(""https://docs.google.com/spreadsheets/d/1-3Vjw2Cyy-mry5gbC8ypIR3YVGFfEpyFESummAta6sg/edit"", ""Sheet1!B:D""), 2, FALSE), ""Not Found"")"),"əloʊ")</f>
        <v>əloʊ</v>
      </c>
      <c r="E6568" s="2" t="str">
        <f>IFERROR(__xludf.DUMMYFUNCTION("IFERROR(VLOOKUP(A6568, IMPORTRANGE(""https://docs.google.com/spreadsheets/d/1-3Vjw2Cyy-mry5gbC8ypIR3YVGFfEpyFESummAta6sg/edit"", ""Sheet1!B:D""), 3, FALSE), ""Not Found"")"),"ə l o ʊ ")</f>
        <v>ə l o ʊ </v>
      </c>
    </row>
    <row r="6569">
      <c r="A6569" s="1" t="s">
        <v>6571</v>
      </c>
      <c r="B6569" s="1" t="s">
        <v>5</v>
      </c>
      <c r="C6569" s="2">
        <f>IFERROR(__xludf.DUMMYFUNCTION("IFERROR(VLOOKUP(A6569, IMPORTRANGE(""https://docs.google.com/spreadsheets/d/1AVX9GT0dgogEBStecCXMMQ29tWz3gBrtNB8yIromXbY/edit?gid=741673867"", ""out1g!A:B""), 2, FALSE), 0)"),40225.0)</f>
        <v>40225</v>
      </c>
      <c r="D6569" s="2" t="str">
        <f>IFERROR(__xludf.DUMMYFUNCTION("IFERROR(VLOOKUP(A6569, IMPORTRANGE(""https://docs.google.com/spreadsheets/d/1-3Vjw2Cyy-mry5gbC8ypIR3YVGFfEpyFESummAta6sg/edit"", ""Sheet1!B:D""), 2, FALSE), ""Not Found"")"),"stɪl")</f>
        <v>stɪl</v>
      </c>
      <c r="E6569" s="2" t="str">
        <f>IFERROR(__xludf.DUMMYFUNCTION("IFERROR(VLOOKUP(A6569, IMPORTRANGE(""https://docs.google.com/spreadsheets/d/1-3Vjw2Cyy-mry5gbC8ypIR3YVGFfEpyFESummAta6sg/edit"", ""Sheet1!B:D""), 3, FALSE), ""Not Found"")"),"s t ɪ l ")</f>
        <v>s t ɪ l </v>
      </c>
    </row>
    <row r="6570">
      <c r="A6570" s="1" t="s">
        <v>6572</v>
      </c>
      <c r="B6570" s="1" t="s">
        <v>5</v>
      </c>
      <c r="C6570" s="2">
        <f>IFERROR(__xludf.DUMMYFUNCTION("IFERROR(VLOOKUP(A6570, IMPORTRANGE(""https://docs.google.com/spreadsheets/d/1AVX9GT0dgogEBStecCXMMQ29tWz3gBrtNB8yIromXbY/edit?gid=741673867"", ""out1g!A:B""), 2, FALSE), 0)"),89.0)</f>
        <v>89</v>
      </c>
      <c r="D6570" s="2" t="str">
        <f>IFERROR(__xludf.DUMMYFUNCTION("IFERROR(VLOOKUP(A6570, IMPORTRANGE(""https://docs.google.com/spreadsheets/d/1-3Vjw2Cyy-mry5gbC8ypIR3YVGFfEpyFESummAta6sg/edit"", ""Sheet1!B:D""), 2, FALSE), ""Not Found"")"),"soʊəli")</f>
        <v>soʊəli</v>
      </c>
      <c r="E6570" s="2" t="str">
        <f>IFERROR(__xludf.DUMMYFUNCTION("IFERROR(VLOOKUP(A6570, IMPORTRANGE(""https://docs.google.com/spreadsheets/d/1-3Vjw2Cyy-mry5gbC8ypIR3YVGFfEpyFESummAta6sg/edit"", ""Sheet1!B:D""), 3, FALSE), ""Not Found"")"),"s o ʊ ə l i ")</f>
        <v>s o ʊ ə l i </v>
      </c>
    </row>
    <row r="6571">
      <c r="A6571" s="1" t="s">
        <v>6573</v>
      </c>
      <c r="B6571" s="1" t="s">
        <v>5</v>
      </c>
      <c r="C6571" s="2">
        <f>IFERROR(__xludf.DUMMYFUNCTION("IFERROR(VLOOKUP(A6571, IMPORTRANGE(""https://docs.google.com/spreadsheets/d/1AVX9GT0dgogEBStecCXMMQ29tWz3gBrtNB8yIromXbY/edit?gid=741673867"", ""out1g!A:B""), 2, FALSE), 0)"),64.0)</f>
        <v>64</v>
      </c>
      <c r="D6571" s="2" t="str">
        <f>IFERROR(__xludf.DUMMYFUNCTION("IFERROR(VLOOKUP(A6571, IMPORTRANGE(""https://docs.google.com/spreadsheets/d/1-3Vjw2Cyy-mry5gbC8ypIR3YVGFfEpyFESummAta6sg/edit"", ""Sheet1!B:D""), 2, FALSE), ""Not Found"")"),"stɑkt")</f>
        <v>stɑkt</v>
      </c>
      <c r="E6571" s="2" t="str">
        <f>IFERROR(__xludf.DUMMYFUNCTION("IFERROR(VLOOKUP(A6571, IMPORTRANGE(""https://docs.google.com/spreadsheets/d/1-3Vjw2Cyy-mry5gbC8ypIR3YVGFfEpyFESummAta6sg/edit"", ""Sheet1!B:D""), 3, FALSE), ""Not Found"")"),"s t ɑ k t ")</f>
        <v>s t ɑ k t </v>
      </c>
    </row>
    <row r="6572">
      <c r="A6572" s="1" t="s">
        <v>6574</v>
      </c>
      <c r="B6572" s="1" t="s">
        <v>5</v>
      </c>
      <c r="C6572" s="2">
        <f>IFERROR(__xludf.DUMMYFUNCTION("IFERROR(VLOOKUP(A6572, IMPORTRANGE(""https://docs.google.com/spreadsheets/d/1AVX9GT0dgogEBStecCXMMQ29tWz3gBrtNB8yIromXbY/edit?gid=741673867"", ""out1g!A:B""), 2, FALSE), 0)"),214.0)</f>
        <v>214</v>
      </c>
      <c r="D6572" s="2" t="str">
        <f>IFERROR(__xludf.DUMMYFUNCTION("IFERROR(VLOOKUP(A6572, IMPORTRANGE(""https://docs.google.com/spreadsheets/d/1-3Vjw2Cyy-mry5gbC8ypIR3YVGFfEpyFESummAta6sg/edit"", ""Sheet1!B:D""), 2, FALSE), ""Not Found"")"),"kænd")</f>
        <v>kænd</v>
      </c>
      <c r="E6572" s="2" t="str">
        <f>IFERROR(__xludf.DUMMYFUNCTION("IFERROR(VLOOKUP(A6572, IMPORTRANGE(""https://docs.google.com/spreadsheets/d/1-3Vjw2Cyy-mry5gbC8ypIR3YVGFfEpyFESummAta6sg/edit"", ""Sheet1!B:D""), 3, FALSE), ""Not Found"")"),"k æ n d ")</f>
        <v>k æ n d </v>
      </c>
    </row>
    <row r="6573">
      <c r="A6573" s="1" t="s">
        <v>6575</v>
      </c>
      <c r="B6573" s="1" t="s">
        <v>5</v>
      </c>
      <c r="C6573" s="2">
        <f>IFERROR(__xludf.DUMMYFUNCTION("IFERROR(VLOOKUP(A6573, IMPORTRANGE(""https://docs.google.com/spreadsheets/d/1AVX9GT0dgogEBStecCXMMQ29tWz3gBrtNB8yIromXbY/edit?gid=741673867"", ""out1g!A:B""), 2, FALSE), 0)"),49.0)</f>
        <v>49</v>
      </c>
      <c r="D6573" s="2" t="str">
        <f>IFERROR(__xludf.DUMMYFUNCTION("IFERROR(VLOOKUP(A6573, IMPORTRANGE(""https://docs.google.com/spreadsheets/d/1-3Vjw2Cyy-mry5gbC8ypIR3YVGFfEpyFESummAta6sg/edit"", ""Sheet1!B:D""), 2, FALSE), ""Not Found"")"),"tət")</f>
        <v>tət</v>
      </c>
      <c r="E6573" s="2" t="str">
        <f>IFERROR(__xludf.DUMMYFUNCTION("IFERROR(VLOOKUP(A6573, IMPORTRANGE(""https://docs.google.com/spreadsheets/d/1-3Vjw2Cyy-mry5gbC8ypIR3YVGFfEpyFESummAta6sg/edit"", ""Sheet1!B:D""), 3, FALSE), ""Not Found"")"),"t ə t ")</f>
        <v>t ə t </v>
      </c>
    </row>
    <row r="6574">
      <c r="A6574" s="1" t="s">
        <v>6576</v>
      </c>
      <c r="B6574" s="1" t="s">
        <v>5</v>
      </c>
      <c r="C6574" s="2">
        <f>IFERROR(__xludf.DUMMYFUNCTION("IFERROR(VLOOKUP(A6574, IMPORTRANGE(""https://docs.google.com/spreadsheets/d/1AVX9GT0dgogEBStecCXMMQ29tWz3gBrtNB8yIromXbY/edit?gid=741673867"", ""out1g!A:B""), 2, FALSE), 0)"),254.0)</f>
        <v>254</v>
      </c>
      <c r="D6574" s="2" t="str">
        <f>IFERROR(__xludf.DUMMYFUNCTION("IFERROR(VLOOKUP(A6574, IMPORTRANGE(""https://docs.google.com/spreadsheets/d/1-3Vjw2Cyy-mry5gbC8ypIR3YVGFfEpyFESummAta6sg/edit"", ""Sheet1!B:D""), 2, FALSE), ""Not Found"")"),"bɛlts")</f>
        <v>bɛlts</v>
      </c>
      <c r="E6574" s="2" t="str">
        <f>IFERROR(__xludf.DUMMYFUNCTION("IFERROR(VLOOKUP(A6574, IMPORTRANGE(""https://docs.google.com/spreadsheets/d/1-3Vjw2Cyy-mry5gbC8ypIR3YVGFfEpyFESummAta6sg/edit"", ""Sheet1!B:D""), 3, FALSE), ""Not Found"")"),"b ɛ l t s ")</f>
        <v>b ɛ l t s </v>
      </c>
    </row>
    <row r="6575">
      <c r="A6575" s="1" t="s">
        <v>6577</v>
      </c>
      <c r="B6575" s="1" t="s">
        <v>5</v>
      </c>
      <c r="C6575" s="2">
        <f>IFERROR(__xludf.DUMMYFUNCTION("IFERROR(VLOOKUP(A6575, IMPORTRANGE(""https://docs.google.com/spreadsheets/d/1AVX9GT0dgogEBStecCXMMQ29tWz3gBrtNB8yIromXbY/edit?gid=741673867"", ""out1g!A:B""), 2, FALSE), 0)"),73.0)</f>
        <v>73</v>
      </c>
      <c r="D6575" s="2" t="str">
        <f>IFERROR(__xludf.DUMMYFUNCTION("IFERROR(VLOOKUP(A6575, IMPORTRANGE(""https://docs.google.com/spreadsheets/d/1-3Vjw2Cyy-mry5gbC8ypIR3YVGFfEpyFESummAta6sg/edit"", ""Sheet1!B:D""), 2, FALSE), ""Not Found"")"),"hɪŋ")</f>
        <v>hɪŋ</v>
      </c>
      <c r="E6575" s="2" t="str">
        <f>IFERROR(__xludf.DUMMYFUNCTION("IFERROR(VLOOKUP(A6575, IMPORTRANGE(""https://docs.google.com/spreadsheets/d/1-3Vjw2Cyy-mry5gbC8ypIR3YVGFfEpyFESummAta6sg/edit"", ""Sheet1!B:D""), 3, FALSE), ""Not Found"")"),"h ɪ ŋ ")</f>
        <v>h ɪ ŋ </v>
      </c>
    </row>
    <row r="6576">
      <c r="A6576" s="1" t="s">
        <v>6578</v>
      </c>
      <c r="B6576" s="1" t="s">
        <v>5</v>
      </c>
      <c r="C6576" s="2">
        <f>IFERROR(__xludf.DUMMYFUNCTION("IFERROR(VLOOKUP(A6576, IMPORTRANGE(""https://docs.google.com/spreadsheets/d/1AVX9GT0dgogEBStecCXMMQ29tWz3gBrtNB8yIromXbY/edit?gid=741673867"", ""out1g!A:B""), 2, FALSE), 0)"),20949.0)</f>
        <v>20949</v>
      </c>
      <c r="D6576" s="2" t="str">
        <f>IFERROR(__xludf.DUMMYFUNCTION("IFERROR(VLOOKUP(A6576, IMPORTRANGE(""https://docs.google.com/spreadsheets/d/1-3Vjw2Cyy-mry5gbC8ypIR3YVGFfEpyFESummAta6sg/edit"", ""Sheet1!B:D""), 2, FALSE), ""Not Found"")"),"sən")</f>
        <v>sən</v>
      </c>
      <c r="E6576" s="2" t="str">
        <f>IFERROR(__xludf.DUMMYFUNCTION("IFERROR(VLOOKUP(A6576, IMPORTRANGE(""https://docs.google.com/spreadsheets/d/1-3Vjw2Cyy-mry5gbC8ypIR3YVGFfEpyFESummAta6sg/edit"", ""Sheet1!B:D""), 3, FALSE), ""Not Found"")"),"s ə n ")</f>
        <v>s ə n </v>
      </c>
    </row>
    <row r="6577">
      <c r="A6577" s="1" t="s">
        <v>6579</v>
      </c>
      <c r="B6577" s="1" t="s">
        <v>5</v>
      </c>
      <c r="C6577" s="2">
        <f>IFERROR(__xludf.DUMMYFUNCTION("IFERROR(VLOOKUP(A6577, IMPORTRANGE(""https://docs.google.com/spreadsheets/d/1AVX9GT0dgogEBStecCXMMQ29tWz3gBrtNB8yIromXbY/edit?gid=741673867"", ""out1g!A:B""), 2, FALSE), 0)"),187.0)</f>
        <v>187</v>
      </c>
      <c r="D6577" s="2" t="str">
        <f>IFERROR(__xludf.DUMMYFUNCTION("IFERROR(VLOOKUP(A6577, IMPORTRANGE(""https://docs.google.com/spreadsheets/d/1-3Vjw2Cyy-mry5gbC8ypIR3YVGFfEpyFESummAta6sg/edit"", ""Sheet1!B:D""), 2, FALSE), ""Not Found"")"),"luʃə")</f>
        <v>luʃə</v>
      </c>
      <c r="E6577" s="2" t="str">
        <f>IFERROR(__xludf.DUMMYFUNCTION("IFERROR(VLOOKUP(A6577, IMPORTRANGE(""https://docs.google.com/spreadsheets/d/1-3Vjw2Cyy-mry5gbC8ypIR3YVGFfEpyFESummAta6sg/edit"", ""Sheet1!B:D""), 3, FALSE), ""Not Found"")"),"l u ʃ ə ")</f>
        <v>l u ʃ ə </v>
      </c>
    </row>
    <row r="6578">
      <c r="A6578" s="1" t="s">
        <v>6580</v>
      </c>
      <c r="B6578" s="1" t="s">
        <v>5</v>
      </c>
      <c r="C6578" s="2">
        <f>IFERROR(__xludf.DUMMYFUNCTION("IFERROR(VLOOKUP(A6578, IMPORTRANGE(""https://docs.google.com/spreadsheets/d/1AVX9GT0dgogEBStecCXMMQ29tWz3gBrtNB8yIromXbY/edit?gid=741673867"", ""out1g!A:B""), 2, FALSE), 0)"),4268.0)</f>
        <v>4268</v>
      </c>
      <c r="D6578" s="2" t="str">
        <f>IFERROR(__xludf.DUMMYFUNCTION("IFERROR(VLOOKUP(A6578, IMPORTRANGE(""https://docs.google.com/spreadsheets/d/1-3Vjw2Cyy-mry5gbC8ypIR3YVGFfEpyFESummAta6sg/edit"", ""Sheet1!B:D""), 2, FALSE), ""Not Found"")"),"bɔrn")</f>
        <v>bɔrn</v>
      </c>
      <c r="E6578" s="2" t="str">
        <f>IFERROR(__xludf.DUMMYFUNCTION("IFERROR(VLOOKUP(A6578, IMPORTRANGE(""https://docs.google.com/spreadsheets/d/1-3Vjw2Cyy-mry5gbC8ypIR3YVGFfEpyFESummAta6sg/edit"", ""Sheet1!B:D""), 3, FALSE), ""Not Found"")"),"b ɔ r n ")</f>
        <v>b ɔ r n </v>
      </c>
    </row>
    <row r="6579">
      <c r="A6579" s="1" t="s">
        <v>6581</v>
      </c>
      <c r="B6579" s="1" t="s">
        <v>5</v>
      </c>
      <c r="C6579" s="2">
        <f>IFERROR(__xludf.DUMMYFUNCTION("IFERROR(VLOOKUP(A6579, IMPORTRANGE(""https://docs.google.com/spreadsheets/d/1AVX9GT0dgogEBStecCXMMQ29tWz3gBrtNB8yIromXbY/edit?gid=741673867"", ""out1g!A:B""), 2, FALSE), 0)"),50.0)</f>
        <v>50</v>
      </c>
      <c r="D6579" s="2" t="str">
        <f>IFERROR(__xludf.DUMMYFUNCTION("IFERROR(VLOOKUP(A6579, IMPORTRANGE(""https://docs.google.com/spreadsheets/d/1-3Vjw2Cyy-mry5gbC8ypIR3YVGFfEpyFESummAta6sg/edit"", ""Sheet1!B:D""), 2, FALSE), ""Not Found"")"),"sləmz")</f>
        <v>sləmz</v>
      </c>
      <c r="E6579" s="2" t="str">
        <f>IFERROR(__xludf.DUMMYFUNCTION("IFERROR(VLOOKUP(A6579, IMPORTRANGE(""https://docs.google.com/spreadsheets/d/1-3Vjw2Cyy-mry5gbC8ypIR3YVGFfEpyFESummAta6sg/edit"", ""Sheet1!B:D""), 3, FALSE), ""Not Found"")"),"s l ə m z ")</f>
        <v>s l ə m z </v>
      </c>
    </row>
    <row r="6580">
      <c r="A6580" s="1" t="s">
        <v>6582</v>
      </c>
      <c r="B6580" s="1" t="s">
        <v>5</v>
      </c>
      <c r="C6580" s="2">
        <f>IFERROR(__xludf.DUMMYFUNCTION("IFERROR(VLOOKUP(A6580, IMPORTRANGE(""https://docs.google.com/spreadsheets/d/1AVX9GT0dgogEBStecCXMMQ29tWz3gBrtNB8yIromXbY/edit?gid=741673867"", ""out1g!A:B""), 2, FALSE), 0)"),78.0)</f>
        <v>78</v>
      </c>
      <c r="D6580" s="2" t="str">
        <f>IFERROR(__xludf.DUMMYFUNCTION("IFERROR(VLOOKUP(A6580, IMPORTRANGE(""https://docs.google.com/spreadsheets/d/1-3Vjw2Cyy-mry5gbC8ypIR3YVGFfEpyFESummAta6sg/edit"", ""Sheet1!B:D""), 2, FALSE), ""Not Found"")"),"bini")</f>
        <v>bini</v>
      </c>
      <c r="E6580" s="2" t="str">
        <f>IFERROR(__xludf.DUMMYFUNCTION("IFERROR(VLOOKUP(A6580, IMPORTRANGE(""https://docs.google.com/spreadsheets/d/1-3Vjw2Cyy-mry5gbC8ypIR3YVGFfEpyFESummAta6sg/edit"", ""Sheet1!B:D""), 3, FALSE), ""Not Found"")"),"b i n i ")</f>
        <v>b i n i </v>
      </c>
    </row>
    <row r="6581">
      <c r="A6581" s="1" t="s">
        <v>6583</v>
      </c>
      <c r="B6581" s="1" t="s">
        <v>5</v>
      </c>
      <c r="C6581" s="2">
        <f>IFERROR(__xludf.DUMMYFUNCTION("IFERROR(VLOOKUP(A6581, IMPORTRANGE(""https://docs.google.com/spreadsheets/d/1AVX9GT0dgogEBStecCXMMQ29tWz3gBrtNB8yIromXbY/edit?gid=741673867"", ""out1g!A:B""), 2, FALSE), 0)"),2011.0)</f>
        <v>2011</v>
      </c>
      <c r="D6581" s="2" t="str">
        <f>IFERROR(__xludf.DUMMYFUNCTION("IFERROR(VLOOKUP(A6581, IMPORTRANGE(""https://docs.google.com/spreadsheets/d/1-3Vjw2Cyy-mry5gbC8ypIR3YVGFfEpyFESummAta6sg/edit"", ""Sheet1!B:D""), 2, FALSE), ""Not Found"")"),"kələr")</f>
        <v>kələr</v>
      </c>
      <c r="E6581" s="2" t="str">
        <f>IFERROR(__xludf.DUMMYFUNCTION("IFERROR(VLOOKUP(A6581, IMPORTRANGE(""https://docs.google.com/spreadsheets/d/1-3Vjw2Cyy-mry5gbC8ypIR3YVGFfEpyFESummAta6sg/edit"", ""Sheet1!B:D""), 3, FALSE), ""Not Found"")"),"k ə l ə r ")</f>
        <v>k ə l ə r </v>
      </c>
    </row>
    <row r="6582">
      <c r="A6582" s="1" t="s">
        <v>6584</v>
      </c>
      <c r="B6582" s="1" t="s">
        <v>5</v>
      </c>
      <c r="C6582" s="2">
        <f>IFERROR(__xludf.DUMMYFUNCTION("IFERROR(VLOOKUP(A6582, IMPORTRANGE(""https://docs.google.com/spreadsheets/d/1AVX9GT0dgogEBStecCXMMQ29tWz3gBrtNB8yIromXbY/edit?gid=741673867"", ""out1g!A:B""), 2, FALSE), 0)"),520.0)</f>
        <v>520</v>
      </c>
      <c r="D6582" s="2" t="str">
        <f>IFERROR(__xludf.DUMMYFUNCTION("IFERROR(VLOOKUP(A6582, IMPORTRANGE(""https://docs.google.com/spreadsheets/d/1-3Vjw2Cyy-mry5gbC8ypIR3YVGFfEpyFESummAta6sg/edit"", ""Sheet1!B:D""), 2, FALSE), ""Not Found"")"),"ʤuz")</f>
        <v>ʤuz</v>
      </c>
      <c r="E6582" s="2" t="str">
        <f>IFERROR(__xludf.DUMMYFUNCTION("IFERROR(VLOOKUP(A6582, IMPORTRANGE(""https://docs.google.com/spreadsheets/d/1-3Vjw2Cyy-mry5gbC8ypIR3YVGFfEpyFESummAta6sg/edit"", ""Sheet1!B:D""), 3, FALSE), ""Not Found"")"),"ʤ u z ")</f>
        <v>ʤ u z </v>
      </c>
    </row>
    <row r="6583">
      <c r="A6583" s="1" t="s">
        <v>6585</v>
      </c>
      <c r="B6583" s="1" t="s">
        <v>5</v>
      </c>
      <c r="C6583" s="2">
        <f>IFERROR(__xludf.DUMMYFUNCTION("IFERROR(VLOOKUP(A6583, IMPORTRANGE(""https://docs.google.com/spreadsheets/d/1AVX9GT0dgogEBStecCXMMQ29tWz3gBrtNB8yIromXbY/edit?gid=741673867"", ""out1g!A:B""), 2, FALSE), 0)"),61.0)</f>
        <v>61</v>
      </c>
      <c r="D6583" s="2" t="str">
        <f>IFERROR(__xludf.DUMMYFUNCTION("IFERROR(VLOOKUP(A6583, IMPORTRANGE(""https://docs.google.com/spreadsheets/d/1-3Vjw2Cyy-mry5gbC8ypIR3YVGFfEpyFESummAta6sg/edit"", ""Sheet1!B:D""), 2, FALSE), ""Not Found"")"),"kwoʊts")</f>
        <v>kwoʊts</v>
      </c>
      <c r="E6583" s="2" t="str">
        <f>IFERROR(__xludf.DUMMYFUNCTION("IFERROR(VLOOKUP(A6583, IMPORTRANGE(""https://docs.google.com/spreadsheets/d/1-3Vjw2Cyy-mry5gbC8ypIR3YVGFfEpyFESummAta6sg/edit"", ""Sheet1!B:D""), 3, FALSE), ""Not Found"")"),"k w o ʊ t s ")</f>
        <v>k w o ʊ t s </v>
      </c>
    </row>
    <row r="6584">
      <c r="A6584" s="1" t="s">
        <v>6586</v>
      </c>
      <c r="B6584" s="1" t="s">
        <v>5</v>
      </c>
      <c r="C6584" s="2">
        <f>IFERROR(__xludf.DUMMYFUNCTION("IFERROR(VLOOKUP(A6584, IMPORTRANGE(""https://docs.google.com/spreadsheets/d/1AVX9GT0dgogEBStecCXMMQ29tWz3gBrtNB8yIromXbY/edit?gid=741673867"", ""out1g!A:B""), 2, FALSE), 0)"),3629.0)</f>
        <v>3629</v>
      </c>
      <c r="D6584" s="2" t="str">
        <f>IFERROR(__xludf.DUMMYFUNCTION("IFERROR(VLOOKUP(A6584, IMPORTRANGE(""https://docs.google.com/spreadsheets/d/1-3Vjw2Cyy-mry5gbC8ypIR3YVGFfEpyFESummAta6sg/edit"", ""Sheet1!B:D""), 2, FALSE), ""Not Found"")"),"roʊt")</f>
        <v>roʊt</v>
      </c>
      <c r="E6584" s="2" t="str">
        <f>IFERROR(__xludf.DUMMYFUNCTION("IFERROR(VLOOKUP(A6584, IMPORTRANGE(""https://docs.google.com/spreadsheets/d/1-3Vjw2Cyy-mry5gbC8ypIR3YVGFfEpyFESummAta6sg/edit"", ""Sheet1!B:D""), 3, FALSE), ""Not Found"")"),"r o ʊ t ")</f>
        <v>r o ʊ t </v>
      </c>
    </row>
    <row r="6585">
      <c r="A6585" s="1" t="s">
        <v>6587</v>
      </c>
      <c r="B6585" s="1" t="s">
        <v>5</v>
      </c>
      <c r="C6585" s="2">
        <f>IFERROR(__xludf.DUMMYFUNCTION("IFERROR(VLOOKUP(A6585, IMPORTRANGE(""https://docs.google.com/spreadsheets/d/1AVX9GT0dgogEBStecCXMMQ29tWz3gBrtNB8yIromXbY/edit?gid=741673867"", ""out1g!A:B""), 2, FALSE), 0)"),118.0)</f>
        <v>118</v>
      </c>
      <c r="D6585" s="2" t="str">
        <f>IFERROR(__xludf.DUMMYFUNCTION("IFERROR(VLOOKUP(A6585, IMPORTRANGE(""https://docs.google.com/spreadsheets/d/1-3Vjw2Cyy-mry5gbC8ypIR3YVGFfEpyFESummAta6sg/edit"", ""Sheet1!B:D""), 2, FALSE), ""Not Found"")"),"dɪbz")</f>
        <v>dɪbz</v>
      </c>
      <c r="E6585" s="2" t="str">
        <f>IFERROR(__xludf.DUMMYFUNCTION("IFERROR(VLOOKUP(A6585, IMPORTRANGE(""https://docs.google.com/spreadsheets/d/1-3Vjw2Cyy-mry5gbC8ypIR3YVGFfEpyFESummAta6sg/edit"", ""Sheet1!B:D""), 3, FALSE), ""Not Found"")"),"d ɪ b z ")</f>
        <v>d ɪ b z </v>
      </c>
    </row>
    <row r="6586">
      <c r="A6586" s="1" t="s">
        <v>6588</v>
      </c>
      <c r="B6586" s="1" t="s">
        <v>5</v>
      </c>
      <c r="C6586" s="2">
        <f>IFERROR(__xludf.DUMMYFUNCTION("IFERROR(VLOOKUP(A6586, IMPORTRANGE(""https://docs.google.com/spreadsheets/d/1AVX9GT0dgogEBStecCXMMQ29tWz3gBrtNB8yIromXbY/edit?gid=741673867"", ""out1g!A:B""), 2, FALSE), 0)"),203.0)</f>
        <v>203</v>
      </c>
      <c r="D6586" s="2" t="str">
        <f>IFERROR(__xludf.DUMMYFUNCTION("IFERROR(VLOOKUP(A6586, IMPORTRANGE(""https://docs.google.com/spreadsheets/d/1-3Vjw2Cyy-mry5gbC8ypIR3YVGFfEpyFESummAta6sg/edit"", ""Sheet1!B:D""), 2, FALSE), ""Not Found"")"),"nɑd")</f>
        <v>nɑd</v>
      </c>
      <c r="E6586" s="2" t="str">
        <f>IFERROR(__xludf.DUMMYFUNCTION("IFERROR(VLOOKUP(A6586, IMPORTRANGE(""https://docs.google.com/spreadsheets/d/1-3Vjw2Cyy-mry5gbC8ypIR3YVGFfEpyFESummAta6sg/edit"", ""Sheet1!B:D""), 3, FALSE), ""Not Found"")"),"n ɑ d ")</f>
        <v>n ɑ d </v>
      </c>
    </row>
    <row r="6587">
      <c r="A6587" s="1" t="s">
        <v>6589</v>
      </c>
      <c r="B6587" s="1" t="s">
        <v>5</v>
      </c>
      <c r="C6587" s="2">
        <f>IFERROR(__xludf.DUMMYFUNCTION("IFERROR(VLOOKUP(A6587, IMPORTRANGE(""https://docs.google.com/spreadsheets/d/1AVX9GT0dgogEBStecCXMMQ29tWz3gBrtNB8yIromXbY/edit?gid=741673867"", ""out1g!A:B""), 2, FALSE), 0)"),12.0)</f>
        <v>12</v>
      </c>
      <c r="D6587" s="2" t="str">
        <f>IFERROR(__xludf.DUMMYFUNCTION("IFERROR(VLOOKUP(A6587, IMPORTRANGE(""https://docs.google.com/spreadsheets/d/1-3Vjw2Cyy-mry5gbC8ypIR3YVGFfEpyFESummAta6sg/edit"", ""Sheet1!B:D""), 2, FALSE), ""Not Found"")"),"gaʊ")</f>
        <v>gaʊ</v>
      </c>
      <c r="E6587" s="2" t="str">
        <f>IFERROR(__xludf.DUMMYFUNCTION("IFERROR(VLOOKUP(A6587, IMPORTRANGE(""https://docs.google.com/spreadsheets/d/1-3Vjw2Cyy-mry5gbC8ypIR3YVGFfEpyFESummAta6sg/edit"", ""Sheet1!B:D""), 3, FALSE), ""Not Found"")"),"g a ʊ ")</f>
        <v>g a ʊ </v>
      </c>
    </row>
    <row r="6588">
      <c r="A6588" s="1" t="s">
        <v>6590</v>
      </c>
      <c r="B6588" s="1" t="s">
        <v>5</v>
      </c>
      <c r="C6588" s="2">
        <f>IFERROR(__xludf.DUMMYFUNCTION("IFERROR(VLOOKUP(A6588, IMPORTRANGE(""https://docs.google.com/spreadsheets/d/1AVX9GT0dgogEBStecCXMMQ29tWz3gBrtNB8yIromXbY/edit?gid=741673867"", ""out1g!A:B""), 2, FALSE), 0)"),53.0)</f>
        <v>53</v>
      </c>
      <c r="D6588" s="2" t="str">
        <f>IFERROR(__xludf.DUMMYFUNCTION("IFERROR(VLOOKUP(A6588, IMPORTRANGE(""https://docs.google.com/spreadsheets/d/1-3Vjw2Cyy-mry5gbC8ypIR3YVGFfEpyFESummAta6sg/edit"", ""Sheet1!B:D""), 2, FALSE), ""Not Found"")"),"kɪts")</f>
        <v>kɪts</v>
      </c>
      <c r="E6588" s="2" t="str">
        <f>IFERROR(__xludf.DUMMYFUNCTION("IFERROR(VLOOKUP(A6588, IMPORTRANGE(""https://docs.google.com/spreadsheets/d/1-3Vjw2Cyy-mry5gbC8ypIR3YVGFfEpyFESummAta6sg/edit"", ""Sheet1!B:D""), 3, FALSE), ""Not Found"")"),"k ɪ t s ")</f>
        <v>k ɪ t s </v>
      </c>
    </row>
    <row r="6589">
      <c r="A6589" s="1" t="s">
        <v>6591</v>
      </c>
      <c r="B6589" s="1" t="s">
        <v>5</v>
      </c>
      <c r="C6589" s="2">
        <f>IFERROR(__xludf.DUMMYFUNCTION("IFERROR(VLOOKUP(A6589, IMPORTRANGE(""https://docs.google.com/spreadsheets/d/1AVX9GT0dgogEBStecCXMMQ29tWz3gBrtNB8yIromXbY/edit?gid=741673867"", ""out1g!A:B""), 2, FALSE), 0)"),107.0)</f>
        <v>107</v>
      </c>
      <c r="D6589" s="2" t="str">
        <f>IFERROR(__xludf.DUMMYFUNCTION("IFERROR(VLOOKUP(A6589, IMPORTRANGE(""https://docs.google.com/spreadsheets/d/1-3Vjw2Cyy-mry5gbC8ypIR3YVGFfEpyFESummAta6sg/edit"", ""Sheet1!B:D""), 2, FALSE), ""Not Found"")"),"lɔgd")</f>
        <v>lɔgd</v>
      </c>
      <c r="E6589" s="2" t="str">
        <f>IFERROR(__xludf.DUMMYFUNCTION("IFERROR(VLOOKUP(A6589, IMPORTRANGE(""https://docs.google.com/spreadsheets/d/1-3Vjw2Cyy-mry5gbC8ypIR3YVGFfEpyFESummAta6sg/edit"", ""Sheet1!B:D""), 3, FALSE), ""Not Found"")"),"l ɔ g d ")</f>
        <v>l ɔ g d </v>
      </c>
    </row>
    <row r="6590">
      <c r="A6590" s="1" t="s">
        <v>6592</v>
      </c>
      <c r="B6590" s="1" t="s">
        <v>5</v>
      </c>
      <c r="C6590" s="2">
        <f>IFERROR(__xludf.DUMMYFUNCTION("IFERROR(VLOOKUP(A6590, IMPORTRANGE(""https://docs.google.com/spreadsheets/d/1AVX9GT0dgogEBStecCXMMQ29tWz3gBrtNB8yIromXbY/edit?gid=741673867"", ""out1g!A:B""), 2, FALSE), 0)"),197.0)</f>
        <v>197</v>
      </c>
      <c r="D6590" s="2" t="str">
        <f>IFERROR(__xludf.DUMMYFUNCTION("IFERROR(VLOOKUP(A6590, IMPORTRANGE(""https://docs.google.com/spreadsheets/d/1-3Vjw2Cyy-mry5gbC8ypIR3YVGFfEpyFESummAta6sg/edit"", ""Sheet1!B:D""), 2, FALSE), ""Not Found"")"),"daɪ")</f>
        <v>daɪ</v>
      </c>
      <c r="E6590" s="2" t="str">
        <f>IFERROR(__xludf.DUMMYFUNCTION("IFERROR(VLOOKUP(A6590, IMPORTRANGE(""https://docs.google.com/spreadsheets/d/1-3Vjw2Cyy-mry5gbC8ypIR3YVGFfEpyFESummAta6sg/edit"", ""Sheet1!B:D""), 3, FALSE), ""Not Found"")"),"d a ɪ ")</f>
        <v>d a ɪ </v>
      </c>
    </row>
    <row r="6591">
      <c r="A6591" s="1" t="s">
        <v>6593</v>
      </c>
      <c r="B6591" s="1" t="s">
        <v>5</v>
      </c>
      <c r="C6591" s="2">
        <f>IFERROR(__xludf.DUMMYFUNCTION("IFERROR(VLOOKUP(A6591, IMPORTRANGE(""https://docs.google.com/spreadsheets/d/1AVX9GT0dgogEBStecCXMMQ29tWz3gBrtNB8yIromXbY/edit?gid=741673867"", ""out1g!A:B""), 2, FALSE), 0)"),202.0)</f>
        <v>202</v>
      </c>
      <c r="D6591" s="2" t="str">
        <f>IFERROR(__xludf.DUMMYFUNCTION("IFERROR(VLOOKUP(A6591, IMPORTRANGE(""https://docs.google.com/spreadsheets/d/1-3Vjw2Cyy-mry5gbC8ypIR3YVGFfEpyFESummAta6sg/edit"", ""Sheet1!B:D""), 2, FALSE), ""Not Found"")"),"pɑpi")</f>
        <v>pɑpi</v>
      </c>
      <c r="E6591" s="2" t="str">
        <f>IFERROR(__xludf.DUMMYFUNCTION("IFERROR(VLOOKUP(A6591, IMPORTRANGE(""https://docs.google.com/spreadsheets/d/1-3Vjw2Cyy-mry5gbC8ypIR3YVGFfEpyFESummAta6sg/edit"", ""Sheet1!B:D""), 3, FALSE), ""Not Found"")"),"p ɑ p i ")</f>
        <v>p ɑ p i </v>
      </c>
    </row>
    <row r="6592">
      <c r="A6592" s="1" t="s">
        <v>6594</v>
      </c>
      <c r="B6592" s="1" t="s">
        <v>5</v>
      </c>
      <c r="C6592" s="2">
        <f>IFERROR(__xludf.DUMMYFUNCTION("IFERROR(VLOOKUP(A6592, IMPORTRANGE(""https://docs.google.com/spreadsheets/d/1AVX9GT0dgogEBStecCXMMQ29tWz3gBrtNB8yIromXbY/edit?gid=741673867"", ""out1g!A:B""), 2, FALSE), 0)"),86.0)</f>
        <v>86</v>
      </c>
      <c r="D6592" s="2" t="str">
        <f>IFERROR(__xludf.DUMMYFUNCTION("IFERROR(VLOOKUP(A6592, IMPORTRANGE(""https://docs.google.com/spreadsheets/d/1-3Vjw2Cyy-mry5gbC8ypIR3YVGFfEpyFESummAta6sg/edit"", ""Sheet1!B:D""), 2, FALSE), ""Not Found"")"),"laʊs")</f>
        <v>laʊs</v>
      </c>
      <c r="E6592" s="2" t="str">
        <f>IFERROR(__xludf.DUMMYFUNCTION("IFERROR(VLOOKUP(A6592, IMPORTRANGE(""https://docs.google.com/spreadsheets/d/1-3Vjw2Cyy-mry5gbC8ypIR3YVGFfEpyFESummAta6sg/edit"", ""Sheet1!B:D""), 3, FALSE), ""Not Found"")"),"l a ʊ s ")</f>
        <v>l a ʊ s </v>
      </c>
    </row>
    <row r="6593">
      <c r="A6593" s="1" t="s">
        <v>6595</v>
      </c>
      <c r="B6593" s="1" t="s">
        <v>5</v>
      </c>
      <c r="C6593" s="2">
        <f>IFERROR(__xludf.DUMMYFUNCTION("IFERROR(VLOOKUP(A6593, IMPORTRANGE(""https://docs.google.com/spreadsheets/d/1AVX9GT0dgogEBStecCXMMQ29tWz3gBrtNB8yIromXbY/edit?gid=741673867"", ""out1g!A:B""), 2, FALSE), 0)"),2548.0)</f>
        <v>2548</v>
      </c>
      <c r="D6593" s="2" t="str">
        <f>IFERROR(__xludf.DUMMYFUNCTION("IFERROR(VLOOKUP(A6593, IMPORTRANGE(""https://docs.google.com/spreadsheets/d/1-3Vjw2Cyy-mry5gbC8ypIR3YVGFfEpyFESummAta6sg/edit"", ""Sheet1!B:D""), 2, FALSE), ""Not Found"")"),"mun")</f>
        <v>mun</v>
      </c>
      <c r="E6593" s="2" t="str">
        <f>IFERROR(__xludf.DUMMYFUNCTION("IFERROR(VLOOKUP(A6593, IMPORTRANGE(""https://docs.google.com/spreadsheets/d/1-3Vjw2Cyy-mry5gbC8ypIR3YVGFfEpyFESummAta6sg/edit"", ""Sheet1!B:D""), 3, FALSE), ""Not Found"")"),"m u n ")</f>
        <v>m u n </v>
      </c>
    </row>
    <row r="6594">
      <c r="A6594" s="1" t="s">
        <v>6596</v>
      </c>
      <c r="B6594" s="1" t="s">
        <v>5</v>
      </c>
      <c r="C6594" s="2">
        <f>IFERROR(__xludf.DUMMYFUNCTION("IFERROR(VLOOKUP(A6594, IMPORTRANGE(""https://docs.google.com/spreadsheets/d/1AVX9GT0dgogEBStecCXMMQ29tWz3gBrtNB8yIromXbY/edit?gid=741673867"", ""out1g!A:B""), 2, FALSE), 0)"),678.0)</f>
        <v>678</v>
      </c>
      <c r="D6594" s="2" t="str">
        <f>IFERROR(__xludf.DUMMYFUNCTION("IFERROR(VLOOKUP(A6594, IMPORTRANGE(""https://docs.google.com/spreadsheets/d/1-3Vjw2Cyy-mry5gbC8ypIR3YVGFfEpyFESummAta6sg/edit"", ""Sheet1!B:D""), 2, FALSE), ""Not Found"")"),"wilz")</f>
        <v>wilz</v>
      </c>
      <c r="E6594" s="2" t="str">
        <f>IFERROR(__xludf.DUMMYFUNCTION("IFERROR(VLOOKUP(A6594, IMPORTRANGE(""https://docs.google.com/spreadsheets/d/1-3Vjw2Cyy-mry5gbC8ypIR3YVGFfEpyFESummAta6sg/edit"", ""Sheet1!B:D""), 3, FALSE), ""Not Found"")"),"w i l z ")</f>
        <v>w i l z </v>
      </c>
    </row>
    <row r="6595">
      <c r="A6595" s="1" t="s">
        <v>6597</v>
      </c>
      <c r="B6595" s="1" t="s">
        <v>5</v>
      </c>
      <c r="C6595" s="2">
        <f>IFERROR(__xludf.DUMMYFUNCTION("IFERROR(VLOOKUP(A6595, IMPORTRANGE(""https://docs.google.com/spreadsheets/d/1AVX9GT0dgogEBStecCXMMQ29tWz3gBrtNB8yIromXbY/edit?gid=741673867"", ""out1g!A:B""), 2, FALSE), 0)"),153.0)</f>
        <v>153</v>
      </c>
      <c r="D6595" s="2" t="str">
        <f>IFERROR(__xludf.DUMMYFUNCTION("IFERROR(VLOOKUP(A6595, IMPORTRANGE(""https://docs.google.com/spreadsheets/d/1-3Vjw2Cyy-mry5gbC8ypIR3YVGFfEpyFESummAta6sg/edit"", ""Sheet1!B:D""), 2, FALSE), ""Not Found"")"),"rəsaɪt")</f>
        <v>rəsaɪt</v>
      </c>
      <c r="E6595" s="2" t="str">
        <f>IFERROR(__xludf.DUMMYFUNCTION("IFERROR(VLOOKUP(A6595, IMPORTRANGE(""https://docs.google.com/spreadsheets/d/1-3Vjw2Cyy-mry5gbC8ypIR3YVGFfEpyFESummAta6sg/edit"", ""Sheet1!B:D""), 3, FALSE), ""Not Found"")"),"r ə s a ɪ t ")</f>
        <v>r ə s a ɪ t </v>
      </c>
    </row>
    <row r="6596">
      <c r="A6596" s="1" t="s">
        <v>6598</v>
      </c>
      <c r="B6596" s="1" t="s">
        <v>5</v>
      </c>
      <c r="C6596" s="2">
        <f>IFERROR(__xludf.DUMMYFUNCTION("IFERROR(VLOOKUP(A6596, IMPORTRANGE(""https://docs.google.com/spreadsheets/d/1AVX9GT0dgogEBStecCXMMQ29tWz3gBrtNB8yIromXbY/edit?gid=741673867"", ""out1g!A:B""), 2, FALSE), 0)"),2346.0)</f>
        <v>2346</v>
      </c>
      <c r="D6596" s="2" t="str">
        <f>IFERROR(__xludf.DUMMYFUNCTION("IFERROR(VLOOKUP(A6596, IMPORTRANGE(""https://docs.google.com/spreadsheets/d/1-3Vjw2Cyy-mry5gbC8ypIR3YVGFfEpyFESummAta6sg/edit"", ""Sheet1!B:D""), 2, FALSE), ""Not Found"")"),"muviz")</f>
        <v>muviz</v>
      </c>
      <c r="E6596" s="2" t="str">
        <f>IFERROR(__xludf.DUMMYFUNCTION("IFERROR(VLOOKUP(A6596, IMPORTRANGE(""https://docs.google.com/spreadsheets/d/1-3Vjw2Cyy-mry5gbC8ypIR3YVGFfEpyFESummAta6sg/edit"", ""Sheet1!B:D""), 3, FALSE), ""Not Found"")"),"m u v i z ")</f>
        <v>m u v i z </v>
      </c>
    </row>
    <row r="6597">
      <c r="A6597" s="1" t="s">
        <v>6599</v>
      </c>
      <c r="B6597" s="1" t="s">
        <v>5</v>
      </c>
      <c r="C6597" s="2">
        <f>IFERROR(__xludf.DUMMYFUNCTION("IFERROR(VLOOKUP(A6597, IMPORTRANGE(""https://docs.google.com/spreadsheets/d/1AVX9GT0dgogEBStecCXMMQ29tWz3gBrtNB8yIromXbY/edit?gid=741673867"", ""out1g!A:B""), 2, FALSE), 0)"),106.0)</f>
        <v>106</v>
      </c>
      <c r="D6597" s="2" t="str">
        <f>IFERROR(__xludf.DUMMYFUNCTION("IFERROR(VLOOKUP(A6597, IMPORTRANGE(""https://docs.google.com/spreadsheets/d/1-3Vjw2Cyy-mry5gbC8ypIR3YVGFfEpyFESummAta6sg/edit"", ""Sheet1!B:D""), 2, FALSE), ""Not Found"")"),"kwɔrt")</f>
        <v>kwɔrt</v>
      </c>
      <c r="E6597" s="2" t="str">
        <f>IFERROR(__xludf.DUMMYFUNCTION("IFERROR(VLOOKUP(A6597, IMPORTRANGE(""https://docs.google.com/spreadsheets/d/1-3Vjw2Cyy-mry5gbC8ypIR3YVGFfEpyFESummAta6sg/edit"", ""Sheet1!B:D""), 3, FALSE), ""Not Found"")"),"k w ɔ r t ")</f>
        <v>k w ɔ r t </v>
      </c>
    </row>
    <row r="6598">
      <c r="A6598" s="1" t="s">
        <v>6600</v>
      </c>
      <c r="B6598" s="1" t="s">
        <v>5</v>
      </c>
      <c r="C6598" s="2">
        <f>IFERROR(__xludf.DUMMYFUNCTION("IFERROR(VLOOKUP(A6598, IMPORTRANGE(""https://docs.google.com/spreadsheets/d/1AVX9GT0dgogEBStecCXMMQ29tWz3gBrtNB8yIromXbY/edit?gid=741673867"", ""out1g!A:B""), 2, FALSE), 0)"),2131.0)</f>
        <v>2131</v>
      </c>
      <c r="D6598" s="2" t="str">
        <f>IFERROR(__xludf.DUMMYFUNCTION("IFERROR(VLOOKUP(A6598, IMPORTRANGE(""https://docs.google.com/spreadsheets/d/1-3Vjw2Cyy-mry5gbC8ypIR3YVGFfEpyFESummAta6sg/edit"", ""Sheet1!B:D""), 2, FALSE), ""Not Found"")"),"lus")</f>
        <v>lus</v>
      </c>
      <c r="E6598" s="2" t="str">
        <f>IFERROR(__xludf.DUMMYFUNCTION("IFERROR(VLOOKUP(A6598, IMPORTRANGE(""https://docs.google.com/spreadsheets/d/1-3Vjw2Cyy-mry5gbC8ypIR3YVGFfEpyFESummAta6sg/edit"", ""Sheet1!B:D""), 3, FALSE), ""Not Found"")"),"l u s ")</f>
        <v>l u s </v>
      </c>
    </row>
    <row r="6599">
      <c r="A6599" s="1" t="s">
        <v>6601</v>
      </c>
      <c r="B6599" s="1" t="s">
        <v>5</v>
      </c>
      <c r="C6599" s="2">
        <f>IFERROR(__xludf.DUMMYFUNCTION("IFERROR(VLOOKUP(A6599, IMPORTRANGE(""https://docs.google.com/spreadsheets/d/1AVX9GT0dgogEBStecCXMMQ29tWz3gBrtNB8yIromXbY/edit?gid=741673867"", ""out1g!A:B""), 2, FALSE), 0)"),175.0)</f>
        <v>175</v>
      </c>
      <c r="D6599" s="2" t="str">
        <f>IFERROR(__xludf.DUMMYFUNCTION("IFERROR(VLOOKUP(A6599, IMPORTRANGE(""https://docs.google.com/spreadsheets/d/1-3Vjw2Cyy-mry5gbC8ypIR3YVGFfEpyFESummAta6sg/edit"", ""Sheet1!B:D""), 2, FALSE), ""Not Found"")"),"mɪst")</f>
        <v>mɪst</v>
      </c>
      <c r="E6599" s="2" t="str">
        <f>IFERROR(__xludf.DUMMYFUNCTION("IFERROR(VLOOKUP(A6599, IMPORTRANGE(""https://docs.google.com/spreadsheets/d/1-3Vjw2Cyy-mry5gbC8ypIR3YVGFfEpyFESummAta6sg/edit"", ""Sheet1!B:D""), 3, FALSE), ""Not Found"")"),"m ɪ s t ")</f>
        <v>m ɪ s t </v>
      </c>
    </row>
    <row r="6600">
      <c r="A6600" s="1" t="s">
        <v>6602</v>
      </c>
      <c r="B6600" s="1" t="s">
        <v>5</v>
      </c>
      <c r="C6600" s="2">
        <f>IFERROR(__xludf.DUMMYFUNCTION("IFERROR(VLOOKUP(A6600, IMPORTRANGE(""https://docs.google.com/spreadsheets/d/1AVX9GT0dgogEBStecCXMMQ29tWz3gBrtNB8yIromXbY/edit?gid=741673867"", ""out1g!A:B""), 2, FALSE), 0)"),49.0)</f>
        <v>49</v>
      </c>
      <c r="D6600" s="2" t="str">
        <f>IFERROR(__xludf.DUMMYFUNCTION("IFERROR(VLOOKUP(A6600, IMPORTRANGE(""https://docs.google.com/spreadsheets/d/1-3Vjw2Cyy-mry5gbC8ypIR3YVGFfEpyFESummAta6sg/edit"", ""Sheet1!B:D""), 2, FALSE), ""Not Found"")"),"kɛgz")</f>
        <v>kɛgz</v>
      </c>
      <c r="E6600" s="2" t="str">
        <f>IFERROR(__xludf.DUMMYFUNCTION("IFERROR(VLOOKUP(A6600, IMPORTRANGE(""https://docs.google.com/spreadsheets/d/1-3Vjw2Cyy-mry5gbC8ypIR3YVGFfEpyFESummAta6sg/edit"", ""Sheet1!B:D""), 3, FALSE), ""Not Found"")"),"k ɛ g z ")</f>
        <v>k ɛ g z </v>
      </c>
    </row>
    <row r="6601">
      <c r="A6601" s="1" t="s">
        <v>6603</v>
      </c>
      <c r="B6601" s="1" t="s">
        <v>5</v>
      </c>
      <c r="C6601" s="2">
        <f>IFERROR(__xludf.DUMMYFUNCTION("IFERROR(VLOOKUP(A6601, IMPORTRANGE(""https://docs.google.com/spreadsheets/d/1AVX9GT0dgogEBStecCXMMQ29tWz3gBrtNB8yIromXbY/edit?gid=741673867"", ""out1g!A:B""), 2, FALSE), 0)"),3133.0)</f>
        <v>3133</v>
      </c>
      <c r="D6601" s="2" t="str">
        <f>IFERROR(__xludf.DUMMYFUNCTION("IFERROR(VLOOKUP(A6601, IMPORTRANGE(""https://docs.google.com/spreadsheets/d/1-3Vjw2Cyy-mry5gbC8ypIR3YVGFfEpyFESummAta6sg/edit"", ""Sheet1!B:D""), 2, FALSE), ""Not Found"")"),"rɛdɪŋ")</f>
        <v>rɛdɪŋ</v>
      </c>
      <c r="E6601" s="2" t="str">
        <f>IFERROR(__xludf.DUMMYFUNCTION("IFERROR(VLOOKUP(A6601, IMPORTRANGE(""https://docs.google.com/spreadsheets/d/1-3Vjw2Cyy-mry5gbC8ypIR3YVGFfEpyFESummAta6sg/edit"", ""Sheet1!B:D""), 3, FALSE), ""Not Found"")"),"r ɛ d ɪ ŋ ")</f>
        <v>r ɛ d ɪ ŋ </v>
      </c>
    </row>
    <row r="6602">
      <c r="A6602" s="1" t="s">
        <v>6604</v>
      </c>
      <c r="B6602" s="1" t="s">
        <v>5</v>
      </c>
      <c r="C6602" s="2">
        <f>IFERROR(__xludf.DUMMYFUNCTION("IFERROR(VLOOKUP(A6602, IMPORTRANGE(""https://docs.google.com/spreadsheets/d/1AVX9GT0dgogEBStecCXMMQ29tWz3gBrtNB8yIromXbY/edit?gid=741673867"", ""out1g!A:B""), 2, FALSE), 0)"),93.0)</f>
        <v>93</v>
      </c>
      <c r="D6602" s="2" t="str">
        <f>IFERROR(__xludf.DUMMYFUNCTION("IFERROR(VLOOKUP(A6602, IMPORTRANGE(""https://docs.google.com/spreadsheets/d/1-3Vjw2Cyy-mry5gbC8ypIR3YVGFfEpyFESummAta6sg/edit"", ""Sheet1!B:D""), 2, FALSE), ""Not Found"")"),"krɪk")</f>
        <v>krɪk</v>
      </c>
      <c r="E6602" s="2" t="str">
        <f>IFERROR(__xludf.DUMMYFUNCTION("IFERROR(VLOOKUP(A6602, IMPORTRANGE(""https://docs.google.com/spreadsheets/d/1-3Vjw2Cyy-mry5gbC8ypIR3YVGFfEpyFESummAta6sg/edit"", ""Sheet1!B:D""), 3, FALSE), ""Not Found"")"),"k r ɪ k ")</f>
        <v>k r ɪ k </v>
      </c>
    </row>
    <row r="6603">
      <c r="A6603" s="1" t="s">
        <v>6605</v>
      </c>
      <c r="B6603" s="1" t="s">
        <v>5</v>
      </c>
      <c r="C6603" s="2">
        <f>IFERROR(__xludf.DUMMYFUNCTION("IFERROR(VLOOKUP(A6603, IMPORTRANGE(""https://docs.google.com/spreadsheets/d/1AVX9GT0dgogEBStecCXMMQ29tWz3gBrtNB8yIromXbY/edit?gid=741673867"", ""out1g!A:B""), 2, FALSE), 0)"),387.0)</f>
        <v>387</v>
      </c>
      <c r="D6603" s="2" t="str">
        <f>IFERROR(__xludf.DUMMYFUNCTION("IFERROR(VLOOKUP(A6603, IMPORTRANGE(""https://docs.google.com/spreadsheets/d/1-3Vjw2Cyy-mry5gbC8ypIR3YVGFfEpyFESummAta6sg/edit"", ""Sheet1!B:D""), 2, FALSE), ""Not Found"")"),"ʧenz")</f>
        <v>ʧenz</v>
      </c>
      <c r="E6603" s="2" t="str">
        <f>IFERROR(__xludf.DUMMYFUNCTION("IFERROR(VLOOKUP(A6603, IMPORTRANGE(""https://docs.google.com/spreadsheets/d/1-3Vjw2Cyy-mry5gbC8ypIR3YVGFfEpyFESummAta6sg/edit"", ""Sheet1!B:D""), 3, FALSE), ""Not Found"")"),"ʧ e n z ")</f>
        <v>ʧ e n z </v>
      </c>
    </row>
    <row r="6604">
      <c r="A6604" s="1" t="s">
        <v>6606</v>
      </c>
      <c r="B6604" s="1" t="s">
        <v>5</v>
      </c>
      <c r="C6604" s="2">
        <f>IFERROR(__xludf.DUMMYFUNCTION("IFERROR(VLOOKUP(A6604, IMPORTRANGE(""https://docs.google.com/spreadsheets/d/1AVX9GT0dgogEBStecCXMMQ29tWz3gBrtNB8yIromXbY/edit?gid=741673867"", ""out1g!A:B""), 2, FALSE), 0)"),145.0)</f>
        <v>145</v>
      </c>
      <c r="D6604" s="2" t="str">
        <f>IFERROR(__xludf.DUMMYFUNCTION("IFERROR(VLOOKUP(A6604, IMPORTRANGE(""https://docs.google.com/spreadsheets/d/1-3Vjw2Cyy-mry5gbC8ypIR3YVGFfEpyFESummAta6sg/edit"", ""Sheet1!B:D""), 2, FALSE), ""Not Found"")"),"kædi")</f>
        <v>kædi</v>
      </c>
      <c r="E6604" s="2" t="str">
        <f>IFERROR(__xludf.DUMMYFUNCTION("IFERROR(VLOOKUP(A6604, IMPORTRANGE(""https://docs.google.com/spreadsheets/d/1-3Vjw2Cyy-mry5gbC8ypIR3YVGFfEpyFESummAta6sg/edit"", ""Sheet1!B:D""), 3, FALSE), ""Not Found"")"),"k æ d i ")</f>
        <v>k æ d i </v>
      </c>
    </row>
    <row r="6605">
      <c r="A6605" s="1" t="s">
        <v>6607</v>
      </c>
      <c r="B6605" s="1" t="s">
        <v>5</v>
      </c>
      <c r="C6605" s="2">
        <f>IFERROR(__xludf.DUMMYFUNCTION("IFERROR(VLOOKUP(A6605, IMPORTRANGE(""https://docs.google.com/spreadsheets/d/1AVX9GT0dgogEBStecCXMMQ29tWz3gBrtNB8yIromXbY/edit?gid=741673867"", ""out1g!A:B""), 2, FALSE), 0)"),68.0)</f>
        <v>68</v>
      </c>
      <c r="D6605" s="2" t="str">
        <f>IFERROR(__xludf.DUMMYFUNCTION("IFERROR(VLOOKUP(A6605, IMPORTRANGE(""https://docs.google.com/spreadsheets/d/1-3Vjw2Cyy-mry5gbC8ypIR3YVGFfEpyFESummAta6sg/edit"", ""Sheet1!B:D""), 2, FALSE), ""Not Found"")"),"grupi")</f>
        <v>grupi</v>
      </c>
      <c r="E6605" s="2" t="str">
        <f>IFERROR(__xludf.DUMMYFUNCTION("IFERROR(VLOOKUP(A6605, IMPORTRANGE(""https://docs.google.com/spreadsheets/d/1-3Vjw2Cyy-mry5gbC8ypIR3YVGFfEpyFESummAta6sg/edit"", ""Sheet1!B:D""), 3, FALSE), ""Not Found"")"),"g r u p i ")</f>
        <v>g r u p i </v>
      </c>
    </row>
    <row r="6606">
      <c r="A6606" s="1" t="s">
        <v>6608</v>
      </c>
      <c r="B6606" s="1" t="s">
        <v>5</v>
      </c>
      <c r="C6606" s="2">
        <f>IFERROR(__xludf.DUMMYFUNCTION("IFERROR(VLOOKUP(A6606, IMPORTRANGE(""https://docs.google.com/spreadsheets/d/1AVX9GT0dgogEBStecCXMMQ29tWz3gBrtNB8yIromXbY/edit?gid=741673867"", ""out1g!A:B""), 2, FALSE), 0)"),122.0)</f>
        <v>122</v>
      </c>
      <c r="D6606" s="2" t="str">
        <f>IFERROR(__xludf.DUMMYFUNCTION("IFERROR(VLOOKUP(A6606, IMPORTRANGE(""https://docs.google.com/spreadsheets/d/1-3Vjw2Cyy-mry5gbC8ypIR3YVGFfEpyFESummAta6sg/edit"", ""Sheet1!B:D""), 2, FALSE), ""Not Found"")"),"æʃər")</f>
        <v>æʃər</v>
      </c>
      <c r="E6606" s="2" t="str">
        <f>IFERROR(__xludf.DUMMYFUNCTION("IFERROR(VLOOKUP(A6606, IMPORTRANGE(""https://docs.google.com/spreadsheets/d/1-3Vjw2Cyy-mry5gbC8ypIR3YVGFfEpyFESummAta6sg/edit"", ""Sheet1!B:D""), 3, FALSE), ""Not Found"")"),"æ ʃ ə r ")</f>
        <v>æ ʃ ə r </v>
      </c>
    </row>
    <row r="6607">
      <c r="A6607" s="1" t="s">
        <v>6609</v>
      </c>
      <c r="B6607" s="1" t="s">
        <v>5</v>
      </c>
      <c r="C6607" s="2">
        <f>IFERROR(__xludf.DUMMYFUNCTION("IFERROR(VLOOKUP(A6607, IMPORTRANGE(""https://docs.google.com/spreadsheets/d/1AVX9GT0dgogEBStecCXMMQ29tWz3gBrtNB8yIromXbY/edit?gid=741673867"", ""out1g!A:B""), 2, FALSE), 0)"),60.0)</f>
        <v>60</v>
      </c>
      <c r="D6607" s="2" t="str">
        <f>IFERROR(__xludf.DUMMYFUNCTION("IFERROR(VLOOKUP(A6607, IMPORTRANGE(""https://docs.google.com/spreadsheets/d/1-3Vjw2Cyy-mry5gbC8ypIR3YVGFfEpyFESummAta6sg/edit"", ""Sheet1!B:D""), 2, FALSE), ""Not Found"")"),"sloʊz")</f>
        <v>sloʊz</v>
      </c>
      <c r="E6607" s="2" t="str">
        <f>IFERROR(__xludf.DUMMYFUNCTION("IFERROR(VLOOKUP(A6607, IMPORTRANGE(""https://docs.google.com/spreadsheets/d/1-3Vjw2Cyy-mry5gbC8ypIR3YVGFfEpyFESummAta6sg/edit"", ""Sheet1!B:D""), 3, FALSE), ""Not Found"")"),"s l o ʊ z ")</f>
        <v>s l o ʊ z </v>
      </c>
    </row>
    <row r="6608">
      <c r="A6608" s="1" t="s">
        <v>6610</v>
      </c>
      <c r="B6608" s="1" t="s">
        <v>5</v>
      </c>
      <c r="C6608" s="2">
        <f>IFERROR(__xludf.DUMMYFUNCTION("IFERROR(VLOOKUP(A6608, IMPORTRANGE(""https://docs.google.com/spreadsheets/d/1AVX9GT0dgogEBStecCXMMQ29tWz3gBrtNB8yIromXbY/edit?gid=741673867"", ""out1g!A:B""), 2, FALSE), 0)"),236.0)</f>
        <v>236</v>
      </c>
      <c r="D6608" s="2" t="str">
        <f>IFERROR(__xludf.DUMMYFUNCTION("IFERROR(VLOOKUP(A6608, IMPORTRANGE(""https://docs.google.com/spreadsheets/d/1-3Vjw2Cyy-mry5gbC8ypIR3YVGFfEpyFESummAta6sg/edit"", ""Sheet1!B:D""), 2, FALSE), ""Not Found"")"),"soʊlər")</f>
        <v>soʊlər</v>
      </c>
      <c r="E6608" s="2" t="str">
        <f>IFERROR(__xludf.DUMMYFUNCTION("IFERROR(VLOOKUP(A6608, IMPORTRANGE(""https://docs.google.com/spreadsheets/d/1-3Vjw2Cyy-mry5gbC8ypIR3YVGFfEpyFESummAta6sg/edit"", ""Sheet1!B:D""), 3, FALSE), ""Not Found"")"),"s o ʊ l ə r ")</f>
        <v>s o ʊ l ə r </v>
      </c>
    </row>
    <row r="6609">
      <c r="A6609" s="1" t="s">
        <v>6611</v>
      </c>
      <c r="B6609" s="1" t="s">
        <v>5</v>
      </c>
      <c r="C6609" s="2">
        <f>IFERROR(__xludf.DUMMYFUNCTION("IFERROR(VLOOKUP(A6609, IMPORTRANGE(""https://docs.google.com/spreadsheets/d/1AVX9GT0dgogEBStecCXMMQ29tWz3gBrtNB8yIromXbY/edit?gid=741673867"", ""out1g!A:B""), 2, FALSE), 0)"),1301.0)</f>
        <v>1301</v>
      </c>
      <c r="D6609" s="2" t="str">
        <f>IFERROR(__xludf.DUMMYFUNCTION("IFERROR(VLOOKUP(A6609, IMPORTRANGE(""https://docs.google.com/spreadsheets/d/1-3Vjw2Cyy-mry5gbC8ypIR3YVGFfEpyFESummAta6sg/edit"", ""Sheet1!B:D""), 2, FALSE), ""Not Found"")"),"dɔn")</f>
        <v>dɔn</v>
      </c>
      <c r="E6609" s="2" t="str">
        <f>IFERROR(__xludf.DUMMYFUNCTION("IFERROR(VLOOKUP(A6609, IMPORTRANGE(""https://docs.google.com/spreadsheets/d/1-3Vjw2Cyy-mry5gbC8ypIR3YVGFfEpyFESummAta6sg/edit"", ""Sheet1!B:D""), 3, FALSE), ""Not Found"")"),"d ɔ n ")</f>
        <v>d ɔ n </v>
      </c>
    </row>
    <row r="6610">
      <c r="A6610" s="1" t="s">
        <v>6612</v>
      </c>
      <c r="B6610" s="1" t="s">
        <v>5</v>
      </c>
      <c r="C6610" s="2">
        <f>IFERROR(__xludf.DUMMYFUNCTION("IFERROR(VLOOKUP(A6610, IMPORTRANGE(""https://docs.google.com/spreadsheets/d/1AVX9GT0dgogEBStecCXMMQ29tWz3gBrtNB8yIromXbY/edit?gid=741673867"", ""out1g!A:B""), 2, FALSE), 0)"),71.0)</f>
        <v>71</v>
      </c>
      <c r="D6610" s="2" t="str">
        <f>IFERROR(__xludf.DUMMYFUNCTION("IFERROR(VLOOKUP(A6610, IMPORTRANGE(""https://docs.google.com/spreadsheets/d/1-3Vjw2Cyy-mry5gbC8ypIR3YVGFfEpyFESummAta6sg/edit"", ""Sheet1!B:D""), 2, FALSE), ""Not Found"")"),"kæbi")</f>
        <v>kæbi</v>
      </c>
      <c r="E6610" s="2" t="str">
        <f>IFERROR(__xludf.DUMMYFUNCTION("IFERROR(VLOOKUP(A6610, IMPORTRANGE(""https://docs.google.com/spreadsheets/d/1-3Vjw2Cyy-mry5gbC8ypIR3YVGFfEpyFESummAta6sg/edit"", ""Sheet1!B:D""), 3, FALSE), ""Not Found"")"),"k æ b i ")</f>
        <v>k æ b i </v>
      </c>
    </row>
    <row r="6611">
      <c r="A6611" s="1" t="s">
        <v>6613</v>
      </c>
      <c r="B6611" s="1" t="s">
        <v>5</v>
      </c>
      <c r="C6611" s="2">
        <f>IFERROR(__xludf.DUMMYFUNCTION("IFERROR(VLOOKUP(A6611, IMPORTRANGE(""https://docs.google.com/spreadsheets/d/1AVX9GT0dgogEBStecCXMMQ29tWz3gBrtNB8yIromXbY/edit?gid=741673867"", ""out1g!A:B""), 2, FALSE), 0)"),797.0)</f>
        <v>797</v>
      </c>
      <c r="D6611" s="2" t="str">
        <f>IFERROR(__xludf.DUMMYFUNCTION("IFERROR(VLOOKUP(A6611, IMPORTRANGE(""https://docs.google.com/spreadsheets/d/1-3Vjw2Cyy-mry5gbC8ypIR3YVGFfEpyFESummAta6sg/edit"", ""Sheet1!B:D""), 2, FALSE), ""Not Found"")"),"deli")</f>
        <v>deli</v>
      </c>
      <c r="E6611" s="2" t="str">
        <f>IFERROR(__xludf.DUMMYFUNCTION("IFERROR(VLOOKUP(A6611, IMPORTRANGE(""https://docs.google.com/spreadsheets/d/1-3Vjw2Cyy-mry5gbC8ypIR3YVGFfEpyFESummAta6sg/edit"", ""Sheet1!B:D""), 3, FALSE), ""Not Found"")"),"d e l i ")</f>
        <v>d e l i </v>
      </c>
    </row>
    <row r="6612">
      <c r="A6612" s="1" t="s">
        <v>6614</v>
      </c>
      <c r="B6612" s="1" t="s">
        <v>5</v>
      </c>
      <c r="C6612" s="2">
        <f>IFERROR(__xludf.DUMMYFUNCTION("IFERROR(VLOOKUP(A6612, IMPORTRANGE(""https://docs.google.com/spreadsheets/d/1AVX9GT0dgogEBStecCXMMQ29tWz3gBrtNB8yIromXbY/edit?gid=741673867"", ""out1g!A:B""), 2, FALSE), 0)"),126.0)</f>
        <v>126</v>
      </c>
      <c r="D6612" s="2" t="str">
        <f>IFERROR(__xludf.DUMMYFUNCTION("IFERROR(VLOOKUP(A6612, IMPORTRANGE(""https://docs.google.com/spreadsheets/d/1-3Vjw2Cyy-mry5gbC8ypIR3YVGFfEpyFESummAta6sg/edit"", ""Sheet1!B:D""), 2, FALSE), ""Not Found"")"),"saɪæm")</f>
        <v>saɪæm</v>
      </c>
      <c r="E6612" s="2" t="str">
        <f>IFERROR(__xludf.DUMMYFUNCTION("IFERROR(VLOOKUP(A6612, IMPORTRANGE(""https://docs.google.com/spreadsheets/d/1-3Vjw2Cyy-mry5gbC8ypIR3YVGFfEpyFESummAta6sg/edit"", ""Sheet1!B:D""), 3, FALSE), ""Not Found"")"),"s a ɪ æ m ")</f>
        <v>s a ɪ æ m </v>
      </c>
    </row>
    <row r="6613">
      <c r="A6613" s="1" t="s">
        <v>6615</v>
      </c>
      <c r="B6613" s="1" t="s">
        <v>5</v>
      </c>
      <c r="C6613" s="2">
        <f>IFERROR(__xludf.DUMMYFUNCTION("IFERROR(VLOOKUP(A6613, IMPORTRANGE(""https://docs.google.com/spreadsheets/d/1AVX9GT0dgogEBStecCXMMQ29tWz3gBrtNB8yIromXbY/edit?gid=741673867"", ""out1g!A:B""), 2, FALSE), 0)"),134.0)</f>
        <v>134</v>
      </c>
      <c r="D6613" s="2" t="str">
        <f>IFERROR(__xludf.DUMMYFUNCTION("IFERROR(VLOOKUP(A6613, IMPORTRANGE(""https://docs.google.com/spreadsheets/d/1-3Vjw2Cyy-mry5gbC8ypIR3YVGFfEpyFESummAta6sg/edit"", ""Sheet1!B:D""), 2, FALSE), ""Not Found"")"),"hɑrp")</f>
        <v>hɑrp</v>
      </c>
      <c r="E6613" s="2" t="str">
        <f>IFERROR(__xludf.DUMMYFUNCTION("IFERROR(VLOOKUP(A6613, IMPORTRANGE(""https://docs.google.com/spreadsheets/d/1-3Vjw2Cyy-mry5gbC8ypIR3YVGFfEpyFESummAta6sg/edit"", ""Sheet1!B:D""), 3, FALSE), ""Not Found"")"),"h ɑ r p ")</f>
        <v>h ɑ r p </v>
      </c>
    </row>
    <row r="6614">
      <c r="A6614" s="1" t="s">
        <v>6616</v>
      </c>
      <c r="B6614" s="1" t="s">
        <v>5</v>
      </c>
      <c r="C6614" s="2">
        <f>IFERROR(__xludf.DUMMYFUNCTION("IFERROR(VLOOKUP(A6614, IMPORTRANGE(""https://docs.google.com/spreadsheets/d/1AVX9GT0dgogEBStecCXMMQ29tWz3gBrtNB8yIromXbY/edit?gid=741673867"", ""out1g!A:B""), 2, FALSE), 0)"),51.0)</f>
        <v>51</v>
      </c>
      <c r="D6614" s="2" t="str">
        <f>IFERROR(__xludf.DUMMYFUNCTION("IFERROR(VLOOKUP(A6614, IMPORTRANGE(""https://docs.google.com/spreadsheets/d/1-3Vjw2Cyy-mry5gbC8ypIR3YVGFfEpyFESummAta6sg/edit"", ""Sheet1!B:D""), 2, FALSE), ""Not Found"")"),"nelɪŋ")</f>
        <v>nelɪŋ</v>
      </c>
      <c r="E6614" s="2" t="str">
        <f>IFERROR(__xludf.DUMMYFUNCTION("IFERROR(VLOOKUP(A6614, IMPORTRANGE(""https://docs.google.com/spreadsheets/d/1-3Vjw2Cyy-mry5gbC8ypIR3YVGFfEpyFESummAta6sg/edit"", ""Sheet1!B:D""), 3, FALSE), ""Not Found"")"),"n e l ɪ ŋ ")</f>
        <v>n e l ɪ ŋ </v>
      </c>
    </row>
    <row r="6615">
      <c r="A6615" s="1" t="s">
        <v>6617</v>
      </c>
      <c r="B6615" s="1" t="s">
        <v>5</v>
      </c>
      <c r="C6615" s="2">
        <f>IFERROR(__xludf.DUMMYFUNCTION("IFERROR(VLOOKUP(A6615, IMPORTRANGE(""https://docs.google.com/spreadsheets/d/1AVX9GT0dgogEBStecCXMMQ29tWz3gBrtNB8yIromXbY/edit?gid=741673867"", ""out1g!A:B""), 2, FALSE), 0)"),340.0)</f>
        <v>340</v>
      </c>
      <c r="D6615" s="2" t="str">
        <f>IFERROR(__xludf.DUMMYFUNCTION("IFERROR(VLOOKUP(A6615, IMPORTRANGE(""https://docs.google.com/spreadsheets/d/1-3Vjw2Cyy-mry5gbC8ypIR3YVGFfEpyFESummAta6sg/edit"", ""Sheet1!B:D""), 2, FALSE), ""Not Found"")"),"faɪnəlz")</f>
        <v>faɪnəlz</v>
      </c>
      <c r="E6615" s="2" t="str">
        <f>IFERROR(__xludf.DUMMYFUNCTION("IFERROR(VLOOKUP(A6615, IMPORTRANGE(""https://docs.google.com/spreadsheets/d/1-3Vjw2Cyy-mry5gbC8ypIR3YVGFfEpyFESummAta6sg/edit"", ""Sheet1!B:D""), 3, FALSE), ""Not Found"")"),"f a ɪ n ə l z ")</f>
        <v>f a ɪ n ə l z </v>
      </c>
    </row>
    <row r="6616">
      <c r="A6616" s="1" t="s">
        <v>6618</v>
      </c>
      <c r="B6616" s="1" t="s">
        <v>5</v>
      </c>
      <c r="C6616" s="2">
        <f>IFERROR(__xludf.DUMMYFUNCTION("IFERROR(VLOOKUP(A6616, IMPORTRANGE(""https://docs.google.com/spreadsheets/d/1AVX9GT0dgogEBStecCXMMQ29tWz3gBrtNB8yIromXbY/edit?gid=741673867"", ""out1g!A:B""), 2, FALSE), 0)"),787.0)</f>
        <v>787</v>
      </c>
      <c r="D6616" s="2" t="str">
        <f>IFERROR(__xludf.DUMMYFUNCTION("IFERROR(VLOOKUP(A6616, IMPORTRANGE(""https://docs.google.com/spreadsheets/d/1-3Vjw2Cyy-mry5gbC8ypIR3YVGFfEpyFESummAta6sg/edit"", ""Sheet1!B:D""), 2, FALSE), ""Not Found"")"),"bəm")</f>
        <v>bəm</v>
      </c>
      <c r="E6616" s="2" t="str">
        <f>IFERROR(__xludf.DUMMYFUNCTION("IFERROR(VLOOKUP(A6616, IMPORTRANGE(""https://docs.google.com/spreadsheets/d/1-3Vjw2Cyy-mry5gbC8ypIR3YVGFfEpyFESummAta6sg/edit"", ""Sheet1!B:D""), 3, FALSE), ""Not Found"")"),"b ə m ")</f>
        <v>b ə m </v>
      </c>
    </row>
    <row r="6617">
      <c r="A6617" s="1" t="s">
        <v>6619</v>
      </c>
      <c r="B6617" s="1" t="s">
        <v>5</v>
      </c>
      <c r="C6617" s="2">
        <f>IFERROR(__xludf.DUMMYFUNCTION("IFERROR(VLOOKUP(A6617, IMPORTRANGE(""https://docs.google.com/spreadsheets/d/1AVX9GT0dgogEBStecCXMMQ29tWz3gBrtNB8yIromXbY/edit?gid=741673867"", ""out1g!A:B""), 2, FALSE), 0)"),118.0)</f>
        <v>118</v>
      </c>
      <c r="D6617" s="2" t="str">
        <f>IFERROR(__xludf.DUMMYFUNCTION("IFERROR(VLOOKUP(A6617, IMPORTRANGE(""https://docs.google.com/spreadsheets/d/1-3Vjw2Cyy-mry5gbC8ypIR3YVGFfEpyFESummAta6sg/edit"", ""Sheet1!B:D""), 2, FALSE), ""Not Found"")"),"bɑrb")</f>
        <v>bɑrb</v>
      </c>
      <c r="E6617" s="2" t="str">
        <f>IFERROR(__xludf.DUMMYFUNCTION("IFERROR(VLOOKUP(A6617, IMPORTRANGE(""https://docs.google.com/spreadsheets/d/1-3Vjw2Cyy-mry5gbC8ypIR3YVGFfEpyFESummAta6sg/edit"", ""Sheet1!B:D""), 3, FALSE), ""Not Found"")"),"b ɑ r b ")</f>
        <v>b ɑ r b </v>
      </c>
    </row>
    <row r="6618">
      <c r="A6618" s="1" t="s">
        <v>6620</v>
      </c>
      <c r="B6618" s="1" t="s">
        <v>5</v>
      </c>
      <c r="C6618" s="2">
        <f>IFERROR(__xludf.DUMMYFUNCTION("IFERROR(VLOOKUP(A6618, IMPORTRANGE(""https://docs.google.com/spreadsheets/d/1AVX9GT0dgogEBStecCXMMQ29tWz3gBrtNB8yIromXbY/edit?gid=741673867"", ""out1g!A:B""), 2, FALSE), 0)"),360.0)</f>
        <v>360</v>
      </c>
      <c r="D6618" s="2" t="str">
        <f>IFERROR(__xludf.DUMMYFUNCTION("IFERROR(VLOOKUP(A6618, IMPORTRANGE(""https://docs.google.com/spreadsheets/d/1-3Vjw2Cyy-mry5gbC8ypIR3YVGFfEpyFESummAta6sg/edit"", ""Sheet1!B:D""), 2, FALSE), ""Not Found"")"),"sɛktər")</f>
        <v>sɛktər</v>
      </c>
      <c r="E6618" s="2" t="str">
        <f>IFERROR(__xludf.DUMMYFUNCTION("IFERROR(VLOOKUP(A6618, IMPORTRANGE(""https://docs.google.com/spreadsheets/d/1-3Vjw2Cyy-mry5gbC8ypIR3YVGFfEpyFESummAta6sg/edit"", ""Sheet1!B:D""), 3, FALSE), ""Not Found"")"),"s ɛ k t ə r ")</f>
        <v>s ɛ k t ə r </v>
      </c>
    </row>
    <row r="6619">
      <c r="A6619" s="1" t="s">
        <v>6621</v>
      </c>
      <c r="B6619" s="1" t="s">
        <v>5</v>
      </c>
      <c r="C6619" s="2">
        <f>IFERROR(__xludf.DUMMYFUNCTION("IFERROR(VLOOKUP(A6619, IMPORTRANGE(""https://docs.google.com/spreadsheets/d/1AVX9GT0dgogEBStecCXMMQ29tWz3gBrtNB8yIromXbY/edit?gid=741673867"", ""out1g!A:B""), 2, FALSE), 0)"),2006.0)</f>
        <v>2006</v>
      </c>
      <c r="D6619" s="2" t="str">
        <f>IFERROR(__xludf.DUMMYFUNCTION("IFERROR(VLOOKUP(A6619, IMPORTRANGE(""https://docs.google.com/spreadsheets/d/1-3Vjw2Cyy-mry5gbC8ypIR3YVGFfEpyFESummAta6sg/edit"", ""Sheet1!B:D""), 2, FALSE), ""Not Found"")"),"bɛl")</f>
        <v>bɛl</v>
      </c>
      <c r="E6619" s="2" t="str">
        <f>IFERROR(__xludf.DUMMYFUNCTION("IFERROR(VLOOKUP(A6619, IMPORTRANGE(""https://docs.google.com/spreadsheets/d/1-3Vjw2Cyy-mry5gbC8ypIR3YVGFfEpyFESummAta6sg/edit"", ""Sheet1!B:D""), 3, FALSE), ""Not Found"")"),"b ɛ l ")</f>
        <v>b ɛ l </v>
      </c>
    </row>
    <row r="6620">
      <c r="A6620" s="1" t="s">
        <v>6622</v>
      </c>
      <c r="B6620" s="1" t="s">
        <v>5</v>
      </c>
      <c r="C6620" s="2">
        <f>IFERROR(__xludf.DUMMYFUNCTION("IFERROR(VLOOKUP(A6620, IMPORTRANGE(""https://docs.google.com/spreadsheets/d/1AVX9GT0dgogEBStecCXMMQ29tWz3gBrtNB8yIromXbY/edit?gid=741673867"", ""out1g!A:B""), 2, FALSE), 0)"),3807.0)</f>
        <v>3807</v>
      </c>
      <c r="D6620" s="2" t="str">
        <f>IFERROR(__xludf.DUMMYFUNCTION("IFERROR(VLOOKUP(A6620, IMPORTRANGE(""https://docs.google.com/spreadsheets/d/1-3Vjw2Cyy-mry5gbC8ypIR3YVGFfEpyFESummAta6sg/edit"", ""Sheet1!B:D""), 2, FALSE), ""Not Found"")"),"sin")</f>
        <v>sin</v>
      </c>
      <c r="E6620" s="2" t="str">
        <f>IFERROR(__xludf.DUMMYFUNCTION("IFERROR(VLOOKUP(A6620, IMPORTRANGE(""https://docs.google.com/spreadsheets/d/1-3Vjw2Cyy-mry5gbC8ypIR3YVGFfEpyFESummAta6sg/edit"", ""Sheet1!B:D""), 3, FALSE), ""Not Found"")"),"s i n ")</f>
        <v>s i n </v>
      </c>
    </row>
    <row r="6621">
      <c r="A6621" s="1" t="s">
        <v>6623</v>
      </c>
      <c r="B6621" s="1" t="s">
        <v>5</v>
      </c>
      <c r="C6621" s="2">
        <f>IFERROR(__xludf.DUMMYFUNCTION("IFERROR(VLOOKUP(A6621, IMPORTRANGE(""https://docs.google.com/spreadsheets/d/1AVX9GT0dgogEBStecCXMMQ29tWz3gBrtNB8yIromXbY/edit?gid=741673867"", ""out1g!A:B""), 2, FALSE), 0)"),198.0)</f>
        <v>198</v>
      </c>
      <c r="D6621" s="2" t="str">
        <f>IFERROR(__xludf.DUMMYFUNCTION("IFERROR(VLOOKUP(A6621, IMPORTRANGE(""https://docs.google.com/spreadsheets/d/1-3Vjw2Cyy-mry5gbC8ypIR3YVGFfEpyFESummAta6sg/edit"", ""Sheet1!B:D""), 2, FALSE), ""Not Found"")"),"kɑn")</f>
        <v>kɑn</v>
      </c>
      <c r="E6621" s="2" t="str">
        <f>IFERROR(__xludf.DUMMYFUNCTION("IFERROR(VLOOKUP(A6621, IMPORTRANGE(""https://docs.google.com/spreadsheets/d/1-3Vjw2Cyy-mry5gbC8ypIR3YVGFfEpyFESummAta6sg/edit"", ""Sheet1!B:D""), 3, FALSE), ""Not Found"")"),"k ɑ n ")</f>
        <v>k ɑ n </v>
      </c>
    </row>
    <row r="6622">
      <c r="A6622" s="1" t="s">
        <v>6624</v>
      </c>
      <c r="B6622" s="1" t="s">
        <v>5</v>
      </c>
      <c r="C6622" s="2">
        <f>IFERROR(__xludf.DUMMYFUNCTION("IFERROR(VLOOKUP(A6622, IMPORTRANGE(""https://docs.google.com/spreadsheets/d/1AVX9GT0dgogEBStecCXMMQ29tWz3gBrtNB8yIromXbY/edit?gid=741673867"", ""out1g!A:B""), 2, FALSE), 0)"),146.0)</f>
        <v>146</v>
      </c>
      <c r="D6622" s="2" t="str">
        <f>IFERROR(__xludf.DUMMYFUNCTION("IFERROR(VLOOKUP(A6622, IMPORTRANGE(""https://docs.google.com/spreadsheets/d/1-3Vjw2Cyy-mry5gbC8ypIR3YVGFfEpyFESummAta6sg/edit"", ""Sheet1!B:D""), 2, FALSE), ""Not Found"")"),"siks")</f>
        <v>siks</v>
      </c>
      <c r="E6622" s="2" t="str">
        <f>IFERROR(__xludf.DUMMYFUNCTION("IFERROR(VLOOKUP(A6622, IMPORTRANGE(""https://docs.google.com/spreadsheets/d/1-3Vjw2Cyy-mry5gbC8ypIR3YVGFfEpyFESummAta6sg/edit"", ""Sheet1!B:D""), 3, FALSE), ""Not Found"")"),"s i k s ")</f>
        <v>s i k s </v>
      </c>
    </row>
    <row r="6623">
      <c r="A6623" s="1" t="s">
        <v>6625</v>
      </c>
      <c r="B6623" s="1" t="s">
        <v>5</v>
      </c>
      <c r="C6623" s="2">
        <f>IFERROR(__xludf.DUMMYFUNCTION("IFERROR(VLOOKUP(A6623, IMPORTRANGE(""https://docs.google.com/spreadsheets/d/1AVX9GT0dgogEBStecCXMMQ29tWz3gBrtNB8yIromXbY/edit?gid=741673867"", ""out1g!A:B""), 2, FALSE), 0)"),432.0)</f>
        <v>432</v>
      </c>
      <c r="D6623" s="2" t="str">
        <f>IFERROR(__xludf.DUMMYFUNCTION("IFERROR(VLOOKUP(A6623, IMPORTRANGE(""https://docs.google.com/spreadsheets/d/1-3Vjw2Cyy-mry5gbC8ypIR3YVGFfEpyFESummAta6sg/edit"", ""Sheet1!B:D""), 2, FALSE), ""Not Found"")"),"spɪl")</f>
        <v>spɪl</v>
      </c>
      <c r="E6623" s="2" t="str">
        <f>IFERROR(__xludf.DUMMYFUNCTION("IFERROR(VLOOKUP(A6623, IMPORTRANGE(""https://docs.google.com/spreadsheets/d/1-3Vjw2Cyy-mry5gbC8ypIR3YVGFfEpyFESummAta6sg/edit"", ""Sheet1!B:D""), 3, FALSE), ""Not Found"")"),"s p ɪ l ")</f>
        <v>s p ɪ l </v>
      </c>
    </row>
    <row r="6624">
      <c r="A6624" s="1" t="s">
        <v>6626</v>
      </c>
      <c r="B6624" s="1" t="s">
        <v>5</v>
      </c>
      <c r="C6624" s="2">
        <f>IFERROR(__xludf.DUMMYFUNCTION("IFERROR(VLOOKUP(A6624, IMPORTRANGE(""https://docs.google.com/spreadsheets/d/1AVX9GT0dgogEBStecCXMMQ29tWz3gBrtNB8yIromXbY/edit?gid=741673867"", ""out1g!A:B""), 2, FALSE), 0)"),120.0)</f>
        <v>120</v>
      </c>
      <c r="D6624" s="2" t="str">
        <f>IFERROR(__xludf.DUMMYFUNCTION("IFERROR(VLOOKUP(A6624, IMPORTRANGE(""https://docs.google.com/spreadsheets/d/1-3Vjw2Cyy-mry5gbC8ypIR3YVGFfEpyFESummAta6sg/edit"", ""Sheet1!B:D""), 2, FALSE), ""Not Found"")"),"mɛθ")</f>
        <v>mɛθ</v>
      </c>
      <c r="E6624" s="2" t="str">
        <f>IFERROR(__xludf.DUMMYFUNCTION("IFERROR(VLOOKUP(A6624, IMPORTRANGE(""https://docs.google.com/spreadsheets/d/1-3Vjw2Cyy-mry5gbC8ypIR3YVGFfEpyFESummAta6sg/edit"", ""Sheet1!B:D""), 3, FALSE), ""Not Found"")"),"m ɛ θ ")</f>
        <v>m ɛ θ </v>
      </c>
    </row>
    <row r="6625">
      <c r="A6625" s="1" t="s">
        <v>6627</v>
      </c>
      <c r="B6625" s="1" t="s">
        <v>5</v>
      </c>
      <c r="C6625" s="2">
        <f>IFERROR(__xludf.DUMMYFUNCTION("IFERROR(VLOOKUP(A6625, IMPORTRANGE(""https://docs.google.com/spreadsheets/d/1AVX9GT0dgogEBStecCXMMQ29tWz3gBrtNB8yIromXbY/edit?gid=741673867"", ""out1g!A:B""), 2, FALSE), 0)"),263.0)</f>
        <v>263</v>
      </c>
      <c r="D6625" s="2" t="str">
        <f>IFERROR(__xludf.DUMMYFUNCTION("IFERROR(VLOOKUP(A6625, IMPORTRANGE(""https://docs.google.com/spreadsheets/d/1-3Vjw2Cyy-mry5gbC8ypIR3YVGFfEpyFESummAta6sg/edit"", ""Sheet1!B:D""), 2, FALSE), ""Not Found"")"),"sevz")</f>
        <v>sevz</v>
      </c>
      <c r="E6625" s="2" t="str">
        <f>IFERROR(__xludf.DUMMYFUNCTION("IFERROR(VLOOKUP(A6625, IMPORTRANGE(""https://docs.google.com/spreadsheets/d/1-3Vjw2Cyy-mry5gbC8ypIR3YVGFfEpyFESummAta6sg/edit"", ""Sheet1!B:D""), 3, FALSE), ""Not Found"")"),"s e v z ")</f>
        <v>s e v z </v>
      </c>
    </row>
    <row r="6626">
      <c r="A6626" s="1" t="s">
        <v>6628</v>
      </c>
      <c r="B6626" s="1" t="s">
        <v>5</v>
      </c>
      <c r="C6626" s="2">
        <f>IFERROR(__xludf.DUMMYFUNCTION("IFERROR(VLOOKUP(A6626, IMPORTRANGE(""https://docs.google.com/spreadsheets/d/1AVX9GT0dgogEBStecCXMMQ29tWz3gBrtNB8yIromXbY/edit?gid=741673867"", ""out1g!A:B""), 2, FALSE), 0)"),577.0)</f>
        <v>577</v>
      </c>
      <c r="D6626" s="2" t="str">
        <f>IFERROR(__xludf.DUMMYFUNCTION("IFERROR(VLOOKUP(A6626, IMPORTRANGE(""https://docs.google.com/spreadsheets/d/1-3Vjw2Cyy-mry5gbC8ypIR3YVGFfEpyFESummAta6sg/edit"", ""Sheet1!B:D""), 2, FALSE), ""Not Found"")"),"daɪænə")</f>
        <v>daɪænə</v>
      </c>
      <c r="E6626" s="2" t="str">
        <f>IFERROR(__xludf.DUMMYFUNCTION("IFERROR(VLOOKUP(A6626, IMPORTRANGE(""https://docs.google.com/spreadsheets/d/1-3Vjw2Cyy-mry5gbC8ypIR3YVGFfEpyFESummAta6sg/edit"", ""Sheet1!B:D""), 3, FALSE), ""Not Found"")"),"d a ɪ æ n ə ")</f>
        <v>d a ɪ æ n ə </v>
      </c>
    </row>
    <row r="6627">
      <c r="A6627" s="1" t="s">
        <v>6629</v>
      </c>
      <c r="B6627" s="1" t="s">
        <v>5</v>
      </c>
      <c r="C6627" s="2">
        <f>IFERROR(__xludf.DUMMYFUNCTION("IFERROR(VLOOKUP(A6627, IMPORTRANGE(""https://docs.google.com/spreadsheets/d/1AVX9GT0dgogEBStecCXMMQ29tWz3gBrtNB8yIromXbY/edit?gid=741673867"", ""out1g!A:B""), 2, FALSE), 0)"),100.0)</f>
        <v>100</v>
      </c>
      <c r="D6627" s="2" t="str">
        <f>IFERROR(__xludf.DUMMYFUNCTION("IFERROR(VLOOKUP(A6627, IMPORTRANGE(""https://docs.google.com/spreadsheets/d/1-3Vjw2Cyy-mry5gbC8ypIR3YVGFfEpyFESummAta6sg/edit"", ""Sheet1!B:D""), 2, FALSE), ""Not Found"")"),"mwɑ")</f>
        <v>mwɑ</v>
      </c>
      <c r="E6627" s="2" t="str">
        <f>IFERROR(__xludf.DUMMYFUNCTION("IFERROR(VLOOKUP(A6627, IMPORTRANGE(""https://docs.google.com/spreadsheets/d/1-3Vjw2Cyy-mry5gbC8ypIR3YVGFfEpyFESummAta6sg/edit"", ""Sheet1!B:D""), 3, FALSE), ""Not Found"")"),"m w ɑ ")</f>
        <v>m w ɑ </v>
      </c>
    </row>
    <row r="6628">
      <c r="A6628" s="1" t="s">
        <v>6630</v>
      </c>
      <c r="B6628" s="1" t="s">
        <v>5</v>
      </c>
      <c r="C6628" s="2">
        <f>IFERROR(__xludf.DUMMYFUNCTION("IFERROR(VLOOKUP(A6628, IMPORTRANGE(""https://docs.google.com/spreadsheets/d/1AVX9GT0dgogEBStecCXMMQ29tWz3gBrtNB8yIromXbY/edit?gid=741673867"", ""out1g!A:B""), 2, FALSE), 0)"),73.0)</f>
        <v>73</v>
      </c>
      <c r="D6628" s="2" t="str">
        <f>IFERROR(__xludf.DUMMYFUNCTION("IFERROR(VLOOKUP(A6628, IMPORTRANGE(""https://docs.google.com/spreadsheets/d/1-3Vjw2Cyy-mry5gbC8ypIR3YVGFfEpyFESummAta6sg/edit"", ""Sheet1!B:D""), 2, FALSE), ""Not Found"")"),"daɪd")</f>
        <v>daɪd</v>
      </c>
      <c r="E6628" s="2" t="str">
        <f>IFERROR(__xludf.DUMMYFUNCTION("IFERROR(VLOOKUP(A6628, IMPORTRANGE(""https://docs.google.com/spreadsheets/d/1-3Vjw2Cyy-mry5gbC8ypIR3YVGFfEpyFESummAta6sg/edit"", ""Sheet1!B:D""), 3, FALSE), ""Not Found"")"),"d a ɪ d ")</f>
        <v>d a ɪ d </v>
      </c>
    </row>
    <row r="6629">
      <c r="A6629" s="1" t="s">
        <v>6631</v>
      </c>
      <c r="B6629" s="1" t="s">
        <v>5</v>
      </c>
      <c r="C6629" s="2">
        <f>IFERROR(__xludf.DUMMYFUNCTION("IFERROR(VLOOKUP(A6629, IMPORTRANGE(""https://docs.google.com/spreadsheets/d/1AVX9GT0dgogEBStecCXMMQ29tWz3gBrtNB8yIromXbY/edit?gid=741673867"", ""out1g!A:B""), 2, FALSE), 0)"),4202.0)</f>
        <v>4202</v>
      </c>
      <c r="D6629" s="2" t="str">
        <f>IFERROR(__xludf.DUMMYFUNCTION("IFERROR(VLOOKUP(A6629, IMPORTRANGE(""https://docs.google.com/spreadsheets/d/1-3Vjw2Cyy-mry5gbC8ypIR3YVGFfEpyFESummAta6sg/edit"", ""Sheet1!B:D""), 2, FALSE), ""Not Found"")"),"trɪp")</f>
        <v>trɪp</v>
      </c>
      <c r="E6629" s="2" t="str">
        <f>IFERROR(__xludf.DUMMYFUNCTION("IFERROR(VLOOKUP(A6629, IMPORTRANGE(""https://docs.google.com/spreadsheets/d/1-3Vjw2Cyy-mry5gbC8ypIR3YVGFfEpyFESummAta6sg/edit"", ""Sheet1!B:D""), 3, FALSE), ""Not Found"")"),"t r ɪ p ")</f>
        <v>t r ɪ p </v>
      </c>
    </row>
    <row r="6630">
      <c r="A6630" s="1" t="s">
        <v>6632</v>
      </c>
      <c r="B6630" s="1" t="s">
        <v>5</v>
      </c>
      <c r="C6630" s="2">
        <f>IFERROR(__xludf.DUMMYFUNCTION("IFERROR(VLOOKUP(A6630, IMPORTRANGE(""https://docs.google.com/spreadsheets/d/1AVX9GT0dgogEBStecCXMMQ29tWz3gBrtNB8yIromXbY/edit?gid=741673867"", ""out1g!A:B""), 2, FALSE), 0)"),710.0)</f>
        <v>710</v>
      </c>
      <c r="D6630" s="2" t="str">
        <f>IFERROR(__xludf.DUMMYFUNCTION("IFERROR(VLOOKUP(A6630, IMPORTRANGE(""https://docs.google.com/spreadsheets/d/1-3Vjw2Cyy-mry5gbC8ypIR3YVGFfEpyFESummAta6sg/edit"", ""Sheet1!B:D""), 2, FALSE), ""Not Found"")"),"θim")</f>
        <v>θim</v>
      </c>
      <c r="E6630" s="2" t="str">
        <f>IFERROR(__xludf.DUMMYFUNCTION("IFERROR(VLOOKUP(A6630, IMPORTRANGE(""https://docs.google.com/spreadsheets/d/1-3Vjw2Cyy-mry5gbC8ypIR3YVGFfEpyFESummAta6sg/edit"", ""Sheet1!B:D""), 3, FALSE), ""Not Found"")"),"θ i m ")</f>
        <v>θ i m </v>
      </c>
    </row>
    <row r="6631">
      <c r="A6631" s="1" t="s">
        <v>6633</v>
      </c>
      <c r="B6631" s="1" t="s">
        <v>5</v>
      </c>
      <c r="C6631" s="2">
        <f>IFERROR(__xludf.DUMMYFUNCTION("IFERROR(VLOOKUP(A6631, IMPORTRANGE(""https://docs.google.com/spreadsheets/d/1AVX9GT0dgogEBStecCXMMQ29tWz3gBrtNB8yIromXbY/edit?gid=741673867"", ""out1g!A:B""), 2, FALSE), 0)"),194.0)</f>
        <v>194</v>
      </c>
      <c r="D6631" s="2" t="str">
        <f>IFERROR(__xludf.DUMMYFUNCTION("IFERROR(VLOOKUP(A6631, IMPORTRANGE(""https://docs.google.com/spreadsheets/d/1-3Vjw2Cyy-mry5gbC8ypIR3YVGFfEpyFESummAta6sg/edit"", ""Sheet1!B:D""), 2, FALSE), ""Not Found"")"),"rɪgd")</f>
        <v>rɪgd</v>
      </c>
      <c r="E6631" s="2" t="str">
        <f>IFERROR(__xludf.DUMMYFUNCTION("IFERROR(VLOOKUP(A6631, IMPORTRANGE(""https://docs.google.com/spreadsheets/d/1-3Vjw2Cyy-mry5gbC8ypIR3YVGFfEpyFESummAta6sg/edit"", ""Sheet1!B:D""), 3, FALSE), ""Not Found"")"),"r ɪ g d ")</f>
        <v>r ɪ g d </v>
      </c>
    </row>
    <row r="6632">
      <c r="A6632" s="1" t="s">
        <v>6634</v>
      </c>
      <c r="B6632" s="1" t="s">
        <v>5</v>
      </c>
      <c r="C6632" s="2">
        <f>IFERROR(__xludf.DUMMYFUNCTION("IFERROR(VLOOKUP(A6632, IMPORTRANGE(""https://docs.google.com/spreadsheets/d/1AVX9GT0dgogEBStecCXMMQ29tWz3gBrtNB8yIromXbY/edit?gid=741673867"", ""out1g!A:B""), 2, FALSE), 0)"),74.0)</f>
        <v>74</v>
      </c>
      <c r="D6632" s="2" t="str">
        <f>IFERROR(__xludf.DUMMYFUNCTION("IFERROR(VLOOKUP(A6632, IMPORTRANGE(""https://docs.google.com/spreadsheets/d/1-3Vjw2Cyy-mry5gbC8ypIR3YVGFfEpyFESummAta6sg/edit"", ""Sheet1!B:D""), 2, FALSE), ""Not Found"")"),"əntru")</f>
        <v>əntru</v>
      </c>
      <c r="E6632" s="2" t="str">
        <f>IFERROR(__xludf.DUMMYFUNCTION("IFERROR(VLOOKUP(A6632, IMPORTRANGE(""https://docs.google.com/spreadsheets/d/1-3Vjw2Cyy-mry5gbC8ypIR3YVGFfEpyFESummAta6sg/edit"", ""Sheet1!B:D""), 3, FALSE), ""Not Found"")"),"ə n t r u ")</f>
        <v>ə n t r u </v>
      </c>
    </row>
    <row r="6633">
      <c r="A6633" s="1" t="s">
        <v>6635</v>
      </c>
      <c r="B6633" s="1" t="s">
        <v>5</v>
      </c>
      <c r="C6633" s="2">
        <f>IFERROR(__xludf.DUMMYFUNCTION("IFERROR(VLOOKUP(A6633, IMPORTRANGE(""https://docs.google.com/spreadsheets/d/1AVX9GT0dgogEBStecCXMMQ29tWz3gBrtNB8yIromXbY/edit?gid=741673867"", ""out1g!A:B""), 2, FALSE), 0)"),13.0)</f>
        <v>13</v>
      </c>
      <c r="D6633" s="2" t="str">
        <f>IFERROR(__xludf.DUMMYFUNCTION("IFERROR(VLOOKUP(A6633, IMPORTRANGE(""https://docs.google.com/spreadsheets/d/1-3Vjw2Cyy-mry5gbC8ypIR3YVGFfEpyFESummAta6sg/edit"", ""Sheet1!B:D""), 2, FALSE), ""Not Found"")"),"foʊdər")</f>
        <v>foʊdər</v>
      </c>
      <c r="E6633" s="2" t="str">
        <f>IFERROR(__xludf.DUMMYFUNCTION("IFERROR(VLOOKUP(A6633, IMPORTRANGE(""https://docs.google.com/spreadsheets/d/1-3Vjw2Cyy-mry5gbC8ypIR3YVGFfEpyFESummAta6sg/edit"", ""Sheet1!B:D""), 3, FALSE), ""Not Found"")"),"f o ʊ d ə r ")</f>
        <v>f o ʊ d ə r </v>
      </c>
    </row>
    <row r="6634">
      <c r="A6634" s="1" t="s">
        <v>6636</v>
      </c>
      <c r="B6634" s="1" t="s">
        <v>5</v>
      </c>
      <c r="C6634" s="2">
        <f>IFERROR(__xludf.DUMMYFUNCTION("IFERROR(VLOOKUP(A6634, IMPORTRANGE(""https://docs.google.com/spreadsheets/d/1AVX9GT0dgogEBStecCXMMQ29tWz3gBrtNB8yIromXbY/edit?gid=741673867"", ""out1g!A:B""), 2, FALSE), 0)"),2452.0)</f>
        <v>2452</v>
      </c>
      <c r="D6634" s="2" t="str">
        <f>IFERROR(__xludf.DUMMYFUNCTION("IFERROR(VLOOKUP(A6634, IMPORTRANGE(""https://docs.google.com/spreadsheets/d/1-3Vjw2Cyy-mry5gbC8ypIR3YVGFfEpyFESummAta6sg/edit"", ""Sheet1!B:D""), 2, FALSE), ""Not Found"")"),"bɪld")</f>
        <v>bɪld</v>
      </c>
      <c r="E6634" s="2" t="str">
        <f>IFERROR(__xludf.DUMMYFUNCTION("IFERROR(VLOOKUP(A6634, IMPORTRANGE(""https://docs.google.com/spreadsheets/d/1-3Vjw2Cyy-mry5gbC8ypIR3YVGFfEpyFESummAta6sg/edit"", ""Sheet1!B:D""), 3, FALSE), ""Not Found"")"),"b ɪ l d ")</f>
        <v>b ɪ l d </v>
      </c>
    </row>
    <row r="6635">
      <c r="A6635" s="1" t="s">
        <v>6637</v>
      </c>
      <c r="B6635" s="1" t="s">
        <v>5</v>
      </c>
      <c r="C6635" s="2">
        <f>IFERROR(__xludf.DUMMYFUNCTION("IFERROR(VLOOKUP(A6635, IMPORTRANGE(""https://docs.google.com/spreadsheets/d/1AVX9GT0dgogEBStecCXMMQ29tWz3gBrtNB8yIromXbY/edit?gid=741673867"", ""out1g!A:B""), 2, FALSE), 0)"),74.0)</f>
        <v>74</v>
      </c>
      <c r="D6635" s="2" t="str">
        <f>IFERROR(__xludf.DUMMYFUNCTION("IFERROR(VLOOKUP(A6635, IMPORTRANGE(""https://docs.google.com/spreadsheets/d/1-3Vjw2Cyy-mry5gbC8ypIR3YVGFfEpyFESummAta6sg/edit"", ""Sheet1!B:D""), 2, FALSE), ""Not Found"")"),"sloʊθ")</f>
        <v>sloʊθ</v>
      </c>
      <c r="E6635" s="2" t="str">
        <f>IFERROR(__xludf.DUMMYFUNCTION("IFERROR(VLOOKUP(A6635, IMPORTRANGE(""https://docs.google.com/spreadsheets/d/1-3Vjw2Cyy-mry5gbC8ypIR3YVGFfEpyFESummAta6sg/edit"", ""Sheet1!B:D""), 3, FALSE), ""Not Found"")"),"s l o ʊ θ ")</f>
        <v>s l o ʊ θ </v>
      </c>
    </row>
    <row r="6636">
      <c r="A6636" s="1" t="s">
        <v>6638</v>
      </c>
      <c r="B6636" s="1" t="s">
        <v>5</v>
      </c>
      <c r="C6636" s="2">
        <f>IFERROR(__xludf.DUMMYFUNCTION("IFERROR(VLOOKUP(A6636, IMPORTRANGE(""https://docs.google.com/spreadsheets/d/1AVX9GT0dgogEBStecCXMMQ29tWz3gBrtNB8yIromXbY/edit?gid=741673867"", ""out1g!A:B""), 2, FALSE), 0)"),1721.0)</f>
        <v>1721</v>
      </c>
      <c r="D6636" s="2" t="str">
        <f>IFERROR(__xludf.DUMMYFUNCTION("IFERROR(VLOOKUP(A6636, IMPORTRANGE(""https://docs.google.com/spreadsheets/d/1-3Vjw2Cyy-mry5gbC8ypIR3YVGFfEpyFESummAta6sg/edit"", ""Sheet1!B:D""), 2, FALSE), ""Not Found"")"),"bək")</f>
        <v>bək</v>
      </c>
      <c r="E6636" s="2" t="str">
        <f>IFERROR(__xludf.DUMMYFUNCTION("IFERROR(VLOOKUP(A6636, IMPORTRANGE(""https://docs.google.com/spreadsheets/d/1-3Vjw2Cyy-mry5gbC8ypIR3YVGFfEpyFESummAta6sg/edit"", ""Sheet1!B:D""), 3, FALSE), ""Not Found"")"),"b ə k ")</f>
        <v>b ə k </v>
      </c>
    </row>
    <row r="6637">
      <c r="A6637" s="1" t="s">
        <v>6639</v>
      </c>
      <c r="B6637" s="1" t="s">
        <v>5</v>
      </c>
      <c r="C6637" s="2">
        <f>IFERROR(__xludf.DUMMYFUNCTION("IFERROR(VLOOKUP(A6637, IMPORTRANGE(""https://docs.google.com/spreadsheets/d/1AVX9GT0dgogEBStecCXMMQ29tWz3gBrtNB8yIromXbY/edit?gid=741673867"", ""out1g!A:B""), 2, FALSE), 0)"),50.0)</f>
        <v>50</v>
      </c>
      <c r="D6637" s="2" t="str">
        <f>IFERROR(__xludf.DUMMYFUNCTION("IFERROR(VLOOKUP(A6637, IMPORTRANGE(""https://docs.google.com/spreadsheets/d/1-3Vjw2Cyy-mry5gbC8ypIR3YVGFfEpyFESummAta6sg/edit"", ""Sheet1!B:D""), 2, FALSE), ""Not Found"")"),"rilɪŋ")</f>
        <v>rilɪŋ</v>
      </c>
      <c r="E6637" s="2" t="str">
        <f>IFERROR(__xludf.DUMMYFUNCTION("IFERROR(VLOOKUP(A6637, IMPORTRANGE(""https://docs.google.com/spreadsheets/d/1-3Vjw2Cyy-mry5gbC8ypIR3YVGFfEpyFESummAta6sg/edit"", ""Sheet1!B:D""), 3, FALSE), ""Not Found"")"),"r i l ɪ ŋ ")</f>
        <v>r i l ɪ ŋ </v>
      </c>
    </row>
    <row r="6638">
      <c r="A6638" s="1" t="s">
        <v>6640</v>
      </c>
      <c r="B6638" s="1" t="s">
        <v>5</v>
      </c>
      <c r="C6638" s="2">
        <f>IFERROR(__xludf.DUMMYFUNCTION("IFERROR(VLOOKUP(A6638, IMPORTRANGE(""https://docs.google.com/spreadsheets/d/1AVX9GT0dgogEBStecCXMMQ29tWz3gBrtNB8yIromXbY/edit?gid=741673867"", ""out1g!A:B""), 2, FALSE), 0)"),73.0)</f>
        <v>73</v>
      </c>
      <c r="D6638" s="2" t="str">
        <f>IFERROR(__xludf.DUMMYFUNCTION("IFERROR(VLOOKUP(A6638, IMPORTRANGE(""https://docs.google.com/spreadsheets/d/1-3Vjw2Cyy-mry5gbC8ypIR3YVGFfEpyFESummAta6sg/edit"", ""Sheet1!B:D""), 2, FALSE), ""Not Found"")"),"ɛlm")</f>
        <v>ɛlm</v>
      </c>
      <c r="E6638" s="2" t="str">
        <f>IFERROR(__xludf.DUMMYFUNCTION("IFERROR(VLOOKUP(A6638, IMPORTRANGE(""https://docs.google.com/spreadsheets/d/1-3Vjw2Cyy-mry5gbC8ypIR3YVGFfEpyFESummAta6sg/edit"", ""Sheet1!B:D""), 3, FALSE), ""Not Found"")"),"ɛ l m ")</f>
        <v>ɛ l m </v>
      </c>
    </row>
    <row r="6639">
      <c r="A6639" s="1" t="s">
        <v>6641</v>
      </c>
      <c r="B6639" s="1" t="s">
        <v>5</v>
      </c>
      <c r="C6639" s="2">
        <f>IFERROR(__xludf.DUMMYFUNCTION("IFERROR(VLOOKUP(A6639, IMPORTRANGE(""https://docs.google.com/spreadsheets/d/1AVX9GT0dgogEBStecCXMMQ29tWz3gBrtNB8yIromXbY/edit?gid=741673867"", ""out1g!A:B""), 2, FALSE), 0)"),366.0)</f>
        <v>366</v>
      </c>
      <c r="D6639" s="2" t="str">
        <f>IFERROR(__xludf.DUMMYFUNCTION("IFERROR(VLOOKUP(A6639, IMPORTRANGE(""https://docs.google.com/spreadsheets/d/1-3Vjw2Cyy-mry5gbC8ypIR3YVGFfEpyFESummAta6sg/edit"", ""Sheet1!B:D""), 2, FALSE), ""Not Found"")"),"glɛn")</f>
        <v>glɛn</v>
      </c>
      <c r="E6639" s="2" t="str">
        <f>IFERROR(__xludf.DUMMYFUNCTION("IFERROR(VLOOKUP(A6639, IMPORTRANGE(""https://docs.google.com/spreadsheets/d/1-3Vjw2Cyy-mry5gbC8ypIR3YVGFfEpyFESummAta6sg/edit"", ""Sheet1!B:D""), 3, FALSE), ""Not Found"")"),"g l ɛ n ")</f>
        <v>g l ɛ n </v>
      </c>
    </row>
    <row r="6640">
      <c r="A6640" s="1" t="s">
        <v>6642</v>
      </c>
      <c r="B6640" s="1" t="s">
        <v>5</v>
      </c>
      <c r="C6640" s="2">
        <f>IFERROR(__xludf.DUMMYFUNCTION("IFERROR(VLOOKUP(A6640, IMPORTRANGE(""https://docs.google.com/spreadsheets/d/1AVX9GT0dgogEBStecCXMMQ29tWz3gBrtNB8yIromXbY/edit?gid=741673867"", ""out1g!A:B""), 2, FALSE), 0)"),195.0)</f>
        <v>195</v>
      </c>
      <c r="D6640" s="2" t="str">
        <f>IFERROR(__xludf.DUMMYFUNCTION("IFERROR(VLOOKUP(A6640, IMPORTRANGE(""https://docs.google.com/spreadsheets/d/1-3Vjw2Cyy-mry5gbC8ypIR3YVGFfEpyFESummAta6sg/edit"", ""Sheet1!B:D""), 2, FALSE), ""Not Found"")"),"braɪən")</f>
        <v>braɪən</v>
      </c>
      <c r="E6640" s="2" t="str">
        <f>IFERROR(__xludf.DUMMYFUNCTION("IFERROR(VLOOKUP(A6640, IMPORTRANGE(""https://docs.google.com/spreadsheets/d/1-3Vjw2Cyy-mry5gbC8ypIR3YVGFfEpyFESummAta6sg/edit"", ""Sheet1!B:D""), 3, FALSE), ""Not Found"")"),"b r a ɪ ə n ")</f>
        <v>b r a ɪ ə n </v>
      </c>
    </row>
    <row r="6641">
      <c r="A6641" s="1" t="s">
        <v>6643</v>
      </c>
      <c r="B6641" s="1" t="s">
        <v>5</v>
      </c>
      <c r="C6641" s="2">
        <f>IFERROR(__xludf.DUMMYFUNCTION("IFERROR(VLOOKUP(A6641, IMPORTRANGE(""https://docs.google.com/spreadsheets/d/1AVX9GT0dgogEBStecCXMMQ29tWz3gBrtNB8yIromXbY/edit?gid=741673867"", ""out1g!A:B""), 2, FALSE), 0)"),722.0)</f>
        <v>722</v>
      </c>
      <c r="D6641" s="2" t="str">
        <f>IFERROR(__xludf.DUMMYFUNCTION("IFERROR(VLOOKUP(A6641, IMPORTRANGE(""https://docs.google.com/spreadsheets/d/1-3Vjw2Cyy-mry5gbC8ypIR3YVGFfEpyFESummAta6sg/edit"", ""Sheet1!B:D""), 2, FALSE), ""Not Found"")"),"sɛlf")</f>
        <v>sɛlf</v>
      </c>
      <c r="E6641" s="2" t="str">
        <f>IFERROR(__xludf.DUMMYFUNCTION("IFERROR(VLOOKUP(A6641, IMPORTRANGE(""https://docs.google.com/spreadsheets/d/1-3Vjw2Cyy-mry5gbC8ypIR3YVGFfEpyFESummAta6sg/edit"", ""Sheet1!B:D""), 3, FALSE), ""Not Found"")"),"s ɛ l f ")</f>
        <v>s ɛ l f </v>
      </c>
    </row>
    <row r="6642">
      <c r="A6642" s="1" t="s">
        <v>6644</v>
      </c>
      <c r="B6642" s="1" t="s">
        <v>5</v>
      </c>
      <c r="C6642" s="2">
        <f>IFERROR(__xludf.DUMMYFUNCTION("IFERROR(VLOOKUP(A6642, IMPORTRANGE(""https://docs.google.com/spreadsheets/d/1AVX9GT0dgogEBStecCXMMQ29tWz3gBrtNB8yIromXbY/edit?gid=741673867"", ""out1g!A:B""), 2, FALSE), 0)"),14.0)</f>
        <v>14</v>
      </c>
      <c r="D6642" s="2" t="str">
        <f>IFERROR(__xludf.DUMMYFUNCTION("IFERROR(VLOOKUP(A6642, IMPORTRANGE(""https://docs.google.com/spreadsheets/d/1-3Vjw2Cyy-mry5gbC8ypIR3YVGFfEpyFESummAta6sg/edit"", ""Sheet1!B:D""), 2, FALSE), ""Not Found"")"),"bɑʃ")</f>
        <v>bɑʃ</v>
      </c>
      <c r="E6642" s="2" t="str">
        <f>IFERROR(__xludf.DUMMYFUNCTION("IFERROR(VLOOKUP(A6642, IMPORTRANGE(""https://docs.google.com/spreadsheets/d/1-3Vjw2Cyy-mry5gbC8ypIR3YVGFfEpyFESummAta6sg/edit"", ""Sheet1!B:D""), 3, FALSE), ""Not Found"")"),"b ɑ ʃ ")</f>
        <v>b ɑ ʃ </v>
      </c>
    </row>
    <row r="6643">
      <c r="A6643" s="1" t="s">
        <v>6645</v>
      </c>
      <c r="B6643" s="1" t="s">
        <v>5</v>
      </c>
      <c r="C6643" s="2">
        <f>IFERROR(__xludf.DUMMYFUNCTION("IFERROR(VLOOKUP(A6643, IMPORTRANGE(""https://docs.google.com/spreadsheets/d/1AVX9GT0dgogEBStecCXMMQ29tWz3gBrtNB8yIromXbY/edit?gid=741673867"", ""out1g!A:B""), 2, FALSE), 0)"),282.0)</f>
        <v>282</v>
      </c>
      <c r="D6643" s="2" t="str">
        <f>IFERROR(__xludf.DUMMYFUNCTION("IFERROR(VLOOKUP(A6643, IMPORTRANGE(""https://docs.google.com/spreadsheets/d/1-3Vjw2Cyy-mry5gbC8ypIR3YVGFfEpyFESummAta6sg/edit"", ""Sheet1!B:D""), 2, FALSE), ""Not Found"")"),"grɪd")</f>
        <v>grɪd</v>
      </c>
      <c r="E6643" s="2" t="str">
        <f>IFERROR(__xludf.DUMMYFUNCTION("IFERROR(VLOOKUP(A6643, IMPORTRANGE(""https://docs.google.com/spreadsheets/d/1-3Vjw2Cyy-mry5gbC8ypIR3YVGFfEpyFESummAta6sg/edit"", ""Sheet1!B:D""), 3, FALSE), ""Not Found"")"),"g r ɪ d ")</f>
        <v>g r ɪ d </v>
      </c>
    </row>
    <row r="6644">
      <c r="A6644" s="1" t="s">
        <v>6646</v>
      </c>
      <c r="B6644" s="1" t="s">
        <v>5</v>
      </c>
      <c r="C6644" s="2">
        <f>IFERROR(__xludf.DUMMYFUNCTION("IFERROR(VLOOKUP(A6644, IMPORTRANGE(""https://docs.google.com/spreadsheets/d/1AVX9GT0dgogEBStecCXMMQ29tWz3gBrtNB8yIromXbY/edit?gid=741673867"", ""out1g!A:B""), 2, FALSE), 0)"),22.0)</f>
        <v>22</v>
      </c>
      <c r="D6644" s="2" t="str">
        <f>IFERROR(__xludf.DUMMYFUNCTION("IFERROR(VLOOKUP(A6644, IMPORTRANGE(""https://docs.google.com/spreadsheets/d/1-3Vjw2Cyy-mry5gbC8ypIR3YVGFfEpyFESummAta6sg/edit"", ""Sheet1!B:D""), 2, FALSE), ""Not Found"")"),"θrɪft")</f>
        <v>θrɪft</v>
      </c>
      <c r="E6644" s="2" t="str">
        <f>IFERROR(__xludf.DUMMYFUNCTION("IFERROR(VLOOKUP(A6644, IMPORTRANGE(""https://docs.google.com/spreadsheets/d/1-3Vjw2Cyy-mry5gbC8ypIR3YVGFfEpyFESummAta6sg/edit"", ""Sheet1!B:D""), 3, FALSE), ""Not Found"")"),"θ r ɪ f t ")</f>
        <v>θ r ɪ f t </v>
      </c>
    </row>
    <row r="6645">
      <c r="A6645" s="1" t="s">
        <v>6647</v>
      </c>
      <c r="B6645" s="1" t="s">
        <v>5</v>
      </c>
      <c r="C6645" s="2">
        <f>IFERROR(__xludf.DUMMYFUNCTION("IFERROR(VLOOKUP(A6645, IMPORTRANGE(""https://docs.google.com/spreadsheets/d/1AVX9GT0dgogEBStecCXMMQ29tWz3gBrtNB8yIromXbY/edit?gid=741673867"", ""out1g!A:B""), 2, FALSE), 0)"),90.0)</f>
        <v>90</v>
      </c>
      <c r="D6645" s="2" t="str">
        <f>IFERROR(__xludf.DUMMYFUNCTION("IFERROR(VLOOKUP(A6645, IMPORTRANGE(""https://docs.google.com/spreadsheets/d/1-3Vjw2Cyy-mry5gbC8ypIR3YVGFfEpyFESummAta6sg/edit"", ""Sheet1!B:D""), 2, FALSE), ""Not Found"")"),"fɛroʊ")</f>
        <v>fɛroʊ</v>
      </c>
      <c r="E6645" s="2" t="str">
        <f>IFERROR(__xludf.DUMMYFUNCTION("IFERROR(VLOOKUP(A6645, IMPORTRANGE(""https://docs.google.com/spreadsheets/d/1-3Vjw2Cyy-mry5gbC8ypIR3YVGFfEpyFESummAta6sg/edit"", ""Sheet1!B:D""), 3, FALSE), ""Not Found"")"),"f ɛ r o ʊ ")</f>
        <v>f ɛ r o ʊ </v>
      </c>
    </row>
    <row r="6646">
      <c r="A6646" s="1" t="s">
        <v>6648</v>
      </c>
      <c r="B6646" s="1" t="s">
        <v>5</v>
      </c>
      <c r="C6646" s="2">
        <f>IFERROR(__xludf.DUMMYFUNCTION("IFERROR(VLOOKUP(A6646, IMPORTRANGE(""https://docs.google.com/spreadsheets/d/1AVX9GT0dgogEBStecCXMMQ29tWz3gBrtNB8yIromXbY/edit?gid=741673867"", ""out1g!A:B""), 2, FALSE), 0)"),213.0)</f>
        <v>213</v>
      </c>
      <c r="D6646" s="2" t="str">
        <f>IFERROR(__xludf.DUMMYFUNCTION("IFERROR(VLOOKUP(A6646, IMPORTRANGE(""https://docs.google.com/spreadsheets/d/1-3Vjw2Cyy-mry5gbC8ypIR3YVGFfEpyFESummAta6sg/edit"", ""Sheet1!B:D""), 2, FALSE), ""Not Found"")"),"dɔrk")</f>
        <v>dɔrk</v>
      </c>
      <c r="E6646" s="2" t="str">
        <f>IFERROR(__xludf.DUMMYFUNCTION("IFERROR(VLOOKUP(A6646, IMPORTRANGE(""https://docs.google.com/spreadsheets/d/1-3Vjw2Cyy-mry5gbC8ypIR3YVGFfEpyFESummAta6sg/edit"", ""Sheet1!B:D""), 3, FALSE), ""Not Found"")"),"d ɔ r k ")</f>
        <v>d ɔ r k </v>
      </c>
    </row>
    <row r="6647">
      <c r="A6647" s="1" t="s">
        <v>6649</v>
      </c>
      <c r="B6647" s="1" t="s">
        <v>5</v>
      </c>
      <c r="C6647" s="2">
        <f>IFERROR(__xludf.DUMMYFUNCTION("IFERROR(VLOOKUP(A6647, IMPORTRANGE(""https://docs.google.com/spreadsheets/d/1AVX9GT0dgogEBStecCXMMQ29tWz3gBrtNB8yIromXbY/edit?gid=741673867"", ""out1g!A:B""), 2, FALSE), 0)"),151.0)</f>
        <v>151</v>
      </c>
      <c r="D6647" s="2" t="str">
        <f>IFERROR(__xludf.DUMMYFUNCTION("IFERROR(VLOOKUP(A6647, IMPORTRANGE(""https://docs.google.com/spreadsheets/d/1-3Vjw2Cyy-mry5gbC8ypIR3YVGFfEpyFESummAta6sg/edit"", ""Sheet1!B:D""), 2, FALSE), ""Not Found"")"),"ɪlit")</f>
        <v>ɪlit</v>
      </c>
      <c r="E6647" s="2" t="str">
        <f>IFERROR(__xludf.DUMMYFUNCTION("IFERROR(VLOOKUP(A6647, IMPORTRANGE(""https://docs.google.com/spreadsheets/d/1-3Vjw2Cyy-mry5gbC8ypIR3YVGFfEpyFESummAta6sg/edit"", ""Sheet1!B:D""), 3, FALSE), ""Not Found"")"),"ɪ l i t ")</f>
        <v>ɪ l i t </v>
      </c>
    </row>
    <row r="6648">
      <c r="A6648" s="1" t="s">
        <v>6650</v>
      </c>
      <c r="B6648" s="1" t="s">
        <v>5</v>
      </c>
      <c r="C6648" s="2">
        <f>IFERROR(__xludf.DUMMYFUNCTION("IFERROR(VLOOKUP(A6648, IMPORTRANGE(""https://docs.google.com/spreadsheets/d/1AVX9GT0dgogEBStecCXMMQ29tWz3gBrtNB8yIromXbY/edit?gid=741673867"", ""out1g!A:B""), 2, FALSE), 0)"),128.0)</f>
        <v>128</v>
      </c>
      <c r="D6648" s="2" t="str">
        <f>IFERROR(__xludf.DUMMYFUNCTION("IFERROR(VLOOKUP(A6648, IMPORTRANGE(""https://docs.google.com/spreadsheets/d/1-3Vjw2Cyy-mry5gbC8ypIR3YVGFfEpyFESummAta6sg/edit"", ""Sheet1!B:D""), 2, FALSE), ""Not Found"")"),"wɪk")</f>
        <v>wɪk</v>
      </c>
      <c r="E6648" s="2" t="str">
        <f>IFERROR(__xludf.DUMMYFUNCTION("IFERROR(VLOOKUP(A6648, IMPORTRANGE(""https://docs.google.com/spreadsheets/d/1-3Vjw2Cyy-mry5gbC8ypIR3YVGFfEpyFESummAta6sg/edit"", ""Sheet1!B:D""), 3, FALSE), ""Not Found"")"),"w ɪ k ")</f>
        <v>w ɪ k </v>
      </c>
    </row>
    <row r="6649">
      <c r="A6649" s="1" t="s">
        <v>6651</v>
      </c>
      <c r="B6649" s="1" t="s">
        <v>5</v>
      </c>
      <c r="C6649" s="2">
        <f>IFERROR(__xludf.DUMMYFUNCTION("IFERROR(VLOOKUP(A6649, IMPORTRANGE(""https://docs.google.com/spreadsheets/d/1AVX9GT0dgogEBStecCXMMQ29tWz3gBrtNB8yIromXbY/edit?gid=741673867"", ""out1g!A:B""), 2, FALSE), 0)"),71.0)</f>
        <v>71</v>
      </c>
      <c r="D6649" s="2" t="str">
        <f>IFERROR(__xludf.DUMMYFUNCTION("IFERROR(VLOOKUP(A6649, IMPORTRANGE(""https://docs.google.com/spreadsheets/d/1-3Vjw2Cyy-mry5gbC8ypIR3YVGFfEpyFESummAta6sg/edit"", ""Sheet1!B:D""), 2, FALSE), ""Not Found"")"),"swid")</f>
        <v>swid</v>
      </c>
      <c r="E6649" s="2" t="str">
        <f>IFERROR(__xludf.DUMMYFUNCTION("IFERROR(VLOOKUP(A6649, IMPORTRANGE(""https://docs.google.com/spreadsheets/d/1-3Vjw2Cyy-mry5gbC8ypIR3YVGFfEpyFESummAta6sg/edit"", ""Sheet1!B:D""), 3, FALSE), ""Not Found"")"),"s w i d ")</f>
        <v>s w i d </v>
      </c>
    </row>
    <row r="6650">
      <c r="A6650" s="1" t="s">
        <v>6652</v>
      </c>
      <c r="B6650" s="1" t="s">
        <v>5</v>
      </c>
      <c r="C6650" s="2">
        <f>IFERROR(__xludf.DUMMYFUNCTION("IFERROR(VLOOKUP(A6650, IMPORTRANGE(""https://docs.google.com/spreadsheets/d/1AVX9GT0dgogEBStecCXMMQ29tWz3gBrtNB8yIromXbY/edit?gid=741673867"", ""out1g!A:B""), 2, FALSE), 0)"),222.0)</f>
        <v>222</v>
      </c>
      <c r="D6650" s="2" t="str">
        <f>IFERROR(__xludf.DUMMYFUNCTION("IFERROR(VLOOKUP(A6650, IMPORTRANGE(""https://docs.google.com/spreadsheets/d/1-3Vjw2Cyy-mry5gbC8ypIR3YVGFfEpyFESummAta6sg/edit"", ""Sheet1!B:D""), 2, FALSE), ""Not Found"")"),"flɪnt")</f>
        <v>flɪnt</v>
      </c>
      <c r="E6650" s="2" t="str">
        <f>IFERROR(__xludf.DUMMYFUNCTION("IFERROR(VLOOKUP(A6650, IMPORTRANGE(""https://docs.google.com/spreadsheets/d/1-3Vjw2Cyy-mry5gbC8ypIR3YVGFfEpyFESummAta6sg/edit"", ""Sheet1!B:D""), 3, FALSE), ""Not Found"")"),"f l ɪ n t ")</f>
        <v>f l ɪ n t </v>
      </c>
    </row>
    <row r="6651">
      <c r="A6651" s="1" t="s">
        <v>6653</v>
      </c>
      <c r="B6651" s="1" t="s">
        <v>5</v>
      </c>
      <c r="C6651" s="2">
        <f>IFERROR(__xludf.DUMMYFUNCTION("IFERROR(VLOOKUP(A6651, IMPORTRANGE(""https://docs.google.com/spreadsheets/d/1AVX9GT0dgogEBStecCXMMQ29tWz3gBrtNB8yIromXbY/edit?gid=741673867"", ""out1g!A:B""), 2, FALSE), 0)"),545.0)</f>
        <v>545</v>
      </c>
      <c r="D6651" s="2" t="str">
        <f>IFERROR(__xludf.DUMMYFUNCTION("IFERROR(VLOOKUP(A6651, IMPORTRANGE(""https://docs.google.com/spreadsheets/d/1-3Vjw2Cyy-mry5gbC8ypIR3YVGFfEpyFESummAta6sg/edit"", ""Sheet1!B:D""), 2, FALSE), ""Not Found"")"),"læft")</f>
        <v>læft</v>
      </c>
      <c r="E6651" s="2" t="str">
        <f>IFERROR(__xludf.DUMMYFUNCTION("IFERROR(VLOOKUP(A6651, IMPORTRANGE(""https://docs.google.com/spreadsheets/d/1-3Vjw2Cyy-mry5gbC8ypIR3YVGFfEpyFESummAta6sg/edit"", ""Sheet1!B:D""), 3, FALSE), ""Not Found"")"),"l æ f t ")</f>
        <v>l æ f t </v>
      </c>
    </row>
    <row r="6652">
      <c r="A6652" s="1" t="s">
        <v>6654</v>
      </c>
      <c r="B6652" s="1" t="s">
        <v>5</v>
      </c>
      <c r="C6652" s="2">
        <f>IFERROR(__xludf.DUMMYFUNCTION("IFERROR(VLOOKUP(A6652, IMPORTRANGE(""https://docs.google.com/spreadsheets/d/1AVX9GT0dgogEBStecCXMMQ29tWz3gBrtNB8yIromXbY/edit?gid=741673867"", ""out1g!A:B""), 2, FALSE), 0)"),13924.0)</f>
        <v>13924</v>
      </c>
      <c r="D6652" s="2" t="str">
        <f>IFERROR(__xludf.DUMMYFUNCTION("IFERROR(VLOOKUP(A6652, IMPORTRANGE(""https://docs.google.com/spreadsheets/d/1-3Vjw2Cyy-mry5gbC8ypIR3YVGFfEpyFESummAta6sg/edit"", ""Sheet1!B:D""), 2, FALSE), ""Not Found"")"),"mɪnəts")</f>
        <v>mɪnəts</v>
      </c>
      <c r="E6652" s="2" t="str">
        <f>IFERROR(__xludf.DUMMYFUNCTION("IFERROR(VLOOKUP(A6652, IMPORTRANGE(""https://docs.google.com/spreadsheets/d/1-3Vjw2Cyy-mry5gbC8ypIR3YVGFfEpyFESummAta6sg/edit"", ""Sheet1!B:D""), 3, FALSE), ""Not Found"")"),"m ɪ n ə t s ")</f>
        <v>m ɪ n ə t s </v>
      </c>
    </row>
    <row r="6653">
      <c r="A6653" s="1" t="s">
        <v>6655</v>
      </c>
      <c r="B6653" s="1" t="s">
        <v>5</v>
      </c>
      <c r="C6653" s="2">
        <f>IFERROR(__xludf.DUMMYFUNCTION("IFERROR(VLOOKUP(A6653, IMPORTRANGE(""https://docs.google.com/spreadsheets/d/1AVX9GT0dgogEBStecCXMMQ29tWz3gBrtNB8yIromXbY/edit?gid=741673867"", ""out1g!A:B""), 2, FALSE), 0)"),69.0)</f>
        <v>69</v>
      </c>
      <c r="D6653" s="2" t="str">
        <f>IFERROR(__xludf.DUMMYFUNCTION("IFERROR(VLOOKUP(A6653, IMPORTRANGE(""https://docs.google.com/spreadsheets/d/1-3Vjw2Cyy-mry5gbC8ypIR3YVGFfEpyFESummAta6sg/edit"", ""Sheet1!B:D""), 2, FALSE), ""Not Found"")"),"mɔlz")</f>
        <v>mɔlz</v>
      </c>
      <c r="E6653" s="2" t="str">
        <f>IFERROR(__xludf.DUMMYFUNCTION("IFERROR(VLOOKUP(A6653, IMPORTRANGE(""https://docs.google.com/spreadsheets/d/1-3Vjw2Cyy-mry5gbC8ypIR3YVGFfEpyFESummAta6sg/edit"", ""Sheet1!B:D""), 3, FALSE), ""Not Found"")"),"m ɔ l z ")</f>
        <v>m ɔ l z </v>
      </c>
    </row>
    <row r="6654">
      <c r="A6654" s="1" t="s">
        <v>6656</v>
      </c>
      <c r="B6654" s="1" t="s">
        <v>5</v>
      </c>
      <c r="C6654" s="2">
        <f>IFERROR(__xludf.DUMMYFUNCTION("IFERROR(VLOOKUP(A6654, IMPORTRANGE(""https://docs.google.com/spreadsheets/d/1AVX9GT0dgogEBStecCXMMQ29tWz3gBrtNB8yIromXbY/edit?gid=741673867"", ""out1g!A:B""), 2, FALSE), 0)"),816.0)</f>
        <v>816</v>
      </c>
      <c r="D6654" s="2" t="str">
        <f>IFERROR(__xludf.DUMMYFUNCTION("IFERROR(VLOOKUP(A6654, IMPORTRANGE(""https://docs.google.com/spreadsheets/d/1-3Vjw2Cyy-mry5gbC8ypIR3YVGFfEpyFESummAta6sg/edit"", ""Sheet1!B:D""), 2, FALSE), ""Not Found"")"),"gɪr")</f>
        <v>gɪr</v>
      </c>
      <c r="E6654" s="2" t="str">
        <f>IFERROR(__xludf.DUMMYFUNCTION("IFERROR(VLOOKUP(A6654, IMPORTRANGE(""https://docs.google.com/spreadsheets/d/1-3Vjw2Cyy-mry5gbC8ypIR3YVGFfEpyFESummAta6sg/edit"", ""Sheet1!B:D""), 3, FALSE), ""Not Found"")"),"g ɪ r ")</f>
        <v>g ɪ r </v>
      </c>
    </row>
    <row r="6655">
      <c r="A6655" s="1" t="s">
        <v>6657</v>
      </c>
      <c r="B6655" s="1" t="s">
        <v>5</v>
      </c>
      <c r="C6655" s="2">
        <f>IFERROR(__xludf.DUMMYFUNCTION("IFERROR(VLOOKUP(A6655, IMPORTRANGE(""https://docs.google.com/spreadsheets/d/1AVX9GT0dgogEBStecCXMMQ29tWz3gBrtNB8yIromXbY/edit?gid=741673867"", ""out1g!A:B""), 2, FALSE), 0)"),2054.0)</f>
        <v>2054</v>
      </c>
      <c r="D6655" s="2" t="str">
        <f>IFERROR(__xludf.DUMMYFUNCTION("IFERROR(VLOOKUP(A6655, IMPORTRANGE(""https://docs.google.com/spreadsheets/d/1-3Vjw2Cyy-mry5gbC8ypIR3YVGFfEpyFESummAta6sg/edit"", ""Sheet1!B:D""), 2, FALSE), ""Not Found"")"),"hɛlθ")</f>
        <v>hɛlθ</v>
      </c>
      <c r="E6655" s="2" t="str">
        <f>IFERROR(__xludf.DUMMYFUNCTION("IFERROR(VLOOKUP(A6655, IMPORTRANGE(""https://docs.google.com/spreadsheets/d/1-3Vjw2Cyy-mry5gbC8ypIR3YVGFfEpyFESummAta6sg/edit"", ""Sheet1!B:D""), 3, FALSE), ""Not Found"")"),"h ɛ l θ ")</f>
        <v>h ɛ l θ </v>
      </c>
    </row>
    <row r="6656">
      <c r="A6656" s="1" t="s">
        <v>6658</v>
      </c>
      <c r="B6656" s="1" t="s">
        <v>5</v>
      </c>
      <c r="C6656" s="2">
        <f>IFERROR(__xludf.DUMMYFUNCTION("IFERROR(VLOOKUP(A6656, IMPORTRANGE(""https://docs.google.com/spreadsheets/d/1AVX9GT0dgogEBStecCXMMQ29tWz3gBrtNB8yIromXbY/edit?gid=741673867"", ""out1g!A:B""), 2, FALSE), 0)"),1015.0)</f>
        <v>1015</v>
      </c>
      <c r="D6656" s="2" t="str">
        <f>IFERROR(__xludf.DUMMYFUNCTION("IFERROR(VLOOKUP(A6656, IMPORTRANGE(""https://docs.google.com/spreadsheets/d/1-3Vjw2Cyy-mry5gbC8ypIR3YVGFfEpyFESummAta6sg/edit"", ""Sheet1!B:D""), 2, FALSE), ""Not Found"")"),"spɔrt")</f>
        <v>spɔrt</v>
      </c>
      <c r="E6656" s="2" t="str">
        <f>IFERROR(__xludf.DUMMYFUNCTION("IFERROR(VLOOKUP(A6656, IMPORTRANGE(""https://docs.google.com/spreadsheets/d/1-3Vjw2Cyy-mry5gbC8ypIR3YVGFfEpyFESummAta6sg/edit"", ""Sheet1!B:D""), 3, FALSE), ""Not Found"")"),"s p ɔ r t ")</f>
        <v>s p ɔ r t </v>
      </c>
    </row>
    <row r="6657">
      <c r="A6657" s="1" t="s">
        <v>6659</v>
      </c>
      <c r="B6657" s="1" t="s">
        <v>5</v>
      </c>
      <c r="C6657" s="2">
        <f>IFERROR(__xludf.DUMMYFUNCTION("IFERROR(VLOOKUP(A6657, IMPORTRANGE(""https://docs.google.com/spreadsheets/d/1AVX9GT0dgogEBStecCXMMQ29tWz3gBrtNB8yIromXbY/edit?gid=741673867"", ""out1g!A:B""), 2, FALSE), 0)"),1336.0)</f>
        <v>1336</v>
      </c>
      <c r="D6657" s="2" t="str">
        <f>IFERROR(__xludf.DUMMYFUNCTION("IFERROR(VLOOKUP(A6657, IMPORTRANGE(""https://docs.google.com/spreadsheets/d/1-3Vjw2Cyy-mry5gbC8ypIR3YVGFfEpyFESummAta6sg/edit"", ""Sheet1!B:D""), 2, FALSE), ""Not Found"")"),"rɪk")</f>
        <v>rɪk</v>
      </c>
      <c r="E6657" s="2" t="str">
        <f>IFERROR(__xludf.DUMMYFUNCTION("IFERROR(VLOOKUP(A6657, IMPORTRANGE(""https://docs.google.com/spreadsheets/d/1-3Vjw2Cyy-mry5gbC8ypIR3YVGFfEpyFESummAta6sg/edit"", ""Sheet1!B:D""), 3, FALSE), ""Not Found"")"),"r ɪ k ")</f>
        <v>r ɪ k </v>
      </c>
    </row>
    <row r="6658">
      <c r="A6658" s="1" t="s">
        <v>6660</v>
      </c>
      <c r="B6658" s="1" t="s">
        <v>5</v>
      </c>
      <c r="C6658" s="2">
        <f>IFERROR(__xludf.DUMMYFUNCTION("IFERROR(VLOOKUP(A6658, IMPORTRANGE(""https://docs.google.com/spreadsheets/d/1AVX9GT0dgogEBStecCXMMQ29tWz3gBrtNB8yIromXbY/edit?gid=741673867"", ""out1g!A:B""), 2, FALSE), 0)"),2326.0)</f>
        <v>2326</v>
      </c>
      <c r="D6658" s="2" t="str">
        <f>IFERROR(__xludf.DUMMYFUNCTION("IFERROR(VLOOKUP(A6658, IMPORTRANGE(""https://docs.google.com/spreadsheets/d/1-3Vjw2Cyy-mry5gbC8ypIR3YVGFfEpyFESummAta6sg/edit"", ""Sheet1!B:D""), 2, FALSE), ""Not Found"")"),"mɪstər")</f>
        <v>mɪstər</v>
      </c>
      <c r="E6658" s="2" t="str">
        <f>IFERROR(__xludf.DUMMYFUNCTION("IFERROR(VLOOKUP(A6658, IMPORTRANGE(""https://docs.google.com/spreadsheets/d/1-3Vjw2Cyy-mry5gbC8ypIR3YVGFfEpyFESummAta6sg/edit"", ""Sheet1!B:D""), 3, FALSE), ""Not Found"")"),"m ɪ s t ə r ")</f>
        <v>m ɪ s t ə r </v>
      </c>
    </row>
    <row r="6659">
      <c r="A6659" s="1" t="s">
        <v>6661</v>
      </c>
      <c r="B6659" s="1" t="s">
        <v>5</v>
      </c>
      <c r="C6659" s="2">
        <f>IFERROR(__xludf.DUMMYFUNCTION("IFERROR(VLOOKUP(A6659, IMPORTRANGE(""https://docs.google.com/spreadsheets/d/1AVX9GT0dgogEBStecCXMMQ29tWz3gBrtNB8yIromXbY/edit?gid=741673867"", ""out1g!A:B""), 2, FALSE), 0)"),53.0)</f>
        <v>53</v>
      </c>
      <c r="D6659" s="2" t="str">
        <f>IFERROR(__xludf.DUMMYFUNCTION("IFERROR(VLOOKUP(A6659, IMPORTRANGE(""https://docs.google.com/spreadsheets/d/1-3Vjw2Cyy-mry5gbC8ypIR3YVGFfEpyFESummAta6sg/edit"", ""Sheet1!B:D""), 2, FALSE), ""Not Found"")"),"lugər")</f>
        <v>lugər</v>
      </c>
      <c r="E6659" s="2" t="str">
        <f>IFERROR(__xludf.DUMMYFUNCTION("IFERROR(VLOOKUP(A6659, IMPORTRANGE(""https://docs.google.com/spreadsheets/d/1-3Vjw2Cyy-mry5gbC8ypIR3YVGFfEpyFESummAta6sg/edit"", ""Sheet1!B:D""), 3, FALSE), ""Not Found"")"),"l u g ə r ")</f>
        <v>l u g ə r </v>
      </c>
    </row>
    <row r="6660">
      <c r="A6660" s="1" t="s">
        <v>6662</v>
      </c>
      <c r="B6660" s="1" t="s">
        <v>5</v>
      </c>
      <c r="C6660" s="2">
        <f>IFERROR(__xludf.DUMMYFUNCTION("IFERROR(VLOOKUP(A6660, IMPORTRANGE(""https://docs.google.com/spreadsheets/d/1AVX9GT0dgogEBStecCXMMQ29tWz3gBrtNB8yIromXbY/edit?gid=741673867"", ""out1g!A:B""), 2, FALSE), 0)"),129.0)</f>
        <v>129</v>
      </c>
      <c r="D6660" s="2" t="str">
        <f>IFERROR(__xludf.DUMMYFUNCTION("IFERROR(VLOOKUP(A6660, IMPORTRANGE(""https://docs.google.com/spreadsheets/d/1-3Vjw2Cyy-mry5gbC8ypIR3YVGFfEpyFESummAta6sg/edit"", ""Sheet1!B:D""), 2, FALSE), ""Not Found"")"),"gez")</f>
        <v>gez</v>
      </c>
      <c r="E6660" s="2" t="str">
        <f>IFERROR(__xludf.DUMMYFUNCTION("IFERROR(VLOOKUP(A6660, IMPORTRANGE(""https://docs.google.com/spreadsheets/d/1-3Vjw2Cyy-mry5gbC8ypIR3YVGFfEpyFESummAta6sg/edit"", ""Sheet1!B:D""), 3, FALSE), ""Not Found"")"),"g e z ")</f>
        <v>g e z </v>
      </c>
    </row>
    <row r="6661">
      <c r="A6661" s="1" t="s">
        <v>6663</v>
      </c>
      <c r="B6661" s="1" t="s">
        <v>5</v>
      </c>
      <c r="C6661" s="2">
        <f>IFERROR(__xludf.DUMMYFUNCTION("IFERROR(VLOOKUP(A6661, IMPORTRANGE(""https://docs.google.com/spreadsheets/d/1AVX9GT0dgogEBStecCXMMQ29tWz3gBrtNB8yIromXbY/edit?gid=741673867"", ""out1g!A:B""), 2, FALSE), 0)"),70.0)</f>
        <v>70</v>
      </c>
      <c r="D6661" s="2" t="str">
        <f>IFERROR(__xludf.DUMMYFUNCTION("IFERROR(VLOOKUP(A6661, IMPORTRANGE(""https://docs.google.com/spreadsheets/d/1-3Vjw2Cyy-mry5gbC8ypIR3YVGFfEpyFESummAta6sg/edit"", ""Sheet1!B:D""), 2, FALSE), ""Not Found"")"),"hɪki")</f>
        <v>hɪki</v>
      </c>
      <c r="E6661" s="2" t="str">
        <f>IFERROR(__xludf.DUMMYFUNCTION("IFERROR(VLOOKUP(A6661, IMPORTRANGE(""https://docs.google.com/spreadsheets/d/1-3Vjw2Cyy-mry5gbC8ypIR3YVGFfEpyFESummAta6sg/edit"", ""Sheet1!B:D""), 3, FALSE), ""Not Found"")"),"h ɪ k i ")</f>
        <v>h ɪ k i </v>
      </c>
    </row>
    <row r="6662">
      <c r="A6662" s="1" t="s">
        <v>6664</v>
      </c>
      <c r="B6662" s="1" t="s">
        <v>5</v>
      </c>
      <c r="C6662" s="2">
        <f>IFERROR(__xludf.DUMMYFUNCTION("IFERROR(VLOOKUP(A6662, IMPORTRANGE(""https://docs.google.com/spreadsheets/d/1AVX9GT0dgogEBStecCXMMQ29tWz3gBrtNB8yIromXbY/edit?gid=741673867"", ""out1g!A:B""), 2, FALSE), 0)"),82.0)</f>
        <v>82</v>
      </c>
      <c r="D6662" s="2" t="str">
        <f>IFERROR(__xludf.DUMMYFUNCTION("IFERROR(VLOOKUP(A6662, IMPORTRANGE(""https://docs.google.com/spreadsheets/d/1-3Vjw2Cyy-mry5gbC8ypIR3YVGFfEpyFESummAta6sg/edit"", ""Sheet1!B:D""), 2, FALSE), ""Not Found"")"),"ʧɪlɪŋ")</f>
        <v>ʧɪlɪŋ</v>
      </c>
      <c r="E6662" s="2" t="str">
        <f>IFERROR(__xludf.DUMMYFUNCTION("IFERROR(VLOOKUP(A6662, IMPORTRANGE(""https://docs.google.com/spreadsheets/d/1-3Vjw2Cyy-mry5gbC8ypIR3YVGFfEpyFESummAta6sg/edit"", ""Sheet1!B:D""), 3, FALSE), ""Not Found"")"),"ʧ ɪ l ɪ ŋ ")</f>
        <v>ʧ ɪ l ɪ ŋ </v>
      </c>
    </row>
    <row r="6663">
      <c r="A6663" s="1" t="s">
        <v>6665</v>
      </c>
      <c r="B6663" s="1" t="s">
        <v>5</v>
      </c>
      <c r="C6663" s="2">
        <f>IFERROR(__xludf.DUMMYFUNCTION("IFERROR(VLOOKUP(A6663, IMPORTRANGE(""https://docs.google.com/spreadsheets/d/1AVX9GT0dgogEBStecCXMMQ29tWz3gBrtNB8yIromXbY/edit?gid=741673867"", ""out1g!A:B""), 2, FALSE), 0)"),88.0)</f>
        <v>88</v>
      </c>
      <c r="D6663" s="2" t="str">
        <f>IFERROR(__xludf.DUMMYFUNCTION("IFERROR(VLOOKUP(A6663, IMPORTRANGE(""https://docs.google.com/spreadsheets/d/1-3Vjw2Cyy-mry5gbC8ypIR3YVGFfEpyFESummAta6sg/edit"", ""Sheet1!B:D""), 2, FALSE), ""Not Found"")"),"siwid")</f>
        <v>siwid</v>
      </c>
      <c r="E6663" s="2" t="str">
        <f>IFERROR(__xludf.DUMMYFUNCTION("IFERROR(VLOOKUP(A6663, IMPORTRANGE(""https://docs.google.com/spreadsheets/d/1-3Vjw2Cyy-mry5gbC8ypIR3YVGFfEpyFESummAta6sg/edit"", ""Sheet1!B:D""), 3, FALSE), ""Not Found"")"),"s i w i d ")</f>
        <v>s i w i d </v>
      </c>
    </row>
    <row r="6664">
      <c r="A6664" s="1" t="s">
        <v>6666</v>
      </c>
      <c r="B6664" s="1" t="s">
        <v>5</v>
      </c>
      <c r="C6664" s="2">
        <f>IFERROR(__xludf.DUMMYFUNCTION("IFERROR(VLOOKUP(A6664, IMPORTRANGE(""https://docs.google.com/spreadsheets/d/1AVX9GT0dgogEBStecCXMMQ29tWz3gBrtNB8yIromXbY/edit?gid=741673867"", ""out1g!A:B""), 2, FALSE), 0)"),738.0)</f>
        <v>738</v>
      </c>
      <c r="D6664" s="2" t="str">
        <f>IFERROR(__xludf.DUMMYFUNCTION("IFERROR(VLOOKUP(A6664, IMPORTRANGE(""https://docs.google.com/spreadsheets/d/1-3Vjw2Cyy-mry5gbC8ypIR3YVGFfEpyFESummAta6sg/edit"", ""Sheet1!B:D""), 2, FALSE), ""Not Found"")"),"pætərn")</f>
        <v>pætərn</v>
      </c>
      <c r="E6664" s="2" t="str">
        <f>IFERROR(__xludf.DUMMYFUNCTION("IFERROR(VLOOKUP(A6664, IMPORTRANGE(""https://docs.google.com/spreadsheets/d/1-3Vjw2Cyy-mry5gbC8ypIR3YVGFfEpyFESummAta6sg/edit"", ""Sheet1!B:D""), 3, FALSE), ""Not Found"")"),"p æ t ə r n ")</f>
        <v>p æ t ə r n </v>
      </c>
    </row>
    <row r="6665">
      <c r="A6665" s="1" t="s">
        <v>6667</v>
      </c>
      <c r="B6665" s="1" t="s">
        <v>5</v>
      </c>
      <c r="C6665" s="2">
        <f>IFERROR(__xludf.DUMMYFUNCTION("IFERROR(VLOOKUP(A6665, IMPORTRANGE(""https://docs.google.com/spreadsheets/d/1AVX9GT0dgogEBStecCXMMQ29tWz3gBrtNB8yIromXbY/edit?gid=741673867"", ""out1g!A:B""), 2, FALSE), 0)"),64.0)</f>
        <v>64</v>
      </c>
      <c r="D6665" s="2" t="str">
        <f>IFERROR(__xludf.DUMMYFUNCTION("IFERROR(VLOOKUP(A6665, IMPORTRANGE(""https://docs.google.com/spreadsheets/d/1-3Vjw2Cyy-mry5gbC8ypIR3YVGFfEpyFESummAta6sg/edit"", ""Sheet1!B:D""), 2, FALSE), ""Not Found"")"),"ækmi")</f>
        <v>ækmi</v>
      </c>
      <c r="E6665" s="2" t="str">
        <f>IFERROR(__xludf.DUMMYFUNCTION("IFERROR(VLOOKUP(A6665, IMPORTRANGE(""https://docs.google.com/spreadsheets/d/1-3Vjw2Cyy-mry5gbC8ypIR3YVGFfEpyFESummAta6sg/edit"", ""Sheet1!B:D""), 3, FALSE), ""Not Found"")"),"æ k m i ")</f>
        <v>æ k m i </v>
      </c>
    </row>
    <row r="6666">
      <c r="A6666" s="1" t="s">
        <v>6668</v>
      </c>
      <c r="B6666" s="1" t="s">
        <v>5</v>
      </c>
      <c r="C6666" s="2">
        <f>IFERROR(__xludf.DUMMYFUNCTION("IFERROR(VLOOKUP(A6666, IMPORTRANGE(""https://docs.google.com/spreadsheets/d/1AVX9GT0dgogEBStecCXMMQ29tWz3gBrtNB8yIromXbY/edit?gid=741673867"", ""out1g!A:B""), 2, FALSE), 0)"),1727.0)</f>
        <v>1727</v>
      </c>
      <c r="D6666" s="2" t="str">
        <f>IFERROR(__xludf.DUMMYFUNCTION("IFERROR(VLOOKUP(A6666, IMPORTRANGE(""https://docs.google.com/spreadsheets/d/1-3Vjw2Cyy-mry5gbC8ypIR3YVGFfEpyFESummAta6sg/edit"", ""Sheet1!B:D""), 2, FALSE), ""Not Found"")"),"naɪts")</f>
        <v>naɪts</v>
      </c>
      <c r="E6666" s="2" t="str">
        <f>IFERROR(__xludf.DUMMYFUNCTION("IFERROR(VLOOKUP(A6666, IMPORTRANGE(""https://docs.google.com/spreadsheets/d/1-3Vjw2Cyy-mry5gbC8ypIR3YVGFfEpyFESummAta6sg/edit"", ""Sheet1!B:D""), 3, FALSE), ""Not Found"")"),"n a ɪ t s ")</f>
        <v>n a ɪ t s </v>
      </c>
    </row>
    <row r="6667">
      <c r="A6667" s="1" t="s">
        <v>6669</v>
      </c>
      <c r="B6667" s="1" t="s">
        <v>5</v>
      </c>
      <c r="C6667" s="2">
        <f>IFERROR(__xludf.DUMMYFUNCTION("IFERROR(VLOOKUP(A6667, IMPORTRANGE(""https://docs.google.com/spreadsheets/d/1AVX9GT0dgogEBStecCXMMQ29tWz3gBrtNB8yIromXbY/edit?gid=741673867"", ""out1g!A:B""), 2, FALSE), 0)"),84.0)</f>
        <v>84</v>
      </c>
      <c r="D6667" s="2" t="str">
        <f>IFERROR(__xludf.DUMMYFUNCTION("IFERROR(VLOOKUP(A6667, IMPORTRANGE(""https://docs.google.com/spreadsheets/d/1-3Vjw2Cyy-mry5gbC8ypIR3YVGFfEpyFESummAta6sg/edit"", ""Sheet1!B:D""), 2, FALSE), ""Not Found"")"),"brekərz")</f>
        <v>brekərz</v>
      </c>
      <c r="E6667" s="2" t="str">
        <f>IFERROR(__xludf.DUMMYFUNCTION("IFERROR(VLOOKUP(A6667, IMPORTRANGE(""https://docs.google.com/spreadsheets/d/1-3Vjw2Cyy-mry5gbC8ypIR3YVGFfEpyFESummAta6sg/edit"", ""Sheet1!B:D""), 3, FALSE), ""Not Found"")"),"b r e k ə r z ")</f>
        <v>b r e k ə r z </v>
      </c>
    </row>
    <row r="6668">
      <c r="A6668" s="1" t="s">
        <v>6670</v>
      </c>
      <c r="B6668" s="1" t="s">
        <v>5</v>
      </c>
      <c r="C6668" s="2">
        <f>IFERROR(__xludf.DUMMYFUNCTION("IFERROR(VLOOKUP(A6668, IMPORTRANGE(""https://docs.google.com/spreadsheets/d/1AVX9GT0dgogEBStecCXMMQ29tWz3gBrtNB8yIromXbY/edit?gid=741673867"", ""out1g!A:B""), 2, FALSE), 0)"),11081.0)</f>
        <v>11081</v>
      </c>
      <c r="D6668" s="2" t="str">
        <f>IFERROR(__xludf.DUMMYFUNCTION("IFERROR(VLOOKUP(A6668, IMPORTRANGE(""https://docs.google.com/spreadsheets/d/1-3Vjw2Cyy-mry5gbC8ypIR3YVGFfEpyFESummAta6sg/edit"", ""Sheet1!B:D""), 2, FALSE), ""Not Found"")"),"goʊz")</f>
        <v>goʊz</v>
      </c>
      <c r="E6668" s="2" t="str">
        <f>IFERROR(__xludf.DUMMYFUNCTION("IFERROR(VLOOKUP(A6668, IMPORTRANGE(""https://docs.google.com/spreadsheets/d/1-3Vjw2Cyy-mry5gbC8ypIR3YVGFfEpyFESummAta6sg/edit"", ""Sheet1!B:D""), 3, FALSE), ""Not Found"")"),"g o ʊ z ")</f>
        <v>g o ʊ z </v>
      </c>
    </row>
    <row r="6669">
      <c r="A6669" s="1" t="s">
        <v>6671</v>
      </c>
      <c r="B6669" s="1" t="s">
        <v>5</v>
      </c>
      <c r="C6669" s="2">
        <f>IFERROR(__xludf.DUMMYFUNCTION("IFERROR(VLOOKUP(A6669, IMPORTRANGE(""https://docs.google.com/spreadsheets/d/1AVX9GT0dgogEBStecCXMMQ29tWz3gBrtNB8yIromXbY/edit?gid=741673867"", ""out1g!A:B""), 2, FALSE), 0)"),22.0)</f>
        <v>22</v>
      </c>
      <c r="D6669" s="2" t="str">
        <f>IFERROR(__xludf.DUMMYFUNCTION("IFERROR(VLOOKUP(A6669, IMPORTRANGE(""https://docs.google.com/spreadsheets/d/1-3Vjw2Cyy-mry5gbC8ypIR3YVGFfEpyFESummAta6sg/edit"", ""Sheet1!B:D""), 2, FALSE), ""Not Found"")"),"helz")</f>
        <v>helz</v>
      </c>
      <c r="E6669" s="2" t="str">
        <f>IFERROR(__xludf.DUMMYFUNCTION("IFERROR(VLOOKUP(A6669, IMPORTRANGE(""https://docs.google.com/spreadsheets/d/1-3Vjw2Cyy-mry5gbC8ypIR3YVGFfEpyFESummAta6sg/edit"", ""Sheet1!B:D""), 3, FALSE), ""Not Found"")"),"h e l z ")</f>
        <v>h e l z </v>
      </c>
    </row>
    <row r="6670">
      <c r="A6670" s="1" t="s">
        <v>6672</v>
      </c>
      <c r="B6670" s="1" t="s">
        <v>5</v>
      </c>
      <c r="C6670" s="2">
        <f>IFERROR(__xludf.DUMMYFUNCTION("IFERROR(VLOOKUP(A6670, IMPORTRANGE(""https://docs.google.com/spreadsheets/d/1AVX9GT0dgogEBStecCXMMQ29tWz3gBrtNB8yIromXbY/edit?gid=741673867"", ""out1g!A:B""), 2, FALSE), 0)"),15135.0)</f>
        <v>15135</v>
      </c>
      <c r="D6670" s="2" t="str">
        <f>IFERROR(__xludf.DUMMYFUNCTION("IFERROR(VLOOKUP(A6670, IMPORTRANGE(""https://docs.google.com/spreadsheets/d/1-3Vjw2Cyy-mry5gbC8ypIR3YVGFfEpyFESummAta6sg/edit"", ""Sheet1!B:D""), 2, FALSE), ""Not Found"")"),"gɔn")</f>
        <v>gɔn</v>
      </c>
      <c r="E6670" s="2" t="str">
        <f>IFERROR(__xludf.DUMMYFUNCTION("IFERROR(VLOOKUP(A6670, IMPORTRANGE(""https://docs.google.com/spreadsheets/d/1-3Vjw2Cyy-mry5gbC8ypIR3YVGFfEpyFESummAta6sg/edit"", ""Sheet1!B:D""), 3, FALSE), ""Not Found"")"),"g ɔ n ")</f>
        <v>g ɔ n </v>
      </c>
    </row>
    <row r="6671">
      <c r="A6671" s="1" t="s">
        <v>6673</v>
      </c>
      <c r="B6671" s="1" t="s">
        <v>5</v>
      </c>
      <c r="C6671" s="2">
        <f>IFERROR(__xludf.DUMMYFUNCTION("IFERROR(VLOOKUP(A6671, IMPORTRANGE(""https://docs.google.com/spreadsheets/d/1AVX9GT0dgogEBStecCXMMQ29tWz3gBrtNB8yIromXbY/edit?gid=741673867"", ""out1g!A:B""), 2, FALSE), 0)"),341.0)</f>
        <v>341</v>
      </c>
      <c r="D6671" s="2" t="str">
        <f>IFERROR(__xludf.DUMMYFUNCTION("IFERROR(VLOOKUP(A6671, IMPORTRANGE(""https://docs.google.com/spreadsheets/d/1-3Vjw2Cyy-mry5gbC8ypIR3YVGFfEpyFESummAta6sg/edit"", ""Sheet1!B:D""), 2, FALSE), ""Not Found"")"),"bekt")</f>
        <v>bekt</v>
      </c>
      <c r="E6671" s="2" t="str">
        <f>IFERROR(__xludf.DUMMYFUNCTION("IFERROR(VLOOKUP(A6671, IMPORTRANGE(""https://docs.google.com/spreadsheets/d/1-3Vjw2Cyy-mry5gbC8ypIR3YVGFfEpyFESummAta6sg/edit"", ""Sheet1!B:D""), 3, FALSE), ""Not Found"")"),"b e k t ")</f>
        <v>b e k t </v>
      </c>
    </row>
    <row r="6672">
      <c r="A6672" s="1" t="s">
        <v>6674</v>
      </c>
      <c r="B6672" s="1" t="s">
        <v>5</v>
      </c>
      <c r="C6672" s="2">
        <f>IFERROR(__xludf.DUMMYFUNCTION("IFERROR(VLOOKUP(A6672, IMPORTRANGE(""https://docs.google.com/spreadsheets/d/1AVX9GT0dgogEBStecCXMMQ29tWz3gBrtNB8yIromXbY/edit?gid=741673867"", ""out1g!A:B""), 2, FALSE), 0)"),519.0)</f>
        <v>519</v>
      </c>
      <c r="D6672" s="2" t="str">
        <f>IFERROR(__xludf.DUMMYFUNCTION("IFERROR(VLOOKUP(A6672, IMPORTRANGE(""https://docs.google.com/spreadsheets/d/1-3Vjw2Cyy-mry5gbC8ypIR3YVGFfEpyFESummAta6sg/edit"", ""Sheet1!B:D""), 2, FALSE), ""Not Found"")"),"rɑ")</f>
        <v>rɑ</v>
      </c>
      <c r="E6672" s="2" t="str">
        <f>IFERROR(__xludf.DUMMYFUNCTION("IFERROR(VLOOKUP(A6672, IMPORTRANGE(""https://docs.google.com/spreadsheets/d/1-3Vjw2Cyy-mry5gbC8ypIR3YVGFfEpyFESummAta6sg/edit"", ""Sheet1!B:D""), 3, FALSE), ""Not Found"")"),"r ɑ ")</f>
        <v>r ɑ </v>
      </c>
    </row>
    <row r="6673">
      <c r="A6673" s="1" t="s">
        <v>6675</v>
      </c>
      <c r="B6673" s="1" t="s">
        <v>5</v>
      </c>
      <c r="C6673" s="2">
        <f>IFERROR(__xludf.DUMMYFUNCTION("IFERROR(VLOOKUP(A6673, IMPORTRANGE(""https://docs.google.com/spreadsheets/d/1AVX9GT0dgogEBStecCXMMQ29tWz3gBrtNB8yIromXbY/edit?gid=741673867"", ""out1g!A:B""), 2, FALSE), 0)"),1158.0)</f>
        <v>1158</v>
      </c>
      <c r="D6673" s="2" t="str">
        <f>IFERROR(__xludf.DUMMYFUNCTION("IFERROR(VLOOKUP(A6673, IMPORTRANGE(""https://docs.google.com/spreadsheets/d/1-3Vjw2Cyy-mry5gbC8ypIR3YVGFfEpyFESummAta6sg/edit"", ""Sheet1!B:D""), 2, FALSE), ""Not Found"")"),"roʊp")</f>
        <v>roʊp</v>
      </c>
      <c r="E6673" s="2" t="str">
        <f>IFERROR(__xludf.DUMMYFUNCTION("IFERROR(VLOOKUP(A6673, IMPORTRANGE(""https://docs.google.com/spreadsheets/d/1-3Vjw2Cyy-mry5gbC8ypIR3YVGFfEpyFESummAta6sg/edit"", ""Sheet1!B:D""), 3, FALSE), ""Not Found"")"),"r o ʊ p ")</f>
        <v>r o ʊ p </v>
      </c>
    </row>
    <row r="6674">
      <c r="A6674" s="1" t="s">
        <v>6676</v>
      </c>
      <c r="B6674" s="1" t="s">
        <v>5</v>
      </c>
      <c r="C6674" s="2">
        <f>IFERROR(__xludf.DUMMYFUNCTION("IFERROR(VLOOKUP(A6674, IMPORTRANGE(""https://docs.google.com/spreadsheets/d/1AVX9GT0dgogEBStecCXMMQ29tWz3gBrtNB8yIromXbY/edit?gid=741673867"", ""out1g!A:B""), 2, FALSE), 0)"),655.0)</f>
        <v>655</v>
      </c>
      <c r="D6674" s="2" t="str">
        <f>IFERROR(__xludf.DUMMYFUNCTION("IFERROR(VLOOKUP(A6674, IMPORTRANGE(""https://docs.google.com/spreadsheets/d/1-3Vjw2Cyy-mry5gbC8ypIR3YVGFfEpyFESummAta6sg/edit"", ""Sheet1!B:D""), 2, FALSE), ""Not Found"")"),"kɛni")</f>
        <v>kɛni</v>
      </c>
      <c r="E6674" s="2" t="str">
        <f>IFERROR(__xludf.DUMMYFUNCTION("IFERROR(VLOOKUP(A6674, IMPORTRANGE(""https://docs.google.com/spreadsheets/d/1-3Vjw2Cyy-mry5gbC8ypIR3YVGFfEpyFESummAta6sg/edit"", ""Sheet1!B:D""), 3, FALSE), ""Not Found"")"),"k ɛ n i ")</f>
        <v>k ɛ n i </v>
      </c>
    </row>
    <row r="6675">
      <c r="A6675" s="1" t="s">
        <v>6677</v>
      </c>
      <c r="B6675" s="1" t="s">
        <v>5</v>
      </c>
      <c r="C6675" s="2">
        <f>IFERROR(__xludf.DUMMYFUNCTION("IFERROR(VLOOKUP(A6675, IMPORTRANGE(""https://docs.google.com/spreadsheets/d/1AVX9GT0dgogEBStecCXMMQ29tWz3gBrtNB8yIromXbY/edit?gid=741673867"", ""out1g!A:B""), 2, FALSE), 0)"),181.0)</f>
        <v>181</v>
      </c>
      <c r="D6675" s="2" t="str">
        <f>IFERROR(__xludf.DUMMYFUNCTION("IFERROR(VLOOKUP(A6675, IMPORTRANGE(""https://docs.google.com/spreadsheets/d/1-3Vjw2Cyy-mry5gbC8ypIR3YVGFfEpyFESummAta6sg/edit"", ""Sheet1!B:D""), 2, FALSE), ""Not Found"")"),"vil")</f>
        <v>vil</v>
      </c>
      <c r="E6675" s="2" t="str">
        <f>IFERROR(__xludf.DUMMYFUNCTION("IFERROR(VLOOKUP(A6675, IMPORTRANGE(""https://docs.google.com/spreadsheets/d/1-3Vjw2Cyy-mry5gbC8ypIR3YVGFfEpyFESummAta6sg/edit"", ""Sheet1!B:D""), 3, FALSE), ""Not Found"")"),"v i l ")</f>
        <v>v i l </v>
      </c>
    </row>
    <row r="6676">
      <c r="A6676" s="1" t="s">
        <v>6678</v>
      </c>
      <c r="B6676" s="1" t="s">
        <v>5</v>
      </c>
      <c r="C6676" s="2">
        <f>IFERROR(__xludf.DUMMYFUNCTION("IFERROR(VLOOKUP(A6676, IMPORTRANGE(""https://docs.google.com/spreadsheets/d/1AVX9GT0dgogEBStecCXMMQ29tWz3gBrtNB8yIromXbY/edit?gid=741673867"", ""out1g!A:B""), 2, FALSE), 0)"),702.0)</f>
        <v>702</v>
      </c>
      <c r="D6676" s="2" t="str">
        <f>IFERROR(__xludf.DUMMYFUNCTION("IFERROR(VLOOKUP(A6676, IMPORTRANGE(""https://docs.google.com/spreadsheets/d/1-3Vjw2Cyy-mry5gbC8ypIR3YVGFfEpyFESummAta6sg/edit"", ""Sheet1!B:D""), 2, FALSE), ""Not Found"")"),"ʃev")</f>
        <v>ʃev</v>
      </c>
      <c r="E6676" s="2" t="str">
        <f>IFERROR(__xludf.DUMMYFUNCTION("IFERROR(VLOOKUP(A6676, IMPORTRANGE(""https://docs.google.com/spreadsheets/d/1-3Vjw2Cyy-mry5gbC8ypIR3YVGFfEpyFESummAta6sg/edit"", ""Sheet1!B:D""), 3, FALSE), ""Not Found"")"),"ʃ e v ")</f>
        <v>ʃ e v </v>
      </c>
    </row>
    <row r="6677">
      <c r="A6677" s="1" t="s">
        <v>6679</v>
      </c>
      <c r="B6677" s="1" t="s">
        <v>5</v>
      </c>
      <c r="C6677" s="2">
        <f>IFERROR(__xludf.DUMMYFUNCTION("IFERROR(VLOOKUP(A6677, IMPORTRANGE(""https://docs.google.com/spreadsheets/d/1AVX9GT0dgogEBStecCXMMQ29tWz3gBrtNB8yIromXbY/edit?gid=741673867"", ""out1g!A:B""), 2, FALSE), 0)"),221.0)</f>
        <v>221</v>
      </c>
      <c r="D6677" s="2" t="str">
        <f>IFERROR(__xludf.DUMMYFUNCTION("IFERROR(VLOOKUP(A6677, IMPORTRANGE(""https://docs.google.com/spreadsheets/d/1-3Vjw2Cyy-mry5gbC8ypIR3YVGFfEpyFESummAta6sg/edit"", ""Sheet1!B:D""), 2, FALSE), ""Not Found"")"),"wɑ")</f>
        <v>wɑ</v>
      </c>
      <c r="E6677" s="2" t="str">
        <f>IFERROR(__xludf.DUMMYFUNCTION("IFERROR(VLOOKUP(A6677, IMPORTRANGE(""https://docs.google.com/spreadsheets/d/1-3Vjw2Cyy-mry5gbC8ypIR3YVGFfEpyFESummAta6sg/edit"", ""Sheet1!B:D""), 3, FALSE), ""Not Found"")"),"w ɑ ")</f>
        <v>w ɑ </v>
      </c>
    </row>
    <row r="6678">
      <c r="A6678" s="1" t="s">
        <v>6680</v>
      </c>
      <c r="B6678" s="1" t="s">
        <v>5</v>
      </c>
      <c r="C6678" s="2">
        <f>IFERROR(__xludf.DUMMYFUNCTION("IFERROR(VLOOKUP(A6678, IMPORTRANGE(""https://docs.google.com/spreadsheets/d/1AVX9GT0dgogEBStecCXMMQ29tWz3gBrtNB8yIromXbY/edit?gid=741673867"", ""out1g!A:B""), 2, FALSE), 0)"),8160.0)</f>
        <v>8160</v>
      </c>
      <c r="D6678" s="2" t="str">
        <f>IFERROR(__xludf.DUMMYFUNCTION("IFERROR(VLOOKUP(A6678, IMPORTRANGE(""https://docs.google.com/spreadsheets/d/1-3Vjw2Cyy-mry5gbC8ypIR3YVGFfEpyFESummAta6sg/edit"", ""Sheet1!B:D""), 2, FALSE), ""Not Found"")"),"waʊ")</f>
        <v>waʊ</v>
      </c>
      <c r="E6678" s="2" t="str">
        <f>IFERROR(__xludf.DUMMYFUNCTION("IFERROR(VLOOKUP(A6678, IMPORTRANGE(""https://docs.google.com/spreadsheets/d/1-3Vjw2Cyy-mry5gbC8ypIR3YVGFfEpyFESummAta6sg/edit"", ""Sheet1!B:D""), 3, FALSE), ""Not Found"")"),"w a ʊ ")</f>
        <v>w a ʊ </v>
      </c>
    </row>
    <row r="6679">
      <c r="A6679" s="1" t="s">
        <v>6681</v>
      </c>
      <c r="B6679" s="1" t="s">
        <v>5</v>
      </c>
      <c r="C6679" s="2">
        <f>IFERROR(__xludf.DUMMYFUNCTION("IFERROR(VLOOKUP(A6679, IMPORTRANGE(""https://docs.google.com/spreadsheets/d/1AVX9GT0dgogEBStecCXMMQ29tWz3gBrtNB8yIromXbY/edit?gid=741673867"", ""out1g!A:B""), 2, FALSE), 0)"),111.0)</f>
        <v>111</v>
      </c>
      <c r="D6679" s="2" t="str">
        <f>IFERROR(__xludf.DUMMYFUNCTION("IFERROR(VLOOKUP(A6679, IMPORTRANGE(""https://docs.google.com/spreadsheets/d/1-3Vjw2Cyy-mry5gbC8ypIR3YVGFfEpyFESummAta6sg/edit"", ""Sheet1!B:D""), 2, FALSE), ""Not Found"")"),"loʊnd")</f>
        <v>loʊnd</v>
      </c>
      <c r="E6679" s="2" t="str">
        <f>IFERROR(__xludf.DUMMYFUNCTION("IFERROR(VLOOKUP(A6679, IMPORTRANGE(""https://docs.google.com/spreadsheets/d/1-3Vjw2Cyy-mry5gbC8ypIR3YVGFfEpyFESummAta6sg/edit"", ""Sheet1!B:D""), 3, FALSE), ""Not Found"")"),"l o ʊ n d ")</f>
        <v>l o ʊ n d </v>
      </c>
    </row>
    <row r="6680">
      <c r="A6680" s="1" t="s">
        <v>6682</v>
      </c>
      <c r="B6680" s="1" t="s">
        <v>5</v>
      </c>
      <c r="C6680" s="2">
        <f>IFERROR(__xludf.DUMMYFUNCTION("IFERROR(VLOOKUP(A6680, IMPORTRANGE(""https://docs.google.com/spreadsheets/d/1AVX9GT0dgogEBStecCXMMQ29tWz3gBrtNB8yIromXbY/edit?gid=741673867"", ""out1g!A:B""), 2, FALSE), 0)"),127.0)</f>
        <v>127</v>
      </c>
      <c r="D6680" s="2" t="str">
        <f>IFERROR(__xludf.DUMMYFUNCTION("IFERROR(VLOOKUP(A6680, IMPORTRANGE(""https://docs.google.com/spreadsheets/d/1-3Vjw2Cyy-mry5gbC8ypIR3YVGFfEpyFESummAta6sg/edit"", ""Sheet1!B:D""), 2, FALSE), ""Not Found"")"),"waɪdər")</f>
        <v>waɪdər</v>
      </c>
      <c r="E6680" s="2" t="str">
        <f>IFERROR(__xludf.DUMMYFUNCTION("IFERROR(VLOOKUP(A6680, IMPORTRANGE(""https://docs.google.com/spreadsheets/d/1-3Vjw2Cyy-mry5gbC8ypIR3YVGFfEpyFESummAta6sg/edit"", ""Sheet1!B:D""), 3, FALSE), ""Not Found"")"),"w a ɪ d ə r ")</f>
        <v>w a ɪ d ə r </v>
      </c>
    </row>
    <row r="6681">
      <c r="A6681" s="1" t="s">
        <v>6683</v>
      </c>
      <c r="B6681" s="1" t="s">
        <v>5</v>
      </c>
      <c r="C6681" s="2">
        <f>IFERROR(__xludf.DUMMYFUNCTION("IFERROR(VLOOKUP(A6681, IMPORTRANGE(""https://docs.google.com/spreadsheets/d/1AVX9GT0dgogEBStecCXMMQ29tWz3gBrtNB8yIromXbY/edit?gid=741673867"", ""out1g!A:B""), 2, FALSE), 0)"),420.0)</f>
        <v>420</v>
      </c>
      <c r="D6681" s="2" t="str">
        <f>IFERROR(__xludf.DUMMYFUNCTION("IFERROR(VLOOKUP(A6681, IMPORTRANGE(""https://docs.google.com/spreadsheets/d/1-3Vjw2Cyy-mry5gbC8ypIR3YVGFfEpyFESummAta6sg/edit"", ""Sheet1!B:D""), 2, FALSE), ""Not Found"")"),"ləŋ")</f>
        <v>ləŋ</v>
      </c>
      <c r="E6681" s="2" t="str">
        <f>IFERROR(__xludf.DUMMYFUNCTION("IFERROR(VLOOKUP(A6681, IMPORTRANGE(""https://docs.google.com/spreadsheets/d/1-3Vjw2Cyy-mry5gbC8ypIR3YVGFfEpyFESummAta6sg/edit"", ""Sheet1!B:D""), 3, FALSE), ""Not Found"")"),"l ə ŋ ")</f>
        <v>l ə ŋ </v>
      </c>
    </row>
    <row r="6682">
      <c r="A6682" s="1" t="s">
        <v>6684</v>
      </c>
      <c r="B6682" s="1" t="s">
        <v>5</v>
      </c>
      <c r="C6682" s="2">
        <f>IFERROR(__xludf.DUMMYFUNCTION("IFERROR(VLOOKUP(A6682, IMPORTRANGE(""https://docs.google.com/spreadsheets/d/1AVX9GT0dgogEBStecCXMMQ29tWz3gBrtNB8yIromXbY/edit?gid=741673867"", ""out1g!A:B""), 2, FALSE), 0)"),90.0)</f>
        <v>90</v>
      </c>
      <c r="D6682" s="2" t="str">
        <f>IFERROR(__xludf.DUMMYFUNCTION("IFERROR(VLOOKUP(A6682, IMPORTRANGE(""https://docs.google.com/spreadsheets/d/1-3Vjw2Cyy-mry5gbC8ypIR3YVGFfEpyFESummAta6sg/edit"", ""Sheet1!B:D""), 2, FALSE), ""Not Found"")"),"taɪpt")</f>
        <v>taɪpt</v>
      </c>
      <c r="E6682" s="2" t="str">
        <f>IFERROR(__xludf.DUMMYFUNCTION("IFERROR(VLOOKUP(A6682, IMPORTRANGE(""https://docs.google.com/spreadsheets/d/1-3Vjw2Cyy-mry5gbC8ypIR3YVGFfEpyFESummAta6sg/edit"", ""Sheet1!B:D""), 3, FALSE), ""Not Found"")"),"t a ɪ p t ")</f>
        <v>t a ɪ p t </v>
      </c>
    </row>
    <row r="6683">
      <c r="A6683" s="1" t="s">
        <v>6685</v>
      </c>
      <c r="B6683" s="1" t="s">
        <v>5</v>
      </c>
      <c r="C6683" s="2">
        <f>IFERROR(__xludf.DUMMYFUNCTION("IFERROR(VLOOKUP(A6683, IMPORTRANGE(""https://docs.google.com/spreadsheets/d/1AVX9GT0dgogEBStecCXMMQ29tWz3gBrtNB8yIromXbY/edit?gid=741673867"", ""out1g!A:B""), 2, FALSE), 0)"),895.0)</f>
        <v>895</v>
      </c>
      <c r="D6683" s="2" t="str">
        <f>IFERROR(__xludf.DUMMYFUNCTION("IFERROR(VLOOKUP(A6683, IMPORTRANGE(""https://docs.google.com/spreadsheets/d/1-3Vjw2Cyy-mry5gbC8ypIR3YVGFfEpyFESummAta6sg/edit"", ""Sheet1!B:D""), 2, FALSE), ""Not Found"")"),"dɔrθi")</f>
        <v>dɔrθi</v>
      </c>
      <c r="E6683" s="2" t="str">
        <f>IFERROR(__xludf.DUMMYFUNCTION("IFERROR(VLOOKUP(A6683, IMPORTRANGE(""https://docs.google.com/spreadsheets/d/1-3Vjw2Cyy-mry5gbC8ypIR3YVGFfEpyFESummAta6sg/edit"", ""Sheet1!B:D""), 3, FALSE), ""Not Found"")"),"d ɔ r θ i ")</f>
        <v>d ɔ r θ i </v>
      </c>
    </row>
    <row r="6684">
      <c r="A6684" s="1" t="s">
        <v>6686</v>
      </c>
      <c r="B6684" s="1" t="s">
        <v>5</v>
      </c>
      <c r="C6684" s="2">
        <f>IFERROR(__xludf.DUMMYFUNCTION("IFERROR(VLOOKUP(A6684, IMPORTRANGE(""https://docs.google.com/spreadsheets/d/1AVX9GT0dgogEBStecCXMMQ29tWz3gBrtNB8yIromXbY/edit?gid=741673867"", ""out1g!A:B""), 2, FALSE), 0)"),21.0)</f>
        <v>21</v>
      </c>
      <c r="D6684" s="2" t="str">
        <f>IFERROR(__xludf.DUMMYFUNCTION("IFERROR(VLOOKUP(A6684, IMPORTRANGE(""https://docs.google.com/spreadsheets/d/1-3Vjw2Cyy-mry5gbC8ypIR3YVGFfEpyFESummAta6sg/edit"", ""Sheet1!B:D""), 2, FALSE), ""Not Found"")"),"ɔrbz")</f>
        <v>ɔrbz</v>
      </c>
      <c r="E6684" s="2" t="str">
        <f>IFERROR(__xludf.DUMMYFUNCTION("IFERROR(VLOOKUP(A6684, IMPORTRANGE(""https://docs.google.com/spreadsheets/d/1-3Vjw2Cyy-mry5gbC8ypIR3YVGFfEpyFESummAta6sg/edit"", ""Sheet1!B:D""), 3, FALSE), ""Not Found"")"),"ɔ r b z ")</f>
        <v>ɔ r b z </v>
      </c>
    </row>
    <row r="6685">
      <c r="A6685" s="1" t="s">
        <v>6687</v>
      </c>
      <c r="B6685" s="1" t="s">
        <v>5</v>
      </c>
      <c r="C6685" s="2">
        <f>IFERROR(__xludf.DUMMYFUNCTION("IFERROR(VLOOKUP(A6685, IMPORTRANGE(""https://docs.google.com/spreadsheets/d/1AVX9GT0dgogEBStecCXMMQ29tWz3gBrtNB8yIromXbY/edit?gid=741673867"", ""out1g!A:B""), 2, FALSE), 0)"),279.0)</f>
        <v>279</v>
      </c>
      <c r="D6685" s="2" t="str">
        <f>IFERROR(__xludf.DUMMYFUNCTION("IFERROR(VLOOKUP(A6685, IMPORTRANGE(""https://docs.google.com/spreadsheets/d/1-3Vjw2Cyy-mry5gbC8ypIR3YVGFfEpyFESummAta6sg/edit"", ""Sheet1!B:D""), 2, FALSE), ""Not Found"")"),"əlaʊz")</f>
        <v>əlaʊz</v>
      </c>
      <c r="E6685" s="2" t="str">
        <f>IFERROR(__xludf.DUMMYFUNCTION("IFERROR(VLOOKUP(A6685, IMPORTRANGE(""https://docs.google.com/spreadsheets/d/1-3Vjw2Cyy-mry5gbC8ypIR3YVGFfEpyFESummAta6sg/edit"", ""Sheet1!B:D""), 3, FALSE), ""Not Found"")"),"ə l a ʊ z ")</f>
        <v>ə l a ʊ z </v>
      </c>
    </row>
    <row r="6686">
      <c r="A6686" s="1" t="s">
        <v>6688</v>
      </c>
      <c r="B6686" s="1" t="s">
        <v>5</v>
      </c>
      <c r="C6686" s="2">
        <f>IFERROR(__xludf.DUMMYFUNCTION("IFERROR(VLOOKUP(A6686, IMPORTRANGE(""https://docs.google.com/spreadsheets/d/1AVX9GT0dgogEBStecCXMMQ29tWz3gBrtNB8yIromXbY/edit?gid=741673867"", ""out1g!A:B""), 2, FALSE), 0)"),96.0)</f>
        <v>96</v>
      </c>
      <c r="D6686" s="2" t="str">
        <f>IFERROR(__xludf.DUMMYFUNCTION("IFERROR(VLOOKUP(A6686, IMPORTRANGE(""https://docs.google.com/spreadsheets/d/1-3Vjw2Cyy-mry5gbC8ypIR3YVGFfEpyFESummAta6sg/edit"", ""Sheet1!B:D""), 2, FALSE), ""Not Found"")"),"kɛm")</f>
        <v>kɛm</v>
      </c>
      <c r="E6686" s="2" t="str">
        <f>IFERROR(__xludf.DUMMYFUNCTION("IFERROR(VLOOKUP(A6686, IMPORTRANGE(""https://docs.google.com/spreadsheets/d/1-3Vjw2Cyy-mry5gbC8ypIR3YVGFfEpyFESummAta6sg/edit"", ""Sheet1!B:D""), 3, FALSE), ""Not Found"")"),"k ɛ m ")</f>
        <v>k ɛ m </v>
      </c>
    </row>
    <row r="6687">
      <c r="A6687" s="1" t="s">
        <v>6689</v>
      </c>
      <c r="B6687" s="1" t="s">
        <v>5</v>
      </c>
      <c r="C6687" s="2">
        <f>IFERROR(__xludf.DUMMYFUNCTION("IFERROR(VLOOKUP(A6687, IMPORTRANGE(""https://docs.google.com/spreadsheets/d/1AVX9GT0dgogEBStecCXMMQ29tWz3gBrtNB8yIromXbY/edit?gid=741673867"", ""out1g!A:B""), 2, FALSE), 0)"),291.0)</f>
        <v>291</v>
      </c>
      <c r="D6687" s="2" t="str">
        <f>IFERROR(__xludf.DUMMYFUNCTION("IFERROR(VLOOKUP(A6687, IMPORTRANGE(""https://docs.google.com/spreadsheets/d/1-3Vjw2Cyy-mry5gbC8ypIR3YVGFfEpyFESummAta6sg/edit"", ""Sheet1!B:D""), 2, FALSE), ""Not Found"")"),"keks")</f>
        <v>keks</v>
      </c>
      <c r="E6687" s="2" t="str">
        <f>IFERROR(__xludf.DUMMYFUNCTION("IFERROR(VLOOKUP(A6687, IMPORTRANGE(""https://docs.google.com/spreadsheets/d/1-3Vjw2Cyy-mry5gbC8ypIR3YVGFfEpyFESummAta6sg/edit"", ""Sheet1!B:D""), 3, FALSE), ""Not Found"")"),"k e k s ")</f>
        <v>k e k s </v>
      </c>
    </row>
    <row r="6688">
      <c r="A6688" s="1" t="s">
        <v>6690</v>
      </c>
      <c r="B6688" s="1" t="s">
        <v>5</v>
      </c>
      <c r="C6688" s="2">
        <f>IFERROR(__xludf.DUMMYFUNCTION("IFERROR(VLOOKUP(A6688, IMPORTRANGE(""https://docs.google.com/spreadsheets/d/1AVX9GT0dgogEBStecCXMMQ29tWz3gBrtNB8yIromXbY/edit?gid=741673867"", ""out1g!A:B""), 2, FALSE), 0)"),4255.0)</f>
        <v>4255</v>
      </c>
      <c r="D6688" s="2" t="str">
        <f>IFERROR(__xludf.DUMMYFUNCTION("IFERROR(VLOOKUP(A6688, IMPORTRANGE(""https://docs.google.com/spreadsheets/d/1-3Vjw2Cyy-mry5gbC8ypIR3YVGFfEpyFESummAta6sg/edit"", ""Sheet1!B:D""), 2, FALSE), ""Not Found"")"),"ʤɔɪn")</f>
        <v>ʤɔɪn</v>
      </c>
      <c r="E6688" s="2" t="str">
        <f>IFERROR(__xludf.DUMMYFUNCTION("IFERROR(VLOOKUP(A6688, IMPORTRANGE(""https://docs.google.com/spreadsheets/d/1-3Vjw2Cyy-mry5gbC8ypIR3YVGFfEpyFESummAta6sg/edit"", ""Sheet1!B:D""), 3, FALSE), ""Not Found"")"),"ʤ ɔ ɪ n ")</f>
        <v>ʤ ɔ ɪ n </v>
      </c>
    </row>
    <row r="6689">
      <c r="A6689" s="1" t="s">
        <v>6691</v>
      </c>
      <c r="B6689" s="1" t="s">
        <v>5</v>
      </c>
      <c r="C6689" s="2">
        <f>IFERROR(__xludf.DUMMYFUNCTION("IFERROR(VLOOKUP(A6689, IMPORTRANGE(""https://docs.google.com/spreadsheets/d/1AVX9GT0dgogEBStecCXMMQ29tWz3gBrtNB8yIromXbY/edit?gid=741673867"", ""out1g!A:B""), 2, FALSE), 0)"),2429.0)</f>
        <v>2429</v>
      </c>
      <c r="D6689" s="2" t="str">
        <f>IFERROR(__xludf.DUMMYFUNCTION("IFERROR(VLOOKUP(A6689, IMPORTRANGE(""https://docs.google.com/spreadsheets/d/1-3Vjw2Cyy-mry5gbC8ypIR3YVGFfEpyFESummAta6sg/edit"", ""Sheet1!B:D""), 2, FALSE), ""Not Found"")"),"koʊʧ")</f>
        <v>koʊʧ</v>
      </c>
      <c r="E6689" s="2" t="str">
        <f>IFERROR(__xludf.DUMMYFUNCTION("IFERROR(VLOOKUP(A6689, IMPORTRANGE(""https://docs.google.com/spreadsheets/d/1-3Vjw2Cyy-mry5gbC8ypIR3YVGFfEpyFESummAta6sg/edit"", ""Sheet1!B:D""), 3, FALSE), ""Not Found"")"),"k o ʊ ʧ ")</f>
        <v>k o ʊ ʧ </v>
      </c>
    </row>
    <row r="6690">
      <c r="A6690" s="1" t="s">
        <v>6692</v>
      </c>
      <c r="B6690" s="1" t="s">
        <v>5</v>
      </c>
      <c r="C6690" s="2">
        <f>IFERROR(__xludf.DUMMYFUNCTION("IFERROR(VLOOKUP(A6690, IMPORTRANGE(""https://docs.google.com/spreadsheets/d/1AVX9GT0dgogEBStecCXMMQ29tWz3gBrtNB8yIromXbY/edit?gid=741673867"", ""out1g!A:B""), 2, FALSE), 0)"),2080.0)</f>
        <v>2080</v>
      </c>
      <c r="D6690" s="2" t="str">
        <f>IFERROR(__xludf.DUMMYFUNCTION("IFERROR(VLOOKUP(A6690, IMPORTRANGE(""https://docs.google.com/spreadsheets/d/1-3Vjw2Cyy-mry5gbC8ypIR3YVGFfEpyFESummAta6sg/edit"", ""Sheet1!B:D""), 2, FALSE), ""Not Found"")"),"ɛrɪk")</f>
        <v>ɛrɪk</v>
      </c>
      <c r="E6690" s="2" t="str">
        <f>IFERROR(__xludf.DUMMYFUNCTION("IFERROR(VLOOKUP(A6690, IMPORTRANGE(""https://docs.google.com/spreadsheets/d/1-3Vjw2Cyy-mry5gbC8ypIR3YVGFfEpyFESummAta6sg/edit"", ""Sheet1!B:D""), 3, FALSE), ""Not Found"")"),"ɛ r ɪ k ")</f>
        <v>ɛ r ɪ k </v>
      </c>
    </row>
    <row r="6691">
      <c r="A6691" s="1" t="s">
        <v>6693</v>
      </c>
      <c r="B6691" s="1" t="s">
        <v>5</v>
      </c>
      <c r="C6691" s="2">
        <f>IFERROR(__xludf.DUMMYFUNCTION("IFERROR(VLOOKUP(A6691, IMPORTRANGE(""https://docs.google.com/spreadsheets/d/1AVX9GT0dgogEBStecCXMMQ29tWz3gBrtNB8yIromXbY/edit?gid=741673867"", ""out1g!A:B""), 2, FALSE), 0)"),933.0)</f>
        <v>933</v>
      </c>
      <c r="D6691" s="2" t="str">
        <f>IFERROR(__xludf.DUMMYFUNCTION("IFERROR(VLOOKUP(A6691, IMPORTRANGE(""https://docs.google.com/spreadsheets/d/1-3Vjw2Cyy-mry5gbC8ypIR3YVGFfEpyFESummAta6sg/edit"", ""Sheet1!B:D""), 2, FALSE), ""Not Found"")"),"ɛleɛs")</f>
        <v>ɛleɛs</v>
      </c>
      <c r="E6691" s="2" t="str">
        <f>IFERROR(__xludf.DUMMYFUNCTION("IFERROR(VLOOKUP(A6691, IMPORTRANGE(""https://docs.google.com/spreadsheets/d/1-3Vjw2Cyy-mry5gbC8ypIR3YVGFfEpyFESummAta6sg/edit"", ""Sheet1!B:D""), 3, FALSE), ""Not Found"")"),"ɛ l e ɛ s ")</f>
        <v>ɛ l e ɛ s </v>
      </c>
    </row>
    <row r="6692">
      <c r="A6692" s="1" t="s">
        <v>6694</v>
      </c>
      <c r="B6692" s="1" t="s">
        <v>5</v>
      </c>
      <c r="C6692" s="2">
        <f>IFERROR(__xludf.DUMMYFUNCTION("IFERROR(VLOOKUP(A6692, IMPORTRANGE(""https://docs.google.com/spreadsheets/d/1AVX9GT0dgogEBStecCXMMQ29tWz3gBrtNB8yIromXbY/edit?gid=741673867"", ""out1g!A:B""), 2, FALSE), 0)"),607.0)</f>
        <v>607</v>
      </c>
      <c r="D6692" s="2" t="str">
        <f>IFERROR(__xludf.DUMMYFUNCTION("IFERROR(VLOOKUP(A6692, IMPORTRANGE(""https://docs.google.com/spreadsheets/d/1-3Vjw2Cyy-mry5gbC8ypIR3YVGFfEpyFESummAta6sg/edit"", ""Sheet1!B:D""), 2, FALSE), ""Not Found"")"),"rubi")</f>
        <v>rubi</v>
      </c>
      <c r="E6692" s="2" t="str">
        <f>IFERROR(__xludf.DUMMYFUNCTION("IFERROR(VLOOKUP(A6692, IMPORTRANGE(""https://docs.google.com/spreadsheets/d/1-3Vjw2Cyy-mry5gbC8ypIR3YVGFfEpyFESummAta6sg/edit"", ""Sheet1!B:D""), 3, FALSE), ""Not Found"")"),"r u b i ")</f>
        <v>r u b i </v>
      </c>
    </row>
    <row r="6693">
      <c r="A6693" s="1" t="s">
        <v>6695</v>
      </c>
      <c r="B6693" s="1" t="s">
        <v>5</v>
      </c>
      <c r="C6693" s="2">
        <f>IFERROR(__xludf.DUMMYFUNCTION("IFERROR(VLOOKUP(A6693, IMPORTRANGE(""https://docs.google.com/spreadsheets/d/1AVX9GT0dgogEBStecCXMMQ29tWz3gBrtNB8yIromXbY/edit?gid=741673867"", ""out1g!A:B""), 2, FALSE), 0)"),132.0)</f>
        <v>132</v>
      </c>
      <c r="D6693" s="2" t="str">
        <f>IFERROR(__xludf.DUMMYFUNCTION("IFERROR(VLOOKUP(A6693, IMPORTRANGE(""https://docs.google.com/spreadsheets/d/1-3Vjw2Cyy-mry5gbC8ypIR3YVGFfEpyFESummAta6sg/edit"", ""Sheet1!B:D""), 2, FALSE), ""Not Found"")"),"ləg")</f>
        <v>ləg</v>
      </c>
      <c r="E6693" s="2" t="str">
        <f>IFERROR(__xludf.DUMMYFUNCTION("IFERROR(VLOOKUP(A6693, IMPORTRANGE(""https://docs.google.com/spreadsheets/d/1-3Vjw2Cyy-mry5gbC8ypIR3YVGFfEpyFESummAta6sg/edit"", ""Sheet1!B:D""), 3, FALSE), ""Not Found"")"),"l ə g ")</f>
        <v>l ə g </v>
      </c>
    </row>
    <row r="6694">
      <c r="A6694" s="1" t="s">
        <v>6696</v>
      </c>
      <c r="B6694" s="1" t="s">
        <v>5</v>
      </c>
      <c r="C6694" s="2">
        <f>IFERROR(__xludf.DUMMYFUNCTION("IFERROR(VLOOKUP(A6694, IMPORTRANGE(""https://docs.google.com/spreadsheets/d/1AVX9GT0dgogEBStecCXMMQ29tWz3gBrtNB8yIromXbY/edit?gid=741673867"", ""out1g!A:B""), 2, FALSE), 0)"),74.0)</f>
        <v>74</v>
      </c>
      <c r="D6694" s="2" t="str">
        <f>IFERROR(__xludf.DUMMYFUNCTION("IFERROR(VLOOKUP(A6694, IMPORTRANGE(""https://docs.google.com/spreadsheets/d/1-3Vjw2Cyy-mry5gbC8ypIR3YVGFfEpyFESummAta6sg/edit"", ""Sheet1!B:D""), 2, FALSE), ""Not Found"")"),"fɑli")</f>
        <v>fɑli</v>
      </c>
      <c r="E6694" s="2" t="str">
        <f>IFERROR(__xludf.DUMMYFUNCTION("IFERROR(VLOOKUP(A6694, IMPORTRANGE(""https://docs.google.com/spreadsheets/d/1-3Vjw2Cyy-mry5gbC8ypIR3YVGFfEpyFESummAta6sg/edit"", ""Sheet1!B:D""), 3, FALSE), ""Not Found"")"),"f ɑ l i ")</f>
        <v>f ɑ l i </v>
      </c>
    </row>
    <row r="6695">
      <c r="A6695" s="1" t="s">
        <v>6697</v>
      </c>
      <c r="B6695" s="1" t="s">
        <v>5</v>
      </c>
      <c r="C6695" s="2">
        <f>IFERROR(__xludf.DUMMYFUNCTION("IFERROR(VLOOKUP(A6695, IMPORTRANGE(""https://docs.google.com/spreadsheets/d/1AVX9GT0dgogEBStecCXMMQ29tWz3gBrtNB8yIromXbY/edit?gid=741673867"", ""out1g!A:B""), 2, FALSE), 0)"),349.0)</f>
        <v>349</v>
      </c>
      <c r="D6695" s="2" t="str">
        <f>IFERROR(__xludf.DUMMYFUNCTION("IFERROR(VLOOKUP(A6695, IMPORTRANGE(""https://docs.google.com/spreadsheets/d/1-3Vjw2Cyy-mry5gbC8ypIR3YVGFfEpyFESummAta6sg/edit"", ""Sheet1!B:D""), 2, FALSE), ""Not Found"")"),"ɑtoʊ")</f>
        <v>ɑtoʊ</v>
      </c>
      <c r="E6695" s="2" t="str">
        <f>IFERROR(__xludf.DUMMYFUNCTION("IFERROR(VLOOKUP(A6695, IMPORTRANGE(""https://docs.google.com/spreadsheets/d/1-3Vjw2Cyy-mry5gbC8ypIR3YVGFfEpyFESummAta6sg/edit"", ""Sheet1!B:D""), 3, FALSE), ""Not Found"")"),"ɑ t o ʊ ")</f>
        <v>ɑ t o ʊ </v>
      </c>
    </row>
    <row r="6696">
      <c r="A6696" s="1" t="s">
        <v>6698</v>
      </c>
      <c r="B6696" s="1" t="s">
        <v>5</v>
      </c>
      <c r="C6696" s="2">
        <f>IFERROR(__xludf.DUMMYFUNCTION("IFERROR(VLOOKUP(A6696, IMPORTRANGE(""https://docs.google.com/spreadsheets/d/1AVX9GT0dgogEBStecCXMMQ29tWz3gBrtNB8yIromXbY/edit?gid=741673867"", ""out1g!A:B""), 2, FALSE), 0)"),48.0)</f>
        <v>48</v>
      </c>
      <c r="D6696" s="2" t="str">
        <f>IFERROR(__xludf.DUMMYFUNCTION("IFERROR(VLOOKUP(A6696, IMPORTRANGE(""https://docs.google.com/spreadsheets/d/1-3Vjw2Cyy-mry5gbC8ypIR3YVGFfEpyFESummAta6sg/edit"", ""Sheet1!B:D""), 2, FALSE), ""Not Found"")"),"bəzd")</f>
        <v>bəzd</v>
      </c>
      <c r="E6696" s="2" t="str">
        <f>IFERROR(__xludf.DUMMYFUNCTION("IFERROR(VLOOKUP(A6696, IMPORTRANGE(""https://docs.google.com/spreadsheets/d/1-3Vjw2Cyy-mry5gbC8ypIR3YVGFfEpyFESummAta6sg/edit"", ""Sheet1!B:D""), 3, FALSE), ""Not Found"")"),"b ə z d ")</f>
        <v>b ə z d </v>
      </c>
    </row>
    <row r="6697">
      <c r="A6697" s="1" t="s">
        <v>6699</v>
      </c>
      <c r="B6697" s="1" t="s">
        <v>5</v>
      </c>
      <c r="C6697" s="2">
        <f>IFERROR(__xludf.DUMMYFUNCTION("IFERROR(VLOOKUP(A6697, IMPORTRANGE(""https://docs.google.com/spreadsheets/d/1AVX9GT0dgogEBStecCXMMQ29tWz3gBrtNB8yIromXbY/edit?gid=741673867"", ""out1g!A:B""), 2, FALSE), 0)"),523.0)</f>
        <v>523</v>
      </c>
      <c r="D6697" s="2" t="str">
        <f>IFERROR(__xludf.DUMMYFUNCTION("IFERROR(VLOOKUP(A6697, IMPORTRANGE(""https://docs.google.com/spreadsheets/d/1-3Vjw2Cyy-mry5gbC8ypIR3YVGFfEpyFESummAta6sg/edit"", ""Sheet1!B:D""), 2, FALSE), ""Not Found"")"),"stɪf")</f>
        <v>stɪf</v>
      </c>
      <c r="E6697" s="2" t="str">
        <f>IFERROR(__xludf.DUMMYFUNCTION("IFERROR(VLOOKUP(A6697, IMPORTRANGE(""https://docs.google.com/spreadsheets/d/1-3Vjw2Cyy-mry5gbC8ypIR3YVGFfEpyFESummAta6sg/edit"", ""Sheet1!B:D""), 3, FALSE), ""Not Found"")"),"s t ɪ f ")</f>
        <v>s t ɪ f </v>
      </c>
    </row>
    <row r="6698">
      <c r="A6698" s="1" t="s">
        <v>6700</v>
      </c>
      <c r="B6698" s="1" t="s">
        <v>5</v>
      </c>
      <c r="C6698" s="2">
        <f>IFERROR(__xludf.DUMMYFUNCTION("IFERROR(VLOOKUP(A6698, IMPORTRANGE(""https://docs.google.com/spreadsheets/d/1AVX9GT0dgogEBStecCXMMQ29tWz3gBrtNB8yIromXbY/edit?gid=741673867"", ""out1g!A:B""), 2, FALSE), 0)"),1722.0)</f>
        <v>1722</v>
      </c>
      <c r="D6698" s="2" t="str">
        <f>IFERROR(__xludf.DUMMYFUNCTION("IFERROR(VLOOKUP(A6698, IMPORTRANGE(""https://docs.google.com/spreadsheets/d/1-3Vjw2Cyy-mry5gbC8ypIR3YVGFfEpyFESummAta6sg/edit"", ""Sheet1!B:D""), 2, FALSE), ""Not Found"")"),"kaʊnti")</f>
        <v>kaʊnti</v>
      </c>
      <c r="E6698" s="2" t="str">
        <f>IFERROR(__xludf.DUMMYFUNCTION("IFERROR(VLOOKUP(A6698, IMPORTRANGE(""https://docs.google.com/spreadsheets/d/1-3Vjw2Cyy-mry5gbC8ypIR3YVGFfEpyFESummAta6sg/edit"", ""Sheet1!B:D""), 3, FALSE), ""Not Found"")"),"k a ʊ n t i ")</f>
        <v>k a ʊ n t i </v>
      </c>
    </row>
    <row r="6699">
      <c r="A6699" s="1" t="s">
        <v>6701</v>
      </c>
      <c r="B6699" s="1" t="s">
        <v>5</v>
      </c>
      <c r="C6699" s="2">
        <f>IFERROR(__xludf.DUMMYFUNCTION("IFERROR(VLOOKUP(A6699, IMPORTRANGE(""https://docs.google.com/spreadsheets/d/1AVX9GT0dgogEBStecCXMMQ29tWz3gBrtNB8yIromXbY/edit?gid=741673867"", ""out1g!A:B""), 2, FALSE), 0)"),1611.0)</f>
        <v>1611</v>
      </c>
      <c r="D6699" s="2" t="str">
        <f>IFERROR(__xludf.DUMMYFUNCTION("IFERROR(VLOOKUP(A6699, IMPORTRANGE(""https://docs.google.com/spreadsheets/d/1-3Vjw2Cyy-mry5gbC8ypIR3YVGFfEpyFESummAta6sg/edit"", ""Sheet1!B:D""), 2, FALSE), ""Not Found"")"),"strits")</f>
        <v>strits</v>
      </c>
      <c r="E6699" s="2" t="str">
        <f>IFERROR(__xludf.DUMMYFUNCTION("IFERROR(VLOOKUP(A6699, IMPORTRANGE(""https://docs.google.com/spreadsheets/d/1-3Vjw2Cyy-mry5gbC8ypIR3YVGFfEpyFESummAta6sg/edit"", ""Sheet1!B:D""), 3, FALSE), ""Not Found"")"),"s t r i t s ")</f>
        <v>s t r i t s </v>
      </c>
    </row>
    <row r="6700">
      <c r="A6700" s="1" t="s">
        <v>6702</v>
      </c>
      <c r="B6700" s="1" t="s">
        <v>5</v>
      </c>
      <c r="C6700" s="2">
        <f>IFERROR(__xludf.DUMMYFUNCTION("IFERROR(VLOOKUP(A6700, IMPORTRANGE(""https://docs.google.com/spreadsheets/d/1AVX9GT0dgogEBStecCXMMQ29tWz3gBrtNB8yIromXbY/edit?gid=741673867"", ""out1g!A:B""), 2, FALSE), 0)"),112.0)</f>
        <v>112</v>
      </c>
      <c r="D6700" s="2" t="str">
        <f>IFERROR(__xludf.DUMMYFUNCTION("IFERROR(VLOOKUP(A6700, IMPORTRANGE(""https://docs.google.com/spreadsheets/d/1-3Vjw2Cyy-mry5gbC8ypIR3YVGFfEpyFESummAta6sg/edit"", ""Sheet1!B:D""), 2, FALSE), ""Not Found"")"),"ʃəred")</f>
        <v>ʃəred</v>
      </c>
      <c r="E6700" s="2" t="str">
        <f>IFERROR(__xludf.DUMMYFUNCTION("IFERROR(VLOOKUP(A6700, IMPORTRANGE(""https://docs.google.com/spreadsheets/d/1-3Vjw2Cyy-mry5gbC8ypIR3YVGFfEpyFESummAta6sg/edit"", ""Sheet1!B:D""), 3, FALSE), ""Not Found"")"),"ʃ ə r e d ")</f>
        <v>ʃ ə r e d </v>
      </c>
    </row>
    <row r="6701">
      <c r="A6701" s="1" t="s">
        <v>6703</v>
      </c>
      <c r="B6701" s="1" t="s">
        <v>5</v>
      </c>
      <c r="C6701" s="2">
        <f>IFERROR(__xludf.DUMMYFUNCTION("IFERROR(VLOOKUP(A6701, IMPORTRANGE(""https://docs.google.com/spreadsheets/d/1AVX9GT0dgogEBStecCXMMQ29tWz3gBrtNB8yIromXbY/edit?gid=741673867"", ""out1g!A:B""), 2, FALSE), 0)"),110.0)</f>
        <v>110</v>
      </c>
      <c r="D6701" s="2" t="str">
        <f>IFERROR(__xludf.DUMMYFUNCTION("IFERROR(VLOOKUP(A6701, IMPORTRANGE(""https://docs.google.com/spreadsheets/d/1-3Vjw2Cyy-mry5gbC8ypIR3YVGFfEpyFESummAta6sg/edit"", ""Sheet1!B:D""), 2, FALSE), ""Not Found"")"),"belɪf")</f>
        <v>belɪf</v>
      </c>
      <c r="E6701" s="2" t="str">
        <f>IFERROR(__xludf.DUMMYFUNCTION("IFERROR(VLOOKUP(A6701, IMPORTRANGE(""https://docs.google.com/spreadsheets/d/1-3Vjw2Cyy-mry5gbC8ypIR3YVGFfEpyFESummAta6sg/edit"", ""Sheet1!B:D""), 3, FALSE), ""Not Found"")"),"b e l ɪ f ")</f>
        <v>b e l ɪ f </v>
      </c>
    </row>
    <row r="6702">
      <c r="A6702" s="1" t="s">
        <v>6704</v>
      </c>
      <c r="B6702" s="1" t="s">
        <v>5</v>
      </c>
      <c r="C6702" s="2">
        <f>IFERROR(__xludf.DUMMYFUNCTION("IFERROR(VLOOKUP(A6702, IMPORTRANGE(""https://docs.google.com/spreadsheets/d/1AVX9GT0dgogEBStecCXMMQ29tWz3gBrtNB8yIromXbY/edit?gid=741673867"", ""out1g!A:B""), 2, FALSE), 0)"),54.0)</f>
        <v>54</v>
      </c>
      <c r="D6702" s="2" t="str">
        <f>IFERROR(__xludf.DUMMYFUNCTION("IFERROR(VLOOKUP(A6702, IMPORTRANGE(""https://docs.google.com/spreadsheets/d/1-3Vjw2Cyy-mry5gbC8ypIR3YVGFfEpyFESummAta6sg/edit"", ""Sheet1!B:D""), 2, FALSE), ""Not Found"")"),"edz")</f>
        <v>edz</v>
      </c>
      <c r="E6702" s="2" t="str">
        <f>IFERROR(__xludf.DUMMYFUNCTION("IFERROR(VLOOKUP(A6702, IMPORTRANGE(""https://docs.google.com/spreadsheets/d/1-3Vjw2Cyy-mry5gbC8ypIR3YVGFfEpyFESummAta6sg/edit"", ""Sheet1!B:D""), 3, FALSE), ""Not Found"")"),"e d z ")</f>
        <v>e d z </v>
      </c>
    </row>
    <row r="6703">
      <c r="A6703" s="1" t="s">
        <v>6705</v>
      </c>
      <c r="B6703" s="1" t="s">
        <v>5</v>
      </c>
      <c r="C6703" s="2">
        <f>IFERROR(__xludf.DUMMYFUNCTION("IFERROR(VLOOKUP(A6703, IMPORTRANGE(""https://docs.google.com/spreadsheets/d/1AVX9GT0dgogEBStecCXMMQ29tWz3gBrtNB8yIromXbY/edit?gid=741673867"", ""out1g!A:B""), 2, FALSE), 0)"),196.0)</f>
        <v>196</v>
      </c>
      <c r="D6703" s="2" t="str">
        <f>IFERROR(__xludf.DUMMYFUNCTION("IFERROR(VLOOKUP(A6703, IMPORTRANGE(""https://docs.google.com/spreadsheets/d/1-3Vjw2Cyy-mry5gbC8ypIR3YVGFfEpyFESummAta6sg/edit"", ""Sheet1!B:D""), 2, FALSE), ""Not Found"")"),"fret")</f>
        <v>fret</v>
      </c>
      <c r="E6703" s="2" t="str">
        <f>IFERROR(__xludf.DUMMYFUNCTION("IFERROR(VLOOKUP(A6703, IMPORTRANGE(""https://docs.google.com/spreadsheets/d/1-3Vjw2Cyy-mry5gbC8ypIR3YVGFfEpyFESummAta6sg/edit"", ""Sheet1!B:D""), 3, FALSE), ""Not Found"")"),"f r e t ")</f>
        <v>f r e t </v>
      </c>
    </row>
    <row r="6704">
      <c r="A6704" s="1" t="s">
        <v>6706</v>
      </c>
      <c r="B6704" s="1" t="s">
        <v>5</v>
      </c>
      <c r="C6704" s="2">
        <f>IFERROR(__xludf.DUMMYFUNCTION("IFERROR(VLOOKUP(A6704, IMPORTRANGE(""https://docs.google.com/spreadsheets/d/1AVX9GT0dgogEBStecCXMMQ29tWz3gBrtNB8yIromXbY/edit?gid=741673867"", ""out1g!A:B""), 2, FALSE), 0)"),95.0)</f>
        <v>95</v>
      </c>
      <c r="D6704" s="2" t="str">
        <f>IFERROR(__xludf.DUMMYFUNCTION("IFERROR(VLOOKUP(A6704, IMPORTRANGE(""https://docs.google.com/spreadsheets/d/1-3Vjw2Cyy-mry5gbC8ypIR3YVGFfEpyFESummAta6sg/edit"", ""Sheet1!B:D""), 2, FALSE), ""Not Found"")"),"kwoʊtə")</f>
        <v>kwoʊtə</v>
      </c>
      <c r="E6704" s="2" t="str">
        <f>IFERROR(__xludf.DUMMYFUNCTION("IFERROR(VLOOKUP(A6704, IMPORTRANGE(""https://docs.google.com/spreadsheets/d/1-3Vjw2Cyy-mry5gbC8ypIR3YVGFfEpyFESummAta6sg/edit"", ""Sheet1!B:D""), 3, FALSE), ""Not Found"")"),"k w o ʊ t ə ")</f>
        <v>k w o ʊ t ə </v>
      </c>
    </row>
    <row r="6705">
      <c r="A6705" s="1" t="s">
        <v>6707</v>
      </c>
      <c r="B6705" s="1" t="s">
        <v>5</v>
      </c>
      <c r="C6705" s="2">
        <f>IFERROR(__xludf.DUMMYFUNCTION("IFERROR(VLOOKUP(A6705, IMPORTRANGE(""https://docs.google.com/spreadsheets/d/1AVX9GT0dgogEBStecCXMMQ29tWz3gBrtNB8yIromXbY/edit?gid=741673867"", ""out1g!A:B""), 2, FALSE), 0)"),65.0)</f>
        <v>65</v>
      </c>
      <c r="D6705" s="2" t="str">
        <f>IFERROR(__xludf.DUMMYFUNCTION("IFERROR(VLOOKUP(A6705, IMPORTRANGE(""https://docs.google.com/spreadsheets/d/1-3Vjw2Cyy-mry5gbC8ypIR3YVGFfEpyFESummAta6sg/edit"", ""Sheet1!B:D""), 2, FALSE), ""Not Found"")"),"pləkt")</f>
        <v>pləkt</v>
      </c>
      <c r="E6705" s="2" t="str">
        <f>IFERROR(__xludf.DUMMYFUNCTION("IFERROR(VLOOKUP(A6705, IMPORTRANGE(""https://docs.google.com/spreadsheets/d/1-3Vjw2Cyy-mry5gbC8ypIR3YVGFfEpyFESummAta6sg/edit"", ""Sheet1!B:D""), 3, FALSE), ""Not Found"")"),"p l ə k t ")</f>
        <v>p l ə k t </v>
      </c>
    </row>
    <row r="6706">
      <c r="A6706" s="1" t="s">
        <v>6708</v>
      </c>
      <c r="B6706" s="1" t="s">
        <v>5</v>
      </c>
      <c r="C6706" s="2">
        <f>IFERROR(__xludf.DUMMYFUNCTION("IFERROR(VLOOKUP(A6706, IMPORTRANGE(""https://docs.google.com/spreadsheets/d/1AVX9GT0dgogEBStecCXMMQ29tWz3gBrtNB8yIromXbY/edit?gid=741673867"", ""out1g!A:B""), 2, FALSE), 0)"),18081.0)</f>
        <v>18081</v>
      </c>
      <c r="D6706" s="2" t="str">
        <f>IFERROR(__xludf.DUMMYFUNCTION("IFERROR(VLOOKUP(A6706, IMPORTRANGE(""https://docs.google.com/spreadsheets/d/1-3Vjw2Cyy-mry5gbC8ypIR3YVGFfEpyFESummAta6sg/edit"", ""Sheet1!B:D""), 2, FALSE), ""Not Found"")"),"ple")</f>
        <v>ple</v>
      </c>
      <c r="E6706" s="2" t="str">
        <f>IFERROR(__xludf.DUMMYFUNCTION("IFERROR(VLOOKUP(A6706, IMPORTRANGE(""https://docs.google.com/spreadsheets/d/1-3Vjw2Cyy-mry5gbC8ypIR3YVGFfEpyFESummAta6sg/edit"", ""Sheet1!B:D""), 3, FALSE), ""Not Found"")"),"p l e ")</f>
        <v>p l e </v>
      </c>
    </row>
    <row r="6707">
      <c r="A6707" s="1" t="s">
        <v>6709</v>
      </c>
      <c r="B6707" s="1" t="s">
        <v>5</v>
      </c>
      <c r="C6707" s="2">
        <f>IFERROR(__xludf.DUMMYFUNCTION("IFERROR(VLOOKUP(A6707, IMPORTRANGE(""https://docs.google.com/spreadsheets/d/1AVX9GT0dgogEBStecCXMMQ29tWz3gBrtNB8yIromXbY/edit?gid=741673867"", ""out1g!A:B""), 2, FALSE), 0)"),1102.0)</f>
        <v>1102</v>
      </c>
      <c r="D6707" s="2" t="str">
        <f>IFERROR(__xludf.DUMMYFUNCTION("IFERROR(VLOOKUP(A6707, IMPORTRANGE(""https://docs.google.com/spreadsheets/d/1-3Vjw2Cyy-mry5gbC8ypIR3YVGFfEpyFESummAta6sg/edit"", ""Sheet1!B:D""), 2, FALSE), ""Not Found"")"),"fɑks")</f>
        <v>fɑks</v>
      </c>
      <c r="E6707" s="2" t="str">
        <f>IFERROR(__xludf.DUMMYFUNCTION("IFERROR(VLOOKUP(A6707, IMPORTRANGE(""https://docs.google.com/spreadsheets/d/1-3Vjw2Cyy-mry5gbC8ypIR3YVGFfEpyFESummAta6sg/edit"", ""Sheet1!B:D""), 3, FALSE), ""Not Found"")"),"f ɑ k s ")</f>
        <v>f ɑ k s </v>
      </c>
    </row>
    <row r="6708">
      <c r="A6708" s="1" t="s">
        <v>6710</v>
      </c>
      <c r="B6708" s="1" t="s">
        <v>5</v>
      </c>
      <c r="C6708" s="2">
        <f>IFERROR(__xludf.DUMMYFUNCTION("IFERROR(VLOOKUP(A6708, IMPORTRANGE(""https://docs.google.com/spreadsheets/d/1AVX9GT0dgogEBStecCXMMQ29tWz3gBrtNB8yIromXbY/edit?gid=741673867"", ""out1g!A:B""), 2, FALSE), 0)"),52.0)</f>
        <v>52</v>
      </c>
      <c r="D6708" s="2" t="str">
        <f>IFERROR(__xludf.DUMMYFUNCTION("IFERROR(VLOOKUP(A6708, IMPORTRANGE(""https://docs.google.com/spreadsheets/d/1-3Vjw2Cyy-mry5gbC8ypIR3YVGFfEpyFESummAta6sg/edit"", ""Sheet1!B:D""), 2, FALSE), ""Not Found"")"),"gaɪl")</f>
        <v>gaɪl</v>
      </c>
      <c r="E6708" s="2" t="str">
        <f>IFERROR(__xludf.DUMMYFUNCTION("IFERROR(VLOOKUP(A6708, IMPORTRANGE(""https://docs.google.com/spreadsheets/d/1-3Vjw2Cyy-mry5gbC8ypIR3YVGFfEpyFESummAta6sg/edit"", ""Sheet1!B:D""), 3, FALSE), ""Not Found"")"),"g a ɪ l ")</f>
        <v>g a ɪ l </v>
      </c>
    </row>
    <row r="6709">
      <c r="A6709" s="1" t="s">
        <v>6711</v>
      </c>
      <c r="B6709" s="1" t="s">
        <v>5</v>
      </c>
      <c r="C6709" s="2">
        <f>IFERROR(__xludf.DUMMYFUNCTION("IFERROR(VLOOKUP(A6709, IMPORTRANGE(""https://docs.google.com/spreadsheets/d/1AVX9GT0dgogEBStecCXMMQ29tWz3gBrtNB8yIromXbY/edit?gid=741673867"", ""out1g!A:B""), 2, FALSE), 0)"),385.0)</f>
        <v>385</v>
      </c>
      <c r="D6709" s="2" t="str">
        <f>IFERROR(__xludf.DUMMYFUNCTION("IFERROR(VLOOKUP(A6709, IMPORTRANGE(""https://docs.google.com/spreadsheets/d/1-3Vjw2Cyy-mry5gbC8ypIR3YVGFfEpyFESummAta6sg/edit"", ""Sheet1!B:D""), 2, FALSE), ""Not Found"")"),"prɛp")</f>
        <v>prɛp</v>
      </c>
      <c r="E6709" s="2" t="str">
        <f>IFERROR(__xludf.DUMMYFUNCTION("IFERROR(VLOOKUP(A6709, IMPORTRANGE(""https://docs.google.com/spreadsheets/d/1-3Vjw2Cyy-mry5gbC8ypIR3YVGFfEpyFESummAta6sg/edit"", ""Sheet1!B:D""), 3, FALSE), ""Not Found"")"),"p r ɛ p ")</f>
        <v>p r ɛ p </v>
      </c>
    </row>
    <row r="6710">
      <c r="A6710" s="1" t="s">
        <v>6712</v>
      </c>
      <c r="B6710" s="1" t="s">
        <v>5</v>
      </c>
      <c r="C6710" s="2">
        <f>IFERROR(__xludf.DUMMYFUNCTION("IFERROR(VLOOKUP(A6710, IMPORTRANGE(""https://docs.google.com/spreadsheets/d/1AVX9GT0dgogEBStecCXMMQ29tWz3gBrtNB8yIromXbY/edit?gid=741673867"", ""out1g!A:B""), 2, FALSE), 0)"),79.0)</f>
        <v>79</v>
      </c>
      <c r="D6710" s="2" t="str">
        <f>IFERROR(__xludf.DUMMYFUNCTION("IFERROR(VLOOKUP(A6710, IMPORTRANGE(""https://docs.google.com/spreadsheets/d/1-3Vjw2Cyy-mry5gbC8ypIR3YVGFfEpyFESummAta6sg/edit"", ""Sheet1!B:D""), 2, FALSE), ""Not Found"")"),"hɪtər")</f>
        <v>hɪtər</v>
      </c>
      <c r="E6710" s="2" t="str">
        <f>IFERROR(__xludf.DUMMYFUNCTION("IFERROR(VLOOKUP(A6710, IMPORTRANGE(""https://docs.google.com/spreadsheets/d/1-3Vjw2Cyy-mry5gbC8ypIR3YVGFfEpyFESummAta6sg/edit"", ""Sheet1!B:D""), 3, FALSE), ""Not Found"")"),"h ɪ t ə r ")</f>
        <v>h ɪ t ə r </v>
      </c>
    </row>
    <row r="6711">
      <c r="A6711" s="1" t="s">
        <v>6713</v>
      </c>
      <c r="B6711" s="1" t="s">
        <v>5</v>
      </c>
      <c r="C6711" s="2">
        <f>IFERROR(__xludf.DUMMYFUNCTION("IFERROR(VLOOKUP(A6711, IMPORTRANGE(""https://docs.google.com/spreadsheets/d/1AVX9GT0dgogEBStecCXMMQ29tWz3gBrtNB8yIromXbY/edit?gid=741673867"", ""out1g!A:B""), 2, FALSE), 0)"),216.0)</f>
        <v>216</v>
      </c>
      <c r="D6711" s="2" t="str">
        <f>IFERROR(__xludf.DUMMYFUNCTION("IFERROR(VLOOKUP(A6711, IMPORTRANGE(""https://docs.google.com/spreadsheets/d/1-3Vjw2Cyy-mry5gbC8ypIR3YVGFfEpyFESummAta6sg/edit"", ""Sheet1!B:D""), 2, FALSE), ""Not Found"")"),"froʊz")</f>
        <v>froʊz</v>
      </c>
      <c r="E6711" s="2" t="str">
        <f>IFERROR(__xludf.DUMMYFUNCTION("IFERROR(VLOOKUP(A6711, IMPORTRANGE(""https://docs.google.com/spreadsheets/d/1-3Vjw2Cyy-mry5gbC8ypIR3YVGFfEpyFESummAta6sg/edit"", ""Sheet1!B:D""), 3, FALSE), ""Not Found"")"),"f r o ʊ z ")</f>
        <v>f r o ʊ z </v>
      </c>
    </row>
    <row r="6712">
      <c r="A6712" s="1" t="s">
        <v>6714</v>
      </c>
      <c r="B6712" s="1" t="s">
        <v>5</v>
      </c>
      <c r="C6712" s="2">
        <f>IFERROR(__xludf.DUMMYFUNCTION("IFERROR(VLOOKUP(A6712, IMPORTRANGE(""https://docs.google.com/spreadsheets/d/1AVX9GT0dgogEBStecCXMMQ29tWz3gBrtNB8yIromXbY/edit?gid=741673867"", ""out1g!A:B""), 2, FALSE), 0)"),1954.0)</f>
        <v>1954</v>
      </c>
      <c r="D6712" s="2" t="str">
        <f>IFERROR(__xludf.DUMMYFUNCTION("IFERROR(VLOOKUP(A6712, IMPORTRANGE(""https://docs.google.com/spreadsheets/d/1-3Vjw2Cyy-mry5gbC8ypIR3YVGFfEpyFESummAta6sg/edit"", ""Sheet1!B:D""), 2, FALSE), ""Not Found"")"),"pit")</f>
        <v>pit</v>
      </c>
      <c r="E6712" s="2" t="str">
        <f>IFERROR(__xludf.DUMMYFUNCTION("IFERROR(VLOOKUP(A6712, IMPORTRANGE(""https://docs.google.com/spreadsheets/d/1-3Vjw2Cyy-mry5gbC8ypIR3YVGFfEpyFESummAta6sg/edit"", ""Sheet1!B:D""), 3, FALSE), ""Not Found"")"),"p i t ")</f>
        <v>p i t </v>
      </c>
    </row>
    <row r="6713">
      <c r="A6713" s="1" t="s">
        <v>6715</v>
      </c>
      <c r="B6713" s="1" t="s">
        <v>5</v>
      </c>
      <c r="C6713" s="2">
        <f>IFERROR(__xludf.DUMMYFUNCTION("IFERROR(VLOOKUP(A6713, IMPORTRANGE(""https://docs.google.com/spreadsheets/d/1AVX9GT0dgogEBStecCXMMQ29tWz3gBrtNB8yIromXbY/edit?gid=741673867"", ""out1g!A:B""), 2, FALSE), 0)"),829.0)</f>
        <v>829</v>
      </c>
      <c r="D6713" s="2" t="str">
        <f>IFERROR(__xludf.DUMMYFUNCTION("IFERROR(VLOOKUP(A6713, IMPORTRANGE(""https://docs.google.com/spreadsheets/d/1-3Vjw2Cyy-mry5gbC8ypIR3YVGFfEpyFESummAta6sg/edit"", ""Sheet1!B:D""), 2, FALSE), ""Not Found"")"),"mɑn")</f>
        <v>mɑn</v>
      </c>
      <c r="E6713" s="2" t="str">
        <f>IFERROR(__xludf.DUMMYFUNCTION("IFERROR(VLOOKUP(A6713, IMPORTRANGE(""https://docs.google.com/spreadsheets/d/1-3Vjw2Cyy-mry5gbC8ypIR3YVGFfEpyFESummAta6sg/edit"", ""Sheet1!B:D""), 3, FALSE), ""Not Found"")"),"m ɑ n ")</f>
        <v>m ɑ n </v>
      </c>
    </row>
    <row r="6714">
      <c r="A6714" s="1" t="s">
        <v>6716</v>
      </c>
      <c r="B6714" s="1" t="s">
        <v>5</v>
      </c>
      <c r="C6714" s="2">
        <f>IFERROR(__xludf.DUMMYFUNCTION("IFERROR(VLOOKUP(A6714, IMPORTRANGE(""https://docs.google.com/spreadsheets/d/1AVX9GT0dgogEBStecCXMMQ29tWz3gBrtNB8yIromXbY/edit?gid=741673867"", ""out1g!A:B""), 2, FALSE), 0)"),68.0)</f>
        <v>68</v>
      </c>
      <c r="D6714" s="2" t="str">
        <f>IFERROR(__xludf.DUMMYFUNCTION("IFERROR(VLOOKUP(A6714, IMPORTRANGE(""https://docs.google.com/spreadsheets/d/1-3Vjw2Cyy-mry5gbC8ypIR3YVGFfEpyFESummAta6sg/edit"", ""Sheet1!B:D""), 2, FALSE), ""Not Found"")"),"baɪ")</f>
        <v>baɪ</v>
      </c>
      <c r="E6714" s="2" t="str">
        <f>IFERROR(__xludf.DUMMYFUNCTION("IFERROR(VLOOKUP(A6714, IMPORTRANGE(""https://docs.google.com/spreadsheets/d/1-3Vjw2Cyy-mry5gbC8ypIR3YVGFfEpyFESummAta6sg/edit"", ""Sheet1!B:D""), 3, FALSE), ""Not Found"")"),"b a ɪ ")</f>
        <v>b a ɪ </v>
      </c>
    </row>
    <row r="6715">
      <c r="A6715" s="1" t="s">
        <v>6717</v>
      </c>
      <c r="B6715" s="1" t="s">
        <v>5</v>
      </c>
      <c r="C6715" s="2">
        <f>IFERROR(__xludf.DUMMYFUNCTION("IFERROR(VLOOKUP(A6715, IMPORTRANGE(""https://docs.google.com/spreadsheets/d/1AVX9GT0dgogEBStecCXMMQ29tWz3gBrtNB8yIromXbY/edit?gid=741673867"", ""out1g!A:B""), 2, FALSE), 0)"),56.0)</f>
        <v>56</v>
      </c>
      <c r="D6715" s="2" t="str">
        <f>IFERROR(__xludf.DUMMYFUNCTION("IFERROR(VLOOKUP(A6715, IMPORTRANGE(""https://docs.google.com/spreadsheets/d/1-3Vjw2Cyy-mry5gbC8ypIR3YVGFfEpyFESummAta6sg/edit"", ""Sheet1!B:D""), 2, FALSE), ""Not Found"")"),"boʊdən")</f>
        <v>boʊdən</v>
      </c>
      <c r="E6715" s="2" t="str">
        <f>IFERROR(__xludf.DUMMYFUNCTION("IFERROR(VLOOKUP(A6715, IMPORTRANGE(""https://docs.google.com/spreadsheets/d/1-3Vjw2Cyy-mry5gbC8ypIR3YVGFfEpyFESummAta6sg/edit"", ""Sheet1!B:D""), 3, FALSE), ""Not Found"")"),"b o ʊ d ə n ")</f>
        <v>b o ʊ d ə n </v>
      </c>
    </row>
    <row r="6716">
      <c r="A6716" s="1" t="s">
        <v>6718</v>
      </c>
      <c r="B6716" s="1" t="s">
        <v>5</v>
      </c>
      <c r="C6716" s="2">
        <f>IFERROR(__xludf.DUMMYFUNCTION("IFERROR(VLOOKUP(A6716, IMPORTRANGE(""https://docs.google.com/spreadsheets/d/1AVX9GT0dgogEBStecCXMMQ29tWz3gBrtNB8yIromXbY/edit?gid=741673867"", ""out1g!A:B""), 2, FALSE), 0)"),71.0)</f>
        <v>71</v>
      </c>
      <c r="D6716" s="2" t="str">
        <f>IFERROR(__xludf.DUMMYFUNCTION("IFERROR(VLOOKUP(A6716, IMPORTRANGE(""https://docs.google.com/spreadsheets/d/1-3Vjw2Cyy-mry5gbC8ypIR3YVGFfEpyFESummAta6sg/edit"", ""Sheet1!B:D""), 2, FALSE), ""Not Found"")"),"twɪt")</f>
        <v>twɪt</v>
      </c>
      <c r="E6716" s="2" t="str">
        <f>IFERROR(__xludf.DUMMYFUNCTION("IFERROR(VLOOKUP(A6716, IMPORTRANGE(""https://docs.google.com/spreadsheets/d/1-3Vjw2Cyy-mry5gbC8ypIR3YVGFfEpyFESummAta6sg/edit"", ""Sheet1!B:D""), 3, FALSE), ""Not Found"")"),"t w ɪ t ")</f>
        <v>t w ɪ t </v>
      </c>
    </row>
    <row r="6717">
      <c r="A6717" s="1" t="s">
        <v>6719</v>
      </c>
      <c r="B6717" s="1" t="s">
        <v>5</v>
      </c>
      <c r="C6717" s="2">
        <f>IFERROR(__xludf.DUMMYFUNCTION("IFERROR(VLOOKUP(A6717, IMPORTRANGE(""https://docs.google.com/spreadsheets/d/1AVX9GT0dgogEBStecCXMMQ29tWz3gBrtNB8yIromXbY/edit?gid=741673867"", ""out1g!A:B""), 2, FALSE), 0)"),60.0)</f>
        <v>60</v>
      </c>
      <c r="D6717" s="2" t="str">
        <f>IFERROR(__xludf.DUMMYFUNCTION("IFERROR(VLOOKUP(A6717, IMPORTRANGE(""https://docs.google.com/spreadsheets/d/1-3Vjw2Cyy-mry5gbC8ypIR3YVGFfEpyFESummAta6sg/edit"", ""Sheet1!B:D""), 2, FALSE), ""Not Found"")"),"hoʊmiz")</f>
        <v>hoʊmiz</v>
      </c>
      <c r="E6717" s="2" t="str">
        <f>IFERROR(__xludf.DUMMYFUNCTION("IFERROR(VLOOKUP(A6717, IMPORTRANGE(""https://docs.google.com/spreadsheets/d/1-3Vjw2Cyy-mry5gbC8ypIR3YVGFfEpyFESummAta6sg/edit"", ""Sheet1!B:D""), 3, FALSE), ""Not Found"")"),"h o ʊ m i z ")</f>
        <v>h o ʊ m i z </v>
      </c>
    </row>
    <row r="6718">
      <c r="A6718" s="1" t="s">
        <v>6720</v>
      </c>
      <c r="B6718" s="1" t="s">
        <v>5</v>
      </c>
      <c r="C6718" s="2">
        <f>IFERROR(__xludf.DUMMYFUNCTION("IFERROR(VLOOKUP(A6718, IMPORTRANGE(""https://docs.google.com/spreadsheets/d/1AVX9GT0dgogEBStecCXMMQ29tWz3gBrtNB8yIromXbY/edit?gid=741673867"", ""out1g!A:B""), 2, FALSE), 0)"),312.0)</f>
        <v>312</v>
      </c>
      <c r="D6718" s="2" t="str">
        <f>IFERROR(__xludf.DUMMYFUNCTION("IFERROR(VLOOKUP(A6718, IMPORTRANGE(""https://docs.google.com/spreadsheets/d/1-3Vjw2Cyy-mry5gbC8ypIR3YVGFfEpyFESummAta6sg/edit"", ""Sheet1!B:D""), 2, FALSE), ""Not Found"")"),"dɛn")</f>
        <v>dɛn</v>
      </c>
      <c r="E6718" s="2" t="str">
        <f>IFERROR(__xludf.DUMMYFUNCTION("IFERROR(VLOOKUP(A6718, IMPORTRANGE(""https://docs.google.com/spreadsheets/d/1-3Vjw2Cyy-mry5gbC8ypIR3YVGFfEpyFESummAta6sg/edit"", ""Sheet1!B:D""), 3, FALSE), ""Not Found"")"),"d ɛ n ")</f>
        <v>d ɛ n </v>
      </c>
    </row>
    <row r="6719">
      <c r="A6719" s="1" t="s">
        <v>6721</v>
      </c>
      <c r="B6719" s="1" t="s">
        <v>5</v>
      </c>
      <c r="C6719" s="2">
        <f>IFERROR(__xludf.DUMMYFUNCTION("IFERROR(VLOOKUP(A6719, IMPORTRANGE(""https://docs.google.com/spreadsheets/d/1AVX9GT0dgogEBStecCXMMQ29tWz3gBrtNB8yIromXbY/edit?gid=741673867"", ""out1g!A:B""), 2, FALSE), 0)"),71.0)</f>
        <v>71</v>
      </c>
      <c r="D6719" s="2" t="str">
        <f>IFERROR(__xludf.DUMMYFUNCTION("IFERROR(VLOOKUP(A6719, IMPORTRANGE(""https://docs.google.com/spreadsheets/d/1-3Vjw2Cyy-mry5gbC8ypIR3YVGFfEpyFESummAta6sg/edit"", ""Sheet1!B:D""), 2, FALSE), ""Not Found"")"),"kɔrnd")</f>
        <v>kɔrnd</v>
      </c>
      <c r="E6719" s="2" t="str">
        <f>IFERROR(__xludf.DUMMYFUNCTION("IFERROR(VLOOKUP(A6719, IMPORTRANGE(""https://docs.google.com/spreadsheets/d/1-3Vjw2Cyy-mry5gbC8ypIR3YVGFfEpyFESummAta6sg/edit"", ""Sheet1!B:D""), 3, FALSE), ""Not Found"")"),"k ɔ r n d ")</f>
        <v>k ɔ r n d </v>
      </c>
    </row>
    <row r="6720">
      <c r="A6720" s="1" t="s">
        <v>6722</v>
      </c>
      <c r="B6720" s="1" t="s">
        <v>5</v>
      </c>
      <c r="C6720" s="2">
        <f>IFERROR(__xludf.DUMMYFUNCTION("IFERROR(VLOOKUP(A6720, IMPORTRANGE(""https://docs.google.com/spreadsheets/d/1AVX9GT0dgogEBStecCXMMQ29tWz3gBrtNB8yIromXbY/edit?gid=741673867"", ""out1g!A:B""), 2, FALSE), 0)"),1123.0)</f>
        <v>1123</v>
      </c>
      <c r="D6720" s="2" t="str">
        <f>IFERROR(__xludf.DUMMYFUNCTION("IFERROR(VLOOKUP(A6720, IMPORTRANGE(""https://docs.google.com/spreadsheets/d/1-3Vjw2Cyy-mry5gbC8ypIR3YVGFfEpyFESummAta6sg/edit"", ""Sheet1!B:D""), 2, FALSE), ""Not Found"")"),"saɪnz")</f>
        <v>saɪnz</v>
      </c>
      <c r="E6720" s="2" t="str">
        <f>IFERROR(__xludf.DUMMYFUNCTION("IFERROR(VLOOKUP(A6720, IMPORTRANGE(""https://docs.google.com/spreadsheets/d/1-3Vjw2Cyy-mry5gbC8ypIR3YVGFfEpyFESummAta6sg/edit"", ""Sheet1!B:D""), 3, FALSE), ""Not Found"")"),"s a ɪ n z ")</f>
        <v>s a ɪ n z </v>
      </c>
    </row>
    <row r="6721">
      <c r="A6721" s="1" t="s">
        <v>6723</v>
      </c>
      <c r="B6721" s="1" t="s">
        <v>5</v>
      </c>
      <c r="C6721" s="2">
        <f>IFERROR(__xludf.DUMMYFUNCTION("IFERROR(VLOOKUP(A6721, IMPORTRANGE(""https://docs.google.com/spreadsheets/d/1AVX9GT0dgogEBStecCXMMQ29tWz3gBrtNB8yIromXbY/edit?gid=741673867"", ""out1g!A:B""), 2, FALSE), 0)"),143.0)</f>
        <v>143</v>
      </c>
      <c r="D6721" s="2" t="str">
        <f>IFERROR(__xludf.DUMMYFUNCTION("IFERROR(VLOOKUP(A6721, IMPORTRANGE(""https://docs.google.com/spreadsheets/d/1-3Vjw2Cyy-mry5gbC8ypIR3YVGFfEpyFESummAta6sg/edit"", ""Sheet1!B:D""), 2, FALSE), ""Not Found"")"),"ɔɪ")</f>
        <v>ɔɪ</v>
      </c>
      <c r="E6721" s="2" t="str">
        <f>IFERROR(__xludf.DUMMYFUNCTION("IFERROR(VLOOKUP(A6721, IMPORTRANGE(""https://docs.google.com/spreadsheets/d/1-3Vjw2Cyy-mry5gbC8ypIR3YVGFfEpyFESummAta6sg/edit"", ""Sheet1!B:D""), 3, FALSE), ""Not Found"")"),"ɔ ɪ ")</f>
        <v>ɔ ɪ </v>
      </c>
    </row>
    <row r="6722">
      <c r="A6722" s="1" t="s">
        <v>6724</v>
      </c>
      <c r="B6722" s="1" t="s">
        <v>5</v>
      </c>
      <c r="C6722" s="2">
        <f>IFERROR(__xludf.DUMMYFUNCTION("IFERROR(VLOOKUP(A6722, IMPORTRANGE(""https://docs.google.com/spreadsheets/d/1AVX9GT0dgogEBStecCXMMQ29tWz3gBrtNB8yIromXbY/edit?gid=741673867"", ""out1g!A:B""), 2, FALSE), 0)"),3553.0)</f>
        <v>3553</v>
      </c>
      <c r="D6722" s="2" t="str">
        <f>IFERROR(__xludf.DUMMYFUNCTION("IFERROR(VLOOKUP(A6722, IMPORTRANGE(""https://docs.google.com/spreadsheets/d/1-3Vjw2Cyy-mry5gbC8ypIR3YVGFfEpyFESummAta6sg/edit"", ""Sheet1!B:D""), 2, FALSE), ""Not Found"")"),"ʧərʧ")</f>
        <v>ʧərʧ</v>
      </c>
      <c r="E6722" s="2" t="str">
        <f>IFERROR(__xludf.DUMMYFUNCTION("IFERROR(VLOOKUP(A6722, IMPORTRANGE(""https://docs.google.com/spreadsheets/d/1-3Vjw2Cyy-mry5gbC8ypIR3YVGFfEpyFESummAta6sg/edit"", ""Sheet1!B:D""), 3, FALSE), ""Not Found"")"),"ʧ ə r ʧ ")</f>
        <v>ʧ ə r ʧ </v>
      </c>
    </row>
    <row r="6723">
      <c r="A6723" s="1" t="s">
        <v>6725</v>
      </c>
      <c r="B6723" s="1" t="s">
        <v>5</v>
      </c>
      <c r="C6723" s="2">
        <f>IFERROR(__xludf.DUMMYFUNCTION("IFERROR(VLOOKUP(A6723, IMPORTRANGE(""https://docs.google.com/spreadsheets/d/1AVX9GT0dgogEBStecCXMMQ29tWz3gBrtNB8yIromXbY/edit?gid=741673867"", ""out1g!A:B""), 2, FALSE), 0)"),83.0)</f>
        <v>83</v>
      </c>
      <c r="D6723" s="2" t="str">
        <f>IFERROR(__xludf.DUMMYFUNCTION("IFERROR(VLOOKUP(A6723, IMPORTRANGE(""https://docs.google.com/spreadsheets/d/1-3Vjw2Cyy-mry5gbC8ypIR3YVGFfEpyFESummAta6sg/edit"", ""Sheet1!B:D""), 2, FALSE), ""Not Found"")"),"ʧɔɪ")</f>
        <v>ʧɔɪ</v>
      </c>
      <c r="E6723" s="2" t="str">
        <f>IFERROR(__xludf.DUMMYFUNCTION("IFERROR(VLOOKUP(A6723, IMPORTRANGE(""https://docs.google.com/spreadsheets/d/1-3Vjw2Cyy-mry5gbC8ypIR3YVGFfEpyFESummAta6sg/edit"", ""Sheet1!B:D""), 3, FALSE), ""Not Found"")"),"ʧ ɔ ɪ ")</f>
        <v>ʧ ɔ ɪ </v>
      </c>
    </row>
    <row r="6724">
      <c r="A6724" s="1" t="s">
        <v>6726</v>
      </c>
      <c r="B6724" s="1" t="s">
        <v>5</v>
      </c>
      <c r="C6724" s="2">
        <f>IFERROR(__xludf.DUMMYFUNCTION("IFERROR(VLOOKUP(A6724, IMPORTRANGE(""https://docs.google.com/spreadsheets/d/1AVX9GT0dgogEBStecCXMMQ29tWz3gBrtNB8yIromXbY/edit?gid=741673867"", ""out1g!A:B""), 2, FALSE), 0)"),924.0)</f>
        <v>924</v>
      </c>
      <c r="D6724" s="2" t="str">
        <f>IFERROR(__xludf.DUMMYFUNCTION("IFERROR(VLOOKUP(A6724, IMPORTRANGE(""https://docs.google.com/spreadsheets/d/1-3Vjw2Cyy-mry5gbC8ypIR3YVGFfEpyFESummAta6sg/edit"", ""Sheet1!B:D""), 2, FALSE), ""Not Found"")"),"hɔŋ")</f>
        <v>hɔŋ</v>
      </c>
      <c r="E6724" s="2" t="str">
        <f>IFERROR(__xludf.DUMMYFUNCTION("IFERROR(VLOOKUP(A6724, IMPORTRANGE(""https://docs.google.com/spreadsheets/d/1-3Vjw2Cyy-mry5gbC8ypIR3YVGFfEpyFESummAta6sg/edit"", ""Sheet1!B:D""), 3, FALSE), ""Not Found"")"),"h ɔ ŋ ")</f>
        <v>h ɔ ŋ </v>
      </c>
    </row>
    <row r="6725">
      <c r="A6725" s="1" t="s">
        <v>6727</v>
      </c>
      <c r="B6725" s="1" t="s">
        <v>5</v>
      </c>
      <c r="C6725" s="2">
        <f>IFERROR(__xludf.DUMMYFUNCTION("IFERROR(VLOOKUP(A6725, IMPORTRANGE(""https://docs.google.com/spreadsheets/d/1AVX9GT0dgogEBStecCXMMQ29tWz3gBrtNB8yIromXbY/edit?gid=741673867"", ""out1g!A:B""), 2, FALSE), 0)"),339.0)</f>
        <v>339</v>
      </c>
      <c r="D6725" s="2" t="str">
        <f>IFERROR(__xludf.DUMMYFUNCTION("IFERROR(VLOOKUP(A6725, IMPORTRANGE(""https://docs.google.com/spreadsheets/d/1-3Vjw2Cyy-mry5gbC8ypIR3YVGFfEpyFESummAta6sg/edit"", ""Sheet1!B:D""), 2, FALSE), ""Not Found"")"),"mɪŋ")</f>
        <v>mɪŋ</v>
      </c>
      <c r="E6725" s="2" t="str">
        <f>IFERROR(__xludf.DUMMYFUNCTION("IFERROR(VLOOKUP(A6725, IMPORTRANGE(""https://docs.google.com/spreadsheets/d/1-3Vjw2Cyy-mry5gbC8ypIR3YVGFfEpyFESummAta6sg/edit"", ""Sheet1!B:D""), 3, FALSE), ""Not Found"")"),"m ɪ ŋ ")</f>
        <v>m ɪ ŋ </v>
      </c>
    </row>
    <row r="6726">
      <c r="A6726" s="1" t="s">
        <v>6728</v>
      </c>
      <c r="B6726" s="1" t="s">
        <v>5</v>
      </c>
      <c r="C6726" s="2">
        <f>IFERROR(__xludf.DUMMYFUNCTION("IFERROR(VLOOKUP(A6726, IMPORTRANGE(""https://docs.google.com/spreadsheets/d/1AVX9GT0dgogEBStecCXMMQ29tWz3gBrtNB8yIromXbY/edit?gid=741673867"", ""out1g!A:B""), 2, FALSE), 0)"),578.0)</f>
        <v>578</v>
      </c>
      <c r="D6726" s="2" t="str">
        <f>IFERROR(__xludf.DUMMYFUNCTION("IFERROR(VLOOKUP(A6726, IMPORTRANGE(""https://docs.google.com/spreadsheets/d/1-3Vjw2Cyy-mry5gbC8ypIR3YVGFfEpyFESummAta6sg/edit"", ""Sheet1!B:D""), 2, FALSE), ""Not Found"")"),"hil")</f>
        <v>hil</v>
      </c>
      <c r="E6726" s="2" t="str">
        <f>IFERROR(__xludf.DUMMYFUNCTION("IFERROR(VLOOKUP(A6726, IMPORTRANGE(""https://docs.google.com/spreadsheets/d/1-3Vjw2Cyy-mry5gbC8ypIR3YVGFfEpyFESummAta6sg/edit"", ""Sheet1!B:D""), 3, FALSE), ""Not Found"")"),"h i l ")</f>
        <v>h i l </v>
      </c>
    </row>
    <row r="6727">
      <c r="A6727" s="1" t="s">
        <v>6729</v>
      </c>
      <c r="B6727" s="1" t="s">
        <v>5</v>
      </c>
      <c r="C6727" s="2">
        <f>IFERROR(__xludf.DUMMYFUNCTION("IFERROR(VLOOKUP(A6727, IMPORTRANGE(""https://docs.google.com/spreadsheets/d/1AVX9GT0dgogEBStecCXMMQ29tWz3gBrtNB8yIromXbY/edit?gid=741673867"", ""out1g!A:B""), 2, FALSE), 0)"),542.0)</f>
        <v>542</v>
      </c>
      <c r="D6727" s="2" t="str">
        <f>IFERROR(__xludf.DUMMYFUNCTION("IFERROR(VLOOKUP(A6727, IMPORTRANGE(""https://docs.google.com/spreadsheets/d/1-3Vjw2Cyy-mry5gbC8ypIR3YVGFfEpyFESummAta6sg/edit"", ""Sheet1!B:D""), 2, FALSE), ""Not Found"")"),"wɔŋ")</f>
        <v>wɔŋ</v>
      </c>
      <c r="E6727" s="2" t="str">
        <f>IFERROR(__xludf.DUMMYFUNCTION("IFERROR(VLOOKUP(A6727, IMPORTRANGE(""https://docs.google.com/spreadsheets/d/1-3Vjw2Cyy-mry5gbC8ypIR3YVGFfEpyFESummAta6sg/edit"", ""Sheet1!B:D""), 3, FALSE), ""Not Found"")"),"w ɔ ŋ ")</f>
        <v>w ɔ ŋ </v>
      </c>
    </row>
    <row r="6728">
      <c r="A6728" s="1" t="s">
        <v>6730</v>
      </c>
      <c r="B6728" s="1" t="s">
        <v>5</v>
      </c>
      <c r="C6728" s="2">
        <f>IFERROR(__xludf.DUMMYFUNCTION("IFERROR(VLOOKUP(A6728, IMPORTRANGE(""https://docs.google.com/spreadsheets/d/1AVX9GT0dgogEBStecCXMMQ29tWz3gBrtNB8yIromXbY/edit?gid=741673867"", ""out1g!A:B""), 2, FALSE), 0)"),119.0)</f>
        <v>119</v>
      </c>
      <c r="D6728" s="2" t="str">
        <f>IFERROR(__xludf.DUMMYFUNCTION("IFERROR(VLOOKUP(A6728, IMPORTRANGE(""https://docs.google.com/spreadsheets/d/1-3Vjw2Cyy-mry5gbC8ypIR3YVGFfEpyFESummAta6sg/edit"", ""Sheet1!B:D""), 2, FALSE), ""Not Found"")"),"voʊg")</f>
        <v>voʊg</v>
      </c>
      <c r="E6728" s="2" t="str">
        <f>IFERROR(__xludf.DUMMYFUNCTION("IFERROR(VLOOKUP(A6728, IMPORTRANGE(""https://docs.google.com/spreadsheets/d/1-3Vjw2Cyy-mry5gbC8ypIR3YVGFfEpyFESummAta6sg/edit"", ""Sheet1!B:D""), 3, FALSE), ""Not Found"")"),"v o ʊ g ")</f>
        <v>v o ʊ g </v>
      </c>
    </row>
    <row r="6729">
      <c r="A6729" s="1" t="s">
        <v>6731</v>
      </c>
      <c r="B6729" s="1" t="s">
        <v>5</v>
      </c>
      <c r="C6729" s="2">
        <f>IFERROR(__xludf.DUMMYFUNCTION("IFERROR(VLOOKUP(A6729, IMPORTRANGE(""https://docs.google.com/spreadsheets/d/1AVX9GT0dgogEBStecCXMMQ29tWz3gBrtNB8yIromXbY/edit?gid=741673867"", ""out1g!A:B""), 2, FALSE), 0)"),47.0)</f>
        <v>47</v>
      </c>
      <c r="D6729" s="2" t="str">
        <f>IFERROR(__xludf.DUMMYFUNCTION("IFERROR(VLOOKUP(A6729, IMPORTRANGE(""https://docs.google.com/spreadsheets/d/1-3Vjw2Cyy-mry5gbC8ypIR3YVGFfEpyFESummAta6sg/edit"", ""Sheet1!B:D""), 2, FALSE), ""Not Found"")"),"hɪs")</f>
        <v>hɪs</v>
      </c>
      <c r="E6729" s="2" t="str">
        <f>IFERROR(__xludf.DUMMYFUNCTION("IFERROR(VLOOKUP(A6729, IMPORTRANGE(""https://docs.google.com/spreadsheets/d/1-3Vjw2Cyy-mry5gbC8ypIR3YVGFfEpyFESummAta6sg/edit"", ""Sheet1!B:D""), 3, FALSE), ""Not Found"")"),"h ɪ s ")</f>
        <v>h ɪ s </v>
      </c>
    </row>
    <row r="6730">
      <c r="A6730" s="1" t="s">
        <v>6732</v>
      </c>
      <c r="B6730" s="1" t="s">
        <v>5</v>
      </c>
      <c r="C6730" s="2">
        <f>IFERROR(__xludf.DUMMYFUNCTION("IFERROR(VLOOKUP(A6730, IMPORTRANGE(""https://docs.google.com/spreadsheets/d/1AVX9GT0dgogEBStecCXMMQ29tWz3gBrtNB8yIromXbY/edit?gid=741673867"", ""out1g!A:B""), 2, FALSE), 0)"),49.0)</f>
        <v>49</v>
      </c>
      <c r="D6730" s="2" t="str">
        <f>IFERROR(__xludf.DUMMYFUNCTION("IFERROR(VLOOKUP(A6730, IMPORTRANGE(""https://docs.google.com/spreadsheets/d/1-3Vjw2Cyy-mry5gbC8ypIR3YVGFfEpyFESummAta6sg/edit"", ""Sheet1!B:D""), 2, FALSE), ""Not Found"")"),"sɛntərd")</f>
        <v>sɛntərd</v>
      </c>
      <c r="E6730" s="2" t="str">
        <f>IFERROR(__xludf.DUMMYFUNCTION("IFERROR(VLOOKUP(A6730, IMPORTRANGE(""https://docs.google.com/spreadsheets/d/1-3Vjw2Cyy-mry5gbC8ypIR3YVGFfEpyFESummAta6sg/edit"", ""Sheet1!B:D""), 3, FALSE), ""Not Found"")"),"s ɛ n t ə r d ")</f>
        <v>s ɛ n t ə r d </v>
      </c>
    </row>
    <row r="6731">
      <c r="A6731" s="1" t="s">
        <v>6733</v>
      </c>
      <c r="B6731" s="1" t="s">
        <v>5</v>
      </c>
      <c r="C6731" s="2">
        <f>IFERROR(__xludf.DUMMYFUNCTION("IFERROR(VLOOKUP(A6731, IMPORTRANGE(""https://docs.google.com/spreadsheets/d/1AVX9GT0dgogEBStecCXMMQ29tWz3gBrtNB8yIromXbY/edit?gid=741673867"", ""out1g!A:B""), 2, FALSE), 0)"),231.0)</f>
        <v>231</v>
      </c>
      <c r="D6731" s="2" t="str">
        <f>IFERROR(__xludf.DUMMYFUNCTION("IFERROR(VLOOKUP(A6731, IMPORTRANGE(""https://docs.google.com/spreadsheets/d/1-3Vjw2Cyy-mry5gbC8ypIR3YVGFfEpyFESummAta6sg/edit"", ""Sheet1!B:D""), 2, FALSE), ""Not Found"")"),"doʊnəts")</f>
        <v>doʊnəts</v>
      </c>
      <c r="E6731" s="2" t="str">
        <f>IFERROR(__xludf.DUMMYFUNCTION("IFERROR(VLOOKUP(A6731, IMPORTRANGE(""https://docs.google.com/spreadsheets/d/1-3Vjw2Cyy-mry5gbC8ypIR3YVGFfEpyFESummAta6sg/edit"", ""Sheet1!B:D""), 3, FALSE), ""Not Found"")"),"d o ʊ n ə t s ")</f>
        <v>d o ʊ n ə t s </v>
      </c>
    </row>
    <row r="6732">
      <c r="A6732" s="1" t="s">
        <v>6734</v>
      </c>
      <c r="B6732" s="1" t="s">
        <v>5</v>
      </c>
      <c r="C6732" s="2">
        <f>IFERROR(__xludf.DUMMYFUNCTION("IFERROR(VLOOKUP(A6732, IMPORTRANGE(""https://docs.google.com/spreadsheets/d/1AVX9GT0dgogEBStecCXMMQ29tWz3gBrtNB8yIromXbY/edit?gid=741673867"", ""out1g!A:B""), 2, FALSE), 0)"),61.0)</f>
        <v>61</v>
      </c>
      <c r="D6732" s="2" t="str">
        <f>IFERROR(__xludf.DUMMYFUNCTION("IFERROR(VLOOKUP(A6732, IMPORTRANGE(""https://docs.google.com/spreadsheets/d/1-3Vjw2Cyy-mry5gbC8ypIR3YVGFfEpyFESummAta6sg/edit"", ""Sheet1!B:D""), 2, FALSE), ""Not Found"")"),"dæt")</f>
        <v>dæt</v>
      </c>
      <c r="E6732" s="2" t="str">
        <f>IFERROR(__xludf.DUMMYFUNCTION("IFERROR(VLOOKUP(A6732, IMPORTRANGE(""https://docs.google.com/spreadsheets/d/1-3Vjw2Cyy-mry5gbC8ypIR3YVGFfEpyFESummAta6sg/edit"", ""Sheet1!B:D""), 3, FALSE), ""Not Found"")"),"d æ t ")</f>
        <v>d æ t </v>
      </c>
    </row>
    <row r="6733">
      <c r="A6733" s="1" t="s">
        <v>6735</v>
      </c>
      <c r="B6733" s="1" t="s">
        <v>5</v>
      </c>
      <c r="C6733" s="2">
        <f>IFERROR(__xludf.DUMMYFUNCTION("IFERROR(VLOOKUP(A6733, IMPORTRANGE(""https://docs.google.com/spreadsheets/d/1AVX9GT0dgogEBStecCXMMQ29tWz3gBrtNB8yIromXbY/edit?gid=741673867"", ""out1g!A:B""), 2, FALSE), 0)"),109.0)</f>
        <v>109</v>
      </c>
      <c r="D6733" s="2" t="str">
        <f>IFERROR(__xludf.DUMMYFUNCTION("IFERROR(VLOOKUP(A6733, IMPORTRANGE(""https://docs.google.com/spreadsheets/d/1-3Vjw2Cyy-mry5gbC8ypIR3YVGFfEpyFESummAta6sg/edit"", ""Sheet1!B:D""), 2, FALSE), ""Not Found"")"),"flaɪər")</f>
        <v>flaɪər</v>
      </c>
      <c r="E6733" s="2" t="str">
        <f>IFERROR(__xludf.DUMMYFUNCTION("IFERROR(VLOOKUP(A6733, IMPORTRANGE(""https://docs.google.com/spreadsheets/d/1-3Vjw2Cyy-mry5gbC8ypIR3YVGFfEpyFESummAta6sg/edit"", ""Sheet1!B:D""), 3, FALSE), ""Not Found"")"),"f l a ɪ ə r ")</f>
        <v>f l a ɪ ə r </v>
      </c>
    </row>
    <row r="6734">
      <c r="A6734" s="1" t="s">
        <v>6736</v>
      </c>
      <c r="B6734" s="1" t="s">
        <v>5</v>
      </c>
      <c r="C6734" s="2">
        <f>IFERROR(__xludf.DUMMYFUNCTION("IFERROR(VLOOKUP(A6734, IMPORTRANGE(""https://docs.google.com/spreadsheets/d/1AVX9GT0dgogEBStecCXMMQ29tWz3gBrtNB8yIromXbY/edit?gid=741673867"", ""out1g!A:B""), 2, FALSE), 0)"),118.0)</f>
        <v>118</v>
      </c>
      <c r="D6734" s="2" t="str">
        <f>IFERROR(__xludf.DUMMYFUNCTION("IFERROR(VLOOKUP(A6734, IMPORTRANGE(""https://docs.google.com/spreadsheets/d/1-3Vjw2Cyy-mry5gbC8ypIR3YVGFfEpyFESummAta6sg/edit"", ""Sheet1!B:D""), 2, FALSE), ""Not Found"")"),"bliʧ")</f>
        <v>bliʧ</v>
      </c>
      <c r="E6734" s="2" t="str">
        <f>IFERROR(__xludf.DUMMYFUNCTION("IFERROR(VLOOKUP(A6734, IMPORTRANGE(""https://docs.google.com/spreadsheets/d/1-3Vjw2Cyy-mry5gbC8ypIR3YVGFfEpyFESummAta6sg/edit"", ""Sheet1!B:D""), 3, FALSE), ""Not Found"")"),"b l i ʧ ")</f>
        <v>b l i ʧ </v>
      </c>
    </row>
    <row r="6735">
      <c r="A6735" s="1" t="s">
        <v>6737</v>
      </c>
      <c r="B6735" s="1" t="s">
        <v>5</v>
      </c>
      <c r="C6735" s="2">
        <f>IFERROR(__xludf.DUMMYFUNCTION("IFERROR(VLOOKUP(A6735, IMPORTRANGE(""https://docs.google.com/spreadsheets/d/1AVX9GT0dgogEBStecCXMMQ29tWz3gBrtNB8yIromXbY/edit?gid=741673867"", ""out1g!A:B""), 2, FALSE), 0)"),220.0)</f>
        <v>220</v>
      </c>
      <c r="D6735" s="2" t="str">
        <f>IFERROR(__xludf.DUMMYFUNCTION("IFERROR(VLOOKUP(A6735, IMPORTRANGE(""https://docs.google.com/spreadsheets/d/1-3Vjw2Cyy-mry5gbC8ypIR3YVGFfEpyFESummAta6sg/edit"", ""Sheet1!B:D""), 2, FALSE), ""Not Found"")"),"ʧɪli")</f>
        <v>ʧɪli</v>
      </c>
      <c r="E6735" s="2" t="str">
        <f>IFERROR(__xludf.DUMMYFUNCTION("IFERROR(VLOOKUP(A6735, IMPORTRANGE(""https://docs.google.com/spreadsheets/d/1-3Vjw2Cyy-mry5gbC8ypIR3YVGFfEpyFESummAta6sg/edit"", ""Sheet1!B:D""), 3, FALSE), ""Not Found"")"),"ʧ ɪ l i ")</f>
        <v>ʧ ɪ l i </v>
      </c>
    </row>
    <row r="6736">
      <c r="A6736" s="1" t="s">
        <v>6738</v>
      </c>
      <c r="B6736" s="1" t="s">
        <v>5</v>
      </c>
      <c r="C6736" s="2">
        <f>IFERROR(__xludf.DUMMYFUNCTION("IFERROR(VLOOKUP(A6736, IMPORTRANGE(""https://docs.google.com/spreadsheets/d/1AVX9GT0dgogEBStecCXMMQ29tWz3gBrtNB8yIromXbY/edit?gid=741673867"", ""out1g!A:B""), 2, FALSE), 0)"),52.0)</f>
        <v>52</v>
      </c>
      <c r="D6736" s="2" t="str">
        <f>IFERROR(__xludf.DUMMYFUNCTION("IFERROR(VLOOKUP(A6736, IMPORTRANGE(""https://docs.google.com/spreadsheets/d/1-3Vjw2Cyy-mry5gbC8ypIR3YVGFfEpyFESummAta6sg/edit"", ""Sheet1!B:D""), 2, FALSE), ""Not Found"")"),"kərsi")</f>
        <v>kərsi</v>
      </c>
      <c r="E6736" s="2" t="str">
        <f>IFERROR(__xludf.DUMMYFUNCTION("IFERROR(VLOOKUP(A6736, IMPORTRANGE(""https://docs.google.com/spreadsheets/d/1-3Vjw2Cyy-mry5gbC8ypIR3YVGFfEpyFESummAta6sg/edit"", ""Sheet1!B:D""), 3, FALSE), ""Not Found"")"),"k ə r s i ")</f>
        <v>k ə r s i </v>
      </c>
    </row>
    <row r="6737">
      <c r="A6737" s="1" t="s">
        <v>6739</v>
      </c>
      <c r="B6737" s="1" t="s">
        <v>5</v>
      </c>
      <c r="C6737" s="2">
        <f>IFERROR(__xludf.DUMMYFUNCTION("IFERROR(VLOOKUP(A6737, IMPORTRANGE(""https://docs.google.com/spreadsheets/d/1AVX9GT0dgogEBStecCXMMQ29tWz3gBrtNB8yIromXbY/edit?gid=741673867"", ""out1g!A:B""), 2, FALSE), 0)"),44.0)</f>
        <v>44</v>
      </c>
      <c r="D6737" s="2" t="str">
        <f>IFERROR(__xludf.DUMMYFUNCTION("IFERROR(VLOOKUP(A6737, IMPORTRANGE(""https://docs.google.com/spreadsheets/d/1-3Vjw2Cyy-mry5gbC8ypIR3YVGFfEpyFESummAta6sg/edit"", ""Sheet1!B:D""), 2, FALSE), ""Not Found"")"),"smækɪŋ")</f>
        <v>smækɪŋ</v>
      </c>
      <c r="E6737" s="2" t="str">
        <f>IFERROR(__xludf.DUMMYFUNCTION("IFERROR(VLOOKUP(A6737, IMPORTRANGE(""https://docs.google.com/spreadsheets/d/1-3Vjw2Cyy-mry5gbC8ypIR3YVGFfEpyFESummAta6sg/edit"", ""Sheet1!B:D""), 3, FALSE), ""Not Found"")"),"s m æ k ɪ ŋ ")</f>
        <v>s m æ k ɪ ŋ </v>
      </c>
    </row>
    <row r="6738">
      <c r="A6738" s="1" t="s">
        <v>6740</v>
      </c>
      <c r="B6738" s="1" t="s">
        <v>5</v>
      </c>
      <c r="C6738" s="2">
        <f>IFERROR(__xludf.DUMMYFUNCTION("IFERROR(VLOOKUP(A6738, IMPORTRANGE(""https://docs.google.com/spreadsheets/d/1AVX9GT0dgogEBStecCXMMQ29tWz3gBrtNB8yIromXbY/edit?gid=741673867"", ""out1g!A:B""), 2, FALSE), 0)"),27.0)</f>
        <v>27</v>
      </c>
      <c r="D6738" s="2" t="str">
        <f>IFERROR(__xludf.DUMMYFUNCTION("IFERROR(VLOOKUP(A6738, IMPORTRANGE(""https://docs.google.com/spreadsheets/d/1-3Vjw2Cyy-mry5gbC8ypIR3YVGFfEpyFESummAta6sg/edit"", ""Sheet1!B:D""), 2, FALSE), ""Not Found"")"),"spɔnd")</f>
        <v>spɔnd</v>
      </c>
      <c r="E6738" s="2" t="str">
        <f>IFERROR(__xludf.DUMMYFUNCTION("IFERROR(VLOOKUP(A6738, IMPORTRANGE(""https://docs.google.com/spreadsheets/d/1-3Vjw2Cyy-mry5gbC8ypIR3YVGFfEpyFESummAta6sg/edit"", ""Sheet1!B:D""), 3, FALSE), ""Not Found"")"),"s p ɔ n d ")</f>
        <v>s p ɔ n d </v>
      </c>
    </row>
    <row r="6739">
      <c r="A6739" s="1" t="s">
        <v>6741</v>
      </c>
      <c r="B6739" s="1" t="s">
        <v>5</v>
      </c>
      <c r="C6739" s="2">
        <f>IFERROR(__xludf.DUMMYFUNCTION("IFERROR(VLOOKUP(A6739, IMPORTRANGE(""https://docs.google.com/spreadsheets/d/1AVX9GT0dgogEBStecCXMMQ29tWz3gBrtNB8yIromXbY/edit?gid=741673867"", ""out1g!A:B""), 2, FALSE), 0)"),480.0)</f>
        <v>480</v>
      </c>
      <c r="D6739" s="2" t="str">
        <f>IFERROR(__xludf.DUMMYFUNCTION("IFERROR(VLOOKUP(A6739, IMPORTRANGE(""https://docs.google.com/spreadsheets/d/1-3Vjw2Cyy-mry5gbC8ypIR3YVGFfEpyFESummAta6sg/edit"", ""Sheet1!B:D""), 2, FALSE), ""Not Found"")"),"kaʊz")</f>
        <v>kaʊz</v>
      </c>
      <c r="E6739" s="2" t="str">
        <f>IFERROR(__xludf.DUMMYFUNCTION("IFERROR(VLOOKUP(A6739, IMPORTRANGE(""https://docs.google.com/spreadsheets/d/1-3Vjw2Cyy-mry5gbC8ypIR3YVGFfEpyFESummAta6sg/edit"", ""Sheet1!B:D""), 3, FALSE), ""Not Found"")"),"k a ʊ z ")</f>
        <v>k a ʊ z </v>
      </c>
    </row>
    <row r="6740">
      <c r="A6740" s="1" t="s">
        <v>6742</v>
      </c>
      <c r="B6740" s="1" t="s">
        <v>5</v>
      </c>
      <c r="C6740" s="2">
        <f>IFERROR(__xludf.DUMMYFUNCTION("IFERROR(VLOOKUP(A6740, IMPORTRANGE(""https://docs.google.com/spreadsheets/d/1AVX9GT0dgogEBStecCXMMQ29tWz3gBrtNB8yIromXbY/edit?gid=741673867"", ""out1g!A:B""), 2, FALSE), 0)"),157.0)</f>
        <v>157</v>
      </c>
      <c r="D6740" s="2" t="str">
        <f>IFERROR(__xludf.DUMMYFUNCTION("IFERROR(VLOOKUP(A6740, IMPORTRANGE(""https://docs.google.com/spreadsheets/d/1-3Vjw2Cyy-mry5gbC8ypIR3YVGFfEpyFESummAta6sg/edit"", ""Sheet1!B:D""), 2, FALSE), ""Not Found"")"),"toʊɑ")</f>
        <v>toʊɑ</v>
      </c>
      <c r="E6740" s="2" t="str">
        <f>IFERROR(__xludf.DUMMYFUNCTION("IFERROR(VLOOKUP(A6740, IMPORTRANGE(""https://docs.google.com/spreadsheets/d/1-3Vjw2Cyy-mry5gbC8ypIR3YVGFfEpyFESummAta6sg/edit"", ""Sheet1!B:D""), 3, FALSE), ""Not Found"")"),"t o ʊ ɑ ")</f>
        <v>t o ʊ ɑ </v>
      </c>
    </row>
    <row r="6741">
      <c r="A6741" s="1" t="s">
        <v>6743</v>
      </c>
      <c r="B6741" s="1" t="s">
        <v>5</v>
      </c>
      <c r="C6741" s="2">
        <f>IFERROR(__xludf.DUMMYFUNCTION("IFERROR(VLOOKUP(A6741, IMPORTRANGE(""https://docs.google.com/spreadsheets/d/1AVX9GT0dgogEBStecCXMMQ29tWz3gBrtNB8yIromXbY/edit?gid=741673867"", ""out1g!A:B""), 2, FALSE), 0)"),155.0)</f>
        <v>155</v>
      </c>
      <c r="D6741" s="2" t="str">
        <f>IFERROR(__xludf.DUMMYFUNCTION("IFERROR(VLOOKUP(A6741, IMPORTRANGE(""https://docs.google.com/spreadsheets/d/1-3Vjw2Cyy-mry5gbC8ypIR3YVGFfEpyFESummAta6sg/edit"", ""Sheet1!B:D""), 2, FALSE), ""Not Found"")"),"slaɪdz")</f>
        <v>slaɪdz</v>
      </c>
      <c r="E6741" s="2" t="str">
        <f>IFERROR(__xludf.DUMMYFUNCTION("IFERROR(VLOOKUP(A6741, IMPORTRANGE(""https://docs.google.com/spreadsheets/d/1-3Vjw2Cyy-mry5gbC8ypIR3YVGFfEpyFESummAta6sg/edit"", ""Sheet1!B:D""), 3, FALSE), ""Not Found"")"),"s l a ɪ d z ")</f>
        <v>s l a ɪ d z </v>
      </c>
    </row>
    <row r="6742">
      <c r="A6742" s="1" t="s">
        <v>6744</v>
      </c>
      <c r="B6742" s="1" t="s">
        <v>5</v>
      </c>
      <c r="C6742" s="2">
        <f>IFERROR(__xludf.DUMMYFUNCTION("IFERROR(VLOOKUP(A6742, IMPORTRANGE(""https://docs.google.com/spreadsheets/d/1AVX9GT0dgogEBStecCXMMQ29tWz3gBrtNB8yIromXbY/edit?gid=741673867"", ""out1g!A:B""), 2, FALSE), 0)"),41232.0)</f>
        <v>41232</v>
      </c>
      <c r="D6742" s="2" t="str">
        <f>IFERROR(__xludf.DUMMYFUNCTION("IFERROR(VLOOKUP(A6742, IMPORTRANGE(""https://docs.google.com/spreadsheets/d/1-3Vjw2Cyy-mry5gbC8ypIR3YVGFfEpyFESummAta6sg/edit"", ""Sheet1!B:D""), 2, FALSE), ""Not Found"")"),"θɔt")</f>
        <v>θɔt</v>
      </c>
      <c r="E6742" s="2" t="str">
        <f>IFERROR(__xludf.DUMMYFUNCTION("IFERROR(VLOOKUP(A6742, IMPORTRANGE(""https://docs.google.com/spreadsheets/d/1-3Vjw2Cyy-mry5gbC8ypIR3YVGFfEpyFESummAta6sg/edit"", ""Sheet1!B:D""), 3, FALSE), ""Not Found"")"),"θ ɔ t ")</f>
        <v>θ ɔ t </v>
      </c>
    </row>
    <row r="6743">
      <c r="A6743" s="1" t="s">
        <v>6745</v>
      </c>
      <c r="B6743" s="1" t="s">
        <v>5</v>
      </c>
      <c r="C6743" s="2">
        <f>IFERROR(__xludf.DUMMYFUNCTION("IFERROR(VLOOKUP(A6743, IMPORTRANGE(""https://docs.google.com/spreadsheets/d/1AVX9GT0dgogEBStecCXMMQ29tWz3gBrtNB8yIromXbY/edit?gid=741673867"", ""out1g!A:B""), 2, FALSE), 0)"),989.0)</f>
        <v>989</v>
      </c>
      <c r="D6743" s="2" t="str">
        <f>IFERROR(__xludf.DUMMYFUNCTION("IFERROR(VLOOKUP(A6743, IMPORTRANGE(""https://docs.google.com/spreadsheets/d/1-3Vjw2Cyy-mry5gbC8ypIR3YVGFfEpyFESummAta6sg/edit"", ""Sheet1!B:D""), 2, FALSE), ""Not Found"")"),"paɪp")</f>
        <v>paɪp</v>
      </c>
      <c r="E6743" s="2" t="str">
        <f>IFERROR(__xludf.DUMMYFUNCTION("IFERROR(VLOOKUP(A6743, IMPORTRANGE(""https://docs.google.com/spreadsheets/d/1-3Vjw2Cyy-mry5gbC8ypIR3YVGFfEpyFESummAta6sg/edit"", ""Sheet1!B:D""), 3, FALSE), ""Not Found"")"),"p a ɪ p ")</f>
        <v>p a ɪ p </v>
      </c>
    </row>
    <row r="6744">
      <c r="A6744" s="1" t="s">
        <v>6746</v>
      </c>
      <c r="B6744" s="1" t="s">
        <v>5</v>
      </c>
      <c r="C6744" s="2">
        <f>IFERROR(__xludf.DUMMYFUNCTION("IFERROR(VLOOKUP(A6744, IMPORTRANGE(""https://docs.google.com/spreadsheets/d/1AVX9GT0dgogEBStecCXMMQ29tWz3gBrtNB8yIromXbY/edit?gid=741673867"", ""out1g!A:B""), 2, FALSE), 0)"),352.0)</f>
        <v>352</v>
      </c>
      <c r="D6744" s="2" t="str">
        <f>IFERROR(__xludf.DUMMYFUNCTION("IFERROR(VLOOKUP(A6744, IMPORTRANGE(""https://docs.google.com/spreadsheets/d/1-3Vjw2Cyy-mry5gbC8ypIR3YVGFfEpyFESummAta6sg/edit"", ""Sheet1!B:D""), 2, FALSE), ""Not Found"")"),"spikər")</f>
        <v>spikər</v>
      </c>
      <c r="E6744" s="2" t="str">
        <f>IFERROR(__xludf.DUMMYFUNCTION("IFERROR(VLOOKUP(A6744, IMPORTRANGE(""https://docs.google.com/spreadsheets/d/1-3Vjw2Cyy-mry5gbC8ypIR3YVGFfEpyFESummAta6sg/edit"", ""Sheet1!B:D""), 3, FALSE), ""Not Found"")"),"s p i k ə r ")</f>
        <v>s p i k ə r </v>
      </c>
    </row>
    <row r="6745">
      <c r="A6745" s="1" t="s">
        <v>6747</v>
      </c>
      <c r="B6745" s="1" t="s">
        <v>5</v>
      </c>
      <c r="C6745" s="2">
        <f>IFERROR(__xludf.DUMMYFUNCTION("IFERROR(VLOOKUP(A6745, IMPORTRANGE(""https://docs.google.com/spreadsheets/d/1AVX9GT0dgogEBStecCXMMQ29tWz3gBrtNB8yIromXbY/edit?gid=741673867"", ""out1g!A:B""), 2, FALSE), 0)"),1348.0)</f>
        <v>1348</v>
      </c>
      <c r="D6745" s="2" t="str">
        <f>IFERROR(__xludf.DUMMYFUNCTION("IFERROR(VLOOKUP(A6745, IMPORTRANGE(""https://docs.google.com/spreadsheets/d/1-3Vjw2Cyy-mry5gbC8ypIR3YVGFfEpyFESummAta6sg/edit"", ""Sheet1!B:D""), 2, FALSE), ""Not Found"")"),"məri")</f>
        <v>məri</v>
      </c>
      <c r="E6745" s="2" t="str">
        <f>IFERROR(__xludf.DUMMYFUNCTION("IFERROR(VLOOKUP(A6745, IMPORTRANGE(""https://docs.google.com/spreadsheets/d/1-3Vjw2Cyy-mry5gbC8ypIR3YVGFfEpyFESummAta6sg/edit"", ""Sheet1!B:D""), 3, FALSE), ""Not Found"")"),"m ə r i ")</f>
        <v>m ə r i </v>
      </c>
    </row>
    <row r="6746">
      <c r="A6746" s="1" t="s">
        <v>6748</v>
      </c>
      <c r="B6746" s="1" t="s">
        <v>5</v>
      </c>
      <c r="C6746" s="2">
        <f>IFERROR(__xludf.DUMMYFUNCTION("IFERROR(VLOOKUP(A6746, IMPORTRANGE(""https://docs.google.com/spreadsheets/d/1AVX9GT0dgogEBStecCXMMQ29tWz3gBrtNB8yIromXbY/edit?gid=741673867"", ""out1g!A:B""), 2, FALSE), 0)"),64.0)</f>
        <v>64</v>
      </c>
      <c r="D6746" s="2" t="str">
        <f>IFERROR(__xludf.DUMMYFUNCTION("IFERROR(VLOOKUP(A6746, IMPORTRANGE(""https://docs.google.com/spreadsheets/d/1-3Vjw2Cyy-mry5gbC8ypIR3YVGFfEpyFESummAta6sg/edit"", ""Sheet1!B:D""), 2, FALSE), ""Not Found"")"),"boʊɪŋ")</f>
        <v>boʊɪŋ</v>
      </c>
      <c r="E6746" s="2" t="str">
        <f>IFERROR(__xludf.DUMMYFUNCTION("IFERROR(VLOOKUP(A6746, IMPORTRANGE(""https://docs.google.com/spreadsheets/d/1-3Vjw2Cyy-mry5gbC8ypIR3YVGFfEpyFESummAta6sg/edit"", ""Sheet1!B:D""), 3, FALSE), ""Not Found"")"),"b o ʊ ɪ ŋ ")</f>
        <v>b o ʊ ɪ ŋ </v>
      </c>
    </row>
    <row r="6747">
      <c r="A6747" s="1" t="s">
        <v>6749</v>
      </c>
      <c r="B6747" s="1" t="s">
        <v>5</v>
      </c>
      <c r="C6747" s="2">
        <f>IFERROR(__xludf.DUMMYFUNCTION("IFERROR(VLOOKUP(A6747, IMPORTRANGE(""https://docs.google.com/spreadsheets/d/1AVX9GT0dgogEBStecCXMMQ29tWz3gBrtNB8yIromXbY/edit?gid=741673867"", ""out1g!A:B""), 2, FALSE), 0)"),46.0)</f>
        <v>46</v>
      </c>
      <c r="D6747" s="2" t="str">
        <f>IFERROR(__xludf.DUMMYFUNCTION("IFERROR(VLOOKUP(A6747, IMPORTRANGE(""https://docs.google.com/spreadsheets/d/1-3Vjw2Cyy-mry5gbC8ypIR3YVGFfEpyFESummAta6sg/edit"", ""Sheet1!B:D""), 2, FALSE), ""Not Found"")"),"stækɪŋ")</f>
        <v>stækɪŋ</v>
      </c>
      <c r="E6747" s="2" t="str">
        <f>IFERROR(__xludf.DUMMYFUNCTION("IFERROR(VLOOKUP(A6747, IMPORTRANGE(""https://docs.google.com/spreadsheets/d/1-3Vjw2Cyy-mry5gbC8ypIR3YVGFfEpyFESummAta6sg/edit"", ""Sheet1!B:D""), 3, FALSE), ""Not Found"")"),"s t æ k ɪ ŋ ")</f>
        <v>s t æ k ɪ ŋ </v>
      </c>
    </row>
    <row r="6748">
      <c r="A6748" s="1" t="s">
        <v>6750</v>
      </c>
      <c r="B6748" s="1" t="s">
        <v>5</v>
      </c>
      <c r="C6748" s="2">
        <f>IFERROR(__xludf.DUMMYFUNCTION("IFERROR(VLOOKUP(A6748, IMPORTRANGE(""https://docs.google.com/spreadsheets/d/1AVX9GT0dgogEBStecCXMMQ29tWz3gBrtNB8yIromXbY/edit?gid=741673867"", ""out1g!A:B""), 2, FALSE), 0)"),53.0)</f>
        <v>53</v>
      </c>
      <c r="D6748" s="2" t="str">
        <f>IFERROR(__xludf.DUMMYFUNCTION("IFERROR(VLOOKUP(A6748, IMPORTRANGE(""https://docs.google.com/spreadsheets/d/1-3Vjw2Cyy-mry5gbC8ypIR3YVGFfEpyFESummAta6sg/edit"", ""Sheet1!B:D""), 2, FALSE), ""Not Found"")"),"hɑg")</f>
        <v>hɑg</v>
      </c>
      <c r="E6748" s="2" t="str">
        <f>IFERROR(__xludf.DUMMYFUNCTION("IFERROR(VLOOKUP(A6748, IMPORTRANGE(""https://docs.google.com/spreadsheets/d/1-3Vjw2Cyy-mry5gbC8ypIR3YVGFfEpyFESummAta6sg/edit"", ""Sheet1!B:D""), 3, FALSE), ""Not Found"")"),"h ɑ g ")</f>
        <v>h ɑ g </v>
      </c>
    </row>
    <row r="6749">
      <c r="A6749" s="1" t="s">
        <v>6751</v>
      </c>
      <c r="B6749" s="1" t="s">
        <v>5</v>
      </c>
      <c r="C6749" s="2">
        <f>IFERROR(__xludf.DUMMYFUNCTION("IFERROR(VLOOKUP(A6749, IMPORTRANGE(""https://docs.google.com/spreadsheets/d/1AVX9GT0dgogEBStecCXMMQ29tWz3gBrtNB8yIromXbY/edit?gid=741673867"", ""out1g!A:B""), 2, FALSE), 0)"),2533.0)</f>
        <v>2533</v>
      </c>
      <c r="D6749" s="2" t="str">
        <f>IFERROR(__xludf.DUMMYFUNCTION("IFERROR(VLOOKUP(A6749, IMPORTRANGE(""https://docs.google.com/spreadsheets/d/1-3Vjw2Cyy-mry5gbC8ypIR3YVGFfEpyFESummAta6sg/edit"", ""Sheet1!B:D""), 2, FALSE), ""Not Found"")"),"faɪnəl")</f>
        <v>faɪnəl</v>
      </c>
      <c r="E6749" s="2" t="str">
        <f>IFERROR(__xludf.DUMMYFUNCTION("IFERROR(VLOOKUP(A6749, IMPORTRANGE(""https://docs.google.com/spreadsheets/d/1-3Vjw2Cyy-mry5gbC8ypIR3YVGFfEpyFESummAta6sg/edit"", ""Sheet1!B:D""), 3, FALSE), ""Not Found"")"),"f a ɪ n ə l ")</f>
        <v>f a ɪ n ə l </v>
      </c>
    </row>
    <row r="6750">
      <c r="A6750" s="1" t="s">
        <v>6752</v>
      </c>
      <c r="B6750" s="1" t="s">
        <v>5</v>
      </c>
      <c r="C6750" s="2">
        <f>IFERROR(__xludf.DUMMYFUNCTION("IFERROR(VLOOKUP(A6750, IMPORTRANGE(""https://docs.google.com/spreadsheets/d/1AVX9GT0dgogEBStecCXMMQ29tWz3gBrtNB8yIromXbY/edit?gid=741673867"", ""out1g!A:B""), 2, FALSE), 0)"),9.0)</f>
        <v>9</v>
      </c>
      <c r="D6750" s="2" t="str">
        <f>IFERROR(__xludf.DUMMYFUNCTION("IFERROR(VLOOKUP(A6750, IMPORTRANGE(""https://docs.google.com/spreadsheets/d/1-3Vjw2Cyy-mry5gbC8ypIR3YVGFfEpyFESummAta6sg/edit"", ""Sheet1!B:D""), 2, FALSE), ""Not Found"")"),"kənuɪŋ")</f>
        <v>kənuɪŋ</v>
      </c>
      <c r="E6750" s="2" t="str">
        <f>IFERROR(__xludf.DUMMYFUNCTION("IFERROR(VLOOKUP(A6750, IMPORTRANGE(""https://docs.google.com/spreadsheets/d/1-3Vjw2Cyy-mry5gbC8ypIR3YVGFfEpyFESummAta6sg/edit"", ""Sheet1!B:D""), 3, FALSE), ""Not Found"")"),"k ə n u ɪ ŋ ")</f>
        <v>k ə n u ɪ ŋ </v>
      </c>
    </row>
    <row r="6751">
      <c r="A6751" s="1" t="s">
        <v>6753</v>
      </c>
      <c r="B6751" s="1" t="s">
        <v>5</v>
      </c>
      <c r="C6751" s="2">
        <f>IFERROR(__xludf.DUMMYFUNCTION("IFERROR(VLOOKUP(A6751, IMPORTRANGE(""https://docs.google.com/spreadsheets/d/1AVX9GT0dgogEBStecCXMMQ29tWz3gBrtNB8yIromXbY/edit?gid=741673867"", ""out1g!A:B""), 2, FALSE), 0)"),75.0)</f>
        <v>75</v>
      </c>
      <c r="D6751" s="2" t="str">
        <f>IFERROR(__xludf.DUMMYFUNCTION("IFERROR(VLOOKUP(A6751, IMPORTRANGE(""https://docs.google.com/spreadsheets/d/1-3Vjw2Cyy-mry5gbC8ypIR3YVGFfEpyFESummAta6sg/edit"", ""Sheet1!B:D""), 2, FALSE), ""Not Found"")"),"prun")</f>
        <v>prun</v>
      </c>
      <c r="E6751" s="2" t="str">
        <f>IFERROR(__xludf.DUMMYFUNCTION("IFERROR(VLOOKUP(A6751, IMPORTRANGE(""https://docs.google.com/spreadsheets/d/1-3Vjw2Cyy-mry5gbC8ypIR3YVGFfEpyFESummAta6sg/edit"", ""Sheet1!B:D""), 3, FALSE), ""Not Found"")"),"p r u n ")</f>
        <v>p r u n </v>
      </c>
    </row>
    <row r="6752">
      <c r="A6752" s="1" t="s">
        <v>6754</v>
      </c>
      <c r="B6752" s="1" t="s">
        <v>5</v>
      </c>
      <c r="C6752" s="2">
        <f>IFERROR(__xludf.DUMMYFUNCTION("IFERROR(VLOOKUP(A6752, IMPORTRANGE(""https://docs.google.com/spreadsheets/d/1AVX9GT0dgogEBStecCXMMQ29tWz3gBrtNB8yIromXbY/edit?gid=741673867"", ""out1g!A:B""), 2, FALSE), 0)"),281.0)</f>
        <v>281</v>
      </c>
      <c r="D6752" s="2" t="str">
        <f>IFERROR(__xludf.DUMMYFUNCTION("IFERROR(VLOOKUP(A6752, IMPORTRANGE(""https://docs.google.com/spreadsheets/d/1-3Vjw2Cyy-mry5gbC8ypIR3YVGFfEpyFESummAta6sg/edit"", ""Sheet1!B:D""), 2, FALSE), ""Not Found"")"),"sɑl")</f>
        <v>sɑl</v>
      </c>
      <c r="E6752" s="2" t="str">
        <f>IFERROR(__xludf.DUMMYFUNCTION("IFERROR(VLOOKUP(A6752, IMPORTRANGE(""https://docs.google.com/spreadsheets/d/1-3Vjw2Cyy-mry5gbC8ypIR3YVGFfEpyFESummAta6sg/edit"", ""Sheet1!B:D""), 3, FALSE), ""Not Found"")"),"s ɑ l ")</f>
        <v>s ɑ l </v>
      </c>
    </row>
    <row r="6753">
      <c r="A6753" s="1" t="s">
        <v>6755</v>
      </c>
      <c r="B6753" s="1" t="s">
        <v>5</v>
      </c>
      <c r="C6753" s="2">
        <f>IFERROR(__xludf.DUMMYFUNCTION("IFERROR(VLOOKUP(A6753, IMPORTRANGE(""https://docs.google.com/spreadsheets/d/1AVX9GT0dgogEBStecCXMMQ29tWz3gBrtNB8yIromXbY/edit?gid=741673867"", ""out1g!A:B""), 2, FALSE), 0)"),59.0)</f>
        <v>59</v>
      </c>
      <c r="D6753" s="2" t="str">
        <f>IFERROR(__xludf.DUMMYFUNCTION("IFERROR(VLOOKUP(A6753, IMPORTRANGE(""https://docs.google.com/spreadsheets/d/1-3Vjw2Cyy-mry5gbC8ypIR3YVGFfEpyFESummAta6sg/edit"", ""Sheet1!B:D""), 2, FALSE), ""Not Found"")"),"spæm")</f>
        <v>spæm</v>
      </c>
      <c r="E6753" s="2" t="str">
        <f>IFERROR(__xludf.DUMMYFUNCTION("IFERROR(VLOOKUP(A6753, IMPORTRANGE(""https://docs.google.com/spreadsheets/d/1-3Vjw2Cyy-mry5gbC8ypIR3YVGFfEpyFESummAta6sg/edit"", ""Sheet1!B:D""), 3, FALSE), ""Not Found"")"),"s p æ m ")</f>
        <v>s p æ m </v>
      </c>
    </row>
    <row r="6754">
      <c r="A6754" s="1" t="s">
        <v>6756</v>
      </c>
      <c r="B6754" s="1" t="s">
        <v>5</v>
      </c>
      <c r="C6754" s="2">
        <f>IFERROR(__xludf.DUMMYFUNCTION("IFERROR(VLOOKUP(A6754, IMPORTRANGE(""https://docs.google.com/spreadsheets/d/1AVX9GT0dgogEBStecCXMMQ29tWz3gBrtNB8yIromXbY/edit?gid=741673867"", ""out1g!A:B""), 2, FALSE), 0)"),502.0)</f>
        <v>502</v>
      </c>
      <c r="D6754" s="2" t="str">
        <f>IFERROR(__xludf.DUMMYFUNCTION("IFERROR(VLOOKUP(A6754, IMPORTRANGE(""https://docs.google.com/spreadsheets/d/1-3Vjw2Cyy-mry5gbC8ypIR3YVGFfEpyFESummAta6sg/edit"", ""Sheet1!B:D""), 2, FALSE), ""Not Found"")"),"taɪz")</f>
        <v>taɪz</v>
      </c>
      <c r="E6754" s="2" t="str">
        <f>IFERROR(__xludf.DUMMYFUNCTION("IFERROR(VLOOKUP(A6754, IMPORTRANGE(""https://docs.google.com/spreadsheets/d/1-3Vjw2Cyy-mry5gbC8ypIR3YVGFfEpyFESummAta6sg/edit"", ""Sheet1!B:D""), 3, FALSE), ""Not Found"")"),"t a ɪ z ")</f>
        <v>t a ɪ z </v>
      </c>
    </row>
    <row r="6755">
      <c r="A6755" s="1" t="s">
        <v>6757</v>
      </c>
      <c r="B6755" s="1" t="s">
        <v>5</v>
      </c>
      <c r="C6755" s="2">
        <f>IFERROR(__xludf.DUMMYFUNCTION("IFERROR(VLOOKUP(A6755, IMPORTRANGE(""https://docs.google.com/spreadsheets/d/1AVX9GT0dgogEBStecCXMMQ29tWz3gBrtNB8yIromXbY/edit?gid=741673867"", ""out1g!A:B""), 2, FALSE), 0)"),48.0)</f>
        <v>48</v>
      </c>
      <c r="D6755" s="2" t="str">
        <f>IFERROR(__xludf.DUMMYFUNCTION("IFERROR(VLOOKUP(A6755, IMPORTRANGE(""https://docs.google.com/spreadsheets/d/1-3Vjw2Cyy-mry5gbC8ypIR3YVGFfEpyFESummAta6sg/edit"", ""Sheet1!B:D""), 2, FALSE), ""Not Found"")"),"paɪəs")</f>
        <v>paɪəs</v>
      </c>
      <c r="E6755" s="2" t="str">
        <f>IFERROR(__xludf.DUMMYFUNCTION("IFERROR(VLOOKUP(A6755, IMPORTRANGE(""https://docs.google.com/spreadsheets/d/1-3Vjw2Cyy-mry5gbC8ypIR3YVGFfEpyFESummAta6sg/edit"", ""Sheet1!B:D""), 3, FALSE), ""Not Found"")"),"p a ɪ ə s ")</f>
        <v>p a ɪ ə s </v>
      </c>
    </row>
    <row r="6756">
      <c r="A6756" s="1" t="s">
        <v>6758</v>
      </c>
      <c r="B6756" s="1" t="s">
        <v>5</v>
      </c>
      <c r="C6756" s="2">
        <f>IFERROR(__xludf.DUMMYFUNCTION("IFERROR(VLOOKUP(A6756, IMPORTRANGE(""https://docs.google.com/spreadsheets/d/1AVX9GT0dgogEBStecCXMMQ29tWz3gBrtNB8yIromXbY/edit?gid=741673867"", ""out1g!A:B""), 2, FALSE), 0)"),360.0)</f>
        <v>360</v>
      </c>
      <c r="D6756" s="2" t="str">
        <f>IFERROR(__xludf.DUMMYFUNCTION("IFERROR(VLOOKUP(A6756, IMPORTRANGE(""https://docs.google.com/spreadsheets/d/1-3Vjw2Cyy-mry5gbC8ypIR3YVGFfEpyFESummAta6sg/edit"", ""Sheet1!B:D""), 2, FALSE), ""Not Found"")"),"baɪz")</f>
        <v>baɪz</v>
      </c>
      <c r="E6756" s="2" t="str">
        <f>IFERROR(__xludf.DUMMYFUNCTION("IFERROR(VLOOKUP(A6756, IMPORTRANGE(""https://docs.google.com/spreadsheets/d/1-3Vjw2Cyy-mry5gbC8ypIR3YVGFfEpyFESummAta6sg/edit"", ""Sheet1!B:D""), 3, FALSE), ""Not Found"")"),"b a ɪ z ")</f>
        <v>b a ɪ z </v>
      </c>
    </row>
    <row r="6757">
      <c r="A6757" s="1" t="s">
        <v>6759</v>
      </c>
      <c r="B6757" s="1" t="s">
        <v>5</v>
      </c>
      <c r="C6757" s="2">
        <f>IFERROR(__xludf.DUMMYFUNCTION("IFERROR(VLOOKUP(A6757, IMPORTRANGE(""https://docs.google.com/spreadsheets/d/1AVX9GT0dgogEBStecCXMMQ29tWz3gBrtNB8yIromXbY/edit?gid=741673867"", ""out1g!A:B""), 2, FALSE), 0)"),3620.0)</f>
        <v>3620</v>
      </c>
      <c r="D6757" s="2" t="str">
        <f>IFERROR(__xludf.DUMMYFUNCTION("IFERROR(VLOOKUP(A6757, IMPORTRANGE(""https://docs.google.com/spreadsheets/d/1-3Vjw2Cyy-mry5gbC8ypIR3YVGFfEpyFESummAta6sg/edit"", ""Sheet1!B:D""), 2, FALSE), ""Not Found"")"),"mæks")</f>
        <v>mæks</v>
      </c>
      <c r="E6757" s="2" t="str">
        <f>IFERROR(__xludf.DUMMYFUNCTION("IFERROR(VLOOKUP(A6757, IMPORTRANGE(""https://docs.google.com/spreadsheets/d/1-3Vjw2Cyy-mry5gbC8ypIR3YVGFfEpyFESummAta6sg/edit"", ""Sheet1!B:D""), 3, FALSE), ""Not Found"")"),"m æ k s ")</f>
        <v>m æ k s </v>
      </c>
    </row>
    <row r="6758">
      <c r="A6758" s="1" t="s">
        <v>6760</v>
      </c>
      <c r="B6758" s="1" t="s">
        <v>5</v>
      </c>
      <c r="C6758" s="2">
        <f>IFERROR(__xludf.DUMMYFUNCTION("IFERROR(VLOOKUP(A6758, IMPORTRANGE(""https://docs.google.com/spreadsheets/d/1AVX9GT0dgogEBStecCXMMQ29tWz3gBrtNB8yIromXbY/edit?gid=741673867"", ""out1g!A:B""), 2, FALSE), 0)"),671.0)</f>
        <v>671</v>
      </c>
      <c r="D6758" s="2" t="str">
        <f>IFERROR(__xludf.DUMMYFUNCTION("IFERROR(VLOOKUP(A6758, IMPORTRANGE(""https://docs.google.com/spreadsheets/d/1-3Vjw2Cyy-mry5gbC8ypIR3YVGFfEpyFESummAta6sg/edit"", ""Sheet1!B:D""), 2, FALSE), ""Not Found"")"),"bɛlz")</f>
        <v>bɛlz</v>
      </c>
      <c r="E6758" s="2" t="str">
        <f>IFERROR(__xludf.DUMMYFUNCTION("IFERROR(VLOOKUP(A6758, IMPORTRANGE(""https://docs.google.com/spreadsheets/d/1-3Vjw2Cyy-mry5gbC8ypIR3YVGFfEpyFESummAta6sg/edit"", ""Sheet1!B:D""), 3, FALSE), ""Not Found"")"),"b ɛ l z ")</f>
        <v>b ɛ l z </v>
      </c>
    </row>
    <row r="6759">
      <c r="A6759" s="1" t="s">
        <v>6761</v>
      </c>
      <c r="B6759" s="1" t="s">
        <v>5</v>
      </c>
      <c r="C6759" s="2">
        <f>IFERROR(__xludf.DUMMYFUNCTION("IFERROR(VLOOKUP(A6759, IMPORTRANGE(""https://docs.google.com/spreadsheets/d/1AVX9GT0dgogEBStecCXMMQ29tWz3gBrtNB8yIromXbY/edit?gid=741673867"", ""out1g!A:B""), 2, FALSE), 0)"),88.0)</f>
        <v>88</v>
      </c>
      <c r="D6759" s="2" t="str">
        <f>IFERROR(__xludf.DUMMYFUNCTION("IFERROR(VLOOKUP(A6759, IMPORTRANGE(""https://docs.google.com/spreadsheets/d/1-3Vjw2Cyy-mry5gbC8ypIR3YVGFfEpyFESummAta6sg/edit"", ""Sheet1!B:D""), 2, FALSE), ""Not Found"")"),"wɑp")</f>
        <v>wɑp</v>
      </c>
      <c r="E6759" s="2" t="str">
        <f>IFERROR(__xludf.DUMMYFUNCTION("IFERROR(VLOOKUP(A6759, IMPORTRANGE(""https://docs.google.com/spreadsheets/d/1-3Vjw2Cyy-mry5gbC8ypIR3YVGFfEpyFESummAta6sg/edit"", ""Sheet1!B:D""), 3, FALSE), ""Not Found"")"),"w ɑ p ")</f>
        <v>w ɑ p </v>
      </c>
    </row>
    <row r="6760">
      <c r="A6760" s="1" t="s">
        <v>6762</v>
      </c>
      <c r="B6760" s="1" t="s">
        <v>5</v>
      </c>
      <c r="C6760" s="2">
        <f>IFERROR(__xludf.DUMMYFUNCTION("IFERROR(VLOOKUP(A6760, IMPORTRANGE(""https://docs.google.com/spreadsheets/d/1AVX9GT0dgogEBStecCXMMQ29tWz3gBrtNB8yIromXbY/edit?gid=741673867"", ""out1g!A:B""), 2, FALSE), 0)"),104.0)</f>
        <v>104</v>
      </c>
      <c r="D6760" s="2" t="str">
        <f>IFERROR(__xludf.DUMMYFUNCTION("IFERROR(VLOOKUP(A6760, IMPORTRANGE(""https://docs.google.com/spreadsheets/d/1-3Vjw2Cyy-mry5gbC8ypIR3YVGFfEpyFESummAta6sg/edit"", ""Sheet1!B:D""), 2, FALSE), ""Not Found"")"),"glɪtər")</f>
        <v>glɪtər</v>
      </c>
      <c r="E6760" s="2" t="str">
        <f>IFERROR(__xludf.DUMMYFUNCTION("IFERROR(VLOOKUP(A6760, IMPORTRANGE(""https://docs.google.com/spreadsheets/d/1-3Vjw2Cyy-mry5gbC8ypIR3YVGFfEpyFESummAta6sg/edit"", ""Sheet1!B:D""), 3, FALSE), ""Not Found"")"),"g l ɪ t ə r ")</f>
        <v>g l ɪ t ə r </v>
      </c>
    </row>
    <row r="6761">
      <c r="A6761" s="1" t="s">
        <v>6763</v>
      </c>
      <c r="B6761" s="1" t="s">
        <v>5</v>
      </c>
      <c r="C6761" s="2">
        <f>IFERROR(__xludf.DUMMYFUNCTION("IFERROR(VLOOKUP(A6761, IMPORTRANGE(""https://docs.google.com/spreadsheets/d/1AVX9GT0dgogEBStecCXMMQ29tWz3gBrtNB8yIromXbY/edit?gid=741673867"", ""out1g!A:B""), 2, FALSE), 0)"),1537.0)</f>
        <v>1537</v>
      </c>
      <c r="D6761" s="2" t="str">
        <f>IFERROR(__xludf.DUMMYFUNCTION("IFERROR(VLOOKUP(A6761, IMPORTRANGE(""https://docs.google.com/spreadsheets/d/1-3Vjw2Cyy-mry5gbC8ypIR3YVGFfEpyFESummAta6sg/edit"", ""Sheet1!B:D""), 2, FALSE), ""Not Found"")"),"gæŋ")</f>
        <v>gæŋ</v>
      </c>
      <c r="E6761" s="2" t="str">
        <f>IFERROR(__xludf.DUMMYFUNCTION("IFERROR(VLOOKUP(A6761, IMPORTRANGE(""https://docs.google.com/spreadsheets/d/1-3Vjw2Cyy-mry5gbC8ypIR3YVGFfEpyFESummAta6sg/edit"", ""Sheet1!B:D""), 3, FALSE), ""Not Found"")"),"g æ ŋ ")</f>
        <v>g æ ŋ </v>
      </c>
    </row>
    <row r="6762">
      <c r="A6762" s="1" t="s">
        <v>6764</v>
      </c>
      <c r="B6762" s="1" t="s">
        <v>5</v>
      </c>
      <c r="C6762" s="2">
        <f>IFERROR(__xludf.DUMMYFUNCTION("IFERROR(VLOOKUP(A6762, IMPORTRANGE(""https://docs.google.com/spreadsheets/d/1AVX9GT0dgogEBStecCXMMQ29tWz3gBrtNB8yIromXbY/edit?gid=741673867"", ""out1g!A:B""), 2, FALSE), 0)"),297.0)</f>
        <v>297</v>
      </c>
      <c r="D6762" s="2" t="str">
        <f>IFERROR(__xludf.DUMMYFUNCTION("IFERROR(VLOOKUP(A6762, IMPORTRANGE(""https://docs.google.com/spreadsheets/d/1-3Vjw2Cyy-mry5gbC8ypIR3YVGFfEpyFESummAta6sg/edit"", ""Sheet1!B:D""), 2, FALSE), ""Not Found"")"),"welz")</f>
        <v>welz</v>
      </c>
      <c r="E6762" s="2" t="str">
        <f>IFERROR(__xludf.DUMMYFUNCTION("IFERROR(VLOOKUP(A6762, IMPORTRANGE(""https://docs.google.com/spreadsheets/d/1-3Vjw2Cyy-mry5gbC8ypIR3YVGFfEpyFESummAta6sg/edit"", ""Sheet1!B:D""), 3, FALSE), ""Not Found"")"),"w e l z ")</f>
        <v>w e l z </v>
      </c>
    </row>
    <row r="6763">
      <c r="A6763" s="1" t="s">
        <v>6765</v>
      </c>
      <c r="B6763" s="1" t="s">
        <v>5</v>
      </c>
      <c r="C6763" s="2">
        <f>IFERROR(__xludf.DUMMYFUNCTION("IFERROR(VLOOKUP(A6763, IMPORTRANGE(""https://docs.google.com/spreadsheets/d/1AVX9GT0dgogEBStecCXMMQ29tWz3gBrtNB8yIromXbY/edit?gid=741673867"", ""out1g!A:B""), 2, FALSE), 0)"),69.0)</f>
        <v>69</v>
      </c>
      <c r="D6763" s="2" t="str">
        <f>IFERROR(__xludf.DUMMYFUNCTION("IFERROR(VLOOKUP(A6763, IMPORTRANGE(""https://docs.google.com/spreadsheets/d/1-3Vjw2Cyy-mry5gbC8ypIR3YVGFfEpyFESummAta6sg/edit"", ""Sheet1!B:D""), 2, FALSE), ""Not Found"")"),"spaɪkt")</f>
        <v>spaɪkt</v>
      </c>
      <c r="E6763" s="2" t="str">
        <f>IFERROR(__xludf.DUMMYFUNCTION("IFERROR(VLOOKUP(A6763, IMPORTRANGE(""https://docs.google.com/spreadsheets/d/1-3Vjw2Cyy-mry5gbC8ypIR3YVGFfEpyFESummAta6sg/edit"", ""Sheet1!B:D""), 3, FALSE), ""Not Found"")"),"s p a ɪ k t ")</f>
        <v>s p a ɪ k t </v>
      </c>
    </row>
    <row r="6764">
      <c r="A6764" s="1" t="s">
        <v>6766</v>
      </c>
      <c r="B6764" s="1" t="s">
        <v>5</v>
      </c>
      <c r="C6764" s="2">
        <f>IFERROR(__xludf.DUMMYFUNCTION("IFERROR(VLOOKUP(A6764, IMPORTRANGE(""https://docs.google.com/spreadsheets/d/1AVX9GT0dgogEBStecCXMMQ29tWz3gBrtNB8yIromXbY/edit?gid=741673867"", ""out1g!A:B""), 2, FALSE), 0)"),52.0)</f>
        <v>52</v>
      </c>
      <c r="D6764" s="2" t="str">
        <f>IFERROR(__xludf.DUMMYFUNCTION("IFERROR(VLOOKUP(A6764, IMPORTRANGE(""https://docs.google.com/spreadsheets/d/1-3Vjw2Cyy-mry5gbC8ypIR3YVGFfEpyFESummAta6sg/edit"", ""Sheet1!B:D""), 2, FALSE), ""Not Found"")"),"nɪm")</f>
        <v>nɪm</v>
      </c>
      <c r="E6764" s="2" t="str">
        <f>IFERROR(__xludf.DUMMYFUNCTION("IFERROR(VLOOKUP(A6764, IMPORTRANGE(""https://docs.google.com/spreadsheets/d/1-3Vjw2Cyy-mry5gbC8ypIR3YVGFfEpyFESummAta6sg/edit"", ""Sheet1!B:D""), 3, FALSE), ""Not Found"")"),"n ɪ m ")</f>
        <v>n ɪ m </v>
      </c>
    </row>
    <row r="6765">
      <c r="A6765" s="1" t="s">
        <v>6767</v>
      </c>
      <c r="B6765" s="1" t="s">
        <v>5</v>
      </c>
      <c r="C6765" s="2">
        <f>IFERROR(__xludf.DUMMYFUNCTION("IFERROR(VLOOKUP(A6765, IMPORTRANGE(""https://docs.google.com/spreadsheets/d/1AVX9GT0dgogEBStecCXMMQ29tWz3gBrtNB8yIromXbY/edit?gid=741673867"", ""out1g!A:B""), 2, FALSE), 0)"),226.0)</f>
        <v>226</v>
      </c>
      <c r="D6765" s="2" t="str">
        <f>IFERROR(__xludf.DUMMYFUNCTION("IFERROR(VLOOKUP(A6765, IMPORTRANGE(""https://docs.google.com/spreadsheets/d/1-3Vjw2Cyy-mry5gbC8ypIR3YVGFfEpyFESummAta6sg/edit"", ""Sheet1!B:D""), 2, FALSE), ""Not Found"")"),"pip")</f>
        <v>pip</v>
      </c>
      <c r="E6765" s="2" t="str">
        <f>IFERROR(__xludf.DUMMYFUNCTION("IFERROR(VLOOKUP(A6765, IMPORTRANGE(""https://docs.google.com/spreadsheets/d/1-3Vjw2Cyy-mry5gbC8ypIR3YVGFfEpyFESummAta6sg/edit"", ""Sheet1!B:D""), 3, FALSE), ""Not Found"")"),"p i p ")</f>
        <v>p i p </v>
      </c>
    </row>
    <row r="6766">
      <c r="A6766" s="1" t="s">
        <v>6768</v>
      </c>
      <c r="B6766" s="1" t="s">
        <v>5</v>
      </c>
      <c r="C6766" s="2">
        <f>IFERROR(__xludf.DUMMYFUNCTION("IFERROR(VLOOKUP(A6766, IMPORTRANGE(""https://docs.google.com/spreadsheets/d/1AVX9GT0dgogEBStecCXMMQ29tWz3gBrtNB8yIromXbY/edit?gid=741673867"", ""out1g!A:B""), 2, FALSE), 0)"),113.0)</f>
        <v>113</v>
      </c>
      <c r="D6766" s="2" t="str">
        <f>IFERROR(__xludf.DUMMYFUNCTION("IFERROR(VLOOKUP(A6766, IMPORTRANGE(""https://docs.google.com/spreadsheets/d/1-3Vjw2Cyy-mry5gbC8ypIR3YVGFfEpyFESummAta6sg/edit"", ""Sheet1!B:D""), 2, FALSE), ""Not Found"")"),"vi")</f>
        <v>vi</v>
      </c>
      <c r="E6766" s="2" t="str">
        <f>IFERROR(__xludf.DUMMYFUNCTION("IFERROR(VLOOKUP(A6766, IMPORTRANGE(""https://docs.google.com/spreadsheets/d/1-3Vjw2Cyy-mry5gbC8ypIR3YVGFfEpyFESummAta6sg/edit"", ""Sheet1!B:D""), 3, FALSE), ""Not Found"")"),"v i ")</f>
        <v>v i </v>
      </c>
    </row>
    <row r="6767">
      <c r="A6767" s="1" t="s">
        <v>6769</v>
      </c>
      <c r="B6767" s="1" t="s">
        <v>5</v>
      </c>
      <c r="C6767" s="2">
        <f>IFERROR(__xludf.DUMMYFUNCTION("IFERROR(VLOOKUP(A6767, IMPORTRANGE(""https://docs.google.com/spreadsheets/d/1AVX9GT0dgogEBStecCXMMQ29tWz3gBrtNB8yIromXbY/edit?gid=741673867"", ""out1g!A:B""), 2, FALSE), 0)"),15062.0)</f>
        <v>15062</v>
      </c>
      <c r="D6767" s="2" t="str">
        <f>IFERROR(__xludf.DUMMYFUNCTION("IFERROR(VLOOKUP(A6767, IMPORTRANGE(""https://docs.google.com/spreadsheets/d/1-3Vjw2Cyy-mry5gbC8ypIR3YVGFfEpyFESummAta6sg/edit"", ""Sheet1!B:D""), 2, FALSE), ""Not Found"")"),"boʊθ")</f>
        <v>boʊθ</v>
      </c>
      <c r="E6767" s="2" t="str">
        <f>IFERROR(__xludf.DUMMYFUNCTION("IFERROR(VLOOKUP(A6767, IMPORTRANGE(""https://docs.google.com/spreadsheets/d/1-3Vjw2Cyy-mry5gbC8ypIR3YVGFfEpyFESummAta6sg/edit"", ""Sheet1!B:D""), 3, FALSE), ""Not Found"")"),"b o ʊ θ ")</f>
        <v>b o ʊ θ </v>
      </c>
    </row>
    <row r="6768">
      <c r="A6768" s="1" t="s">
        <v>6770</v>
      </c>
      <c r="B6768" s="1" t="s">
        <v>5</v>
      </c>
      <c r="C6768" s="2">
        <f>IFERROR(__xludf.DUMMYFUNCTION("IFERROR(VLOOKUP(A6768, IMPORTRANGE(""https://docs.google.com/spreadsheets/d/1AVX9GT0dgogEBStecCXMMQ29tWz3gBrtNB8yIromXbY/edit?gid=741673867"", ""out1g!A:B""), 2, FALSE), 0)"),33.0)</f>
        <v>33</v>
      </c>
      <c r="D6768" s="2" t="str">
        <f>IFERROR(__xludf.DUMMYFUNCTION("IFERROR(VLOOKUP(A6768, IMPORTRANGE(""https://docs.google.com/spreadsheets/d/1-3Vjw2Cyy-mry5gbC8ypIR3YVGFfEpyFESummAta6sg/edit"", ""Sheet1!B:D""), 2, FALSE), ""Not Found"")"),"mən")</f>
        <v>mən</v>
      </c>
      <c r="E6768" s="2" t="str">
        <f>IFERROR(__xludf.DUMMYFUNCTION("IFERROR(VLOOKUP(A6768, IMPORTRANGE(""https://docs.google.com/spreadsheets/d/1-3Vjw2Cyy-mry5gbC8ypIR3YVGFfEpyFESummAta6sg/edit"", ""Sheet1!B:D""), 3, FALSE), ""Not Found"")"),"m ə n ")</f>
        <v>m ə n </v>
      </c>
    </row>
    <row r="6769">
      <c r="A6769" s="1" t="s">
        <v>6771</v>
      </c>
      <c r="B6769" s="1" t="s">
        <v>5</v>
      </c>
      <c r="C6769" s="2">
        <f>IFERROR(__xludf.DUMMYFUNCTION("IFERROR(VLOOKUP(A6769, IMPORTRANGE(""https://docs.google.com/spreadsheets/d/1AVX9GT0dgogEBStecCXMMQ29tWz3gBrtNB8yIromXbY/edit?gid=741673867"", ""out1g!A:B""), 2, FALSE), 0)"),5355.0)</f>
        <v>5355</v>
      </c>
      <c r="D6769" s="2" t="str">
        <f>IFERROR(__xludf.DUMMYFUNCTION("IFERROR(VLOOKUP(A6769, IMPORTRANGE(""https://docs.google.com/spreadsheets/d/1-3Vjw2Cyy-mry5gbC8ypIR3YVGFfEpyFESummAta6sg/edit"", ""Sheet1!B:D""), 2, FALSE), ""Not Found"")"),"broʊk")</f>
        <v>broʊk</v>
      </c>
      <c r="E6769" s="2" t="str">
        <f>IFERROR(__xludf.DUMMYFUNCTION("IFERROR(VLOOKUP(A6769, IMPORTRANGE(""https://docs.google.com/spreadsheets/d/1-3Vjw2Cyy-mry5gbC8ypIR3YVGFfEpyFESummAta6sg/edit"", ""Sheet1!B:D""), 3, FALSE), ""Not Found"")"),"b r o ʊ k ")</f>
        <v>b r o ʊ k </v>
      </c>
    </row>
    <row r="6770">
      <c r="A6770" s="1" t="s">
        <v>6772</v>
      </c>
      <c r="B6770" s="1" t="s">
        <v>5</v>
      </c>
      <c r="C6770" s="2">
        <f>IFERROR(__xludf.DUMMYFUNCTION("IFERROR(VLOOKUP(A6770, IMPORTRANGE(""https://docs.google.com/spreadsheets/d/1AVX9GT0dgogEBStecCXMMQ29tWz3gBrtNB8yIromXbY/edit?gid=741673867"", ""out1g!A:B""), 2, FALSE), 0)"),219.0)</f>
        <v>219</v>
      </c>
      <c r="D6770" s="2" t="str">
        <f>IFERROR(__xludf.DUMMYFUNCTION("IFERROR(VLOOKUP(A6770, IMPORTRANGE(""https://docs.google.com/spreadsheets/d/1-3Vjw2Cyy-mry5gbC8ypIR3YVGFfEpyFESummAta6sg/edit"", ""Sheet1!B:D""), 2, FALSE), ""Not Found"")"),"daɪn")</f>
        <v>daɪn</v>
      </c>
      <c r="E6770" s="2" t="str">
        <f>IFERROR(__xludf.DUMMYFUNCTION("IFERROR(VLOOKUP(A6770, IMPORTRANGE(""https://docs.google.com/spreadsheets/d/1-3Vjw2Cyy-mry5gbC8ypIR3YVGFfEpyFESummAta6sg/edit"", ""Sheet1!B:D""), 3, FALSE), ""Not Found"")"),"d a ɪ n ")</f>
        <v>d a ɪ n </v>
      </c>
    </row>
    <row r="6771">
      <c r="A6771" s="1" t="s">
        <v>6773</v>
      </c>
      <c r="B6771" s="1" t="s">
        <v>5</v>
      </c>
      <c r="C6771" s="2">
        <f>IFERROR(__xludf.DUMMYFUNCTION("IFERROR(VLOOKUP(A6771, IMPORTRANGE(""https://docs.google.com/spreadsheets/d/1AVX9GT0dgogEBStecCXMMQ29tWz3gBrtNB8yIromXbY/edit?gid=741673867"", ""out1g!A:B""), 2, FALSE), 0)"),2411.0)</f>
        <v>2411</v>
      </c>
      <c r="D6771" s="2" t="str">
        <f>IFERROR(__xludf.DUMMYFUNCTION("IFERROR(VLOOKUP(A6771, IMPORTRANGE(""https://docs.google.com/spreadsheets/d/1-3Vjw2Cyy-mry5gbC8ypIR3YVGFfEpyFESummAta6sg/edit"", ""Sheet1!B:D""), 2, FALSE), ""Not Found"")"),"trɪk")</f>
        <v>trɪk</v>
      </c>
      <c r="E6771" s="2" t="str">
        <f>IFERROR(__xludf.DUMMYFUNCTION("IFERROR(VLOOKUP(A6771, IMPORTRANGE(""https://docs.google.com/spreadsheets/d/1-3Vjw2Cyy-mry5gbC8ypIR3YVGFfEpyFESummAta6sg/edit"", ""Sheet1!B:D""), 3, FALSE), ""Not Found"")"),"t r ɪ k ")</f>
        <v>t r ɪ k </v>
      </c>
    </row>
    <row r="6772">
      <c r="A6772" s="1" t="s">
        <v>6774</v>
      </c>
      <c r="B6772" s="1" t="s">
        <v>5</v>
      </c>
      <c r="C6772" s="2">
        <f>IFERROR(__xludf.DUMMYFUNCTION("IFERROR(VLOOKUP(A6772, IMPORTRANGE(""https://docs.google.com/spreadsheets/d/1AVX9GT0dgogEBStecCXMMQ29tWz3gBrtNB8yIromXbY/edit?gid=741673867"", ""out1g!A:B""), 2, FALSE), 0)"),286.0)</f>
        <v>286</v>
      </c>
      <c r="D6772" s="2" t="str">
        <f>IFERROR(__xludf.DUMMYFUNCTION("IFERROR(VLOOKUP(A6772, IMPORTRANGE(""https://docs.google.com/spreadsheets/d/1-3Vjw2Cyy-mry5gbC8ypIR3YVGFfEpyFESummAta6sg/edit"", ""Sheet1!B:D""), 2, FALSE), ""Not Found"")"),"dum")</f>
        <v>dum</v>
      </c>
      <c r="E6772" s="2" t="str">
        <f>IFERROR(__xludf.DUMMYFUNCTION("IFERROR(VLOOKUP(A6772, IMPORTRANGE(""https://docs.google.com/spreadsheets/d/1-3Vjw2Cyy-mry5gbC8ypIR3YVGFfEpyFESummAta6sg/edit"", ""Sheet1!B:D""), 3, FALSE), ""Not Found"")"),"d u m ")</f>
        <v>d u m </v>
      </c>
    </row>
    <row r="6773">
      <c r="A6773" s="1" t="s">
        <v>6775</v>
      </c>
      <c r="B6773" s="1" t="s">
        <v>5</v>
      </c>
      <c r="C6773" s="2">
        <f>IFERROR(__xludf.DUMMYFUNCTION("IFERROR(VLOOKUP(A6773, IMPORTRANGE(""https://docs.google.com/spreadsheets/d/1AVX9GT0dgogEBStecCXMMQ29tWz3gBrtNB8yIromXbY/edit?gid=741673867"", ""out1g!A:B""), 2, FALSE), 0)"),205.0)</f>
        <v>205</v>
      </c>
      <c r="D6773" s="2" t="str">
        <f>IFERROR(__xludf.DUMMYFUNCTION("IFERROR(VLOOKUP(A6773, IMPORTRANGE(""https://docs.google.com/spreadsheets/d/1-3Vjw2Cyy-mry5gbC8ypIR3YVGFfEpyFESummAta6sg/edit"", ""Sheet1!B:D""), 2, FALSE), ""Not Found"")"),"ædɪŋ")</f>
        <v>ædɪŋ</v>
      </c>
      <c r="E6773" s="2" t="str">
        <f>IFERROR(__xludf.DUMMYFUNCTION("IFERROR(VLOOKUP(A6773, IMPORTRANGE(""https://docs.google.com/spreadsheets/d/1-3Vjw2Cyy-mry5gbC8ypIR3YVGFfEpyFESummAta6sg/edit"", ""Sheet1!B:D""), 3, FALSE), ""Not Found"")"),"æ d ɪ ŋ ")</f>
        <v>æ d ɪ ŋ </v>
      </c>
    </row>
    <row r="6774">
      <c r="A6774" s="1" t="s">
        <v>6776</v>
      </c>
      <c r="B6774" s="1" t="s">
        <v>5</v>
      </c>
      <c r="C6774" s="2">
        <f>IFERROR(__xludf.DUMMYFUNCTION("IFERROR(VLOOKUP(A6774, IMPORTRANGE(""https://docs.google.com/spreadsheets/d/1AVX9GT0dgogEBStecCXMMQ29tWz3gBrtNB8yIromXbY/edit?gid=741673867"", ""out1g!A:B""), 2, FALSE), 0)"),54.0)</f>
        <v>54</v>
      </c>
      <c r="D6774" s="2" t="str">
        <f>IFERROR(__xludf.DUMMYFUNCTION("IFERROR(VLOOKUP(A6774, IMPORTRANGE(""https://docs.google.com/spreadsheets/d/1-3Vjw2Cyy-mry5gbC8ypIR3YVGFfEpyFESummAta6sg/edit"", ""Sheet1!B:D""), 2, FALSE), ""Not Found"")"),"ɔrks")</f>
        <v>ɔrks</v>
      </c>
      <c r="E6774" s="2" t="str">
        <f>IFERROR(__xludf.DUMMYFUNCTION("IFERROR(VLOOKUP(A6774, IMPORTRANGE(""https://docs.google.com/spreadsheets/d/1-3Vjw2Cyy-mry5gbC8ypIR3YVGFfEpyFESummAta6sg/edit"", ""Sheet1!B:D""), 3, FALSE), ""Not Found"")"),"ɔ r k s ")</f>
        <v>ɔ r k s </v>
      </c>
    </row>
    <row r="6775">
      <c r="A6775" s="1" t="s">
        <v>6777</v>
      </c>
      <c r="B6775" s="1" t="s">
        <v>5</v>
      </c>
      <c r="C6775" s="2">
        <f>IFERROR(__xludf.DUMMYFUNCTION("IFERROR(VLOOKUP(A6775, IMPORTRANGE(""https://docs.google.com/spreadsheets/d/1AVX9GT0dgogEBStecCXMMQ29tWz3gBrtNB8yIromXbY/edit?gid=741673867"", ""out1g!A:B""), 2, FALSE), 0)"),70.0)</f>
        <v>70</v>
      </c>
      <c r="D6775" s="2" t="str">
        <f>IFERROR(__xludf.DUMMYFUNCTION("IFERROR(VLOOKUP(A6775, IMPORTRANGE(""https://docs.google.com/spreadsheets/d/1-3Vjw2Cyy-mry5gbC8ypIR3YVGFfEpyFESummAta6sg/edit"", ""Sheet1!B:D""), 2, FALSE), ""Not Found"")"),"pətər")</f>
        <v>pətər</v>
      </c>
      <c r="E6775" s="2" t="str">
        <f>IFERROR(__xludf.DUMMYFUNCTION("IFERROR(VLOOKUP(A6775, IMPORTRANGE(""https://docs.google.com/spreadsheets/d/1-3Vjw2Cyy-mry5gbC8ypIR3YVGFfEpyFESummAta6sg/edit"", ""Sheet1!B:D""), 3, FALSE), ""Not Found"")"),"p ə t ə r ")</f>
        <v>p ə t ə r </v>
      </c>
    </row>
    <row r="6776">
      <c r="A6776" s="1" t="s">
        <v>6778</v>
      </c>
      <c r="B6776" s="1" t="s">
        <v>5</v>
      </c>
      <c r="C6776" s="2">
        <f>IFERROR(__xludf.DUMMYFUNCTION("IFERROR(VLOOKUP(A6776, IMPORTRANGE(""https://docs.google.com/spreadsheets/d/1AVX9GT0dgogEBStecCXMMQ29tWz3gBrtNB8yIromXbY/edit?gid=741673867"", ""out1g!A:B""), 2, FALSE), 0)"),72.0)</f>
        <v>72</v>
      </c>
      <c r="D6776" s="2" t="str">
        <f>IFERROR(__xludf.DUMMYFUNCTION("IFERROR(VLOOKUP(A6776, IMPORTRANGE(""https://docs.google.com/spreadsheets/d/1-3Vjw2Cyy-mry5gbC8ypIR3YVGFfEpyFESummAta6sg/edit"", ""Sheet1!B:D""), 2, FALSE), ""Not Found"")"),"pərk")</f>
        <v>pərk</v>
      </c>
      <c r="E6776" s="2" t="str">
        <f>IFERROR(__xludf.DUMMYFUNCTION("IFERROR(VLOOKUP(A6776, IMPORTRANGE(""https://docs.google.com/spreadsheets/d/1-3Vjw2Cyy-mry5gbC8ypIR3YVGFfEpyFESummAta6sg/edit"", ""Sheet1!B:D""), 3, FALSE), ""Not Found"")"),"p ə r k ")</f>
        <v>p ə r k </v>
      </c>
    </row>
    <row r="6777">
      <c r="A6777" s="1" t="s">
        <v>6779</v>
      </c>
      <c r="B6777" s="1" t="s">
        <v>5</v>
      </c>
      <c r="C6777" s="2">
        <f>IFERROR(__xludf.DUMMYFUNCTION("IFERROR(VLOOKUP(A6777, IMPORTRANGE(""https://docs.google.com/spreadsheets/d/1AVX9GT0dgogEBStecCXMMQ29tWz3gBrtNB8yIromXbY/edit?gid=741673867"", ""out1g!A:B""), 2, FALSE), 0)"),29.0)</f>
        <v>29</v>
      </c>
      <c r="D6777" s="2" t="str">
        <f>IFERROR(__xludf.DUMMYFUNCTION("IFERROR(VLOOKUP(A6777, IMPORTRANGE(""https://docs.google.com/spreadsheets/d/1-3Vjw2Cyy-mry5gbC8ypIR3YVGFfEpyFESummAta6sg/edit"", ""Sheet1!B:D""), 2, FALSE), ""Not Found"")"),"sɛrə")</f>
        <v>sɛrə</v>
      </c>
      <c r="E6777" s="2" t="str">
        <f>IFERROR(__xludf.DUMMYFUNCTION("IFERROR(VLOOKUP(A6777, IMPORTRANGE(""https://docs.google.com/spreadsheets/d/1-3Vjw2Cyy-mry5gbC8ypIR3YVGFfEpyFESummAta6sg/edit"", ""Sheet1!B:D""), 3, FALSE), ""Not Found"")"),"s ɛ r ə ")</f>
        <v>s ɛ r ə </v>
      </c>
    </row>
    <row r="6778">
      <c r="A6778" s="1" t="s">
        <v>6780</v>
      </c>
      <c r="B6778" s="1" t="s">
        <v>5</v>
      </c>
      <c r="C6778" s="2">
        <f>IFERROR(__xludf.DUMMYFUNCTION("IFERROR(VLOOKUP(A6778, IMPORTRANGE(""https://docs.google.com/spreadsheets/d/1AVX9GT0dgogEBStecCXMMQ29tWz3gBrtNB8yIromXbY/edit?gid=741673867"", ""out1g!A:B""), 2, FALSE), 0)"),128.0)</f>
        <v>128</v>
      </c>
      <c r="D6778" s="2" t="str">
        <f>IFERROR(__xludf.DUMMYFUNCTION("IFERROR(VLOOKUP(A6778, IMPORTRANGE(""https://docs.google.com/spreadsheets/d/1-3Vjw2Cyy-mry5gbC8ypIR3YVGFfEpyFESummAta6sg/edit"", ""Sheet1!B:D""), 2, FALSE), ""Not Found"")"),"tini")</f>
        <v>tini</v>
      </c>
      <c r="E6778" s="2" t="str">
        <f>IFERROR(__xludf.DUMMYFUNCTION("IFERROR(VLOOKUP(A6778, IMPORTRANGE(""https://docs.google.com/spreadsheets/d/1-3Vjw2Cyy-mry5gbC8ypIR3YVGFfEpyFESummAta6sg/edit"", ""Sheet1!B:D""), 3, FALSE), ""Not Found"")"),"t i n i ")</f>
        <v>t i n i </v>
      </c>
    </row>
    <row r="6779">
      <c r="A6779" s="1" t="s">
        <v>6781</v>
      </c>
      <c r="B6779" s="1" t="s">
        <v>5</v>
      </c>
      <c r="C6779" s="2">
        <f>IFERROR(__xludf.DUMMYFUNCTION("IFERROR(VLOOKUP(A6779, IMPORTRANGE(""https://docs.google.com/spreadsheets/d/1AVX9GT0dgogEBStecCXMMQ29tWz3gBrtNB8yIromXbY/edit?gid=741673867"", ""out1g!A:B""), 2, FALSE), 0)"),328.0)</f>
        <v>328</v>
      </c>
      <c r="D6779" s="2" t="str">
        <f>IFERROR(__xludf.DUMMYFUNCTION("IFERROR(VLOOKUP(A6779, IMPORTRANGE(""https://docs.google.com/spreadsheets/d/1-3Vjw2Cyy-mry5gbC8ypIR3YVGFfEpyFESummAta6sg/edit"", ""Sheet1!B:D""), 2, FALSE), ""Not Found"")"),"ræm")</f>
        <v>ræm</v>
      </c>
      <c r="E6779" s="2" t="str">
        <f>IFERROR(__xludf.DUMMYFUNCTION("IFERROR(VLOOKUP(A6779, IMPORTRANGE(""https://docs.google.com/spreadsheets/d/1-3Vjw2Cyy-mry5gbC8ypIR3YVGFfEpyFESummAta6sg/edit"", ""Sheet1!B:D""), 3, FALSE), ""Not Found"")"),"r æ m ")</f>
        <v>r æ m </v>
      </c>
    </row>
    <row r="6780">
      <c r="A6780" s="1" t="s">
        <v>6782</v>
      </c>
      <c r="B6780" s="1" t="s">
        <v>5</v>
      </c>
      <c r="C6780" s="2">
        <f>IFERROR(__xludf.DUMMYFUNCTION("IFERROR(VLOOKUP(A6780, IMPORTRANGE(""https://docs.google.com/spreadsheets/d/1AVX9GT0dgogEBStecCXMMQ29tWz3gBrtNB8yIromXbY/edit?gid=741673867"", ""out1g!A:B""), 2, FALSE), 0)"),2704.0)</f>
        <v>2704</v>
      </c>
      <c r="D6780" s="2" t="str">
        <f>IFERROR(__xludf.DUMMYFUNCTION("IFERROR(VLOOKUP(A6780, IMPORTRANGE(""https://docs.google.com/spreadsheets/d/1-3Vjw2Cyy-mry5gbC8ypIR3YVGFfEpyFESummAta6sg/edit"", ""Sheet1!B:D""), 2, FALSE), ""Not Found"")"),"roʊz")</f>
        <v>roʊz</v>
      </c>
      <c r="E6780" s="2" t="str">
        <f>IFERROR(__xludf.DUMMYFUNCTION("IFERROR(VLOOKUP(A6780, IMPORTRANGE(""https://docs.google.com/spreadsheets/d/1-3Vjw2Cyy-mry5gbC8ypIR3YVGFfEpyFESummAta6sg/edit"", ""Sheet1!B:D""), 3, FALSE), ""Not Found"")"),"r o ʊ z ")</f>
        <v>r o ʊ z </v>
      </c>
    </row>
    <row r="6781">
      <c r="A6781" s="1" t="s">
        <v>6783</v>
      </c>
      <c r="B6781" s="1" t="s">
        <v>5</v>
      </c>
      <c r="C6781" s="2">
        <f>IFERROR(__xludf.DUMMYFUNCTION("IFERROR(VLOOKUP(A6781, IMPORTRANGE(""https://docs.google.com/spreadsheets/d/1AVX9GT0dgogEBStecCXMMQ29tWz3gBrtNB8yIromXbY/edit?gid=741673867"", ""out1g!A:B""), 2, FALSE), 0)"),218.0)</f>
        <v>218</v>
      </c>
      <c r="D6781" s="2" t="str">
        <f>IFERROR(__xludf.DUMMYFUNCTION("IFERROR(VLOOKUP(A6781, IMPORTRANGE(""https://docs.google.com/spreadsheets/d/1-3Vjw2Cyy-mry5gbC8ypIR3YVGFfEpyFESummAta6sg/edit"", ""Sheet1!B:D""), 2, FALSE), ""Not Found"")"),"kɪn")</f>
        <v>kɪn</v>
      </c>
      <c r="E6781" s="2" t="str">
        <f>IFERROR(__xludf.DUMMYFUNCTION("IFERROR(VLOOKUP(A6781, IMPORTRANGE(""https://docs.google.com/spreadsheets/d/1-3Vjw2Cyy-mry5gbC8ypIR3YVGFfEpyFESummAta6sg/edit"", ""Sheet1!B:D""), 3, FALSE), ""Not Found"")"),"k ɪ n ")</f>
        <v>k ɪ n </v>
      </c>
    </row>
    <row r="6782">
      <c r="A6782" s="1" t="s">
        <v>6784</v>
      </c>
      <c r="B6782" s="1" t="s">
        <v>5</v>
      </c>
      <c r="C6782" s="2">
        <f>IFERROR(__xludf.DUMMYFUNCTION("IFERROR(VLOOKUP(A6782, IMPORTRANGE(""https://docs.google.com/spreadsheets/d/1AVX9GT0dgogEBStecCXMMQ29tWz3gBrtNB8yIromXbY/edit?gid=741673867"", ""out1g!A:B""), 2, FALSE), 0)"),771.0)</f>
        <v>771</v>
      </c>
      <c r="D6782" s="2" t="str">
        <f>IFERROR(__xludf.DUMMYFUNCTION("IFERROR(VLOOKUP(A6782, IMPORTRANGE(""https://docs.google.com/spreadsheets/d/1-3Vjw2Cyy-mry5gbC8ypIR3YVGFfEpyFESummAta6sg/edit"", ""Sheet1!B:D""), 2, FALSE), ""Not Found"")"),"ʧæmp")</f>
        <v>ʧæmp</v>
      </c>
      <c r="E6782" s="2" t="str">
        <f>IFERROR(__xludf.DUMMYFUNCTION("IFERROR(VLOOKUP(A6782, IMPORTRANGE(""https://docs.google.com/spreadsheets/d/1-3Vjw2Cyy-mry5gbC8ypIR3YVGFfEpyFESummAta6sg/edit"", ""Sheet1!B:D""), 3, FALSE), ""Not Found"")"),"ʧ æ m p ")</f>
        <v>ʧ æ m p </v>
      </c>
    </row>
    <row r="6783">
      <c r="A6783" s="1" t="s">
        <v>6785</v>
      </c>
      <c r="B6783" s="1" t="s">
        <v>5</v>
      </c>
      <c r="C6783" s="2">
        <f>IFERROR(__xludf.DUMMYFUNCTION("IFERROR(VLOOKUP(A6783, IMPORTRANGE(""https://docs.google.com/spreadsheets/d/1AVX9GT0dgogEBStecCXMMQ29tWz3gBrtNB8yIromXbY/edit?gid=741673867"", ""out1g!A:B""), 2, FALSE), 0)"),154.0)</f>
        <v>154</v>
      </c>
      <c r="D6783" s="2" t="str">
        <f>IFERROR(__xludf.DUMMYFUNCTION("IFERROR(VLOOKUP(A6783, IMPORTRANGE(""https://docs.google.com/spreadsheets/d/1-3Vjw2Cyy-mry5gbC8ypIR3YVGFfEpyFESummAta6sg/edit"", ""Sheet1!B:D""), 2, FALSE), ""Not Found"")"),"hupər")</f>
        <v>hupər</v>
      </c>
      <c r="E6783" s="2" t="str">
        <f>IFERROR(__xludf.DUMMYFUNCTION("IFERROR(VLOOKUP(A6783, IMPORTRANGE(""https://docs.google.com/spreadsheets/d/1-3Vjw2Cyy-mry5gbC8ypIR3YVGFfEpyFESummAta6sg/edit"", ""Sheet1!B:D""), 3, FALSE), ""Not Found"")"),"h u p ə r ")</f>
        <v>h u p ə r </v>
      </c>
    </row>
    <row r="6784">
      <c r="A6784" s="1" t="s">
        <v>6786</v>
      </c>
      <c r="B6784" s="1" t="s">
        <v>5</v>
      </c>
      <c r="C6784" s="2">
        <f>IFERROR(__xludf.DUMMYFUNCTION("IFERROR(VLOOKUP(A6784, IMPORTRANGE(""https://docs.google.com/spreadsheets/d/1AVX9GT0dgogEBStecCXMMQ29tWz3gBrtNB8yIromXbY/edit?gid=741673867"", ""out1g!A:B""), 2, FALSE), 0)"),197.0)</f>
        <v>197</v>
      </c>
      <c r="D6784" s="2" t="str">
        <f>IFERROR(__xludf.DUMMYFUNCTION("IFERROR(VLOOKUP(A6784, IMPORTRANGE(""https://docs.google.com/spreadsheets/d/1-3Vjw2Cyy-mry5gbC8ypIR3YVGFfEpyFESummAta6sg/edit"", ""Sheet1!B:D""), 2, FALSE), ""Not Found"")"),"səmən")</f>
        <v>səmən</v>
      </c>
      <c r="E6784" s="2" t="str">
        <f>IFERROR(__xludf.DUMMYFUNCTION("IFERROR(VLOOKUP(A6784, IMPORTRANGE(""https://docs.google.com/spreadsheets/d/1-3Vjw2Cyy-mry5gbC8ypIR3YVGFfEpyFESummAta6sg/edit"", ""Sheet1!B:D""), 3, FALSE), ""Not Found"")"),"s ə m ə n ")</f>
        <v>s ə m ə n </v>
      </c>
    </row>
    <row r="6785">
      <c r="A6785" s="1" t="s">
        <v>6787</v>
      </c>
      <c r="B6785" s="1" t="s">
        <v>5</v>
      </c>
      <c r="C6785" s="2">
        <f>IFERROR(__xludf.DUMMYFUNCTION("IFERROR(VLOOKUP(A6785, IMPORTRANGE(""https://docs.google.com/spreadsheets/d/1AVX9GT0dgogEBStecCXMMQ29tWz3gBrtNB8yIromXbY/edit?gid=741673867"", ""out1g!A:B""), 2, FALSE), 0)"),1970.0)</f>
        <v>1970</v>
      </c>
      <c r="D6785" s="2" t="str">
        <f>IFERROR(__xludf.DUMMYFUNCTION("IFERROR(VLOOKUP(A6785, IMPORTRANGE(""https://docs.google.com/spreadsheets/d/1-3Vjw2Cyy-mry5gbC8ypIR3YVGFfEpyFESummAta6sg/edit"", ""Sheet1!B:D""), 2, FALSE), ""Not Found"")"),"spoʊk")</f>
        <v>spoʊk</v>
      </c>
      <c r="E6785" s="2" t="str">
        <f>IFERROR(__xludf.DUMMYFUNCTION("IFERROR(VLOOKUP(A6785, IMPORTRANGE(""https://docs.google.com/spreadsheets/d/1-3Vjw2Cyy-mry5gbC8ypIR3YVGFfEpyFESummAta6sg/edit"", ""Sheet1!B:D""), 3, FALSE), ""Not Found"")"),"s p o ʊ k ")</f>
        <v>s p o ʊ k </v>
      </c>
    </row>
    <row r="6786">
      <c r="A6786" s="1" t="s">
        <v>6788</v>
      </c>
      <c r="B6786" s="1" t="s">
        <v>5</v>
      </c>
      <c r="C6786" s="2">
        <f>IFERROR(__xludf.DUMMYFUNCTION("IFERROR(VLOOKUP(A6786, IMPORTRANGE(""https://docs.google.com/spreadsheets/d/1AVX9GT0dgogEBStecCXMMQ29tWz3gBrtNB8yIromXbY/edit?gid=741673867"", ""out1g!A:B""), 2, FALSE), 0)"),300.0)</f>
        <v>300</v>
      </c>
      <c r="D6786" s="2" t="str">
        <f>IFERROR(__xludf.DUMMYFUNCTION("IFERROR(VLOOKUP(A6786, IMPORTRANGE(""https://docs.google.com/spreadsheets/d/1-3Vjw2Cyy-mry5gbC8ypIR3YVGFfEpyFESummAta6sg/edit"", ""Sheet1!B:D""), 2, FALSE), ""Not Found"")"),"pælz")</f>
        <v>pælz</v>
      </c>
      <c r="E6786" s="2" t="str">
        <f>IFERROR(__xludf.DUMMYFUNCTION("IFERROR(VLOOKUP(A6786, IMPORTRANGE(""https://docs.google.com/spreadsheets/d/1-3Vjw2Cyy-mry5gbC8ypIR3YVGFfEpyFESummAta6sg/edit"", ""Sheet1!B:D""), 3, FALSE), ""Not Found"")"),"p æ l z ")</f>
        <v>p æ l z </v>
      </c>
    </row>
    <row r="6787">
      <c r="A6787" s="1" t="s">
        <v>6789</v>
      </c>
      <c r="B6787" s="1" t="s">
        <v>5</v>
      </c>
      <c r="C6787" s="2">
        <f>IFERROR(__xludf.DUMMYFUNCTION("IFERROR(VLOOKUP(A6787, IMPORTRANGE(""https://docs.google.com/spreadsheets/d/1AVX9GT0dgogEBStecCXMMQ29tWz3gBrtNB8yIromXbY/edit?gid=741673867"", ""out1g!A:B""), 2, FALSE), 0)"),98.0)</f>
        <v>98</v>
      </c>
      <c r="D6787" s="2" t="str">
        <f>IFERROR(__xludf.DUMMYFUNCTION("IFERROR(VLOOKUP(A6787, IMPORTRANGE(""https://docs.google.com/spreadsheets/d/1-3Vjw2Cyy-mry5gbC8ypIR3YVGFfEpyFESummAta6sg/edit"", ""Sheet1!B:D""), 2, FALSE), ""Not Found"")"),"lædi")</f>
        <v>lædi</v>
      </c>
      <c r="E6787" s="2" t="str">
        <f>IFERROR(__xludf.DUMMYFUNCTION("IFERROR(VLOOKUP(A6787, IMPORTRANGE(""https://docs.google.com/spreadsheets/d/1-3Vjw2Cyy-mry5gbC8ypIR3YVGFfEpyFESummAta6sg/edit"", ""Sheet1!B:D""), 3, FALSE), ""Not Found"")"),"l æ d i ")</f>
        <v>l æ d i </v>
      </c>
    </row>
    <row r="6788">
      <c r="A6788" s="1" t="s">
        <v>6790</v>
      </c>
      <c r="B6788" s="1" t="s">
        <v>5</v>
      </c>
      <c r="C6788" s="2">
        <f>IFERROR(__xludf.DUMMYFUNCTION("IFERROR(VLOOKUP(A6788, IMPORTRANGE(""https://docs.google.com/spreadsheets/d/1AVX9GT0dgogEBStecCXMMQ29tWz3gBrtNB8yIromXbY/edit?gid=741673867"", ""out1g!A:B""), 2, FALSE), 0)"),1399.0)</f>
        <v>1399</v>
      </c>
      <c r="D6788" s="2" t="str">
        <f>IFERROR(__xludf.DUMMYFUNCTION("IFERROR(VLOOKUP(A6788, IMPORTRANGE(""https://docs.google.com/spreadsheets/d/1-3Vjw2Cyy-mry5gbC8ypIR3YVGFfEpyFESummAta6sg/edit"", ""Sheet1!B:D""), 2, FALSE), ""Not Found"")"),"təwɔrdz")</f>
        <v>təwɔrdz</v>
      </c>
      <c r="E6788" s="2" t="str">
        <f>IFERROR(__xludf.DUMMYFUNCTION("IFERROR(VLOOKUP(A6788, IMPORTRANGE(""https://docs.google.com/spreadsheets/d/1-3Vjw2Cyy-mry5gbC8ypIR3YVGFfEpyFESummAta6sg/edit"", ""Sheet1!B:D""), 3, FALSE), ""Not Found"")"),"t ə w ɔ r d z ")</f>
        <v>t ə w ɔ r d z </v>
      </c>
    </row>
    <row r="6789">
      <c r="A6789" s="1" t="s">
        <v>6791</v>
      </c>
      <c r="B6789" s="1" t="s">
        <v>5</v>
      </c>
      <c r="C6789" s="2">
        <f>IFERROR(__xludf.DUMMYFUNCTION("IFERROR(VLOOKUP(A6789, IMPORTRANGE(""https://docs.google.com/spreadsheets/d/1AVX9GT0dgogEBStecCXMMQ29tWz3gBrtNB8yIromXbY/edit?gid=741673867"", ""out1g!A:B""), 2, FALSE), 0)"),97.0)</f>
        <v>97</v>
      </c>
      <c r="D6789" s="2" t="str">
        <f>IFERROR(__xludf.DUMMYFUNCTION("IFERROR(VLOOKUP(A6789, IMPORTRANGE(""https://docs.google.com/spreadsheets/d/1-3Vjw2Cyy-mry5gbC8ypIR3YVGFfEpyFESummAta6sg/edit"", ""Sheet1!B:D""), 2, FALSE), ""Not Found"")"),"lɪliz")</f>
        <v>lɪliz</v>
      </c>
      <c r="E6789" s="2" t="str">
        <f>IFERROR(__xludf.DUMMYFUNCTION("IFERROR(VLOOKUP(A6789, IMPORTRANGE(""https://docs.google.com/spreadsheets/d/1-3Vjw2Cyy-mry5gbC8ypIR3YVGFfEpyFESummAta6sg/edit"", ""Sheet1!B:D""), 3, FALSE), ""Not Found"")"),"l ɪ l i z ")</f>
        <v>l ɪ l i z </v>
      </c>
    </row>
    <row r="6790">
      <c r="A6790" s="1" t="s">
        <v>6792</v>
      </c>
      <c r="B6790" s="1" t="s">
        <v>5</v>
      </c>
      <c r="C6790" s="2">
        <f>IFERROR(__xludf.DUMMYFUNCTION("IFERROR(VLOOKUP(A6790, IMPORTRANGE(""https://docs.google.com/spreadsheets/d/1AVX9GT0dgogEBStecCXMMQ29tWz3gBrtNB8yIromXbY/edit?gid=741673867"", ""out1g!A:B""), 2, FALSE), 0)"),534.0)</f>
        <v>534</v>
      </c>
      <c r="D6790" s="2" t="str">
        <f>IFERROR(__xludf.DUMMYFUNCTION("IFERROR(VLOOKUP(A6790, IMPORTRANGE(""https://docs.google.com/spreadsheets/d/1-3Vjw2Cyy-mry5gbC8ypIR3YVGFfEpyFESummAta6sg/edit"", ""Sheet1!B:D""), 2, FALSE), ""Not Found"")"),"əkaʊnts")</f>
        <v>əkaʊnts</v>
      </c>
      <c r="E6790" s="2" t="str">
        <f>IFERROR(__xludf.DUMMYFUNCTION("IFERROR(VLOOKUP(A6790, IMPORTRANGE(""https://docs.google.com/spreadsheets/d/1-3Vjw2Cyy-mry5gbC8ypIR3YVGFfEpyFESummAta6sg/edit"", ""Sheet1!B:D""), 3, FALSE), ""Not Found"")"),"ə k a ʊ n t s ")</f>
        <v>ə k a ʊ n t s </v>
      </c>
    </row>
    <row r="6791">
      <c r="A6791" s="1" t="s">
        <v>6793</v>
      </c>
      <c r="B6791" s="1" t="s">
        <v>5</v>
      </c>
      <c r="C6791" s="2">
        <f>IFERROR(__xludf.DUMMYFUNCTION("IFERROR(VLOOKUP(A6791, IMPORTRANGE(""https://docs.google.com/spreadsheets/d/1AVX9GT0dgogEBStecCXMMQ29tWz3gBrtNB8yIromXbY/edit?gid=741673867"", ""out1g!A:B""), 2, FALSE), 0)"),828.0)</f>
        <v>828</v>
      </c>
      <c r="D6791" s="2" t="str">
        <f>IFERROR(__xludf.DUMMYFUNCTION("IFERROR(VLOOKUP(A6791, IMPORTRANGE(""https://docs.google.com/spreadsheets/d/1-3Vjw2Cyy-mry5gbC8ypIR3YVGFfEpyFESummAta6sg/edit"", ""Sheet1!B:D""), 2, FALSE), ""Not Found"")"),"stek")</f>
        <v>stek</v>
      </c>
      <c r="E6791" s="2" t="str">
        <f>IFERROR(__xludf.DUMMYFUNCTION("IFERROR(VLOOKUP(A6791, IMPORTRANGE(""https://docs.google.com/spreadsheets/d/1-3Vjw2Cyy-mry5gbC8ypIR3YVGFfEpyFESummAta6sg/edit"", ""Sheet1!B:D""), 3, FALSE), ""Not Found"")"),"s t e k ")</f>
        <v>s t e k </v>
      </c>
    </row>
    <row r="6792">
      <c r="A6792" s="1" t="s">
        <v>6794</v>
      </c>
      <c r="B6792" s="1" t="s">
        <v>5</v>
      </c>
      <c r="C6792" s="2">
        <f>IFERROR(__xludf.DUMMYFUNCTION("IFERROR(VLOOKUP(A6792, IMPORTRANGE(""https://docs.google.com/spreadsheets/d/1AVX9GT0dgogEBStecCXMMQ29tWz3gBrtNB8yIromXbY/edit?gid=741673867"", ""out1g!A:B""), 2, FALSE), 0)"),3438.0)</f>
        <v>3438</v>
      </c>
      <c r="D6792" s="2" t="str">
        <f>IFERROR(__xludf.DUMMYFUNCTION("IFERROR(VLOOKUP(A6792, IMPORTRANGE(""https://docs.google.com/spreadsheets/d/1-3Vjw2Cyy-mry5gbC8ypIR3YVGFfEpyFESummAta6sg/edit"", ""Sheet1!B:D""), 2, FALSE), ""Not Found"")"),"rulz")</f>
        <v>rulz</v>
      </c>
      <c r="E6792" s="2" t="str">
        <f>IFERROR(__xludf.DUMMYFUNCTION("IFERROR(VLOOKUP(A6792, IMPORTRANGE(""https://docs.google.com/spreadsheets/d/1-3Vjw2Cyy-mry5gbC8ypIR3YVGFfEpyFESummAta6sg/edit"", ""Sheet1!B:D""), 3, FALSE), ""Not Found"")"),"r u l z ")</f>
        <v>r u l z </v>
      </c>
    </row>
    <row r="6793">
      <c r="A6793" s="1" t="s">
        <v>6795</v>
      </c>
      <c r="B6793" s="1" t="s">
        <v>5</v>
      </c>
      <c r="C6793" s="2">
        <f>IFERROR(__xludf.DUMMYFUNCTION("IFERROR(VLOOKUP(A6793, IMPORTRANGE(""https://docs.google.com/spreadsheets/d/1AVX9GT0dgogEBStecCXMMQ29tWz3gBrtNB8yIromXbY/edit?gid=741673867"", ""out1g!A:B""), 2, FALSE), 0)"),96.0)</f>
        <v>96</v>
      </c>
      <c r="D6793" s="2" t="str">
        <f>IFERROR(__xludf.DUMMYFUNCTION("IFERROR(VLOOKUP(A6793, IMPORTRANGE(""https://docs.google.com/spreadsheets/d/1-3Vjw2Cyy-mry5gbC8ypIR3YVGFfEpyFESummAta6sg/edit"", ""Sheet1!B:D""), 2, FALSE), ""Not Found"")"),"kesɪŋ")</f>
        <v>kesɪŋ</v>
      </c>
      <c r="E6793" s="2" t="str">
        <f>IFERROR(__xludf.DUMMYFUNCTION("IFERROR(VLOOKUP(A6793, IMPORTRANGE(""https://docs.google.com/spreadsheets/d/1-3Vjw2Cyy-mry5gbC8ypIR3YVGFfEpyFESummAta6sg/edit"", ""Sheet1!B:D""), 3, FALSE), ""Not Found"")"),"k e s ɪ ŋ ")</f>
        <v>k e s ɪ ŋ </v>
      </c>
    </row>
    <row r="6794">
      <c r="A6794" s="1" t="s">
        <v>6796</v>
      </c>
      <c r="B6794" s="1" t="s">
        <v>5</v>
      </c>
      <c r="C6794" s="2">
        <f>IFERROR(__xludf.DUMMYFUNCTION("IFERROR(VLOOKUP(A6794, IMPORTRANGE(""https://docs.google.com/spreadsheets/d/1AVX9GT0dgogEBStecCXMMQ29tWz3gBrtNB8yIromXbY/edit?gid=741673867"", ""out1g!A:B""), 2, FALSE), 0)"),327.0)</f>
        <v>327</v>
      </c>
      <c r="D6794" s="2" t="str">
        <f>IFERROR(__xludf.DUMMYFUNCTION("IFERROR(VLOOKUP(A6794, IMPORTRANGE(""https://docs.google.com/spreadsheets/d/1-3Vjw2Cyy-mry5gbC8ypIR3YVGFfEpyFESummAta6sg/edit"", ""Sheet1!B:D""), 2, FALSE), ""Not Found"")"),"kwɛst")</f>
        <v>kwɛst</v>
      </c>
      <c r="E6794" s="2" t="str">
        <f>IFERROR(__xludf.DUMMYFUNCTION("IFERROR(VLOOKUP(A6794, IMPORTRANGE(""https://docs.google.com/spreadsheets/d/1-3Vjw2Cyy-mry5gbC8ypIR3YVGFfEpyFESummAta6sg/edit"", ""Sheet1!B:D""), 3, FALSE), ""Not Found"")"),"k w ɛ s t ")</f>
        <v>k w ɛ s t </v>
      </c>
    </row>
    <row r="6795">
      <c r="A6795" s="1" t="s">
        <v>6797</v>
      </c>
      <c r="B6795" s="1" t="s">
        <v>5</v>
      </c>
      <c r="C6795" s="2">
        <f>IFERROR(__xludf.DUMMYFUNCTION("IFERROR(VLOOKUP(A6795, IMPORTRANGE(""https://docs.google.com/spreadsheets/d/1AVX9GT0dgogEBStecCXMMQ29tWz3gBrtNB8yIromXbY/edit?gid=741673867"", ""out1g!A:B""), 2, FALSE), 0)"),266.0)</f>
        <v>266</v>
      </c>
      <c r="D6795" s="2" t="str">
        <f>IFERROR(__xludf.DUMMYFUNCTION("IFERROR(VLOOKUP(A6795, IMPORTRANGE(""https://docs.google.com/spreadsheets/d/1-3Vjw2Cyy-mry5gbC8ypIR3YVGFfEpyFESummAta6sg/edit"", ""Sheet1!B:D""), 2, FALSE), ""Not Found"")"),"kəfs")</f>
        <v>kəfs</v>
      </c>
      <c r="E6795" s="2" t="str">
        <f>IFERROR(__xludf.DUMMYFUNCTION("IFERROR(VLOOKUP(A6795, IMPORTRANGE(""https://docs.google.com/spreadsheets/d/1-3Vjw2Cyy-mry5gbC8ypIR3YVGFfEpyFESummAta6sg/edit"", ""Sheet1!B:D""), 3, FALSE), ""Not Found"")"),"k ə f s ")</f>
        <v>k ə f s </v>
      </c>
    </row>
    <row r="6796">
      <c r="A6796" s="1" t="s">
        <v>6798</v>
      </c>
      <c r="B6796" s="1" t="s">
        <v>5</v>
      </c>
      <c r="C6796" s="2">
        <f>IFERROR(__xludf.DUMMYFUNCTION("IFERROR(VLOOKUP(A6796, IMPORTRANGE(""https://docs.google.com/spreadsheets/d/1AVX9GT0dgogEBStecCXMMQ29tWz3gBrtNB8yIromXbY/edit?gid=741673867"", ""out1g!A:B""), 2, FALSE), 0)"),204.0)</f>
        <v>204</v>
      </c>
      <c r="D6796" s="2" t="str">
        <f>IFERROR(__xludf.DUMMYFUNCTION("IFERROR(VLOOKUP(A6796, IMPORTRANGE(""https://docs.google.com/spreadsheets/d/1-3Vjw2Cyy-mry5gbC8ypIR3YVGFfEpyFESummAta6sg/edit"", ""Sheet1!B:D""), 2, FALSE), ""Not Found"")"),"hɔlz")</f>
        <v>hɔlz</v>
      </c>
      <c r="E6796" s="2" t="str">
        <f>IFERROR(__xludf.DUMMYFUNCTION("IFERROR(VLOOKUP(A6796, IMPORTRANGE(""https://docs.google.com/spreadsheets/d/1-3Vjw2Cyy-mry5gbC8ypIR3YVGFfEpyFESummAta6sg/edit"", ""Sheet1!B:D""), 3, FALSE), ""Not Found"")"),"h ɔ l z ")</f>
        <v>h ɔ l z </v>
      </c>
    </row>
    <row r="6797">
      <c r="A6797" s="1" t="s">
        <v>6799</v>
      </c>
      <c r="B6797" s="1" t="s">
        <v>5</v>
      </c>
      <c r="C6797" s="2">
        <f>IFERROR(__xludf.DUMMYFUNCTION("IFERROR(VLOOKUP(A6797, IMPORTRANGE(""https://docs.google.com/spreadsheets/d/1AVX9GT0dgogEBStecCXMMQ29tWz3gBrtNB8yIromXbY/edit?gid=741673867"", ""out1g!A:B""), 2, FALSE), 0)"),269.0)</f>
        <v>269</v>
      </c>
      <c r="D6797" s="2" t="str">
        <f>IFERROR(__xludf.DUMMYFUNCTION("IFERROR(VLOOKUP(A6797, IMPORTRANGE(""https://docs.google.com/spreadsheets/d/1-3Vjw2Cyy-mry5gbC8ypIR3YVGFfEpyFESummAta6sg/edit"", ""Sheet1!B:D""), 2, FALSE), ""Not Found"")"),"pərlz")</f>
        <v>pərlz</v>
      </c>
      <c r="E6797" s="2" t="str">
        <f>IFERROR(__xludf.DUMMYFUNCTION("IFERROR(VLOOKUP(A6797, IMPORTRANGE(""https://docs.google.com/spreadsheets/d/1-3Vjw2Cyy-mry5gbC8ypIR3YVGFfEpyFESummAta6sg/edit"", ""Sheet1!B:D""), 3, FALSE), ""Not Found"")"),"p ə r l z ")</f>
        <v>p ə r l z </v>
      </c>
    </row>
    <row r="6798">
      <c r="A6798" s="1" t="s">
        <v>6800</v>
      </c>
      <c r="B6798" s="1" t="s">
        <v>5</v>
      </c>
      <c r="C6798" s="2">
        <f>IFERROR(__xludf.DUMMYFUNCTION("IFERROR(VLOOKUP(A6798, IMPORTRANGE(""https://docs.google.com/spreadsheets/d/1AVX9GT0dgogEBStecCXMMQ29tWz3gBrtNB8yIromXbY/edit?gid=741673867"", ""out1g!A:B""), 2, FALSE), 0)"),168.0)</f>
        <v>168</v>
      </c>
      <c r="D6798" s="2" t="str">
        <f>IFERROR(__xludf.DUMMYFUNCTION("IFERROR(VLOOKUP(A6798, IMPORTRANGE(""https://docs.google.com/spreadsheets/d/1-3Vjw2Cyy-mry5gbC8ypIR3YVGFfEpyFESummAta6sg/edit"", ""Sheet1!B:D""), 2, FALSE), ""Not Found"")"),"sɪŋk")</f>
        <v>sɪŋk</v>
      </c>
      <c r="E6798" s="2" t="str">
        <f>IFERROR(__xludf.DUMMYFUNCTION("IFERROR(VLOOKUP(A6798, IMPORTRANGE(""https://docs.google.com/spreadsheets/d/1-3Vjw2Cyy-mry5gbC8ypIR3YVGFfEpyFESummAta6sg/edit"", ""Sheet1!B:D""), 3, FALSE), ""Not Found"")"),"s ɪ ŋ k ")</f>
        <v>s ɪ ŋ k </v>
      </c>
    </row>
    <row r="6799">
      <c r="A6799" s="1" t="s">
        <v>6801</v>
      </c>
      <c r="B6799" s="1" t="s">
        <v>5</v>
      </c>
      <c r="C6799" s="2">
        <f>IFERROR(__xludf.DUMMYFUNCTION("IFERROR(VLOOKUP(A6799, IMPORTRANGE(""https://docs.google.com/spreadsheets/d/1AVX9GT0dgogEBStecCXMMQ29tWz3gBrtNB8yIromXbY/edit?gid=741673867"", ""out1g!A:B""), 2, FALSE), 0)"),224.0)</f>
        <v>224</v>
      </c>
      <c r="D6799" s="2" t="str">
        <f>IFERROR(__xludf.DUMMYFUNCTION("IFERROR(VLOOKUP(A6799, IMPORTRANGE(""https://docs.google.com/spreadsheets/d/1-3Vjw2Cyy-mry5gbC8ypIR3YVGFfEpyFESummAta6sg/edit"", ""Sheet1!B:D""), 2, FALSE), ""Not Found"")"),"skɑrz")</f>
        <v>skɑrz</v>
      </c>
      <c r="E6799" s="2" t="str">
        <f>IFERROR(__xludf.DUMMYFUNCTION("IFERROR(VLOOKUP(A6799, IMPORTRANGE(""https://docs.google.com/spreadsheets/d/1-3Vjw2Cyy-mry5gbC8ypIR3YVGFfEpyFESummAta6sg/edit"", ""Sheet1!B:D""), 3, FALSE), ""Not Found"")"),"s k ɑ r z ")</f>
        <v>s k ɑ r z </v>
      </c>
    </row>
    <row r="6800">
      <c r="A6800" s="1" t="s">
        <v>6802</v>
      </c>
      <c r="B6800" s="1" t="s">
        <v>5</v>
      </c>
      <c r="C6800" s="2">
        <f>IFERROR(__xludf.DUMMYFUNCTION("IFERROR(VLOOKUP(A6800, IMPORTRANGE(""https://docs.google.com/spreadsheets/d/1AVX9GT0dgogEBStecCXMMQ29tWz3gBrtNB8yIromXbY/edit?gid=741673867"", ""out1g!A:B""), 2, FALSE), 0)"),60.0)</f>
        <v>60</v>
      </c>
      <c r="D6800" s="2" t="str">
        <f>IFERROR(__xludf.DUMMYFUNCTION("IFERROR(VLOOKUP(A6800, IMPORTRANGE(""https://docs.google.com/spreadsheets/d/1-3Vjw2Cyy-mry5gbC8ypIR3YVGFfEpyFESummAta6sg/edit"", ""Sheet1!B:D""), 2, FALSE), ""Not Found"")"),"moʊt")</f>
        <v>moʊt</v>
      </c>
      <c r="E6800" s="2" t="str">
        <f>IFERROR(__xludf.DUMMYFUNCTION("IFERROR(VLOOKUP(A6800, IMPORTRANGE(""https://docs.google.com/spreadsheets/d/1-3Vjw2Cyy-mry5gbC8ypIR3YVGFfEpyFESummAta6sg/edit"", ""Sheet1!B:D""), 3, FALSE), ""Not Found"")"),"m o ʊ t ")</f>
        <v>m o ʊ t </v>
      </c>
    </row>
    <row r="6801">
      <c r="A6801" s="1" t="s">
        <v>6803</v>
      </c>
      <c r="B6801" s="1" t="s">
        <v>5</v>
      </c>
      <c r="C6801" s="2">
        <f>IFERROR(__xludf.DUMMYFUNCTION("IFERROR(VLOOKUP(A6801, IMPORTRANGE(""https://docs.google.com/spreadsheets/d/1AVX9GT0dgogEBStecCXMMQ29tWz3gBrtNB8yIromXbY/edit?gid=741673867"", ""out1g!A:B""), 2, FALSE), 0)"),54.0)</f>
        <v>54</v>
      </c>
      <c r="D6801" s="2" t="str">
        <f>IFERROR(__xludf.DUMMYFUNCTION("IFERROR(VLOOKUP(A6801, IMPORTRANGE(""https://docs.google.com/spreadsheets/d/1-3Vjw2Cyy-mry5gbC8ypIR3YVGFfEpyFESummAta6sg/edit"", ""Sheet1!B:D""), 2, FALSE), ""Not Found"")"),"mɔθs")</f>
        <v>mɔθs</v>
      </c>
      <c r="E6801" s="2" t="str">
        <f>IFERROR(__xludf.DUMMYFUNCTION("IFERROR(VLOOKUP(A6801, IMPORTRANGE(""https://docs.google.com/spreadsheets/d/1-3Vjw2Cyy-mry5gbC8ypIR3YVGFfEpyFESummAta6sg/edit"", ""Sheet1!B:D""), 3, FALSE), ""Not Found"")"),"m ɔ θ s ")</f>
        <v>m ɔ θ s </v>
      </c>
    </row>
    <row r="6802">
      <c r="A6802" s="1" t="s">
        <v>6804</v>
      </c>
      <c r="B6802" s="1" t="s">
        <v>5</v>
      </c>
      <c r="C6802" s="2">
        <f>IFERROR(__xludf.DUMMYFUNCTION("IFERROR(VLOOKUP(A6802, IMPORTRANGE(""https://docs.google.com/spreadsheets/d/1AVX9GT0dgogEBStecCXMMQ29tWz3gBrtNB8yIromXbY/edit?gid=741673867"", ""out1g!A:B""), 2, FALSE), 0)"),52.0)</f>
        <v>52</v>
      </c>
      <c r="D6802" s="2" t="str">
        <f>IFERROR(__xludf.DUMMYFUNCTION("IFERROR(VLOOKUP(A6802, IMPORTRANGE(""https://docs.google.com/spreadsheets/d/1-3Vjw2Cyy-mry5gbC8ypIR3YVGFfEpyFESummAta6sg/edit"", ""Sheet1!B:D""), 2, FALSE), ""Not Found"")"),"ənrɛst")</f>
        <v>ənrɛst</v>
      </c>
      <c r="E6802" s="2" t="str">
        <f>IFERROR(__xludf.DUMMYFUNCTION("IFERROR(VLOOKUP(A6802, IMPORTRANGE(""https://docs.google.com/spreadsheets/d/1-3Vjw2Cyy-mry5gbC8ypIR3YVGFfEpyFESummAta6sg/edit"", ""Sheet1!B:D""), 3, FALSE), ""Not Found"")"),"ə n r ɛ s t ")</f>
        <v>ə n r ɛ s t </v>
      </c>
    </row>
    <row r="6803">
      <c r="A6803" s="1" t="s">
        <v>6805</v>
      </c>
      <c r="B6803" s="1" t="s">
        <v>5</v>
      </c>
      <c r="C6803" s="2">
        <f>IFERROR(__xludf.DUMMYFUNCTION("IFERROR(VLOOKUP(A6803, IMPORTRANGE(""https://docs.google.com/spreadsheets/d/1AVX9GT0dgogEBStecCXMMQ29tWz3gBrtNB8yIromXbY/edit?gid=741673867"", ""out1g!A:B""), 2, FALSE), 0)"),95.0)</f>
        <v>95</v>
      </c>
      <c r="D6803" s="2" t="str">
        <f>IFERROR(__xludf.DUMMYFUNCTION("IFERROR(VLOOKUP(A6803, IMPORTRANGE(""https://docs.google.com/spreadsheets/d/1-3Vjw2Cyy-mry5gbC8ypIR3YVGFfEpyFESummAta6sg/edit"", ""Sheet1!B:D""), 2, FALSE), ""Not Found"")"),"ʧɛloʊ")</f>
        <v>ʧɛloʊ</v>
      </c>
      <c r="E6803" s="2" t="str">
        <f>IFERROR(__xludf.DUMMYFUNCTION("IFERROR(VLOOKUP(A6803, IMPORTRANGE(""https://docs.google.com/spreadsheets/d/1-3Vjw2Cyy-mry5gbC8ypIR3YVGFfEpyFESummAta6sg/edit"", ""Sheet1!B:D""), 3, FALSE), ""Not Found"")"),"ʧ ɛ l o ʊ ")</f>
        <v>ʧ ɛ l o ʊ </v>
      </c>
    </row>
    <row r="6804">
      <c r="A6804" s="1" t="s">
        <v>6806</v>
      </c>
      <c r="B6804" s="1" t="s">
        <v>5</v>
      </c>
      <c r="C6804" s="2">
        <f>IFERROR(__xludf.DUMMYFUNCTION("IFERROR(VLOOKUP(A6804, IMPORTRANGE(""https://docs.google.com/spreadsheets/d/1AVX9GT0dgogEBStecCXMMQ29tWz3gBrtNB8yIromXbY/edit?gid=741673867"", ""out1g!A:B""), 2, FALSE), 0)"),35.0)</f>
        <v>35</v>
      </c>
      <c r="D6804" s="2" t="str">
        <f>IFERROR(__xludf.DUMMYFUNCTION("IFERROR(VLOOKUP(A6804, IMPORTRANGE(""https://docs.google.com/spreadsheets/d/1-3Vjw2Cyy-mry5gbC8ypIR3YVGFfEpyFESummAta6sg/edit"", ""Sheet1!B:D""), 2, FALSE), ""Not Found"")"),"sæps")</f>
        <v>sæps</v>
      </c>
      <c r="E6804" s="2" t="str">
        <f>IFERROR(__xludf.DUMMYFUNCTION("IFERROR(VLOOKUP(A6804, IMPORTRANGE(""https://docs.google.com/spreadsheets/d/1-3Vjw2Cyy-mry5gbC8ypIR3YVGFfEpyFESummAta6sg/edit"", ""Sheet1!B:D""), 3, FALSE), ""Not Found"")"),"s æ p s ")</f>
        <v>s æ p s </v>
      </c>
    </row>
    <row r="6805">
      <c r="A6805" s="1" t="s">
        <v>6807</v>
      </c>
      <c r="B6805" s="1" t="s">
        <v>5</v>
      </c>
      <c r="C6805" s="2">
        <f>IFERROR(__xludf.DUMMYFUNCTION("IFERROR(VLOOKUP(A6805, IMPORTRANGE(""https://docs.google.com/spreadsheets/d/1AVX9GT0dgogEBStecCXMMQ29tWz3gBrtNB8yIromXbY/edit?gid=741673867"", ""out1g!A:B""), 2, FALSE), 0)"),47249.0)</f>
        <v>47249</v>
      </c>
      <c r="D6805" s="2" t="str">
        <f>IFERROR(__xludf.DUMMYFUNCTION("IFERROR(VLOOKUP(A6805, IMPORTRANGE(""https://docs.google.com/spreadsheets/d/1-3Vjw2Cyy-mry5gbC8ypIR3YVGFfEpyFESummAta6sg/edit"", ""Sheet1!B:D""), 2, FALSE), ""Not Found"")"),"mebi")</f>
        <v>mebi</v>
      </c>
      <c r="E6805" s="2" t="str">
        <f>IFERROR(__xludf.DUMMYFUNCTION("IFERROR(VLOOKUP(A6805, IMPORTRANGE(""https://docs.google.com/spreadsheets/d/1-3Vjw2Cyy-mry5gbC8ypIR3YVGFfEpyFESummAta6sg/edit"", ""Sheet1!B:D""), 3, FALSE), ""Not Found"")"),"m e b i ")</f>
        <v>m e b i </v>
      </c>
    </row>
    <row r="6806">
      <c r="A6806" s="1" t="s">
        <v>6808</v>
      </c>
      <c r="B6806" s="1" t="s">
        <v>5</v>
      </c>
      <c r="C6806" s="2">
        <f>IFERROR(__xludf.DUMMYFUNCTION("IFERROR(VLOOKUP(A6806, IMPORTRANGE(""https://docs.google.com/spreadsheets/d/1AVX9GT0dgogEBStecCXMMQ29tWz3gBrtNB8yIromXbY/edit?gid=741673867"", ""out1g!A:B""), 2, FALSE), 0)"),347.0)</f>
        <v>347</v>
      </c>
      <c r="D6806" s="2" t="str">
        <f>IFERROR(__xludf.DUMMYFUNCTION("IFERROR(VLOOKUP(A6806, IMPORTRANGE(""https://docs.google.com/spreadsheets/d/1-3Vjw2Cyy-mry5gbC8ypIR3YVGFfEpyFESummAta6sg/edit"", ""Sheet1!B:D""), 2, FALSE), ""Not Found"")"),"ʤækæs")</f>
        <v>ʤækæs</v>
      </c>
      <c r="E6806" s="2" t="str">
        <f>IFERROR(__xludf.DUMMYFUNCTION("IFERROR(VLOOKUP(A6806, IMPORTRANGE(""https://docs.google.com/spreadsheets/d/1-3Vjw2Cyy-mry5gbC8ypIR3YVGFfEpyFESummAta6sg/edit"", ""Sheet1!B:D""), 3, FALSE), ""Not Found"")"),"ʤ æ k æ s ")</f>
        <v>ʤ æ k æ s </v>
      </c>
    </row>
    <row r="6807">
      <c r="A6807" s="1" t="s">
        <v>6809</v>
      </c>
      <c r="B6807" s="1" t="s">
        <v>5</v>
      </c>
      <c r="C6807" s="2">
        <f>IFERROR(__xludf.DUMMYFUNCTION("IFERROR(VLOOKUP(A6807, IMPORTRANGE(""https://docs.google.com/spreadsheets/d/1AVX9GT0dgogEBStecCXMMQ29tWz3gBrtNB8yIromXbY/edit?gid=741673867"", ""out1g!A:B""), 2, FALSE), 0)"),1799.0)</f>
        <v>1799</v>
      </c>
      <c r="D6807" s="2" t="str">
        <f>IFERROR(__xludf.DUMMYFUNCTION("IFERROR(VLOOKUP(A6807, IMPORTRANGE(""https://docs.google.com/spreadsheets/d/1-3Vjw2Cyy-mry5gbC8ypIR3YVGFfEpyFESummAta6sg/edit"", ""Sheet1!B:D""), 2, FALSE), ""Not Found"")"),"fərm")</f>
        <v>fərm</v>
      </c>
      <c r="E6807" s="2" t="str">
        <f>IFERROR(__xludf.DUMMYFUNCTION("IFERROR(VLOOKUP(A6807, IMPORTRANGE(""https://docs.google.com/spreadsheets/d/1-3Vjw2Cyy-mry5gbC8ypIR3YVGFfEpyFESummAta6sg/edit"", ""Sheet1!B:D""), 3, FALSE), ""Not Found"")"),"f ə r m ")</f>
        <v>f ə r m </v>
      </c>
    </row>
    <row r="6808">
      <c r="A6808" s="1" t="s">
        <v>6810</v>
      </c>
      <c r="B6808" s="1" t="s">
        <v>5</v>
      </c>
      <c r="C6808" s="2">
        <f>IFERROR(__xludf.DUMMYFUNCTION("IFERROR(VLOOKUP(A6808, IMPORTRANGE(""https://docs.google.com/spreadsheets/d/1AVX9GT0dgogEBStecCXMMQ29tWz3gBrtNB8yIromXbY/edit?gid=741673867"", ""out1g!A:B""), 2, FALSE), 0)"),301.0)</f>
        <v>301</v>
      </c>
      <c r="D6808" s="2" t="str">
        <f>IFERROR(__xludf.DUMMYFUNCTION("IFERROR(VLOOKUP(A6808, IMPORTRANGE(""https://docs.google.com/spreadsheets/d/1-3Vjw2Cyy-mry5gbC8ypIR3YVGFfEpyFESummAta6sg/edit"", ""Sheet1!B:D""), 2, FALSE), ""Not Found"")"),"hɑlər")</f>
        <v>hɑlər</v>
      </c>
      <c r="E6808" s="2" t="str">
        <f>IFERROR(__xludf.DUMMYFUNCTION("IFERROR(VLOOKUP(A6808, IMPORTRANGE(""https://docs.google.com/spreadsheets/d/1-3Vjw2Cyy-mry5gbC8ypIR3YVGFfEpyFESummAta6sg/edit"", ""Sheet1!B:D""), 3, FALSE), ""Not Found"")"),"h ɑ l ə r ")</f>
        <v>h ɑ l ə r </v>
      </c>
    </row>
    <row r="6809">
      <c r="A6809" s="1" t="s">
        <v>6811</v>
      </c>
      <c r="B6809" s="1" t="s">
        <v>5</v>
      </c>
      <c r="C6809" s="2">
        <f>IFERROR(__xludf.DUMMYFUNCTION("IFERROR(VLOOKUP(A6809, IMPORTRANGE(""https://docs.google.com/spreadsheets/d/1AVX9GT0dgogEBStecCXMMQ29tWz3gBrtNB8yIromXbY/edit?gid=741673867"", ""out1g!A:B""), 2, FALSE), 0)"),5576.0)</f>
        <v>5576</v>
      </c>
      <c r="D6809" s="2" t="str">
        <f>IFERROR(__xludf.DUMMYFUNCTION("IFERROR(VLOOKUP(A6809, IMPORTRANGE(""https://docs.google.com/spreadsheets/d/1-3Vjw2Cyy-mry5gbC8ypIR3YVGFfEpyFESummAta6sg/edit"", ""Sheet1!B:D""), 2, FALSE), ""Not Found"")"),"wɛr")</f>
        <v>wɛr</v>
      </c>
      <c r="E6809" s="2" t="str">
        <f>IFERROR(__xludf.DUMMYFUNCTION("IFERROR(VLOOKUP(A6809, IMPORTRANGE(""https://docs.google.com/spreadsheets/d/1-3Vjw2Cyy-mry5gbC8ypIR3YVGFfEpyFESummAta6sg/edit"", ""Sheet1!B:D""), 3, FALSE), ""Not Found"")"),"w ɛ r ")</f>
        <v>w ɛ r </v>
      </c>
    </row>
    <row r="6810">
      <c r="A6810" s="1" t="s">
        <v>6812</v>
      </c>
      <c r="B6810" s="1" t="s">
        <v>5</v>
      </c>
      <c r="C6810" s="2">
        <f>IFERROR(__xludf.DUMMYFUNCTION("IFERROR(VLOOKUP(A6810, IMPORTRANGE(""https://docs.google.com/spreadsheets/d/1AVX9GT0dgogEBStecCXMMQ29tWz3gBrtNB8yIromXbY/edit?gid=741673867"", ""out1g!A:B""), 2, FALSE), 0)"),178.0)</f>
        <v>178</v>
      </c>
      <c r="D6810" s="2" t="str">
        <f>IFERROR(__xludf.DUMMYFUNCTION("IFERROR(VLOOKUP(A6810, IMPORTRANGE(""https://docs.google.com/spreadsheets/d/1-3Vjw2Cyy-mry5gbC8ypIR3YVGFfEpyFESummAta6sg/edit"", ""Sheet1!B:D""), 2, FALSE), ""Not Found"")"),"ɛlvz")</f>
        <v>ɛlvz</v>
      </c>
      <c r="E6810" s="2" t="str">
        <f>IFERROR(__xludf.DUMMYFUNCTION("IFERROR(VLOOKUP(A6810, IMPORTRANGE(""https://docs.google.com/spreadsheets/d/1-3Vjw2Cyy-mry5gbC8ypIR3YVGFfEpyFESummAta6sg/edit"", ""Sheet1!B:D""), 3, FALSE), ""Not Found"")"),"ɛ l v z ")</f>
        <v>ɛ l v z </v>
      </c>
    </row>
    <row r="6811">
      <c r="A6811" s="1" t="s">
        <v>6813</v>
      </c>
      <c r="B6811" s="1" t="s">
        <v>5</v>
      </c>
      <c r="C6811" s="2">
        <f>IFERROR(__xludf.DUMMYFUNCTION("IFERROR(VLOOKUP(A6811, IMPORTRANGE(""https://docs.google.com/spreadsheets/d/1AVX9GT0dgogEBStecCXMMQ29tWz3gBrtNB8yIromXbY/edit?gid=741673867"", ""out1g!A:B""), 2, FALSE), 0)"),340.0)</f>
        <v>340</v>
      </c>
      <c r="D6811" s="2" t="str">
        <f>IFERROR(__xludf.DUMMYFUNCTION("IFERROR(VLOOKUP(A6811, IMPORTRANGE(""https://docs.google.com/spreadsheets/d/1-3Vjw2Cyy-mry5gbC8ypIR3YVGFfEpyFESummAta6sg/edit"", ""Sheet1!B:D""), 2, FALSE), ""Not Found"")"),"sərkət")</f>
        <v>sərkət</v>
      </c>
      <c r="E6811" s="2" t="str">
        <f>IFERROR(__xludf.DUMMYFUNCTION("IFERROR(VLOOKUP(A6811, IMPORTRANGE(""https://docs.google.com/spreadsheets/d/1-3Vjw2Cyy-mry5gbC8ypIR3YVGFfEpyFESummAta6sg/edit"", ""Sheet1!B:D""), 3, FALSE), ""Not Found"")"),"s ə r k ə t ")</f>
        <v>s ə r k ə t </v>
      </c>
    </row>
    <row r="6812">
      <c r="A6812" s="1" t="s">
        <v>6814</v>
      </c>
      <c r="B6812" s="1" t="s">
        <v>5</v>
      </c>
      <c r="C6812" s="2">
        <f>IFERROR(__xludf.DUMMYFUNCTION("IFERROR(VLOOKUP(A6812, IMPORTRANGE(""https://docs.google.com/spreadsheets/d/1AVX9GT0dgogEBStecCXMMQ29tWz3gBrtNB8yIromXbY/edit?gid=741673867"", ""out1g!A:B""), 2, FALSE), 0)"),54.0)</f>
        <v>54</v>
      </c>
      <c r="D6812" s="2" t="str">
        <f>IFERROR(__xludf.DUMMYFUNCTION("IFERROR(VLOOKUP(A6812, IMPORTRANGE(""https://docs.google.com/spreadsheets/d/1-3Vjw2Cyy-mry5gbC8ypIR3YVGFfEpyFESummAta6sg/edit"", ""Sheet1!B:D""), 2, FALSE), ""Not Found"")"),"dɔnd")</f>
        <v>dɔnd</v>
      </c>
      <c r="E6812" s="2" t="str">
        <f>IFERROR(__xludf.DUMMYFUNCTION("IFERROR(VLOOKUP(A6812, IMPORTRANGE(""https://docs.google.com/spreadsheets/d/1-3Vjw2Cyy-mry5gbC8ypIR3YVGFfEpyFESummAta6sg/edit"", ""Sheet1!B:D""), 3, FALSE), ""Not Found"")"),"d ɔ n d ")</f>
        <v>d ɔ n d </v>
      </c>
    </row>
    <row r="6813">
      <c r="A6813" s="1" t="s">
        <v>6815</v>
      </c>
      <c r="B6813" s="1" t="s">
        <v>5</v>
      </c>
      <c r="C6813" s="2">
        <f>IFERROR(__xludf.DUMMYFUNCTION("IFERROR(VLOOKUP(A6813, IMPORTRANGE(""https://docs.google.com/spreadsheets/d/1AVX9GT0dgogEBStecCXMMQ29tWz3gBrtNB8yIromXbY/edit?gid=741673867"", ""out1g!A:B""), 2, FALSE), 0)"),110.0)</f>
        <v>110</v>
      </c>
      <c r="D6813" s="2" t="str">
        <f>IFERROR(__xludf.DUMMYFUNCTION("IFERROR(VLOOKUP(A6813, IMPORTRANGE(""https://docs.google.com/spreadsheets/d/1-3Vjw2Cyy-mry5gbC8ypIR3YVGFfEpyFESummAta6sg/edit"", ""Sheet1!B:D""), 2, FALSE), ""Not Found"")"),"pɪkɪn")</f>
        <v>pɪkɪn</v>
      </c>
      <c r="E6813" s="2" t="str">
        <f>IFERROR(__xludf.DUMMYFUNCTION("IFERROR(VLOOKUP(A6813, IMPORTRANGE(""https://docs.google.com/spreadsheets/d/1-3Vjw2Cyy-mry5gbC8ypIR3YVGFfEpyFESummAta6sg/edit"", ""Sheet1!B:D""), 3, FALSE), ""Not Found"")"),"p ɪ k ɪ n ")</f>
        <v>p ɪ k ɪ n </v>
      </c>
    </row>
    <row r="6814">
      <c r="A6814" s="1" t="s">
        <v>6816</v>
      </c>
      <c r="B6814" s="1" t="s">
        <v>5</v>
      </c>
      <c r="C6814" s="2">
        <f>IFERROR(__xludf.DUMMYFUNCTION("IFERROR(VLOOKUP(A6814, IMPORTRANGE(""https://docs.google.com/spreadsheets/d/1AVX9GT0dgogEBStecCXMMQ29tWz3gBrtNB8yIromXbY/edit?gid=741673867"", ""out1g!A:B""), 2, FALSE), 0)"),158.0)</f>
        <v>158</v>
      </c>
      <c r="D6814" s="2" t="str">
        <f>IFERROR(__xludf.DUMMYFUNCTION("IFERROR(VLOOKUP(A6814, IMPORTRANGE(""https://docs.google.com/spreadsheets/d/1-3Vjw2Cyy-mry5gbC8ypIR3YVGFfEpyFESummAta6sg/edit"", ""Sheet1!B:D""), 2, FALSE), ""Not Found"")"),"təkt")</f>
        <v>təkt</v>
      </c>
      <c r="E6814" s="2" t="str">
        <f>IFERROR(__xludf.DUMMYFUNCTION("IFERROR(VLOOKUP(A6814, IMPORTRANGE(""https://docs.google.com/spreadsheets/d/1-3Vjw2Cyy-mry5gbC8ypIR3YVGFfEpyFESummAta6sg/edit"", ""Sheet1!B:D""), 3, FALSE), ""Not Found"")"),"t ə k t ")</f>
        <v>t ə k t </v>
      </c>
    </row>
    <row r="6815">
      <c r="A6815" s="1" t="s">
        <v>6817</v>
      </c>
      <c r="B6815" s="1" t="s">
        <v>5</v>
      </c>
      <c r="C6815" s="2">
        <f>IFERROR(__xludf.DUMMYFUNCTION("IFERROR(VLOOKUP(A6815, IMPORTRANGE(""https://docs.google.com/spreadsheets/d/1AVX9GT0dgogEBStecCXMMQ29tWz3gBrtNB8yIromXbY/edit?gid=741673867"", ""out1g!A:B""), 2, FALSE), 0)"),160.0)</f>
        <v>160</v>
      </c>
      <c r="D6815" s="2" t="str">
        <f>IFERROR(__xludf.DUMMYFUNCTION("IFERROR(VLOOKUP(A6815, IMPORTRANGE(""https://docs.google.com/spreadsheets/d/1-3Vjw2Cyy-mry5gbC8ypIR3YVGFfEpyFESummAta6sg/edit"", ""Sheet1!B:D""), 2, FALSE), ""Not Found"")"),"fræt")</f>
        <v>fræt</v>
      </c>
      <c r="E6815" s="2" t="str">
        <f>IFERROR(__xludf.DUMMYFUNCTION("IFERROR(VLOOKUP(A6815, IMPORTRANGE(""https://docs.google.com/spreadsheets/d/1-3Vjw2Cyy-mry5gbC8ypIR3YVGFfEpyFESummAta6sg/edit"", ""Sheet1!B:D""), 3, FALSE), ""Not Found"")"),"f r æ t ")</f>
        <v>f r æ t </v>
      </c>
    </row>
    <row r="6816">
      <c r="A6816" s="1" t="s">
        <v>6818</v>
      </c>
      <c r="B6816" s="1" t="s">
        <v>5</v>
      </c>
      <c r="C6816" s="2">
        <f>IFERROR(__xludf.DUMMYFUNCTION("IFERROR(VLOOKUP(A6816, IMPORTRANGE(""https://docs.google.com/spreadsheets/d/1AVX9GT0dgogEBStecCXMMQ29tWz3gBrtNB8yIromXbY/edit?gid=741673867"", ""out1g!A:B""), 2, FALSE), 0)"),225.0)</f>
        <v>225</v>
      </c>
      <c r="D6816" s="2" t="str">
        <f>IFERROR(__xludf.DUMMYFUNCTION("IFERROR(VLOOKUP(A6816, IMPORTRANGE(""https://docs.google.com/spreadsheets/d/1-3Vjw2Cyy-mry5gbC8ypIR3YVGFfEpyFESummAta6sg/edit"", ""Sheet1!B:D""), 2, FALSE), ""Not Found"")"),"proʊb")</f>
        <v>proʊb</v>
      </c>
      <c r="E6816" s="2" t="str">
        <f>IFERROR(__xludf.DUMMYFUNCTION("IFERROR(VLOOKUP(A6816, IMPORTRANGE(""https://docs.google.com/spreadsheets/d/1-3Vjw2Cyy-mry5gbC8ypIR3YVGFfEpyFESummAta6sg/edit"", ""Sheet1!B:D""), 3, FALSE), ""Not Found"")"),"p r o ʊ b ")</f>
        <v>p r o ʊ b </v>
      </c>
    </row>
    <row r="6817">
      <c r="A6817" s="1" t="s">
        <v>6819</v>
      </c>
      <c r="B6817" s="1" t="s">
        <v>5</v>
      </c>
      <c r="C6817" s="2">
        <f>IFERROR(__xludf.DUMMYFUNCTION("IFERROR(VLOOKUP(A6817, IMPORTRANGE(""https://docs.google.com/spreadsheets/d/1AVX9GT0dgogEBStecCXMMQ29tWz3gBrtNB8yIromXbY/edit?gid=741673867"", ""out1g!A:B""), 2, FALSE), 0)"),18.0)</f>
        <v>18</v>
      </c>
      <c r="D6817" s="2" t="str">
        <f>IFERROR(__xludf.DUMMYFUNCTION("IFERROR(VLOOKUP(A6817, IMPORTRANGE(""https://docs.google.com/spreadsheets/d/1-3Vjw2Cyy-mry5gbC8ypIR3YVGFfEpyFESummAta6sg/edit"", ""Sheet1!B:D""), 2, FALSE), ""Not Found"")"),"oʊki")</f>
        <v>oʊki</v>
      </c>
      <c r="E6817" s="2" t="str">
        <f>IFERROR(__xludf.DUMMYFUNCTION("IFERROR(VLOOKUP(A6817, IMPORTRANGE(""https://docs.google.com/spreadsheets/d/1-3Vjw2Cyy-mry5gbC8ypIR3YVGFfEpyFESummAta6sg/edit"", ""Sheet1!B:D""), 3, FALSE), ""Not Found"")"),"o ʊ k i ")</f>
        <v>o ʊ k i </v>
      </c>
    </row>
    <row r="6818">
      <c r="A6818" s="1" t="s">
        <v>6820</v>
      </c>
      <c r="B6818" s="1" t="s">
        <v>5</v>
      </c>
      <c r="C6818" s="2">
        <f>IFERROR(__xludf.DUMMYFUNCTION("IFERROR(VLOOKUP(A6818, IMPORTRANGE(""https://docs.google.com/spreadsheets/d/1AVX9GT0dgogEBStecCXMMQ29tWz3gBrtNB8yIromXbY/edit?gid=741673867"", ""out1g!A:B""), 2, FALSE), 0)"),213.0)</f>
        <v>213</v>
      </c>
      <c r="D6818" s="2" t="str">
        <f>IFERROR(__xludf.DUMMYFUNCTION("IFERROR(VLOOKUP(A6818, IMPORTRANGE(""https://docs.google.com/spreadsheets/d/1-3Vjw2Cyy-mry5gbC8ypIR3YVGFfEpyFESummAta6sg/edit"", ""Sheet1!B:D""), 2, FALSE), ""Not Found"")"),"ʧəbi")</f>
        <v>ʧəbi</v>
      </c>
      <c r="E6818" s="2" t="str">
        <f>IFERROR(__xludf.DUMMYFUNCTION("IFERROR(VLOOKUP(A6818, IMPORTRANGE(""https://docs.google.com/spreadsheets/d/1-3Vjw2Cyy-mry5gbC8ypIR3YVGFfEpyFESummAta6sg/edit"", ""Sheet1!B:D""), 3, FALSE), ""Not Found"")"),"ʧ ə b i ")</f>
        <v>ʧ ə b i </v>
      </c>
    </row>
    <row r="6819">
      <c r="A6819" s="1" t="s">
        <v>6821</v>
      </c>
      <c r="B6819" s="1" t="s">
        <v>5</v>
      </c>
      <c r="C6819" s="2">
        <f>IFERROR(__xludf.DUMMYFUNCTION("IFERROR(VLOOKUP(A6819, IMPORTRANGE(""https://docs.google.com/spreadsheets/d/1AVX9GT0dgogEBStecCXMMQ29tWz3gBrtNB8yIromXbY/edit?gid=741673867"", ""out1g!A:B""), 2, FALSE), 0)"),952.0)</f>
        <v>952</v>
      </c>
      <c r="D6819" s="2" t="str">
        <f>IFERROR(__xludf.DUMMYFUNCTION("IFERROR(VLOOKUP(A6819, IMPORTRANGE(""https://docs.google.com/spreadsheets/d/1-3Vjw2Cyy-mry5gbC8ypIR3YVGFfEpyFESummAta6sg/edit"", ""Sheet1!B:D""), 2, FALSE), ""Not Found"")"),"ʧoʊz")</f>
        <v>ʧoʊz</v>
      </c>
      <c r="E6819" s="2" t="str">
        <f>IFERROR(__xludf.DUMMYFUNCTION("IFERROR(VLOOKUP(A6819, IMPORTRANGE(""https://docs.google.com/spreadsheets/d/1-3Vjw2Cyy-mry5gbC8ypIR3YVGFfEpyFESummAta6sg/edit"", ""Sheet1!B:D""), 3, FALSE), ""Not Found"")"),"ʧ o ʊ z ")</f>
        <v>ʧ o ʊ z </v>
      </c>
    </row>
    <row r="6820">
      <c r="A6820" s="1" t="s">
        <v>6822</v>
      </c>
      <c r="B6820" s="1" t="s">
        <v>5</v>
      </c>
      <c r="C6820" s="2">
        <f>IFERROR(__xludf.DUMMYFUNCTION("IFERROR(VLOOKUP(A6820, IMPORTRANGE(""https://docs.google.com/spreadsheets/d/1AVX9GT0dgogEBStecCXMMQ29tWz3gBrtNB8yIromXbY/edit?gid=741673867"", ""out1g!A:B""), 2, FALSE), 0)"),64.0)</f>
        <v>64</v>
      </c>
      <c r="D6820" s="2" t="str">
        <f>IFERROR(__xludf.DUMMYFUNCTION("IFERROR(VLOOKUP(A6820, IMPORTRANGE(""https://docs.google.com/spreadsheets/d/1-3Vjw2Cyy-mry5gbC8ypIR3YVGFfEpyFESummAta6sg/edit"", ""Sheet1!B:D""), 2, FALSE), ""Not Found"")"),"kun")</f>
        <v>kun</v>
      </c>
      <c r="E6820" s="2" t="str">
        <f>IFERROR(__xludf.DUMMYFUNCTION("IFERROR(VLOOKUP(A6820, IMPORTRANGE(""https://docs.google.com/spreadsheets/d/1-3Vjw2Cyy-mry5gbC8ypIR3YVGFfEpyFESummAta6sg/edit"", ""Sheet1!B:D""), 3, FALSE), ""Not Found"")"),"k u n ")</f>
        <v>k u n </v>
      </c>
    </row>
    <row r="6821">
      <c r="A6821" s="1" t="s">
        <v>6823</v>
      </c>
      <c r="B6821" s="1" t="s">
        <v>5</v>
      </c>
      <c r="C6821" s="2">
        <f>IFERROR(__xludf.DUMMYFUNCTION("IFERROR(VLOOKUP(A6821, IMPORTRANGE(""https://docs.google.com/spreadsheets/d/1AVX9GT0dgogEBStecCXMMQ29tWz3gBrtNB8yIromXbY/edit?gid=741673867"", ""out1g!A:B""), 2, FALSE), 0)"),133.0)</f>
        <v>133</v>
      </c>
      <c r="D6821" s="2" t="str">
        <f>IFERROR(__xludf.DUMMYFUNCTION("IFERROR(VLOOKUP(A6821, IMPORTRANGE(""https://docs.google.com/spreadsheets/d/1-3Vjw2Cyy-mry5gbC8ypIR3YVGFfEpyFESummAta6sg/edit"", ""Sheet1!B:D""), 2, FALSE), ""Not Found"")"),"spedz")</f>
        <v>spedz</v>
      </c>
      <c r="E6821" s="2" t="str">
        <f>IFERROR(__xludf.DUMMYFUNCTION("IFERROR(VLOOKUP(A6821, IMPORTRANGE(""https://docs.google.com/spreadsheets/d/1-3Vjw2Cyy-mry5gbC8ypIR3YVGFfEpyFESummAta6sg/edit"", ""Sheet1!B:D""), 3, FALSE), ""Not Found"")"),"s p e d z ")</f>
        <v>s p e d z </v>
      </c>
    </row>
    <row r="6822">
      <c r="A6822" s="1" t="s">
        <v>6824</v>
      </c>
      <c r="B6822" s="1" t="s">
        <v>5</v>
      </c>
      <c r="C6822" s="2">
        <f>IFERROR(__xludf.DUMMYFUNCTION("IFERROR(VLOOKUP(A6822, IMPORTRANGE(""https://docs.google.com/spreadsheets/d/1AVX9GT0dgogEBStecCXMMQ29tWz3gBrtNB8yIromXbY/edit?gid=741673867"", ""out1g!A:B""), 2, FALSE), 0)"),80.0)</f>
        <v>80</v>
      </c>
      <c r="D6822" s="2" t="str">
        <f>IFERROR(__xludf.DUMMYFUNCTION("IFERROR(VLOOKUP(A6822, IMPORTRANGE(""https://docs.google.com/spreadsheets/d/1-3Vjw2Cyy-mry5gbC8ypIR3YVGFfEpyFESummAta6sg/edit"", ""Sheet1!B:D""), 2, FALSE), ""Not Found"")"),"saɪ")</f>
        <v>saɪ</v>
      </c>
      <c r="E6822" s="2" t="str">
        <f>IFERROR(__xludf.DUMMYFUNCTION("IFERROR(VLOOKUP(A6822, IMPORTRANGE(""https://docs.google.com/spreadsheets/d/1-3Vjw2Cyy-mry5gbC8ypIR3YVGFfEpyFESummAta6sg/edit"", ""Sheet1!B:D""), 3, FALSE), ""Not Found"")"),"s a ɪ ")</f>
        <v>s a ɪ </v>
      </c>
    </row>
    <row r="6823">
      <c r="A6823" s="1" t="s">
        <v>6825</v>
      </c>
      <c r="B6823" s="1" t="s">
        <v>5</v>
      </c>
      <c r="C6823" s="2">
        <f>IFERROR(__xludf.DUMMYFUNCTION("IFERROR(VLOOKUP(A6823, IMPORTRANGE(""https://docs.google.com/spreadsheets/d/1AVX9GT0dgogEBStecCXMMQ29tWz3gBrtNB8yIromXbY/edit?gid=741673867"", ""out1g!A:B""), 2, FALSE), 0)"),55.0)</f>
        <v>55</v>
      </c>
      <c r="D6823" s="2" t="str">
        <f>IFERROR(__xludf.DUMMYFUNCTION("IFERROR(VLOOKUP(A6823, IMPORTRANGE(""https://docs.google.com/spreadsheets/d/1-3Vjw2Cyy-mry5gbC8ypIR3YVGFfEpyFESummAta6sg/edit"", ""Sheet1!B:D""), 2, FALSE), ""Not Found"")"),"flæk")</f>
        <v>flæk</v>
      </c>
      <c r="E6823" s="2" t="str">
        <f>IFERROR(__xludf.DUMMYFUNCTION("IFERROR(VLOOKUP(A6823, IMPORTRANGE(""https://docs.google.com/spreadsheets/d/1-3Vjw2Cyy-mry5gbC8ypIR3YVGFfEpyFESummAta6sg/edit"", ""Sheet1!B:D""), 3, FALSE), ""Not Found"")"),"f l æ k ")</f>
        <v>f l æ k </v>
      </c>
    </row>
    <row r="6824">
      <c r="A6824" s="1" t="s">
        <v>6826</v>
      </c>
      <c r="B6824" s="1" t="s">
        <v>5</v>
      </c>
      <c r="C6824" s="2">
        <f>IFERROR(__xludf.DUMMYFUNCTION("IFERROR(VLOOKUP(A6824, IMPORTRANGE(""https://docs.google.com/spreadsheets/d/1AVX9GT0dgogEBStecCXMMQ29tWz3gBrtNB8yIromXbY/edit?gid=741673867"", ""out1g!A:B""), 2, FALSE), 0)"),51.0)</f>
        <v>51</v>
      </c>
      <c r="D6824" s="2" t="str">
        <f>IFERROR(__xludf.DUMMYFUNCTION("IFERROR(VLOOKUP(A6824, IMPORTRANGE(""https://docs.google.com/spreadsheets/d/1-3Vjw2Cyy-mry5gbC8ypIR3YVGFfEpyFESummAta6sg/edit"", ""Sheet1!B:D""), 2, FALSE), ""Not Found"")"),"nɛdi")</f>
        <v>nɛdi</v>
      </c>
      <c r="E6824" s="2" t="str">
        <f>IFERROR(__xludf.DUMMYFUNCTION("IFERROR(VLOOKUP(A6824, IMPORTRANGE(""https://docs.google.com/spreadsheets/d/1-3Vjw2Cyy-mry5gbC8ypIR3YVGFfEpyFESummAta6sg/edit"", ""Sheet1!B:D""), 3, FALSE), ""Not Found"")"),"n ɛ d i ")</f>
        <v>n ɛ d i </v>
      </c>
    </row>
    <row r="6825">
      <c r="A6825" s="1" t="s">
        <v>6827</v>
      </c>
      <c r="B6825" s="1" t="s">
        <v>5</v>
      </c>
      <c r="C6825" s="2">
        <f>IFERROR(__xludf.DUMMYFUNCTION("IFERROR(VLOOKUP(A6825, IMPORTRANGE(""https://docs.google.com/spreadsheets/d/1AVX9GT0dgogEBStecCXMMQ29tWz3gBrtNB8yIromXbY/edit?gid=741673867"", ""out1g!A:B""), 2, FALSE), 0)"),48.0)</f>
        <v>48</v>
      </c>
      <c r="D6825" s="2" t="str">
        <f>IFERROR(__xludf.DUMMYFUNCTION("IFERROR(VLOOKUP(A6825, IMPORTRANGE(""https://docs.google.com/spreadsheets/d/1-3Vjw2Cyy-mry5gbC8ypIR3YVGFfEpyFESummAta6sg/edit"", ""Sheet1!B:D""), 2, FALSE), ""Not Found"")"),"hæp")</f>
        <v>hæp</v>
      </c>
      <c r="E6825" s="2" t="str">
        <f>IFERROR(__xludf.DUMMYFUNCTION("IFERROR(VLOOKUP(A6825, IMPORTRANGE(""https://docs.google.com/spreadsheets/d/1-3Vjw2Cyy-mry5gbC8ypIR3YVGFfEpyFESummAta6sg/edit"", ""Sheet1!B:D""), 3, FALSE), ""Not Found"")"),"h æ p ")</f>
        <v>h æ p </v>
      </c>
    </row>
    <row r="6826">
      <c r="A6826" s="1" t="s">
        <v>6828</v>
      </c>
      <c r="B6826" s="1" t="s">
        <v>5</v>
      </c>
      <c r="C6826" s="2">
        <f>IFERROR(__xludf.DUMMYFUNCTION("IFERROR(VLOOKUP(A6826, IMPORTRANGE(""https://docs.google.com/spreadsheets/d/1AVX9GT0dgogEBStecCXMMQ29tWz3gBrtNB8yIromXbY/edit?gid=741673867"", ""out1g!A:B""), 2, FALSE), 0)"),55.0)</f>
        <v>55</v>
      </c>
      <c r="D6826" s="2" t="str">
        <f>IFERROR(__xludf.DUMMYFUNCTION("IFERROR(VLOOKUP(A6826, IMPORTRANGE(""https://docs.google.com/spreadsheets/d/1-3Vjw2Cyy-mry5gbC8ypIR3YVGFfEpyFESummAta6sg/edit"", ""Sheet1!B:D""), 2, FALSE), ""Not Found"")"),"tret")</f>
        <v>tret</v>
      </c>
      <c r="E6826" s="2" t="str">
        <f>IFERROR(__xludf.DUMMYFUNCTION("IFERROR(VLOOKUP(A6826, IMPORTRANGE(""https://docs.google.com/spreadsheets/d/1-3Vjw2Cyy-mry5gbC8ypIR3YVGFfEpyFESummAta6sg/edit"", ""Sheet1!B:D""), 3, FALSE), ""Not Found"")"),"t r e t ")</f>
        <v>t r e t </v>
      </c>
    </row>
    <row r="6827">
      <c r="A6827" s="1" t="s">
        <v>6829</v>
      </c>
      <c r="B6827" s="1" t="s">
        <v>5</v>
      </c>
      <c r="C6827" s="2">
        <f>IFERROR(__xludf.DUMMYFUNCTION("IFERROR(VLOOKUP(A6827, IMPORTRANGE(""https://docs.google.com/spreadsheets/d/1AVX9GT0dgogEBStecCXMMQ29tWz3gBrtNB8yIromXbY/edit?gid=741673867"", ""out1g!A:B""), 2, FALSE), 0)"),11625.0)</f>
        <v>11625</v>
      </c>
      <c r="D6827" s="2" t="str">
        <f>IFERROR(__xludf.DUMMYFUNCTION("IFERROR(VLOOKUP(A6827, IMPORTRANGE(""https://docs.google.com/spreadsheets/d/1-3Vjw2Cyy-mry5gbC8ypIR3YVGFfEpyFESummAta6sg/edit"", ""Sheet1!B:D""), 2, FALSE), ""Not Found"")"),"slip")</f>
        <v>slip</v>
      </c>
      <c r="E6827" s="2" t="str">
        <f>IFERROR(__xludf.DUMMYFUNCTION("IFERROR(VLOOKUP(A6827, IMPORTRANGE(""https://docs.google.com/spreadsheets/d/1-3Vjw2Cyy-mry5gbC8ypIR3YVGFfEpyFESummAta6sg/edit"", ""Sheet1!B:D""), 3, FALSE), ""Not Found"")"),"s l i p ")</f>
        <v>s l i p </v>
      </c>
    </row>
    <row r="6828">
      <c r="A6828" s="1" t="s">
        <v>6830</v>
      </c>
      <c r="B6828" s="1" t="s">
        <v>5</v>
      </c>
      <c r="C6828" s="2">
        <f>IFERROR(__xludf.DUMMYFUNCTION("IFERROR(VLOOKUP(A6828, IMPORTRANGE(""https://docs.google.com/spreadsheets/d/1AVX9GT0dgogEBStecCXMMQ29tWz3gBrtNB8yIromXbY/edit?gid=741673867"", ""out1g!A:B""), 2, FALSE), 0)"),162.0)</f>
        <v>162</v>
      </c>
      <c r="D6828" s="2" t="str">
        <f>IFERROR(__xludf.DUMMYFUNCTION("IFERROR(VLOOKUP(A6828, IMPORTRANGE(""https://docs.google.com/spreadsheets/d/1-3Vjw2Cyy-mry5gbC8ypIR3YVGFfEpyFESummAta6sg/edit"", ""Sheet1!B:D""), 2, FALSE), ""Not Found"")"),"wɪrdoʊ")</f>
        <v>wɪrdoʊ</v>
      </c>
      <c r="E6828" s="2" t="str">
        <f>IFERROR(__xludf.DUMMYFUNCTION("IFERROR(VLOOKUP(A6828, IMPORTRANGE(""https://docs.google.com/spreadsheets/d/1-3Vjw2Cyy-mry5gbC8ypIR3YVGFfEpyFESummAta6sg/edit"", ""Sheet1!B:D""), 3, FALSE), ""Not Found"")"),"w ɪ r d o ʊ ")</f>
        <v>w ɪ r d o ʊ </v>
      </c>
    </row>
    <row r="6829">
      <c r="A6829" s="1" t="s">
        <v>6831</v>
      </c>
      <c r="B6829" s="1" t="s">
        <v>5</v>
      </c>
      <c r="C6829" s="2">
        <f>IFERROR(__xludf.DUMMYFUNCTION("IFERROR(VLOOKUP(A6829, IMPORTRANGE(""https://docs.google.com/spreadsheets/d/1AVX9GT0dgogEBStecCXMMQ29tWz3gBrtNB8yIromXbY/edit?gid=741673867"", ""out1g!A:B""), 2, FALSE), 0)"),74.0)</f>
        <v>74</v>
      </c>
      <c r="D6829" s="2" t="str">
        <f>IFERROR(__xludf.DUMMYFUNCTION("IFERROR(VLOOKUP(A6829, IMPORTRANGE(""https://docs.google.com/spreadsheets/d/1-3Vjw2Cyy-mry5gbC8ypIR3YVGFfEpyFESummAta6sg/edit"", ""Sheet1!B:D""), 2, FALSE), ""Not Found"")"),"raɪt")</f>
        <v>raɪt</v>
      </c>
      <c r="E6829" s="2" t="str">
        <f>IFERROR(__xludf.DUMMYFUNCTION("IFERROR(VLOOKUP(A6829, IMPORTRANGE(""https://docs.google.com/spreadsheets/d/1-3Vjw2Cyy-mry5gbC8ypIR3YVGFfEpyFESummAta6sg/edit"", ""Sheet1!B:D""), 3, FALSE), ""Not Found"")"),"r a ɪ t ")</f>
        <v>r a ɪ t </v>
      </c>
    </row>
    <row r="6830">
      <c r="A6830" s="1" t="s">
        <v>6832</v>
      </c>
      <c r="B6830" s="1" t="s">
        <v>5</v>
      </c>
      <c r="C6830" s="2">
        <f>IFERROR(__xludf.DUMMYFUNCTION("IFERROR(VLOOKUP(A6830, IMPORTRANGE(""https://docs.google.com/spreadsheets/d/1AVX9GT0dgogEBStecCXMMQ29tWz3gBrtNB8yIromXbY/edit?gid=741673867"", ""out1g!A:B""), 2, FALSE), 0)"),360.0)</f>
        <v>360</v>
      </c>
      <c r="D6830" s="2" t="str">
        <f>IFERROR(__xludf.DUMMYFUNCTION("IFERROR(VLOOKUP(A6830, IMPORTRANGE(""https://docs.google.com/spreadsheets/d/1-3Vjw2Cyy-mry5gbC8ypIR3YVGFfEpyFESummAta6sg/edit"", ""Sheet1!B:D""), 2, FALSE), ""Not Found"")"),"ɛrɪn")</f>
        <v>ɛrɪn</v>
      </c>
      <c r="E6830" s="2" t="str">
        <f>IFERROR(__xludf.DUMMYFUNCTION("IFERROR(VLOOKUP(A6830, IMPORTRANGE(""https://docs.google.com/spreadsheets/d/1-3Vjw2Cyy-mry5gbC8ypIR3YVGFfEpyFESummAta6sg/edit"", ""Sheet1!B:D""), 3, FALSE), ""Not Found"")"),"ɛ r ɪ n ")</f>
        <v>ɛ r ɪ n </v>
      </c>
    </row>
    <row r="6831">
      <c r="A6831" s="1" t="s">
        <v>6833</v>
      </c>
      <c r="B6831" s="1" t="s">
        <v>5</v>
      </c>
      <c r="C6831" s="2">
        <f>IFERROR(__xludf.DUMMYFUNCTION("IFERROR(VLOOKUP(A6831, IMPORTRANGE(""https://docs.google.com/spreadsheets/d/1AVX9GT0dgogEBStecCXMMQ29tWz3gBrtNB8yIromXbY/edit?gid=741673867"", ""out1g!A:B""), 2, FALSE), 0)"),148.0)</f>
        <v>148</v>
      </c>
      <c r="D6831" s="2" t="str">
        <f>IFERROR(__xludf.DUMMYFUNCTION("IFERROR(VLOOKUP(A6831, IMPORTRANGE(""https://docs.google.com/spreadsheets/d/1-3Vjw2Cyy-mry5gbC8ypIR3YVGFfEpyFESummAta6sg/edit"", ""Sheet1!B:D""), 2, FALSE), ""Not Found"")"),"soʊʃəli")</f>
        <v>soʊʃəli</v>
      </c>
      <c r="E6831" s="2" t="str">
        <f>IFERROR(__xludf.DUMMYFUNCTION("IFERROR(VLOOKUP(A6831, IMPORTRANGE(""https://docs.google.com/spreadsheets/d/1-3Vjw2Cyy-mry5gbC8ypIR3YVGFfEpyFESummAta6sg/edit"", ""Sheet1!B:D""), 3, FALSE), ""Not Found"")"),"s o ʊ ʃ ə l i ")</f>
        <v>s o ʊ ʃ ə l i </v>
      </c>
    </row>
    <row r="6832">
      <c r="A6832" s="1" t="s">
        <v>6834</v>
      </c>
      <c r="B6832" s="1" t="s">
        <v>5</v>
      </c>
      <c r="C6832" s="2">
        <f>IFERROR(__xludf.DUMMYFUNCTION("IFERROR(VLOOKUP(A6832, IMPORTRANGE(""https://docs.google.com/spreadsheets/d/1AVX9GT0dgogEBStecCXMMQ29tWz3gBrtNB8yIromXbY/edit?gid=741673867"", ""out1g!A:B""), 2, FALSE), 0)"),55.0)</f>
        <v>55</v>
      </c>
      <c r="D6832" s="2" t="str">
        <f>IFERROR(__xludf.DUMMYFUNCTION("IFERROR(VLOOKUP(A6832, IMPORTRANGE(""https://docs.google.com/spreadsheets/d/1-3Vjw2Cyy-mry5gbC8ypIR3YVGFfEpyFESummAta6sg/edit"", ""Sheet1!B:D""), 2, FALSE), ""Not Found"")"),"tɪkt")</f>
        <v>tɪkt</v>
      </c>
      <c r="E6832" s="2" t="str">
        <f>IFERROR(__xludf.DUMMYFUNCTION("IFERROR(VLOOKUP(A6832, IMPORTRANGE(""https://docs.google.com/spreadsheets/d/1-3Vjw2Cyy-mry5gbC8ypIR3YVGFfEpyFESummAta6sg/edit"", ""Sheet1!B:D""), 3, FALSE), ""Not Found"")"),"t ɪ k t ")</f>
        <v>t ɪ k t </v>
      </c>
    </row>
    <row r="6833">
      <c r="A6833" s="1" t="s">
        <v>6835</v>
      </c>
      <c r="B6833" s="1" t="s">
        <v>5</v>
      </c>
      <c r="C6833" s="2">
        <f>IFERROR(__xludf.DUMMYFUNCTION("IFERROR(VLOOKUP(A6833, IMPORTRANGE(""https://docs.google.com/spreadsheets/d/1AVX9GT0dgogEBStecCXMMQ29tWz3gBrtNB8yIromXbY/edit?gid=741673867"", ""out1g!A:B""), 2, FALSE), 0)"),1633.0)</f>
        <v>1633</v>
      </c>
      <c r="D6833" s="2" t="str">
        <f>IFERROR(__xludf.DUMMYFUNCTION("IFERROR(VLOOKUP(A6833, IMPORTRANGE(""https://docs.google.com/spreadsheets/d/1-3Vjw2Cyy-mry5gbC8ypIR3YVGFfEpyFESummAta6sg/edit"", ""Sheet1!B:D""), 2, FALSE), ""Not Found"")"),"sɔft")</f>
        <v>sɔft</v>
      </c>
      <c r="E6833" s="2" t="str">
        <f>IFERROR(__xludf.DUMMYFUNCTION("IFERROR(VLOOKUP(A6833, IMPORTRANGE(""https://docs.google.com/spreadsheets/d/1-3Vjw2Cyy-mry5gbC8ypIR3YVGFfEpyFESummAta6sg/edit"", ""Sheet1!B:D""), 3, FALSE), ""Not Found"")"),"s ɔ f t ")</f>
        <v>s ɔ f t </v>
      </c>
    </row>
    <row r="6834">
      <c r="A6834" s="1" t="s">
        <v>6836</v>
      </c>
      <c r="B6834" s="1" t="s">
        <v>5</v>
      </c>
      <c r="C6834" s="2">
        <f>IFERROR(__xludf.DUMMYFUNCTION("IFERROR(VLOOKUP(A6834, IMPORTRANGE(""https://docs.google.com/spreadsheets/d/1AVX9GT0dgogEBStecCXMMQ29tWz3gBrtNB8yIromXbY/edit?gid=741673867"", ""out1g!A:B""), 2, FALSE), 0)"),64.0)</f>
        <v>64</v>
      </c>
      <c r="D6834" s="2" t="str">
        <f>IFERROR(__xludf.DUMMYFUNCTION("IFERROR(VLOOKUP(A6834, IMPORTRANGE(""https://docs.google.com/spreadsheets/d/1-3Vjw2Cyy-mry5gbC8ypIR3YVGFfEpyFESummAta6sg/edit"", ""Sheet1!B:D""), 2, FALSE), ""Not Found"")"),"bɪʧi")</f>
        <v>bɪʧi</v>
      </c>
      <c r="E6834" s="2" t="str">
        <f>IFERROR(__xludf.DUMMYFUNCTION("IFERROR(VLOOKUP(A6834, IMPORTRANGE(""https://docs.google.com/spreadsheets/d/1-3Vjw2Cyy-mry5gbC8ypIR3YVGFfEpyFESummAta6sg/edit"", ""Sheet1!B:D""), 3, FALSE), ""Not Found"")"),"b ɪ ʧ i ")</f>
        <v>b ɪ ʧ i </v>
      </c>
    </row>
    <row r="6835">
      <c r="A6835" s="1" t="s">
        <v>6837</v>
      </c>
      <c r="B6835" s="1" t="s">
        <v>5</v>
      </c>
      <c r="C6835" s="2">
        <f>IFERROR(__xludf.DUMMYFUNCTION("IFERROR(VLOOKUP(A6835, IMPORTRANGE(""https://docs.google.com/spreadsheets/d/1AVX9GT0dgogEBStecCXMMQ29tWz3gBrtNB8yIromXbY/edit?gid=741673867"", ""out1g!A:B""), 2, FALSE), 0)"),667.0)</f>
        <v>667</v>
      </c>
      <c r="D6835" s="2" t="str">
        <f>IFERROR(__xludf.DUMMYFUNCTION("IFERROR(VLOOKUP(A6835, IMPORTRANGE(""https://docs.google.com/spreadsheets/d/1-3Vjw2Cyy-mry5gbC8ypIR3YVGFfEpyFESummAta6sg/edit"", ""Sheet1!B:D""), 2, FALSE), ""Not Found"")"),"ʤɪl")</f>
        <v>ʤɪl</v>
      </c>
      <c r="E6835" s="2" t="str">
        <f>IFERROR(__xludf.DUMMYFUNCTION("IFERROR(VLOOKUP(A6835, IMPORTRANGE(""https://docs.google.com/spreadsheets/d/1-3Vjw2Cyy-mry5gbC8ypIR3YVGFfEpyFESummAta6sg/edit"", ""Sheet1!B:D""), 3, FALSE), ""Not Found"")"),"ʤ ɪ l ")</f>
        <v>ʤ ɪ l </v>
      </c>
    </row>
    <row r="6836">
      <c r="A6836" s="1" t="s">
        <v>6838</v>
      </c>
      <c r="B6836" s="1" t="s">
        <v>5</v>
      </c>
      <c r="C6836" s="2">
        <f>IFERROR(__xludf.DUMMYFUNCTION("IFERROR(VLOOKUP(A6836, IMPORTRANGE(""https://docs.google.com/spreadsheets/d/1AVX9GT0dgogEBStecCXMMQ29tWz3gBrtNB8yIromXbY/edit?gid=741673867"", ""out1g!A:B""), 2, FALSE), 0)"),60.0)</f>
        <v>60</v>
      </c>
      <c r="D6836" s="2" t="str">
        <f>IFERROR(__xludf.DUMMYFUNCTION("IFERROR(VLOOKUP(A6836, IMPORTRANGE(""https://docs.google.com/spreadsheets/d/1-3Vjw2Cyy-mry5gbC8ypIR3YVGFfEpyFESummAta6sg/edit"", ""Sheet1!B:D""), 2, FALSE), ""Not Found"")"),"rubən")</f>
        <v>rubən</v>
      </c>
      <c r="E6836" s="2" t="str">
        <f>IFERROR(__xludf.DUMMYFUNCTION("IFERROR(VLOOKUP(A6836, IMPORTRANGE(""https://docs.google.com/spreadsheets/d/1-3Vjw2Cyy-mry5gbC8ypIR3YVGFfEpyFESummAta6sg/edit"", ""Sheet1!B:D""), 3, FALSE), ""Not Found"")"),"r u b ə n ")</f>
        <v>r u b ə n </v>
      </c>
    </row>
    <row r="6837">
      <c r="A6837" s="1" t="s">
        <v>6839</v>
      </c>
      <c r="B6837" s="1" t="s">
        <v>5</v>
      </c>
      <c r="C6837" s="2">
        <f>IFERROR(__xludf.DUMMYFUNCTION("IFERROR(VLOOKUP(A6837, IMPORTRANGE(""https://docs.google.com/spreadsheets/d/1AVX9GT0dgogEBStecCXMMQ29tWz3gBrtNB8yIromXbY/edit?gid=741673867"", ""out1g!A:B""), 2, FALSE), 0)"),129.0)</f>
        <v>129</v>
      </c>
      <c r="D6837" s="2" t="str">
        <f>IFERROR(__xludf.DUMMYFUNCTION("IFERROR(VLOOKUP(A6837, IMPORTRANGE(""https://docs.google.com/spreadsheets/d/1-3Vjw2Cyy-mry5gbC8ypIR3YVGFfEpyFESummAta6sg/edit"", ""Sheet1!B:D""), 2, FALSE), ""Not Found"")"),"eti")</f>
        <v>eti</v>
      </c>
      <c r="E6837" s="2" t="str">
        <f>IFERROR(__xludf.DUMMYFUNCTION("IFERROR(VLOOKUP(A6837, IMPORTRANGE(""https://docs.google.com/spreadsheets/d/1-3Vjw2Cyy-mry5gbC8ypIR3YVGFfEpyFESummAta6sg/edit"", ""Sheet1!B:D""), 3, FALSE), ""Not Found"")"),"e t i ")</f>
        <v>e t i </v>
      </c>
    </row>
    <row r="6838">
      <c r="A6838" s="1" t="s">
        <v>6840</v>
      </c>
      <c r="B6838" s="1" t="s">
        <v>5</v>
      </c>
      <c r="C6838" s="2">
        <f>IFERROR(__xludf.DUMMYFUNCTION("IFERROR(VLOOKUP(A6838, IMPORTRANGE(""https://docs.google.com/spreadsheets/d/1AVX9GT0dgogEBStecCXMMQ29tWz3gBrtNB8yIromXbY/edit?gid=741673867"", ""out1g!A:B""), 2, FALSE), 0)"),501965.0)</f>
        <v>501965</v>
      </c>
      <c r="D6838" s="2" t="str">
        <f>IFERROR(__xludf.DUMMYFUNCTION("IFERROR(VLOOKUP(A6838, IMPORTRANGE(""https://docs.google.com/spreadsheets/d/1-3Vjw2Cyy-mry5gbC8ypIR3YVGFfEpyFESummAta6sg/edit"", ""Sheet1!B:D""), 2, FALSE), ""Not Found"")"),"wət")</f>
        <v>wət</v>
      </c>
      <c r="E6838" s="2" t="str">
        <f>IFERROR(__xludf.DUMMYFUNCTION("IFERROR(VLOOKUP(A6838, IMPORTRANGE(""https://docs.google.com/spreadsheets/d/1-3Vjw2Cyy-mry5gbC8ypIR3YVGFfEpyFESummAta6sg/edit"", ""Sheet1!B:D""), 3, FALSE), ""Not Found"")"),"w ə t ")</f>
        <v>w ə t </v>
      </c>
    </row>
    <row r="6839">
      <c r="A6839" s="1" t="s">
        <v>6841</v>
      </c>
      <c r="B6839" s="1" t="s">
        <v>5</v>
      </c>
      <c r="C6839" s="2">
        <f>IFERROR(__xludf.DUMMYFUNCTION("IFERROR(VLOOKUP(A6839, IMPORTRANGE(""https://docs.google.com/spreadsheets/d/1AVX9GT0dgogEBStecCXMMQ29tWz3gBrtNB8yIromXbY/edit?gid=741673867"", ""out1g!A:B""), 2, FALSE), 0)"),273.0)</f>
        <v>273</v>
      </c>
      <c r="D6839" s="2" t="str">
        <f>IFERROR(__xludf.DUMMYFUNCTION("IFERROR(VLOOKUP(A6839, IMPORTRANGE(""https://docs.google.com/spreadsheets/d/1-3Vjw2Cyy-mry5gbC8ypIR3YVGFfEpyFESummAta6sg/edit"", ""Sheet1!B:D""), 2, FALSE), ""Not Found"")"),"əfɛns")</f>
        <v>əfɛns</v>
      </c>
      <c r="E6839" s="2" t="str">
        <f>IFERROR(__xludf.DUMMYFUNCTION("IFERROR(VLOOKUP(A6839, IMPORTRANGE(""https://docs.google.com/spreadsheets/d/1-3Vjw2Cyy-mry5gbC8ypIR3YVGFfEpyFESummAta6sg/edit"", ""Sheet1!B:D""), 3, FALSE), ""Not Found"")"),"ə f ɛ n s ")</f>
        <v>ə f ɛ n s </v>
      </c>
    </row>
    <row r="6840">
      <c r="A6840" s="1" t="s">
        <v>6842</v>
      </c>
      <c r="B6840" s="1" t="s">
        <v>5</v>
      </c>
      <c r="C6840" s="2">
        <f>IFERROR(__xludf.DUMMYFUNCTION("IFERROR(VLOOKUP(A6840, IMPORTRANGE(""https://docs.google.com/spreadsheets/d/1AVX9GT0dgogEBStecCXMMQ29tWz3gBrtNB8yIromXbY/edit?gid=741673867"", ""out1g!A:B""), 2, FALSE), 0)"),248.0)</f>
        <v>248</v>
      </c>
      <c r="D6840" s="2" t="str">
        <f>IFERROR(__xludf.DUMMYFUNCTION("IFERROR(VLOOKUP(A6840, IMPORTRANGE(""https://docs.google.com/spreadsheets/d/1-3Vjw2Cyy-mry5gbC8ypIR3YVGFfEpyFESummAta6sg/edit"", ""Sheet1!B:D""), 2, FALSE), ""Not Found"")"),"brɛnt")</f>
        <v>brɛnt</v>
      </c>
      <c r="E6840" s="2" t="str">
        <f>IFERROR(__xludf.DUMMYFUNCTION("IFERROR(VLOOKUP(A6840, IMPORTRANGE(""https://docs.google.com/spreadsheets/d/1-3Vjw2Cyy-mry5gbC8ypIR3YVGFfEpyFESummAta6sg/edit"", ""Sheet1!B:D""), 3, FALSE), ""Not Found"")"),"b r ɛ n t ")</f>
        <v>b r ɛ n t </v>
      </c>
    </row>
    <row r="6841">
      <c r="A6841" s="1" t="s">
        <v>6843</v>
      </c>
      <c r="B6841" s="1" t="s">
        <v>5</v>
      </c>
      <c r="C6841" s="2">
        <f>IFERROR(__xludf.DUMMYFUNCTION("IFERROR(VLOOKUP(A6841, IMPORTRANGE(""https://docs.google.com/spreadsheets/d/1AVX9GT0dgogEBStecCXMMQ29tWz3gBrtNB8yIromXbY/edit?gid=741673867"", ""out1g!A:B""), 2, FALSE), 0)"),97.0)</f>
        <v>97</v>
      </c>
      <c r="D6841" s="2" t="str">
        <f>IFERROR(__xludf.DUMMYFUNCTION("IFERROR(VLOOKUP(A6841, IMPORTRANGE(""https://docs.google.com/spreadsheets/d/1-3Vjw2Cyy-mry5gbC8ypIR3YVGFfEpyFESummAta6sg/edit"", ""Sheet1!B:D""), 2, FALSE), ""Not Found"")"),"lus")</f>
        <v>lus</v>
      </c>
      <c r="E6841" s="2" t="str">
        <f>IFERROR(__xludf.DUMMYFUNCTION("IFERROR(VLOOKUP(A6841, IMPORTRANGE(""https://docs.google.com/spreadsheets/d/1-3Vjw2Cyy-mry5gbC8ypIR3YVGFfEpyFESummAta6sg/edit"", ""Sheet1!B:D""), 3, FALSE), ""Not Found"")"),"l u s ")</f>
        <v>l u s </v>
      </c>
    </row>
    <row r="6842">
      <c r="A6842" s="1" t="s">
        <v>6844</v>
      </c>
      <c r="B6842" s="1" t="s">
        <v>5</v>
      </c>
      <c r="C6842" s="2">
        <f>IFERROR(__xludf.DUMMYFUNCTION("IFERROR(VLOOKUP(A6842, IMPORTRANGE(""https://docs.google.com/spreadsheets/d/1AVX9GT0dgogEBStecCXMMQ29tWz3gBrtNB8yIromXbY/edit?gid=741673867"", ""out1g!A:B""), 2, FALSE), 0)"),900.0)</f>
        <v>900</v>
      </c>
      <c r="D6842" s="2" t="str">
        <f>IFERROR(__xludf.DUMMYFUNCTION("IFERROR(VLOOKUP(A6842, IMPORTRANGE(""https://docs.google.com/spreadsheets/d/1-3Vjw2Cyy-mry5gbC8ypIR3YVGFfEpyFESummAta6sg/edit"", ""Sheet1!B:D""), 2, FALSE), ""Not Found"")"),"kɪt")</f>
        <v>kɪt</v>
      </c>
      <c r="E6842" s="2" t="str">
        <f>IFERROR(__xludf.DUMMYFUNCTION("IFERROR(VLOOKUP(A6842, IMPORTRANGE(""https://docs.google.com/spreadsheets/d/1-3Vjw2Cyy-mry5gbC8ypIR3YVGFfEpyFESummAta6sg/edit"", ""Sheet1!B:D""), 3, FALSE), ""Not Found"")"),"k ɪ t ")</f>
        <v>k ɪ t </v>
      </c>
    </row>
    <row r="6843">
      <c r="A6843" s="1" t="s">
        <v>6845</v>
      </c>
      <c r="B6843" s="1" t="s">
        <v>5</v>
      </c>
      <c r="C6843" s="2">
        <f>IFERROR(__xludf.DUMMYFUNCTION("IFERROR(VLOOKUP(A6843, IMPORTRANGE(""https://docs.google.com/spreadsheets/d/1AVX9GT0dgogEBStecCXMMQ29tWz3gBrtNB8yIromXbY/edit?gid=741673867"", ""out1g!A:B""), 2, FALSE), 0)"),1397.0)</f>
        <v>1397</v>
      </c>
      <c r="D6843" s="2" t="str">
        <f>IFERROR(__xludf.DUMMYFUNCTION("IFERROR(VLOOKUP(A6843, IMPORTRANGE(""https://docs.google.com/spreadsheets/d/1-3Vjw2Cyy-mry5gbC8ypIR3YVGFfEpyFESummAta6sg/edit"", ""Sheet1!B:D""), 2, FALSE), ""Not Found"")"),"kɛrən")</f>
        <v>kɛrən</v>
      </c>
      <c r="E6843" s="2" t="str">
        <f>IFERROR(__xludf.DUMMYFUNCTION("IFERROR(VLOOKUP(A6843, IMPORTRANGE(""https://docs.google.com/spreadsheets/d/1-3Vjw2Cyy-mry5gbC8ypIR3YVGFfEpyFESummAta6sg/edit"", ""Sheet1!B:D""), 3, FALSE), ""Not Found"")"),"k ɛ r ə n ")</f>
        <v>k ɛ r ə n </v>
      </c>
    </row>
    <row r="6844">
      <c r="A6844" s="1" t="s">
        <v>6846</v>
      </c>
      <c r="B6844" s="1" t="s">
        <v>5</v>
      </c>
      <c r="C6844" s="2">
        <f>IFERROR(__xludf.DUMMYFUNCTION("IFERROR(VLOOKUP(A6844, IMPORTRANGE(""https://docs.google.com/spreadsheets/d/1AVX9GT0dgogEBStecCXMMQ29tWz3gBrtNB8yIromXbY/edit?gid=741673867"", ""out1g!A:B""), 2, FALSE), 0)"),80.0)</f>
        <v>80</v>
      </c>
      <c r="D6844" s="2" t="str">
        <f>IFERROR(__xludf.DUMMYFUNCTION("IFERROR(VLOOKUP(A6844, IMPORTRANGE(""https://docs.google.com/spreadsheets/d/1-3Vjw2Cyy-mry5gbC8ypIR3YVGFfEpyFESummAta6sg/edit"", ""Sheet1!B:D""), 2, FALSE), ""Not Found"")"),"kɪloʊ")</f>
        <v>kɪloʊ</v>
      </c>
      <c r="E6844" s="2" t="str">
        <f>IFERROR(__xludf.DUMMYFUNCTION("IFERROR(VLOOKUP(A6844, IMPORTRANGE(""https://docs.google.com/spreadsheets/d/1-3Vjw2Cyy-mry5gbC8ypIR3YVGFfEpyFESummAta6sg/edit"", ""Sheet1!B:D""), 3, FALSE), ""Not Found"")"),"k ɪ l o ʊ ")</f>
        <v>k ɪ l o ʊ </v>
      </c>
    </row>
    <row r="6845">
      <c r="A6845" s="1" t="s">
        <v>6847</v>
      </c>
      <c r="B6845" s="1" t="s">
        <v>5</v>
      </c>
      <c r="C6845" s="2">
        <f>IFERROR(__xludf.DUMMYFUNCTION("IFERROR(VLOOKUP(A6845, IMPORTRANGE(""https://docs.google.com/spreadsheets/d/1AVX9GT0dgogEBStecCXMMQ29tWz3gBrtNB8yIromXbY/edit?gid=741673867"", ""out1g!A:B""), 2, FALSE), 0)"),46.0)</f>
        <v>46</v>
      </c>
      <c r="D6845" s="2" t="str">
        <f>IFERROR(__xludf.DUMMYFUNCTION("IFERROR(VLOOKUP(A6845, IMPORTRANGE(""https://docs.google.com/spreadsheets/d/1-3Vjw2Cyy-mry5gbC8ypIR3YVGFfEpyFESummAta6sg/edit"", ""Sheet1!B:D""), 2, FALSE), ""Not Found"")"),"kɑnər")</f>
        <v>kɑnər</v>
      </c>
      <c r="E6845" s="2" t="str">
        <f>IFERROR(__xludf.DUMMYFUNCTION("IFERROR(VLOOKUP(A6845, IMPORTRANGE(""https://docs.google.com/spreadsheets/d/1-3Vjw2Cyy-mry5gbC8ypIR3YVGFfEpyFESummAta6sg/edit"", ""Sheet1!B:D""), 3, FALSE), ""Not Found"")"),"k ɑ n ə r ")</f>
        <v>k ɑ n ə r </v>
      </c>
    </row>
    <row r="6846">
      <c r="A6846" s="1" t="s">
        <v>6848</v>
      </c>
      <c r="B6846" s="1" t="s">
        <v>5</v>
      </c>
      <c r="C6846" s="2">
        <f>IFERROR(__xludf.DUMMYFUNCTION("IFERROR(VLOOKUP(A6846, IMPORTRANGE(""https://docs.google.com/spreadsheets/d/1AVX9GT0dgogEBStecCXMMQ29tWz3gBrtNB8yIromXbY/edit?gid=741673867"", ""out1g!A:B""), 2, FALSE), 0)"),73.0)</f>
        <v>73</v>
      </c>
      <c r="D6846" s="2" t="str">
        <f>IFERROR(__xludf.DUMMYFUNCTION("IFERROR(VLOOKUP(A6846, IMPORTRANGE(""https://docs.google.com/spreadsheets/d/1-3Vjw2Cyy-mry5gbC8ypIR3YVGFfEpyFESummAta6sg/edit"", ""Sheet1!B:D""), 2, FALSE), ""Not Found"")"),"spər")</f>
        <v>spər</v>
      </c>
      <c r="E6846" s="2" t="str">
        <f>IFERROR(__xludf.DUMMYFUNCTION("IFERROR(VLOOKUP(A6846, IMPORTRANGE(""https://docs.google.com/spreadsheets/d/1-3Vjw2Cyy-mry5gbC8ypIR3YVGFfEpyFESummAta6sg/edit"", ""Sheet1!B:D""), 3, FALSE), ""Not Found"")"),"s p ə r ")</f>
        <v>s p ə r </v>
      </c>
    </row>
    <row r="6847">
      <c r="A6847" s="1" t="s">
        <v>6849</v>
      </c>
      <c r="B6847" s="1" t="s">
        <v>5</v>
      </c>
      <c r="C6847" s="2">
        <f>IFERROR(__xludf.DUMMYFUNCTION("IFERROR(VLOOKUP(A6847, IMPORTRANGE(""https://docs.google.com/spreadsheets/d/1AVX9GT0dgogEBStecCXMMQ29tWz3gBrtNB8yIromXbY/edit?gid=741673867"", ""out1g!A:B""), 2, FALSE), 0)"),96.0)</f>
        <v>96</v>
      </c>
      <c r="D6847" s="2" t="str">
        <f>IFERROR(__xludf.DUMMYFUNCTION("IFERROR(VLOOKUP(A6847, IMPORTRANGE(""https://docs.google.com/spreadsheets/d/1-3Vjw2Cyy-mry5gbC8ypIR3YVGFfEpyFESummAta6sg/edit"", ""Sheet1!B:D""), 2, FALSE), ""Not Found"")"),"ʤɑnz")</f>
        <v>ʤɑnz</v>
      </c>
      <c r="E6847" s="2" t="str">
        <f>IFERROR(__xludf.DUMMYFUNCTION("IFERROR(VLOOKUP(A6847, IMPORTRANGE(""https://docs.google.com/spreadsheets/d/1-3Vjw2Cyy-mry5gbC8ypIR3YVGFfEpyFESummAta6sg/edit"", ""Sheet1!B:D""), 3, FALSE), ""Not Found"")"),"ʤ ɑ n z ")</f>
        <v>ʤ ɑ n z </v>
      </c>
    </row>
    <row r="6848">
      <c r="A6848" s="1" t="s">
        <v>6850</v>
      </c>
      <c r="B6848" s="1" t="s">
        <v>5</v>
      </c>
      <c r="C6848" s="2">
        <f>IFERROR(__xludf.DUMMYFUNCTION("IFERROR(VLOOKUP(A6848, IMPORTRANGE(""https://docs.google.com/spreadsheets/d/1AVX9GT0dgogEBStecCXMMQ29tWz3gBrtNB8yIromXbY/edit?gid=741673867"", ""out1g!A:B""), 2, FALSE), 0)"),631.0)</f>
        <v>631</v>
      </c>
      <c r="D6848" s="2" t="str">
        <f>IFERROR(__xludf.DUMMYFUNCTION("IFERROR(VLOOKUP(A6848, IMPORTRANGE(""https://docs.google.com/spreadsheets/d/1-3Vjw2Cyy-mry5gbC8ypIR3YVGFfEpyFESummAta6sg/edit"", ""Sheet1!B:D""), 2, FALSE), ""Not Found"")"),"taɪər")</f>
        <v>taɪər</v>
      </c>
      <c r="E6848" s="2" t="str">
        <f>IFERROR(__xludf.DUMMYFUNCTION("IFERROR(VLOOKUP(A6848, IMPORTRANGE(""https://docs.google.com/spreadsheets/d/1-3Vjw2Cyy-mry5gbC8ypIR3YVGFfEpyFESummAta6sg/edit"", ""Sheet1!B:D""), 3, FALSE), ""Not Found"")"),"t a ɪ ə r ")</f>
        <v>t a ɪ ə r </v>
      </c>
    </row>
    <row r="6849">
      <c r="A6849" s="1" t="s">
        <v>6851</v>
      </c>
      <c r="B6849" s="1" t="s">
        <v>5</v>
      </c>
      <c r="C6849" s="2">
        <f>IFERROR(__xludf.DUMMYFUNCTION("IFERROR(VLOOKUP(A6849, IMPORTRANGE(""https://docs.google.com/spreadsheets/d/1AVX9GT0dgogEBStecCXMMQ29tWz3gBrtNB8yIromXbY/edit?gid=741673867"", ""out1g!A:B""), 2, FALSE), 0)"),2633.0)</f>
        <v>2633</v>
      </c>
      <c r="D6849" s="2" t="str">
        <f>IFERROR(__xludf.DUMMYFUNCTION("IFERROR(VLOOKUP(A6849, IMPORTRANGE(""https://docs.google.com/spreadsheets/d/1-3Vjw2Cyy-mry5gbC8ypIR3YVGFfEpyFESummAta6sg/edit"", ""Sheet1!B:D""), 2, FALSE), ""Not Found"")"),"wez")</f>
        <v>wez</v>
      </c>
      <c r="E6849" s="2" t="str">
        <f>IFERROR(__xludf.DUMMYFUNCTION("IFERROR(VLOOKUP(A6849, IMPORTRANGE(""https://docs.google.com/spreadsheets/d/1-3Vjw2Cyy-mry5gbC8ypIR3YVGFfEpyFESummAta6sg/edit"", ""Sheet1!B:D""), 3, FALSE), ""Not Found"")"),"w e z ")</f>
        <v>w e z </v>
      </c>
    </row>
    <row r="6850">
      <c r="A6850" s="1" t="s">
        <v>6852</v>
      </c>
      <c r="B6850" s="1" t="s">
        <v>5</v>
      </c>
      <c r="C6850" s="2">
        <f>IFERROR(__xludf.DUMMYFUNCTION("IFERROR(VLOOKUP(A6850, IMPORTRANGE(""https://docs.google.com/spreadsheets/d/1AVX9GT0dgogEBStecCXMMQ29tWz3gBrtNB8yIromXbY/edit?gid=741673867"", ""out1g!A:B""), 2, FALSE), 0)"),410.0)</f>
        <v>410</v>
      </c>
      <c r="D6850" s="2" t="str">
        <f>IFERROR(__xludf.DUMMYFUNCTION("IFERROR(VLOOKUP(A6850, IMPORTRANGE(""https://docs.google.com/spreadsheets/d/1-3Vjw2Cyy-mry5gbC8ypIR3YVGFfEpyFESummAta6sg/edit"", ""Sheet1!B:D""), 2, FALSE), ""Not Found"")"),"strim")</f>
        <v>strim</v>
      </c>
      <c r="E6850" s="2" t="str">
        <f>IFERROR(__xludf.DUMMYFUNCTION("IFERROR(VLOOKUP(A6850, IMPORTRANGE(""https://docs.google.com/spreadsheets/d/1-3Vjw2Cyy-mry5gbC8ypIR3YVGFfEpyFESummAta6sg/edit"", ""Sheet1!B:D""), 3, FALSE), ""Not Found"")"),"s t r i m ")</f>
        <v>s t r i m </v>
      </c>
    </row>
    <row r="6851">
      <c r="A6851" s="1" t="s">
        <v>6853</v>
      </c>
      <c r="B6851" s="1" t="s">
        <v>5</v>
      </c>
      <c r="C6851" s="2">
        <f>IFERROR(__xludf.DUMMYFUNCTION("IFERROR(VLOOKUP(A6851, IMPORTRANGE(""https://docs.google.com/spreadsheets/d/1AVX9GT0dgogEBStecCXMMQ29tWz3gBrtNB8yIromXbY/edit?gid=741673867"", ""out1g!A:B""), 2, FALSE), 0)"),132.0)</f>
        <v>132</v>
      </c>
      <c r="D6851" s="2" t="str">
        <f>IFERROR(__xludf.DUMMYFUNCTION("IFERROR(VLOOKUP(A6851, IMPORTRANGE(""https://docs.google.com/spreadsheets/d/1-3Vjw2Cyy-mry5gbC8ypIR3YVGFfEpyFESummAta6sg/edit"", ""Sheet1!B:D""), 2, FALSE), ""Not Found"")"),"lɪmz")</f>
        <v>lɪmz</v>
      </c>
      <c r="E6851" s="2" t="str">
        <f>IFERROR(__xludf.DUMMYFUNCTION("IFERROR(VLOOKUP(A6851, IMPORTRANGE(""https://docs.google.com/spreadsheets/d/1-3Vjw2Cyy-mry5gbC8ypIR3YVGFfEpyFESummAta6sg/edit"", ""Sheet1!B:D""), 3, FALSE), ""Not Found"")"),"l ɪ m z ")</f>
        <v>l ɪ m z </v>
      </c>
    </row>
    <row r="6852">
      <c r="A6852" s="1" t="s">
        <v>6854</v>
      </c>
      <c r="B6852" s="1" t="s">
        <v>5</v>
      </c>
      <c r="C6852" s="2">
        <f>IFERROR(__xludf.DUMMYFUNCTION("IFERROR(VLOOKUP(A6852, IMPORTRANGE(""https://docs.google.com/spreadsheets/d/1AVX9GT0dgogEBStecCXMMQ29tWz3gBrtNB8yIromXbY/edit?gid=741673867"", ""out1g!A:B""), 2, FALSE), 0)"),228.0)</f>
        <v>228</v>
      </c>
      <c r="D6852" s="2" t="str">
        <f>IFERROR(__xludf.DUMMYFUNCTION("IFERROR(VLOOKUP(A6852, IMPORTRANGE(""https://docs.google.com/spreadsheets/d/1-3Vjw2Cyy-mry5gbC8ypIR3YVGFfEpyFESummAta6sg/edit"", ""Sheet1!B:D""), 2, FALSE), ""Not Found"")"),"stil")</f>
        <v>stil</v>
      </c>
      <c r="E6852" s="2" t="str">
        <f>IFERROR(__xludf.DUMMYFUNCTION("IFERROR(VLOOKUP(A6852, IMPORTRANGE(""https://docs.google.com/spreadsheets/d/1-3Vjw2Cyy-mry5gbC8ypIR3YVGFfEpyFESummAta6sg/edit"", ""Sheet1!B:D""), 3, FALSE), ""Not Found"")"),"s t i l ")</f>
        <v>s t i l </v>
      </c>
    </row>
    <row r="6853">
      <c r="A6853" s="1" t="s">
        <v>6855</v>
      </c>
      <c r="B6853" s="1" t="s">
        <v>5</v>
      </c>
      <c r="C6853" s="2">
        <f>IFERROR(__xludf.DUMMYFUNCTION("IFERROR(VLOOKUP(A6853, IMPORTRANGE(""https://docs.google.com/spreadsheets/d/1AVX9GT0dgogEBStecCXMMQ29tWz3gBrtNB8yIromXbY/edit?gid=741673867"", ""out1g!A:B""), 2, FALSE), 0)"),404.0)</f>
        <v>404</v>
      </c>
      <c r="D6853" s="2" t="str">
        <f>IFERROR(__xludf.DUMMYFUNCTION("IFERROR(VLOOKUP(A6853, IMPORTRANGE(""https://docs.google.com/spreadsheets/d/1-3Vjw2Cyy-mry5gbC8ypIR3YVGFfEpyFESummAta6sg/edit"", ""Sheet1!B:D""), 2, FALSE), ""Not Found"")"),"smɛld")</f>
        <v>smɛld</v>
      </c>
      <c r="E6853" s="2" t="str">
        <f>IFERROR(__xludf.DUMMYFUNCTION("IFERROR(VLOOKUP(A6853, IMPORTRANGE(""https://docs.google.com/spreadsheets/d/1-3Vjw2Cyy-mry5gbC8ypIR3YVGFfEpyFESummAta6sg/edit"", ""Sheet1!B:D""), 3, FALSE), ""Not Found"")"),"s m ɛ l d ")</f>
        <v>s m ɛ l d </v>
      </c>
    </row>
    <row r="6854">
      <c r="A6854" s="1" t="s">
        <v>6856</v>
      </c>
      <c r="B6854" s="1" t="s">
        <v>5</v>
      </c>
      <c r="C6854" s="2">
        <f>IFERROR(__xludf.DUMMYFUNCTION("IFERROR(VLOOKUP(A6854, IMPORTRANGE(""https://docs.google.com/spreadsheets/d/1AVX9GT0dgogEBStecCXMMQ29tWz3gBrtNB8yIromXbY/edit?gid=741673867"", ""out1g!A:B""), 2, FALSE), 0)"),346.0)</f>
        <v>346</v>
      </c>
      <c r="D6854" s="2" t="str">
        <f>IFERROR(__xludf.DUMMYFUNCTION("IFERROR(VLOOKUP(A6854, IMPORTRANGE(""https://docs.google.com/spreadsheets/d/1-3Vjw2Cyy-mry5gbC8ypIR3YVGFfEpyFESummAta6sg/edit"", ""Sheet1!B:D""), 2, FALSE), ""Not Found"")"),"je")</f>
        <v>je</v>
      </c>
      <c r="E6854" s="2" t="str">
        <f>IFERROR(__xludf.DUMMYFUNCTION("IFERROR(VLOOKUP(A6854, IMPORTRANGE(""https://docs.google.com/spreadsheets/d/1-3Vjw2Cyy-mry5gbC8ypIR3YVGFfEpyFESummAta6sg/edit"", ""Sheet1!B:D""), 3, FALSE), ""Not Found"")"),"j e ")</f>
        <v>j e </v>
      </c>
    </row>
    <row r="6855">
      <c r="A6855" s="1" t="s">
        <v>6857</v>
      </c>
      <c r="B6855" s="1" t="s">
        <v>5</v>
      </c>
      <c r="C6855" s="2">
        <f>IFERROR(__xludf.DUMMYFUNCTION("IFERROR(VLOOKUP(A6855, IMPORTRANGE(""https://docs.google.com/spreadsheets/d/1AVX9GT0dgogEBStecCXMMQ29tWz3gBrtNB8yIromXbY/edit?gid=741673867"", ""out1g!A:B""), 2, FALSE), 0)"),49.0)</f>
        <v>49</v>
      </c>
      <c r="D6855" s="2" t="str">
        <f>IFERROR(__xludf.DUMMYFUNCTION("IFERROR(VLOOKUP(A6855, IMPORTRANGE(""https://docs.google.com/spreadsheets/d/1-3Vjw2Cyy-mry5gbC8ypIR3YVGFfEpyFESummAta6sg/edit"", ""Sheet1!B:D""), 2, FALSE), ""Not Found"")"),"pənʧi")</f>
        <v>pənʧi</v>
      </c>
      <c r="E6855" s="2" t="str">
        <f>IFERROR(__xludf.DUMMYFUNCTION("IFERROR(VLOOKUP(A6855, IMPORTRANGE(""https://docs.google.com/spreadsheets/d/1-3Vjw2Cyy-mry5gbC8ypIR3YVGFfEpyFESummAta6sg/edit"", ""Sheet1!B:D""), 3, FALSE), ""Not Found"")"),"p ə n ʧ i ")</f>
        <v>p ə n ʧ i </v>
      </c>
    </row>
    <row r="6856">
      <c r="A6856" s="1" t="s">
        <v>6858</v>
      </c>
      <c r="B6856" s="1" t="s">
        <v>5</v>
      </c>
      <c r="C6856" s="2">
        <f>IFERROR(__xludf.DUMMYFUNCTION("IFERROR(VLOOKUP(A6856, IMPORTRANGE(""https://docs.google.com/spreadsheets/d/1AVX9GT0dgogEBStecCXMMQ29tWz3gBrtNB8yIromXbY/edit?gid=741673867"", ""out1g!A:B""), 2, FALSE), 0)"),10944.0)</f>
        <v>10944</v>
      </c>
      <c r="D6856" s="2" t="str">
        <f>IFERROR(__xludf.DUMMYFUNCTION("IFERROR(VLOOKUP(A6856, IMPORTRANGE(""https://docs.google.com/spreadsheets/d/1-3Vjw2Cyy-mry5gbC8ypIR3YVGFfEpyFESummAta6sg/edit"", ""Sheet1!B:D""), 2, FALSE), ""Not Found"")"),"het")</f>
        <v>het</v>
      </c>
      <c r="E6856" s="2" t="str">
        <f>IFERROR(__xludf.DUMMYFUNCTION("IFERROR(VLOOKUP(A6856, IMPORTRANGE(""https://docs.google.com/spreadsheets/d/1-3Vjw2Cyy-mry5gbC8ypIR3YVGFfEpyFESummAta6sg/edit"", ""Sheet1!B:D""), 3, FALSE), ""Not Found"")"),"h e t ")</f>
        <v>h e t </v>
      </c>
    </row>
    <row r="6857">
      <c r="A6857" s="1" t="s">
        <v>6859</v>
      </c>
      <c r="B6857" s="1" t="s">
        <v>5</v>
      </c>
      <c r="C6857" s="2">
        <f>IFERROR(__xludf.DUMMYFUNCTION("IFERROR(VLOOKUP(A6857, IMPORTRANGE(""https://docs.google.com/spreadsheets/d/1AVX9GT0dgogEBStecCXMMQ29tWz3gBrtNB8yIromXbY/edit?gid=741673867"", ""out1g!A:B""), 2, FALSE), 0)"),11.0)</f>
        <v>11</v>
      </c>
      <c r="D6857" s="2" t="str">
        <f>IFERROR(__xludf.DUMMYFUNCTION("IFERROR(VLOOKUP(A6857, IMPORTRANGE(""https://docs.google.com/spreadsheets/d/1-3Vjw2Cyy-mry5gbC8ypIR3YVGFfEpyFESummAta6sg/edit"", ""Sheet1!B:D""), 2, FALSE), ""Not Found"")"),"baʊs")</f>
        <v>baʊs</v>
      </c>
      <c r="E6857" s="2" t="str">
        <f>IFERROR(__xludf.DUMMYFUNCTION("IFERROR(VLOOKUP(A6857, IMPORTRANGE(""https://docs.google.com/spreadsheets/d/1-3Vjw2Cyy-mry5gbC8ypIR3YVGFfEpyFESummAta6sg/edit"", ""Sheet1!B:D""), 3, FALSE), ""Not Found"")"),"b a ʊ s ")</f>
        <v>b a ʊ s </v>
      </c>
    </row>
    <row r="6858">
      <c r="A6858" s="1" t="s">
        <v>6860</v>
      </c>
      <c r="B6858" s="1" t="s">
        <v>5</v>
      </c>
      <c r="C6858" s="2">
        <f>IFERROR(__xludf.DUMMYFUNCTION("IFERROR(VLOOKUP(A6858, IMPORTRANGE(""https://docs.google.com/spreadsheets/d/1AVX9GT0dgogEBStecCXMMQ29tWz3gBrtNB8yIromXbY/edit?gid=741673867"", ""out1g!A:B""), 2, FALSE), 0)"),84.0)</f>
        <v>84</v>
      </c>
      <c r="D6858" s="2" t="str">
        <f>IFERROR(__xludf.DUMMYFUNCTION("IFERROR(VLOOKUP(A6858, IMPORTRANGE(""https://docs.google.com/spreadsheets/d/1-3Vjw2Cyy-mry5gbC8ypIR3YVGFfEpyFESummAta6sg/edit"", ""Sheet1!B:D""), 2, FALSE), ""Not Found"")"),"swits")</f>
        <v>swits</v>
      </c>
      <c r="E6858" s="2" t="str">
        <f>IFERROR(__xludf.DUMMYFUNCTION("IFERROR(VLOOKUP(A6858, IMPORTRANGE(""https://docs.google.com/spreadsheets/d/1-3Vjw2Cyy-mry5gbC8ypIR3YVGFfEpyFESummAta6sg/edit"", ""Sheet1!B:D""), 3, FALSE), ""Not Found"")"),"s w i t s ")</f>
        <v>s w i t s </v>
      </c>
    </row>
    <row r="6859">
      <c r="A6859" s="1" t="s">
        <v>6861</v>
      </c>
      <c r="B6859" s="1" t="s">
        <v>5</v>
      </c>
      <c r="C6859" s="2">
        <f>IFERROR(__xludf.DUMMYFUNCTION("IFERROR(VLOOKUP(A6859, IMPORTRANGE(""https://docs.google.com/spreadsheets/d/1AVX9GT0dgogEBStecCXMMQ29tWz3gBrtNB8yIromXbY/edit?gid=741673867"", ""out1g!A:B""), 2, FALSE), 0)"),584.0)</f>
        <v>584</v>
      </c>
      <c r="D6859" s="2" t="str">
        <f>IFERROR(__xludf.DUMMYFUNCTION("IFERROR(VLOOKUP(A6859, IMPORTRANGE(""https://docs.google.com/spreadsheets/d/1-3Vjw2Cyy-mry5gbC8ypIR3YVGFfEpyFESummAta6sg/edit"", ""Sheet1!B:D""), 2, FALSE), ""Not Found"")"),"dɪʃ")</f>
        <v>dɪʃ</v>
      </c>
      <c r="E6859" s="2" t="str">
        <f>IFERROR(__xludf.DUMMYFUNCTION("IFERROR(VLOOKUP(A6859, IMPORTRANGE(""https://docs.google.com/spreadsheets/d/1-3Vjw2Cyy-mry5gbC8ypIR3YVGFfEpyFESummAta6sg/edit"", ""Sheet1!B:D""), 3, FALSE), ""Not Found"")"),"d ɪ ʃ ")</f>
        <v>d ɪ ʃ </v>
      </c>
    </row>
    <row r="6860">
      <c r="A6860" s="1" t="s">
        <v>6862</v>
      </c>
      <c r="B6860" s="1" t="s">
        <v>5</v>
      </c>
      <c r="C6860" s="2">
        <f>IFERROR(__xludf.DUMMYFUNCTION("IFERROR(VLOOKUP(A6860, IMPORTRANGE(""https://docs.google.com/spreadsheets/d/1AVX9GT0dgogEBStecCXMMQ29tWz3gBrtNB8yIromXbY/edit?gid=741673867"", ""out1g!A:B""), 2, FALSE), 0)"),1302.0)</f>
        <v>1302</v>
      </c>
      <c r="D6860" s="2" t="str">
        <f>IFERROR(__xludf.DUMMYFUNCTION("IFERROR(VLOOKUP(A6860, IMPORTRANGE(""https://docs.google.com/spreadsheets/d/1-3Vjw2Cyy-mry5gbC8ypIR3YVGFfEpyFESummAta6sg/edit"", ""Sheet1!B:D""), 2, FALSE), ""Not Found"")"),"haɪər")</f>
        <v>haɪər</v>
      </c>
      <c r="E6860" s="2" t="str">
        <f>IFERROR(__xludf.DUMMYFUNCTION("IFERROR(VLOOKUP(A6860, IMPORTRANGE(""https://docs.google.com/spreadsheets/d/1-3Vjw2Cyy-mry5gbC8ypIR3YVGFfEpyFESummAta6sg/edit"", ""Sheet1!B:D""), 3, FALSE), ""Not Found"")"),"h a ɪ ə r ")</f>
        <v>h a ɪ ə r </v>
      </c>
    </row>
    <row r="6861">
      <c r="A6861" s="1" t="s">
        <v>6863</v>
      </c>
      <c r="B6861" s="1" t="s">
        <v>5</v>
      </c>
      <c r="C6861" s="2">
        <f>IFERROR(__xludf.DUMMYFUNCTION("IFERROR(VLOOKUP(A6861, IMPORTRANGE(""https://docs.google.com/spreadsheets/d/1AVX9GT0dgogEBStecCXMMQ29tWz3gBrtNB8yIromXbY/edit?gid=741673867"", ""out1g!A:B""), 2, FALSE), 0)"),125.0)</f>
        <v>125</v>
      </c>
      <c r="D6861" s="2" t="str">
        <f>IFERROR(__xludf.DUMMYFUNCTION("IFERROR(VLOOKUP(A6861, IMPORTRANGE(""https://docs.google.com/spreadsheets/d/1-3Vjw2Cyy-mry5gbC8ypIR3YVGFfEpyFESummAta6sg/edit"", ""Sheet1!B:D""), 2, FALSE), ""Not Found"")"),"stip")</f>
        <v>stip</v>
      </c>
      <c r="E6861" s="2" t="str">
        <f>IFERROR(__xludf.DUMMYFUNCTION("IFERROR(VLOOKUP(A6861, IMPORTRANGE(""https://docs.google.com/spreadsheets/d/1-3Vjw2Cyy-mry5gbC8ypIR3YVGFfEpyFESummAta6sg/edit"", ""Sheet1!B:D""), 3, FALSE), ""Not Found"")"),"s t i p ")</f>
        <v>s t i p </v>
      </c>
    </row>
    <row r="6862">
      <c r="A6862" s="1" t="s">
        <v>6864</v>
      </c>
      <c r="B6862" s="1" t="s">
        <v>5</v>
      </c>
      <c r="C6862" s="2">
        <f>IFERROR(__xludf.DUMMYFUNCTION("IFERROR(VLOOKUP(A6862, IMPORTRANGE(""https://docs.google.com/spreadsheets/d/1AVX9GT0dgogEBStecCXMMQ29tWz3gBrtNB8yIromXbY/edit?gid=741673867"", ""out1g!A:B""), 2, FALSE), 0)"),6052.0)</f>
        <v>6052</v>
      </c>
      <c r="D6862" s="2" t="str">
        <f>IFERROR(__xludf.DUMMYFUNCTION("IFERROR(VLOOKUP(A6862, IMPORTRANGE(""https://docs.google.com/spreadsheets/d/1-3Vjw2Cyy-mry5gbC8ypIR3YVGFfEpyFESummAta6sg/edit"", ""Sheet1!B:D""), 2, FALSE), ""Not Found"")"),"stɛp")</f>
        <v>stɛp</v>
      </c>
      <c r="E6862" s="2" t="str">
        <f>IFERROR(__xludf.DUMMYFUNCTION("IFERROR(VLOOKUP(A6862, IMPORTRANGE(""https://docs.google.com/spreadsheets/d/1-3Vjw2Cyy-mry5gbC8ypIR3YVGFfEpyFESummAta6sg/edit"", ""Sheet1!B:D""), 3, FALSE), ""Not Found"")"),"s t ɛ p ")</f>
        <v>s t ɛ p </v>
      </c>
    </row>
    <row r="6863">
      <c r="A6863" s="1" t="s">
        <v>6865</v>
      </c>
      <c r="B6863" s="1" t="s">
        <v>5</v>
      </c>
      <c r="C6863" s="2">
        <f>IFERROR(__xludf.DUMMYFUNCTION("IFERROR(VLOOKUP(A6863, IMPORTRANGE(""https://docs.google.com/spreadsheets/d/1AVX9GT0dgogEBStecCXMMQ29tWz3gBrtNB8yIromXbY/edit?gid=741673867"", ""out1g!A:B""), 2, FALSE), 0)"),69.0)</f>
        <v>69</v>
      </c>
      <c r="D6863" s="2" t="str">
        <f>IFERROR(__xludf.DUMMYFUNCTION("IFERROR(VLOOKUP(A6863, IMPORTRANGE(""https://docs.google.com/spreadsheets/d/1-3Vjw2Cyy-mry5gbC8ypIR3YVGFfEpyFESummAta6sg/edit"", ""Sheet1!B:D""), 2, FALSE), ""Not Found"")"),"kris")</f>
        <v>kris</v>
      </c>
      <c r="E6863" s="2" t="str">
        <f>IFERROR(__xludf.DUMMYFUNCTION("IFERROR(VLOOKUP(A6863, IMPORTRANGE(""https://docs.google.com/spreadsheets/d/1-3Vjw2Cyy-mry5gbC8ypIR3YVGFfEpyFESummAta6sg/edit"", ""Sheet1!B:D""), 3, FALSE), ""Not Found"")"),"k r i s ")</f>
        <v>k r i s </v>
      </c>
    </row>
    <row r="6864">
      <c r="A6864" s="1" t="s">
        <v>6866</v>
      </c>
      <c r="B6864" s="1" t="s">
        <v>5</v>
      </c>
      <c r="C6864" s="2">
        <f>IFERROR(__xludf.DUMMYFUNCTION("IFERROR(VLOOKUP(A6864, IMPORTRANGE(""https://docs.google.com/spreadsheets/d/1AVX9GT0dgogEBStecCXMMQ29tWz3gBrtNB8yIromXbY/edit?gid=741673867"", ""out1g!A:B""), 2, FALSE), 0)"),376.0)</f>
        <v>376</v>
      </c>
      <c r="D6864" s="2" t="str">
        <f>IFERROR(__xludf.DUMMYFUNCTION("IFERROR(VLOOKUP(A6864, IMPORTRANGE(""https://docs.google.com/spreadsheets/d/1-3Vjw2Cyy-mry5gbC8ypIR3YVGFfEpyFESummAta6sg/edit"", ""Sheet1!B:D""), 2, FALSE), ""Not Found"")"),"wæŋ")</f>
        <v>wæŋ</v>
      </c>
      <c r="E6864" s="2" t="str">
        <f>IFERROR(__xludf.DUMMYFUNCTION("IFERROR(VLOOKUP(A6864, IMPORTRANGE(""https://docs.google.com/spreadsheets/d/1-3Vjw2Cyy-mry5gbC8ypIR3YVGFfEpyFESummAta6sg/edit"", ""Sheet1!B:D""), 3, FALSE), ""Not Found"")"),"w æ ŋ ")</f>
        <v>w æ ŋ </v>
      </c>
    </row>
    <row r="6865">
      <c r="A6865" s="1" t="s">
        <v>6867</v>
      </c>
      <c r="B6865" s="1" t="s">
        <v>5</v>
      </c>
      <c r="C6865" s="2">
        <f>IFERROR(__xludf.DUMMYFUNCTION("IFERROR(VLOOKUP(A6865, IMPORTRANGE(""https://docs.google.com/spreadsheets/d/1AVX9GT0dgogEBStecCXMMQ29tWz3gBrtNB8yIromXbY/edit?gid=741673867"", ""out1g!A:B""), 2, FALSE), 0)"),108364.0)</f>
        <v>108364</v>
      </c>
      <c r="D6865" s="2" t="str">
        <f>IFERROR(__xludf.DUMMYFUNCTION("IFERROR(VLOOKUP(A6865, IMPORTRANGE(""https://docs.google.com/spreadsheets/d/1-3Vjw2Cyy-mry5gbC8ypIR3YVGFfEpyFESummAta6sg/edit"", ""Sheet1!B:D""), 2, FALSE), ""Not Found"")"),"hɪz")</f>
        <v>hɪz</v>
      </c>
      <c r="E6865" s="2" t="str">
        <f>IFERROR(__xludf.DUMMYFUNCTION("IFERROR(VLOOKUP(A6865, IMPORTRANGE(""https://docs.google.com/spreadsheets/d/1-3Vjw2Cyy-mry5gbC8ypIR3YVGFfEpyFESummAta6sg/edit"", ""Sheet1!B:D""), 3, FALSE), ""Not Found"")"),"h ɪ z ")</f>
        <v>h ɪ z </v>
      </c>
    </row>
    <row r="6866">
      <c r="A6866" s="1" t="s">
        <v>6868</v>
      </c>
      <c r="B6866" s="1" t="s">
        <v>5</v>
      </c>
      <c r="C6866" s="2">
        <f>IFERROR(__xludf.DUMMYFUNCTION("IFERROR(VLOOKUP(A6866, IMPORTRANGE(""https://docs.google.com/spreadsheets/d/1AVX9GT0dgogEBStecCXMMQ29tWz3gBrtNB8yIromXbY/edit?gid=741673867"", ""out1g!A:B""), 2, FALSE), 0)"),3580.0)</f>
        <v>3580</v>
      </c>
      <c r="D6866" s="2" t="str">
        <f>IFERROR(__xludf.DUMMYFUNCTION("IFERROR(VLOOKUP(A6866, IMPORTRANGE(""https://docs.google.com/spreadsheets/d/1-3Vjw2Cyy-mry5gbC8ypIR3YVGFfEpyFESummAta6sg/edit"", ""Sheet1!B:D""), 2, FALSE), ""Not Found"")"),"fild")</f>
        <v>fild</v>
      </c>
      <c r="E6866" s="2" t="str">
        <f>IFERROR(__xludf.DUMMYFUNCTION("IFERROR(VLOOKUP(A6866, IMPORTRANGE(""https://docs.google.com/spreadsheets/d/1-3Vjw2Cyy-mry5gbC8ypIR3YVGFfEpyFESummAta6sg/edit"", ""Sheet1!B:D""), 3, FALSE), ""Not Found"")"),"f i l d ")</f>
        <v>f i l d </v>
      </c>
    </row>
    <row r="6867">
      <c r="A6867" s="1" t="s">
        <v>6869</v>
      </c>
      <c r="B6867" s="1" t="s">
        <v>5</v>
      </c>
      <c r="C6867" s="2">
        <f>IFERROR(__xludf.DUMMYFUNCTION("IFERROR(VLOOKUP(A6867, IMPORTRANGE(""https://docs.google.com/spreadsheets/d/1AVX9GT0dgogEBStecCXMMQ29tWz3gBrtNB8yIromXbY/edit?gid=741673867"", ""out1g!A:B""), 2, FALSE), 0)"),69.0)</f>
        <v>69</v>
      </c>
      <c r="D6867" s="2" t="str">
        <f>IFERROR(__xludf.DUMMYFUNCTION("IFERROR(VLOOKUP(A6867, IMPORTRANGE(""https://docs.google.com/spreadsheets/d/1-3Vjw2Cyy-mry5gbC8ypIR3YVGFfEpyFESummAta6sg/edit"", ""Sheet1!B:D""), 2, FALSE), ""Not Found"")"),"sutər")</f>
        <v>sutər</v>
      </c>
      <c r="E6867" s="2" t="str">
        <f>IFERROR(__xludf.DUMMYFUNCTION("IFERROR(VLOOKUP(A6867, IMPORTRANGE(""https://docs.google.com/spreadsheets/d/1-3Vjw2Cyy-mry5gbC8ypIR3YVGFfEpyFESummAta6sg/edit"", ""Sheet1!B:D""), 3, FALSE), ""Not Found"")"),"s u t ə r ")</f>
        <v>s u t ə r </v>
      </c>
    </row>
    <row r="6868">
      <c r="A6868" s="1" t="s">
        <v>6870</v>
      </c>
      <c r="B6868" s="1" t="s">
        <v>5</v>
      </c>
      <c r="C6868" s="2">
        <f>IFERROR(__xludf.DUMMYFUNCTION("IFERROR(VLOOKUP(A6868, IMPORTRANGE(""https://docs.google.com/spreadsheets/d/1AVX9GT0dgogEBStecCXMMQ29tWz3gBrtNB8yIromXbY/edit?gid=741673867"", ""out1g!A:B""), 2, FALSE), 0)"),219.0)</f>
        <v>219</v>
      </c>
      <c r="D6868" s="2" t="str">
        <f>IFERROR(__xludf.DUMMYFUNCTION("IFERROR(VLOOKUP(A6868, IMPORTRANGE(""https://docs.google.com/spreadsheets/d/1-3Vjw2Cyy-mry5gbC8ypIR3YVGFfEpyFESummAta6sg/edit"", ""Sheet1!B:D""), 2, FALSE), ""Not Found"")"),"ælɪk")</f>
        <v>ælɪk</v>
      </c>
      <c r="E6868" s="2" t="str">
        <f>IFERROR(__xludf.DUMMYFUNCTION("IFERROR(VLOOKUP(A6868, IMPORTRANGE(""https://docs.google.com/spreadsheets/d/1-3Vjw2Cyy-mry5gbC8ypIR3YVGFfEpyFESummAta6sg/edit"", ""Sheet1!B:D""), 3, FALSE), ""Not Found"")"),"æ l ɪ k ")</f>
        <v>æ l ɪ k </v>
      </c>
    </row>
    <row r="6869">
      <c r="A6869" s="1" t="s">
        <v>6871</v>
      </c>
      <c r="B6869" s="1" t="s">
        <v>5</v>
      </c>
      <c r="C6869" s="2">
        <f>IFERROR(__xludf.DUMMYFUNCTION("IFERROR(VLOOKUP(A6869, IMPORTRANGE(""https://docs.google.com/spreadsheets/d/1AVX9GT0dgogEBStecCXMMQ29tWz3gBrtNB8yIromXbY/edit?gid=741673867"", ""out1g!A:B""), 2, FALSE), 0)"),140718.0)</f>
        <v>140718</v>
      </c>
      <c r="D6869" s="2" t="str">
        <f>IFERROR(__xludf.DUMMYFUNCTION("IFERROR(VLOOKUP(A6869, IMPORTRANGE(""https://docs.google.com/spreadsheets/d/1-3Vjw2Cyy-mry5gbC8ypIR3YVGFfEpyFESummAta6sg/edit"", ""Sheet1!B:D""), 2, FALSE), ""Not Found"")"),"wɔnt")</f>
        <v>wɔnt</v>
      </c>
      <c r="E6869" s="2" t="str">
        <f>IFERROR(__xludf.DUMMYFUNCTION("IFERROR(VLOOKUP(A6869, IMPORTRANGE(""https://docs.google.com/spreadsheets/d/1-3Vjw2Cyy-mry5gbC8ypIR3YVGFfEpyFESummAta6sg/edit"", ""Sheet1!B:D""), 3, FALSE), ""Not Found"")"),"w ɔ n t ")</f>
        <v>w ɔ n t </v>
      </c>
    </row>
    <row r="6870">
      <c r="A6870" s="1" t="s">
        <v>6872</v>
      </c>
      <c r="B6870" s="1" t="s">
        <v>5</v>
      </c>
      <c r="C6870" s="2">
        <f>IFERROR(__xludf.DUMMYFUNCTION("IFERROR(VLOOKUP(A6870, IMPORTRANGE(""https://docs.google.com/spreadsheets/d/1AVX9GT0dgogEBStecCXMMQ29tWz3gBrtNB8yIromXbY/edit?gid=741673867"", ""out1g!A:B""), 2, FALSE), 0)"),77.0)</f>
        <v>77</v>
      </c>
      <c r="D6870" s="2" t="str">
        <f>IFERROR(__xludf.DUMMYFUNCTION("IFERROR(VLOOKUP(A6870, IMPORTRANGE(""https://docs.google.com/spreadsheets/d/1-3Vjw2Cyy-mry5gbC8ypIR3YVGFfEpyFESummAta6sg/edit"", ""Sheet1!B:D""), 2, FALSE), ""Not Found"")"),"ʤelər")</f>
        <v>ʤelər</v>
      </c>
      <c r="E6870" s="2" t="str">
        <f>IFERROR(__xludf.DUMMYFUNCTION("IFERROR(VLOOKUP(A6870, IMPORTRANGE(""https://docs.google.com/spreadsheets/d/1-3Vjw2Cyy-mry5gbC8ypIR3YVGFfEpyFESummAta6sg/edit"", ""Sheet1!B:D""), 3, FALSE), ""Not Found"")"),"ʤ e l ə r ")</f>
        <v>ʤ e l ə r </v>
      </c>
    </row>
    <row r="6871">
      <c r="A6871" s="1" t="s">
        <v>6873</v>
      </c>
      <c r="B6871" s="1" t="s">
        <v>5</v>
      </c>
      <c r="C6871" s="2">
        <f>IFERROR(__xludf.DUMMYFUNCTION("IFERROR(VLOOKUP(A6871, IMPORTRANGE(""https://docs.google.com/spreadsheets/d/1AVX9GT0dgogEBStecCXMMQ29tWz3gBrtNB8yIromXbY/edit?gid=741673867"", ""out1g!A:B""), 2, FALSE), 0)"),2688.0)</f>
        <v>2688</v>
      </c>
      <c r="D6871" s="2" t="str">
        <f>IFERROR(__xludf.DUMMYFUNCTION("IFERROR(VLOOKUP(A6871, IMPORTRANGE(""https://docs.google.com/spreadsheets/d/1-3Vjw2Cyy-mry5gbC8ypIR3YVGFfEpyFESummAta6sg/edit"", ""Sheet1!B:D""), 2, FALSE), ""Not Found"")"),"ɑ")</f>
        <v>ɑ</v>
      </c>
      <c r="E6871" s="2" t="str">
        <f>IFERROR(__xludf.DUMMYFUNCTION("IFERROR(VLOOKUP(A6871, IMPORTRANGE(""https://docs.google.com/spreadsheets/d/1-3Vjw2Cyy-mry5gbC8ypIR3YVGFfEpyFESummAta6sg/edit"", ""Sheet1!B:D""), 3, FALSE), ""Not Found"")"),"ɑ ")</f>
        <v>ɑ </v>
      </c>
    </row>
    <row r="6872">
      <c r="A6872" s="1" t="s">
        <v>6874</v>
      </c>
      <c r="B6872" s="1" t="s">
        <v>5</v>
      </c>
      <c r="C6872" s="2">
        <f>IFERROR(__xludf.DUMMYFUNCTION("IFERROR(VLOOKUP(A6872, IMPORTRANGE(""https://docs.google.com/spreadsheets/d/1AVX9GT0dgogEBStecCXMMQ29tWz3gBrtNB8yIromXbY/edit?gid=741673867"", ""out1g!A:B""), 2, FALSE), 0)"),195.0)</f>
        <v>195</v>
      </c>
      <c r="D6872" s="2" t="str">
        <f>IFERROR(__xludf.DUMMYFUNCTION("IFERROR(VLOOKUP(A6872, IMPORTRANGE(""https://docs.google.com/spreadsheets/d/1-3Vjw2Cyy-mry5gbC8ypIR3YVGFfEpyFESummAta6sg/edit"", ""Sheet1!B:D""), 2, FALSE), ""Not Found"")"),"wilər")</f>
        <v>wilər</v>
      </c>
      <c r="E6872" s="2" t="str">
        <f>IFERROR(__xludf.DUMMYFUNCTION("IFERROR(VLOOKUP(A6872, IMPORTRANGE(""https://docs.google.com/spreadsheets/d/1-3Vjw2Cyy-mry5gbC8ypIR3YVGFfEpyFESummAta6sg/edit"", ""Sheet1!B:D""), 3, FALSE), ""Not Found"")"),"w i l ə r ")</f>
        <v>w i l ə r </v>
      </c>
    </row>
    <row r="6873">
      <c r="A6873" s="1" t="s">
        <v>6875</v>
      </c>
      <c r="B6873" s="1" t="s">
        <v>5</v>
      </c>
      <c r="C6873" s="2">
        <f>IFERROR(__xludf.DUMMYFUNCTION("IFERROR(VLOOKUP(A6873, IMPORTRANGE(""https://docs.google.com/spreadsheets/d/1AVX9GT0dgogEBStecCXMMQ29tWz3gBrtNB8yIromXbY/edit?gid=741673867"", ""out1g!A:B""), 2, FALSE), 0)"),139.0)</f>
        <v>139</v>
      </c>
      <c r="D6873" s="2" t="str">
        <f>IFERROR(__xludf.DUMMYFUNCTION("IFERROR(VLOOKUP(A6873, IMPORTRANGE(""https://docs.google.com/spreadsheets/d/1-3Vjw2Cyy-mry5gbC8ypIR3YVGFfEpyFESummAta6sg/edit"", ""Sheet1!B:D""), 2, FALSE), ""Not Found"")"),"kæləbər")</f>
        <v>kæləbər</v>
      </c>
      <c r="E6873" s="2" t="str">
        <f>IFERROR(__xludf.DUMMYFUNCTION("IFERROR(VLOOKUP(A6873, IMPORTRANGE(""https://docs.google.com/spreadsheets/d/1-3Vjw2Cyy-mry5gbC8ypIR3YVGFfEpyFESummAta6sg/edit"", ""Sheet1!B:D""), 3, FALSE), ""Not Found"")"),"k æ l ə b ə r ")</f>
        <v>k æ l ə b ə r </v>
      </c>
    </row>
    <row r="6874">
      <c r="A6874" s="1" t="s">
        <v>6876</v>
      </c>
      <c r="B6874" s="1" t="s">
        <v>5</v>
      </c>
      <c r="C6874" s="2">
        <f>IFERROR(__xludf.DUMMYFUNCTION("IFERROR(VLOOKUP(A6874, IMPORTRANGE(""https://docs.google.com/spreadsheets/d/1AVX9GT0dgogEBStecCXMMQ29tWz3gBrtNB8yIromXbY/edit?gid=741673867"", ""out1g!A:B""), 2, FALSE), 0)"),137.0)</f>
        <v>137</v>
      </c>
      <c r="D6874" s="2" t="str">
        <f>IFERROR(__xludf.DUMMYFUNCTION("IFERROR(VLOOKUP(A6874, IMPORTRANGE(""https://docs.google.com/spreadsheets/d/1-3Vjw2Cyy-mry5gbC8ypIR3YVGFfEpyFESummAta6sg/edit"", ""Sheet1!B:D""), 2, FALSE), ""Not Found"")"),"dɔrə")</f>
        <v>dɔrə</v>
      </c>
      <c r="E6874" s="2" t="str">
        <f>IFERROR(__xludf.DUMMYFUNCTION("IFERROR(VLOOKUP(A6874, IMPORTRANGE(""https://docs.google.com/spreadsheets/d/1-3Vjw2Cyy-mry5gbC8ypIR3YVGFfEpyFESummAta6sg/edit"", ""Sheet1!B:D""), 3, FALSE), ""Not Found"")"),"d ɔ r ə ")</f>
        <v>d ɔ r ə </v>
      </c>
    </row>
    <row r="6875">
      <c r="A6875" s="1" t="s">
        <v>6877</v>
      </c>
      <c r="B6875" s="1" t="s">
        <v>5</v>
      </c>
      <c r="C6875" s="2">
        <f>IFERROR(__xludf.DUMMYFUNCTION("IFERROR(VLOOKUP(A6875, IMPORTRANGE(""https://docs.google.com/spreadsheets/d/1AVX9GT0dgogEBStecCXMMQ29tWz3gBrtNB8yIromXbY/edit?gid=741673867"", ""out1g!A:B""), 2, FALSE), 0)"),60.0)</f>
        <v>60</v>
      </c>
      <c r="D6875" s="2" t="str">
        <f>IFERROR(__xludf.DUMMYFUNCTION("IFERROR(VLOOKUP(A6875, IMPORTRANGE(""https://docs.google.com/spreadsheets/d/1-3Vjw2Cyy-mry5gbC8ypIR3YVGFfEpyFESummAta6sg/edit"", ""Sheet1!B:D""), 2, FALSE), ""Not Found"")"),"suɪʤ")</f>
        <v>suɪʤ</v>
      </c>
      <c r="E6875" s="2" t="str">
        <f>IFERROR(__xludf.DUMMYFUNCTION("IFERROR(VLOOKUP(A6875, IMPORTRANGE(""https://docs.google.com/spreadsheets/d/1-3Vjw2Cyy-mry5gbC8ypIR3YVGFfEpyFESummAta6sg/edit"", ""Sheet1!B:D""), 3, FALSE), ""Not Found"")"),"s u ɪ ʤ ")</f>
        <v>s u ɪ ʤ </v>
      </c>
    </row>
    <row r="6876">
      <c r="A6876" s="1" t="s">
        <v>6878</v>
      </c>
      <c r="B6876" s="1" t="s">
        <v>5</v>
      </c>
      <c r="C6876" s="2">
        <f>IFERROR(__xludf.DUMMYFUNCTION("IFERROR(VLOOKUP(A6876, IMPORTRANGE(""https://docs.google.com/spreadsheets/d/1AVX9GT0dgogEBStecCXMMQ29tWz3gBrtNB8yIromXbY/edit?gid=741673867"", ""out1g!A:B""), 2, FALSE), 0)"),904.0)</f>
        <v>904</v>
      </c>
      <c r="D6876" s="2" t="str">
        <f>IFERROR(__xludf.DUMMYFUNCTION("IFERROR(VLOOKUP(A6876, IMPORTRANGE(""https://docs.google.com/spreadsheets/d/1-3Vjw2Cyy-mry5gbC8ypIR3YVGFfEpyFESummAta6sg/edit"", ""Sheet1!B:D""), 2, FALSE), ""Not Found"")"),"pækt")</f>
        <v>pækt</v>
      </c>
      <c r="E6876" s="2" t="str">
        <f>IFERROR(__xludf.DUMMYFUNCTION("IFERROR(VLOOKUP(A6876, IMPORTRANGE(""https://docs.google.com/spreadsheets/d/1-3Vjw2Cyy-mry5gbC8ypIR3YVGFfEpyFESummAta6sg/edit"", ""Sheet1!B:D""), 3, FALSE), ""Not Found"")"),"p æ k t ")</f>
        <v>p æ k t </v>
      </c>
    </row>
    <row r="6877">
      <c r="A6877" s="1" t="s">
        <v>6879</v>
      </c>
      <c r="B6877" s="1" t="s">
        <v>5</v>
      </c>
      <c r="C6877" s="2">
        <f>IFERROR(__xludf.DUMMYFUNCTION("IFERROR(VLOOKUP(A6877, IMPORTRANGE(""https://docs.google.com/spreadsheets/d/1AVX9GT0dgogEBStecCXMMQ29tWz3gBrtNB8yIromXbY/edit?gid=741673867"", ""out1g!A:B""), 2, FALSE), 0)"),70.0)</f>
        <v>70</v>
      </c>
      <c r="D6877" s="2" t="str">
        <f>IFERROR(__xludf.DUMMYFUNCTION("IFERROR(VLOOKUP(A6877, IMPORTRANGE(""https://docs.google.com/spreadsheets/d/1-3Vjw2Cyy-mry5gbC8ypIR3YVGFfEpyFESummAta6sg/edit"", ""Sheet1!B:D""), 2, FALSE), ""Not Found"")"),"oʊdɛl")</f>
        <v>oʊdɛl</v>
      </c>
      <c r="E6877" s="2" t="str">
        <f>IFERROR(__xludf.DUMMYFUNCTION("IFERROR(VLOOKUP(A6877, IMPORTRANGE(""https://docs.google.com/spreadsheets/d/1-3Vjw2Cyy-mry5gbC8ypIR3YVGFfEpyFESummAta6sg/edit"", ""Sheet1!B:D""), 3, FALSE), ""Not Found"")"),"o ʊ d ɛ l ")</f>
        <v>o ʊ d ɛ l </v>
      </c>
    </row>
    <row r="6878">
      <c r="A6878" s="1" t="s">
        <v>6880</v>
      </c>
      <c r="B6878" s="1" t="s">
        <v>5</v>
      </c>
      <c r="C6878" s="2">
        <f>IFERROR(__xludf.DUMMYFUNCTION("IFERROR(VLOOKUP(A6878, IMPORTRANGE(""https://docs.google.com/spreadsheets/d/1AVX9GT0dgogEBStecCXMMQ29tWz3gBrtNB8yIromXbY/edit?gid=741673867"", ""out1g!A:B""), 2, FALSE), 0)"),47.0)</f>
        <v>47</v>
      </c>
      <c r="D6878" s="2" t="str">
        <f>IFERROR(__xludf.DUMMYFUNCTION("IFERROR(VLOOKUP(A6878, IMPORTRANGE(""https://docs.google.com/spreadsheets/d/1-3Vjw2Cyy-mry5gbC8ypIR3YVGFfEpyFESummAta6sg/edit"", ""Sheet1!B:D""), 2, FALSE), ""Not Found"")"),"ɑmə")</f>
        <v>ɑmə</v>
      </c>
      <c r="E6878" s="2" t="str">
        <f>IFERROR(__xludf.DUMMYFUNCTION("IFERROR(VLOOKUP(A6878, IMPORTRANGE(""https://docs.google.com/spreadsheets/d/1-3Vjw2Cyy-mry5gbC8ypIR3YVGFfEpyFESummAta6sg/edit"", ""Sheet1!B:D""), 3, FALSE), ""Not Found"")"),"ɑ m ə ")</f>
        <v>ɑ m ə </v>
      </c>
    </row>
    <row r="6879">
      <c r="A6879" s="1" t="s">
        <v>6881</v>
      </c>
      <c r="B6879" s="1" t="s">
        <v>5</v>
      </c>
      <c r="C6879" s="2">
        <f>IFERROR(__xludf.DUMMYFUNCTION("IFERROR(VLOOKUP(A6879, IMPORTRANGE(""https://docs.google.com/spreadsheets/d/1AVX9GT0dgogEBStecCXMMQ29tWz3gBrtNB8yIromXbY/edit?gid=741673867"", ""out1g!A:B""), 2, FALSE), 0)"),3904.0)</f>
        <v>3904</v>
      </c>
      <c r="D6879" s="2" t="str">
        <f>IFERROR(__xludf.DUMMYFUNCTION("IFERROR(VLOOKUP(A6879, IMPORTRANGE(""https://docs.google.com/spreadsheets/d/1-3Vjw2Cyy-mry5gbC8ypIR3YVGFfEpyFESummAta6sg/edit"", ""Sheet1!B:D""), 2, FALSE), ""Not Found"")"),"hɛnri")</f>
        <v>hɛnri</v>
      </c>
      <c r="E6879" s="2" t="str">
        <f>IFERROR(__xludf.DUMMYFUNCTION("IFERROR(VLOOKUP(A6879, IMPORTRANGE(""https://docs.google.com/spreadsheets/d/1-3Vjw2Cyy-mry5gbC8ypIR3YVGFfEpyFESummAta6sg/edit"", ""Sheet1!B:D""), 3, FALSE), ""Not Found"")"),"h ɛ n r i ")</f>
        <v>h ɛ n r i </v>
      </c>
    </row>
    <row r="6880">
      <c r="A6880" s="1" t="s">
        <v>6882</v>
      </c>
      <c r="B6880" s="1" t="s">
        <v>5</v>
      </c>
      <c r="C6880" s="2">
        <f>IFERROR(__xludf.DUMMYFUNCTION("IFERROR(VLOOKUP(A6880, IMPORTRANGE(""https://docs.google.com/spreadsheets/d/1AVX9GT0dgogEBStecCXMMQ29tWz3gBrtNB8yIromXbY/edit?gid=741673867"", ""out1g!A:B""), 2, FALSE), 0)"),61.0)</f>
        <v>61</v>
      </c>
      <c r="D6880" s="2" t="str">
        <f>IFERROR(__xludf.DUMMYFUNCTION("IFERROR(VLOOKUP(A6880, IMPORTRANGE(""https://docs.google.com/spreadsheets/d/1-3Vjw2Cyy-mry5gbC8ypIR3YVGFfEpyFESummAta6sg/edit"", ""Sheet1!B:D""), 2, FALSE), ""Not Found"")"),"redz")</f>
        <v>redz</v>
      </c>
      <c r="E6880" s="2" t="str">
        <f>IFERROR(__xludf.DUMMYFUNCTION("IFERROR(VLOOKUP(A6880, IMPORTRANGE(""https://docs.google.com/spreadsheets/d/1-3Vjw2Cyy-mry5gbC8ypIR3YVGFfEpyFESummAta6sg/edit"", ""Sheet1!B:D""), 3, FALSE), ""Not Found"")"),"r e d z ")</f>
        <v>r e d z </v>
      </c>
    </row>
    <row r="6881">
      <c r="A6881" s="1" t="s">
        <v>6883</v>
      </c>
      <c r="B6881" s="1" t="s">
        <v>5</v>
      </c>
      <c r="C6881" s="2">
        <f>IFERROR(__xludf.DUMMYFUNCTION("IFERROR(VLOOKUP(A6881, IMPORTRANGE(""https://docs.google.com/spreadsheets/d/1AVX9GT0dgogEBStecCXMMQ29tWz3gBrtNB8yIromXbY/edit?gid=741673867"", ""out1g!A:B""), 2, FALSE), 0)"),1154.0)</f>
        <v>1154</v>
      </c>
      <c r="D6881" s="2" t="str">
        <f>IFERROR(__xludf.DUMMYFUNCTION("IFERROR(VLOOKUP(A6881, IMPORTRANGE(""https://docs.google.com/spreadsheets/d/1-3Vjw2Cyy-mry5gbC8ypIR3YVGFfEpyFESummAta6sg/edit"", ""Sheet1!B:D""), 2, FALSE), ""Not Found"")"),"ɪmɪʤ")</f>
        <v>ɪmɪʤ</v>
      </c>
      <c r="E6881" s="2" t="str">
        <f>IFERROR(__xludf.DUMMYFUNCTION("IFERROR(VLOOKUP(A6881, IMPORTRANGE(""https://docs.google.com/spreadsheets/d/1-3Vjw2Cyy-mry5gbC8ypIR3YVGFfEpyFESummAta6sg/edit"", ""Sheet1!B:D""), 3, FALSE), ""Not Found"")"),"ɪ m ɪ ʤ ")</f>
        <v>ɪ m ɪ ʤ </v>
      </c>
    </row>
    <row r="6882">
      <c r="A6882" s="1" t="s">
        <v>6884</v>
      </c>
      <c r="B6882" s="1" t="s">
        <v>5</v>
      </c>
      <c r="C6882" s="2">
        <f>IFERROR(__xludf.DUMMYFUNCTION("IFERROR(VLOOKUP(A6882, IMPORTRANGE(""https://docs.google.com/spreadsheets/d/1AVX9GT0dgogEBStecCXMMQ29tWz3gBrtNB8yIromXbY/edit?gid=741673867"", ""out1g!A:B""), 2, FALSE), 0)"),62.0)</f>
        <v>62</v>
      </c>
      <c r="D6882" s="2" t="str">
        <f>IFERROR(__xludf.DUMMYFUNCTION("IFERROR(VLOOKUP(A6882, IMPORTRANGE(""https://docs.google.com/spreadsheets/d/1-3Vjw2Cyy-mry5gbC8ypIR3YVGFfEpyFESummAta6sg/edit"", ""Sheet1!B:D""), 2, FALSE), ""Not Found"")"),"pɑlən")</f>
        <v>pɑlən</v>
      </c>
      <c r="E6882" s="2" t="str">
        <f>IFERROR(__xludf.DUMMYFUNCTION("IFERROR(VLOOKUP(A6882, IMPORTRANGE(""https://docs.google.com/spreadsheets/d/1-3Vjw2Cyy-mry5gbC8ypIR3YVGFfEpyFESummAta6sg/edit"", ""Sheet1!B:D""), 3, FALSE), ""Not Found"")"),"p ɑ l ə n ")</f>
        <v>p ɑ l ə n </v>
      </c>
    </row>
    <row r="6883">
      <c r="A6883" s="1" t="s">
        <v>6885</v>
      </c>
      <c r="B6883" s="1" t="s">
        <v>5</v>
      </c>
      <c r="C6883" s="2">
        <f>IFERROR(__xludf.DUMMYFUNCTION("IFERROR(VLOOKUP(A6883, IMPORTRANGE(""https://docs.google.com/spreadsheets/d/1AVX9GT0dgogEBStecCXMMQ29tWz3gBrtNB8yIromXbY/edit?gid=741673867"", ""out1g!A:B""), 2, FALSE), 0)"),4831.0)</f>
        <v>4831</v>
      </c>
      <c r="D6883" s="2" t="str">
        <f>IFERROR(__xludf.DUMMYFUNCTION("IFERROR(VLOOKUP(A6883, IMPORTRANGE(""https://docs.google.com/spreadsheets/d/1-3Vjw2Cyy-mry5gbC8ypIR3YVGFfEpyFESummAta6sg/edit"", ""Sheet1!B:D""), 2, FALSE), ""Not Found"")"),"wərid")</f>
        <v>wərid</v>
      </c>
      <c r="E6883" s="2" t="str">
        <f>IFERROR(__xludf.DUMMYFUNCTION("IFERROR(VLOOKUP(A6883, IMPORTRANGE(""https://docs.google.com/spreadsheets/d/1-3Vjw2Cyy-mry5gbC8ypIR3YVGFfEpyFESummAta6sg/edit"", ""Sheet1!B:D""), 3, FALSE), ""Not Found"")"),"w ə r i d ")</f>
        <v>w ə r i d </v>
      </c>
    </row>
    <row r="6884">
      <c r="A6884" s="1" t="s">
        <v>6886</v>
      </c>
      <c r="B6884" s="1" t="s">
        <v>5</v>
      </c>
      <c r="C6884" s="2">
        <f>IFERROR(__xludf.DUMMYFUNCTION("IFERROR(VLOOKUP(A6884, IMPORTRANGE(""https://docs.google.com/spreadsheets/d/1AVX9GT0dgogEBStecCXMMQ29tWz3gBrtNB8yIromXbY/edit?gid=741673867"", ""out1g!A:B""), 2, FALSE), 0)"),2810.0)</f>
        <v>2810</v>
      </c>
      <c r="D6884" s="2" t="str">
        <f>IFERROR(__xludf.DUMMYFUNCTION("IFERROR(VLOOKUP(A6884, IMPORTRANGE(""https://docs.google.com/spreadsheets/d/1-3Vjw2Cyy-mry5gbC8ypIR3YVGFfEpyFESummAta6sg/edit"", ""Sheet1!B:D""), 2, FALSE), ""Not Found"")"),"ɛn")</f>
        <v>ɛn</v>
      </c>
      <c r="E6884" s="2" t="str">
        <f>IFERROR(__xludf.DUMMYFUNCTION("IFERROR(VLOOKUP(A6884, IMPORTRANGE(""https://docs.google.com/spreadsheets/d/1-3Vjw2Cyy-mry5gbC8ypIR3YVGFfEpyFESummAta6sg/edit"", ""Sheet1!B:D""), 3, FALSE), ""Not Found"")"),"ɛ n ")</f>
        <v>ɛ n </v>
      </c>
    </row>
    <row r="6885">
      <c r="A6885" s="1" t="s">
        <v>6887</v>
      </c>
      <c r="B6885" s="1" t="s">
        <v>5</v>
      </c>
      <c r="C6885" s="2">
        <f>IFERROR(__xludf.DUMMYFUNCTION("IFERROR(VLOOKUP(A6885, IMPORTRANGE(""https://docs.google.com/spreadsheets/d/1AVX9GT0dgogEBStecCXMMQ29tWz3gBrtNB8yIromXbY/edit?gid=741673867"", ""out1g!A:B""), 2, FALSE), 0)"),77.0)</f>
        <v>77</v>
      </c>
      <c r="D6885" s="2" t="str">
        <f>IFERROR(__xludf.DUMMYFUNCTION("IFERROR(VLOOKUP(A6885, IMPORTRANGE(""https://docs.google.com/spreadsheets/d/1-3Vjw2Cyy-mry5gbC8ypIR3YVGFfEpyFESummAta6sg/edit"", ""Sheet1!B:D""), 2, FALSE), ""Not Found"")"),"ɛr")</f>
        <v>ɛr</v>
      </c>
      <c r="E6885" s="2" t="str">
        <f>IFERROR(__xludf.DUMMYFUNCTION("IFERROR(VLOOKUP(A6885, IMPORTRANGE(""https://docs.google.com/spreadsheets/d/1-3Vjw2Cyy-mry5gbC8ypIR3YVGFfEpyFESummAta6sg/edit"", ""Sheet1!B:D""), 3, FALSE), ""Not Found"")"),"ɛ r ")</f>
        <v>ɛ r </v>
      </c>
    </row>
    <row r="6886">
      <c r="A6886" s="1" t="s">
        <v>6888</v>
      </c>
      <c r="B6886" s="1" t="s">
        <v>5</v>
      </c>
      <c r="C6886" s="2">
        <f>IFERROR(__xludf.DUMMYFUNCTION("IFERROR(VLOOKUP(A6886, IMPORTRANGE(""https://docs.google.com/spreadsheets/d/1AVX9GT0dgogEBStecCXMMQ29tWz3gBrtNB8yIromXbY/edit?gid=741673867"", ""out1g!A:B""), 2, FALSE), 0)"),339.0)</f>
        <v>339</v>
      </c>
      <c r="D6886" s="2" t="str">
        <f>IFERROR(__xludf.DUMMYFUNCTION("IFERROR(VLOOKUP(A6886, IMPORTRANGE(""https://docs.google.com/spreadsheets/d/1-3Vjw2Cyy-mry5gbC8ypIR3YVGFfEpyFESummAta6sg/edit"", ""Sheet1!B:D""), 2, FALSE), ""Not Found"")"),"drɛmt")</f>
        <v>drɛmt</v>
      </c>
      <c r="E6886" s="2" t="str">
        <f>IFERROR(__xludf.DUMMYFUNCTION("IFERROR(VLOOKUP(A6886, IMPORTRANGE(""https://docs.google.com/spreadsheets/d/1-3Vjw2Cyy-mry5gbC8ypIR3YVGFfEpyFESummAta6sg/edit"", ""Sheet1!B:D""), 3, FALSE), ""Not Found"")"),"d r ɛ m t ")</f>
        <v>d r ɛ m t </v>
      </c>
    </row>
    <row r="6887">
      <c r="A6887" s="1" t="s">
        <v>6889</v>
      </c>
      <c r="B6887" s="1" t="s">
        <v>5</v>
      </c>
      <c r="C6887" s="2">
        <f>IFERROR(__xludf.DUMMYFUNCTION("IFERROR(VLOOKUP(A6887, IMPORTRANGE(""https://docs.google.com/spreadsheets/d/1AVX9GT0dgogEBStecCXMMQ29tWz3gBrtNB8yIromXbY/edit?gid=741673867"", ""out1g!A:B""), 2, FALSE), 0)"),588.0)</f>
        <v>588</v>
      </c>
      <c r="D6887" s="2" t="str">
        <f>IFERROR(__xludf.DUMMYFUNCTION("IFERROR(VLOOKUP(A6887, IMPORTRANGE(""https://docs.google.com/spreadsheets/d/1-3Vjw2Cyy-mry5gbC8ypIR3YVGFfEpyFESummAta6sg/edit"", ""Sheet1!B:D""), 2, FALSE), ""Not Found"")"),"hɑki")</f>
        <v>hɑki</v>
      </c>
      <c r="E6887" s="2" t="str">
        <f>IFERROR(__xludf.DUMMYFUNCTION("IFERROR(VLOOKUP(A6887, IMPORTRANGE(""https://docs.google.com/spreadsheets/d/1-3Vjw2Cyy-mry5gbC8ypIR3YVGFfEpyFESummAta6sg/edit"", ""Sheet1!B:D""), 3, FALSE), ""Not Found"")"),"h ɑ k i ")</f>
        <v>h ɑ k i </v>
      </c>
    </row>
    <row r="6888">
      <c r="A6888" s="1" t="s">
        <v>6890</v>
      </c>
      <c r="B6888" s="1" t="s">
        <v>5</v>
      </c>
      <c r="C6888" s="2">
        <f>IFERROR(__xludf.DUMMYFUNCTION("IFERROR(VLOOKUP(A6888, IMPORTRANGE(""https://docs.google.com/spreadsheets/d/1AVX9GT0dgogEBStecCXMMQ29tWz3gBrtNB8yIromXbY/edit?gid=741673867"", ""out1g!A:B""), 2, FALSE), 0)"),4791.0)</f>
        <v>4791</v>
      </c>
      <c r="D6888" s="2" t="str">
        <f>IFERROR(__xludf.DUMMYFUNCTION("IFERROR(VLOOKUP(A6888, IMPORTRANGE(""https://docs.google.com/spreadsheets/d/1-3Vjw2Cyy-mry5gbC8ypIR3YVGFfEpyFESummAta6sg/edit"", ""Sheet1!B:D""), 2, FALSE), ""Not Found"")"),"kɔt")</f>
        <v>kɔt</v>
      </c>
      <c r="E6888" s="2" t="str">
        <f>IFERROR(__xludf.DUMMYFUNCTION("IFERROR(VLOOKUP(A6888, IMPORTRANGE(""https://docs.google.com/spreadsheets/d/1-3Vjw2Cyy-mry5gbC8ypIR3YVGFfEpyFESummAta6sg/edit"", ""Sheet1!B:D""), 3, FALSE), ""Not Found"")"),"k ɔ t ")</f>
        <v>k ɔ t </v>
      </c>
    </row>
    <row r="6889">
      <c r="A6889" s="1" t="s">
        <v>6891</v>
      </c>
      <c r="B6889" s="1" t="s">
        <v>5</v>
      </c>
      <c r="C6889" s="2">
        <f>IFERROR(__xludf.DUMMYFUNCTION("IFERROR(VLOOKUP(A6889, IMPORTRANGE(""https://docs.google.com/spreadsheets/d/1AVX9GT0dgogEBStecCXMMQ29tWz3gBrtNB8yIromXbY/edit?gid=741673867"", ""out1g!A:B""), 2, FALSE), 0)"),362.0)</f>
        <v>362</v>
      </c>
      <c r="D6889" s="2" t="str">
        <f>IFERROR(__xludf.DUMMYFUNCTION("IFERROR(VLOOKUP(A6889, IMPORTRANGE(""https://docs.google.com/spreadsheets/d/1-3Vjw2Cyy-mry5gbC8ypIR3YVGFfEpyFESummAta6sg/edit"", ""Sheet1!B:D""), 2, FALSE), ""Not Found"")"),"fetəl")</f>
        <v>fetəl</v>
      </c>
      <c r="E6889" s="2" t="str">
        <f>IFERROR(__xludf.DUMMYFUNCTION("IFERROR(VLOOKUP(A6889, IMPORTRANGE(""https://docs.google.com/spreadsheets/d/1-3Vjw2Cyy-mry5gbC8ypIR3YVGFfEpyFESummAta6sg/edit"", ""Sheet1!B:D""), 3, FALSE), ""Not Found"")"),"f e t ə l ")</f>
        <v>f e t ə l </v>
      </c>
    </row>
    <row r="6890">
      <c r="A6890" s="1" t="s">
        <v>6892</v>
      </c>
      <c r="B6890" s="1" t="s">
        <v>5</v>
      </c>
      <c r="C6890" s="2">
        <f>IFERROR(__xludf.DUMMYFUNCTION("IFERROR(VLOOKUP(A6890, IMPORTRANGE(""https://docs.google.com/spreadsheets/d/1AVX9GT0dgogEBStecCXMMQ29tWz3gBrtNB8yIromXbY/edit?gid=741673867"", ""out1g!A:B""), 2, FALSE), 0)"),123.0)</f>
        <v>123</v>
      </c>
      <c r="D6890" s="2" t="str">
        <f>IFERROR(__xludf.DUMMYFUNCTION("IFERROR(VLOOKUP(A6890, IMPORTRANGE(""https://docs.google.com/spreadsheets/d/1-3Vjw2Cyy-mry5gbC8ypIR3YVGFfEpyFESummAta6sg/edit"", ""Sheet1!B:D""), 2, FALSE), ""Not Found"")"),"glumi")</f>
        <v>glumi</v>
      </c>
      <c r="E6890" s="2" t="str">
        <f>IFERROR(__xludf.DUMMYFUNCTION("IFERROR(VLOOKUP(A6890, IMPORTRANGE(""https://docs.google.com/spreadsheets/d/1-3Vjw2Cyy-mry5gbC8ypIR3YVGFfEpyFESummAta6sg/edit"", ""Sheet1!B:D""), 3, FALSE), ""Not Found"")"),"g l u m i ")</f>
        <v>g l u m i </v>
      </c>
    </row>
    <row r="6891">
      <c r="A6891" s="1" t="s">
        <v>6893</v>
      </c>
      <c r="B6891" s="1" t="s">
        <v>5</v>
      </c>
      <c r="C6891" s="2">
        <f>IFERROR(__xludf.DUMMYFUNCTION("IFERROR(VLOOKUP(A6891, IMPORTRANGE(""https://docs.google.com/spreadsheets/d/1AVX9GT0dgogEBStecCXMMQ29tWz3gBrtNB8yIromXbY/edit?gid=741673867"", ""out1g!A:B""), 2, FALSE), 0)"),87.0)</f>
        <v>87</v>
      </c>
      <c r="D6891" s="2" t="str">
        <f>IFERROR(__xludf.DUMMYFUNCTION("IFERROR(VLOOKUP(A6891, IMPORTRANGE(""https://docs.google.com/spreadsheets/d/1-3Vjw2Cyy-mry5gbC8ypIR3YVGFfEpyFESummAta6sg/edit"", ""Sheet1!B:D""), 2, FALSE), ""Not Found"")"),"ʧaɪmz")</f>
        <v>ʧaɪmz</v>
      </c>
      <c r="E6891" s="2" t="str">
        <f>IFERROR(__xludf.DUMMYFUNCTION("IFERROR(VLOOKUP(A6891, IMPORTRANGE(""https://docs.google.com/spreadsheets/d/1-3Vjw2Cyy-mry5gbC8ypIR3YVGFfEpyFESummAta6sg/edit"", ""Sheet1!B:D""), 3, FALSE), ""Not Found"")"),"ʧ a ɪ m z ")</f>
        <v>ʧ a ɪ m z </v>
      </c>
    </row>
    <row r="6892">
      <c r="A6892" s="1" t="s">
        <v>6894</v>
      </c>
      <c r="B6892" s="1" t="s">
        <v>5</v>
      </c>
      <c r="C6892" s="2">
        <f>IFERROR(__xludf.DUMMYFUNCTION("IFERROR(VLOOKUP(A6892, IMPORTRANGE(""https://docs.google.com/spreadsheets/d/1AVX9GT0dgogEBStecCXMMQ29tWz3gBrtNB8yIromXbY/edit?gid=741673867"", ""out1g!A:B""), 2, FALSE), 0)"),890.0)</f>
        <v>890</v>
      </c>
      <c r="D6892" s="2" t="str">
        <f>IFERROR(__xludf.DUMMYFUNCTION("IFERROR(VLOOKUP(A6892, IMPORTRANGE(""https://docs.google.com/spreadsheets/d/1-3Vjw2Cyy-mry5gbC8ypIR3YVGFfEpyFESummAta6sg/edit"", ""Sheet1!B:D""), 2, FALSE), ""Not Found"")"),"tərm")</f>
        <v>tərm</v>
      </c>
      <c r="E6892" s="2" t="str">
        <f>IFERROR(__xludf.DUMMYFUNCTION("IFERROR(VLOOKUP(A6892, IMPORTRANGE(""https://docs.google.com/spreadsheets/d/1-3Vjw2Cyy-mry5gbC8ypIR3YVGFfEpyFESummAta6sg/edit"", ""Sheet1!B:D""), 3, FALSE), ""Not Found"")"),"t ə r m ")</f>
        <v>t ə r m </v>
      </c>
    </row>
    <row r="6893">
      <c r="A6893" s="1" t="s">
        <v>6895</v>
      </c>
      <c r="B6893" s="1" t="s">
        <v>5</v>
      </c>
      <c r="C6893" s="2">
        <f>IFERROR(__xludf.DUMMYFUNCTION("IFERROR(VLOOKUP(A6893, IMPORTRANGE(""https://docs.google.com/spreadsheets/d/1AVX9GT0dgogEBStecCXMMQ29tWz3gBrtNB8yIromXbY/edit?gid=741673867"", ""out1g!A:B""), 2, FALSE), 0)"),58.0)</f>
        <v>58</v>
      </c>
      <c r="D6893" s="2" t="str">
        <f>IFERROR(__xludf.DUMMYFUNCTION("IFERROR(VLOOKUP(A6893, IMPORTRANGE(""https://docs.google.com/spreadsheets/d/1-3Vjw2Cyy-mry5gbC8ypIR3YVGFfEpyFESummAta6sg/edit"", ""Sheet1!B:D""), 2, FALSE), ""Not Found"")"),"kɑmiz")</f>
        <v>kɑmiz</v>
      </c>
      <c r="E6893" s="2" t="str">
        <f>IFERROR(__xludf.DUMMYFUNCTION("IFERROR(VLOOKUP(A6893, IMPORTRANGE(""https://docs.google.com/spreadsheets/d/1-3Vjw2Cyy-mry5gbC8ypIR3YVGFfEpyFESummAta6sg/edit"", ""Sheet1!B:D""), 3, FALSE), ""Not Found"")"),"k ɑ m i z ")</f>
        <v>k ɑ m i z </v>
      </c>
    </row>
    <row r="6894">
      <c r="A6894" s="1" t="s">
        <v>6896</v>
      </c>
      <c r="B6894" s="1" t="s">
        <v>5</v>
      </c>
      <c r="C6894" s="2">
        <f>IFERROR(__xludf.DUMMYFUNCTION("IFERROR(VLOOKUP(A6894, IMPORTRANGE(""https://docs.google.com/spreadsheets/d/1AVX9GT0dgogEBStecCXMMQ29tWz3gBrtNB8yIromXbY/edit?gid=741673867"", ""out1g!A:B""), 2, FALSE), 0)"),71.0)</f>
        <v>71</v>
      </c>
      <c r="D6894" s="2" t="str">
        <f>IFERROR(__xludf.DUMMYFUNCTION("IFERROR(VLOOKUP(A6894, IMPORTRANGE(""https://docs.google.com/spreadsheets/d/1-3Vjw2Cyy-mry5gbC8ypIR3YVGFfEpyFESummAta6sg/edit"", ""Sheet1!B:D""), 2, FALSE), ""Not Found"")"),"mərʤ")</f>
        <v>mərʤ</v>
      </c>
      <c r="E6894" s="2" t="str">
        <f>IFERROR(__xludf.DUMMYFUNCTION("IFERROR(VLOOKUP(A6894, IMPORTRANGE(""https://docs.google.com/spreadsheets/d/1-3Vjw2Cyy-mry5gbC8ypIR3YVGFfEpyFESummAta6sg/edit"", ""Sheet1!B:D""), 3, FALSE), ""Not Found"")"),"m ə r ʤ ")</f>
        <v>m ə r ʤ </v>
      </c>
    </row>
    <row r="6895">
      <c r="A6895" s="1" t="s">
        <v>6897</v>
      </c>
      <c r="B6895" s="1" t="s">
        <v>5</v>
      </c>
      <c r="C6895" s="2">
        <f>IFERROR(__xludf.DUMMYFUNCTION("IFERROR(VLOOKUP(A6895, IMPORTRANGE(""https://docs.google.com/spreadsheets/d/1AVX9GT0dgogEBStecCXMMQ29tWz3gBrtNB8yIromXbY/edit?gid=741673867"", ""out1g!A:B""), 2, FALSE), 0)"),315.0)</f>
        <v>315</v>
      </c>
      <c r="D6895" s="2" t="str">
        <f>IFERROR(__xludf.DUMMYFUNCTION("IFERROR(VLOOKUP(A6895, IMPORTRANGE(""https://docs.google.com/spreadsheets/d/1-3Vjw2Cyy-mry5gbC8ypIR3YVGFfEpyFESummAta6sg/edit"", ""Sheet1!B:D""), 2, FALSE), ""Not Found"")"),"ʃɑkɪŋ")</f>
        <v>ʃɑkɪŋ</v>
      </c>
      <c r="E6895" s="2" t="str">
        <f>IFERROR(__xludf.DUMMYFUNCTION("IFERROR(VLOOKUP(A6895, IMPORTRANGE(""https://docs.google.com/spreadsheets/d/1-3Vjw2Cyy-mry5gbC8ypIR3YVGFfEpyFESummAta6sg/edit"", ""Sheet1!B:D""), 3, FALSE), ""Not Found"")"),"ʃ ɑ k ɪ ŋ ")</f>
        <v>ʃ ɑ k ɪ ŋ </v>
      </c>
    </row>
    <row r="6896">
      <c r="A6896" s="1" t="s">
        <v>6898</v>
      </c>
      <c r="B6896" s="1" t="s">
        <v>5</v>
      </c>
      <c r="C6896" s="2">
        <f>IFERROR(__xludf.DUMMYFUNCTION("IFERROR(VLOOKUP(A6896, IMPORTRANGE(""https://docs.google.com/spreadsheets/d/1AVX9GT0dgogEBStecCXMMQ29tWz3gBrtNB8yIromXbY/edit?gid=741673867"", ""out1g!A:B""), 2, FALSE), 0)"),24640.0)</f>
        <v>24640</v>
      </c>
      <c r="D6896" s="2" t="str">
        <f>IFERROR(__xludf.DUMMYFUNCTION("IFERROR(VLOOKUP(A6896, IMPORTRANGE(""https://docs.google.com/spreadsheets/d/1-3Vjw2Cyy-mry5gbC8ypIR3YVGFfEpyFESummAta6sg/edit"", ""Sheet1!B:D""), 2, FALSE), ""Not Found"")"),"æsk")</f>
        <v>æsk</v>
      </c>
      <c r="E6896" s="2" t="str">
        <f>IFERROR(__xludf.DUMMYFUNCTION("IFERROR(VLOOKUP(A6896, IMPORTRANGE(""https://docs.google.com/spreadsheets/d/1-3Vjw2Cyy-mry5gbC8ypIR3YVGFfEpyFESummAta6sg/edit"", ""Sheet1!B:D""), 3, FALSE), ""Not Found"")"),"æ s k ")</f>
        <v>æ s k </v>
      </c>
    </row>
    <row r="6897">
      <c r="A6897" s="1" t="s">
        <v>6899</v>
      </c>
      <c r="B6897" s="1" t="s">
        <v>5</v>
      </c>
      <c r="C6897" s="2">
        <f>IFERROR(__xludf.DUMMYFUNCTION("IFERROR(VLOOKUP(A6897, IMPORTRANGE(""https://docs.google.com/spreadsheets/d/1AVX9GT0dgogEBStecCXMMQ29tWz3gBrtNB8yIromXbY/edit?gid=741673867"", ""out1g!A:B""), 2, FALSE), 0)"),56.0)</f>
        <v>56</v>
      </c>
      <c r="D6897" s="2" t="str">
        <f>IFERROR(__xludf.DUMMYFUNCTION("IFERROR(VLOOKUP(A6897, IMPORTRANGE(""https://docs.google.com/spreadsheets/d/1-3Vjw2Cyy-mry5gbC8ypIR3YVGFfEpyFESummAta6sg/edit"", ""Sheet1!B:D""), 2, FALSE), ""Not Found"")"),"laɪ")</f>
        <v>laɪ</v>
      </c>
      <c r="E6897" s="2" t="str">
        <f>IFERROR(__xludf.DUMMYFUNCTION("IFERROR(VLOOKUP(A6897, IMPORTRANGE(""https://docs.google.com/spreadsheets/d/1-3Vjw2Cyy-mry5gbC8ypIR3YVGFfEpyFESummAta6sg/edit"", ""Sheet1!B:D""), 3, FALSE), ""Not Found"")"),"l a ɪ ")</f>
        <v>l a ɪ </v>
      </c>
    </row>
    <row r="6898">
      <c r="A6898" s="1" t="s">
        <v>6900</v>
      </c>
      <c r="B6898" s="1" t="s">
        <v>5</v>
      </c>
      <c r="C6898" s="2">
        <f>IFERROR(__xludf.DUMMYFUNCTION("IFERROR(VLOOKUP(A6898, IMPORTRANGE(""https://docs.google.com/spreadsheets/d/1AVX9GT0dgogEBStecCXMMQ29tWz3gBrtNB8yIromXbY/edit?gid=741673867"", ""out1g!A:B""), 2, FALSE), 0)"),321.0)</f>
        <v>321</v>
      </c>
      <c r="D6898" s="2" t="str">
        <f>IFERROR(__xludf.DUMMYFUNCTION("IFERROR(VLOOKUP(A6898, IMPORTRANGE(""https://docs.google.com/spreadsheets/d/1-3Vjw2Cyy-mry5gbC8ypIR3YVGFfEpyFESummAta6sg/edit"", ""Sheet1!B:D""), 2, FALSE), ""Not Found"")"),"kræʃɪŋ")</f>
        <v>kræʃɪŋ</v>
      </c>
      <c r="E6898" s="2" t="str">
        <f>IFERROR(__xludf.DUMMYFUNCTION("IFERROR(VLOOKUP(A6898, IMPORTRANGE(""https://docs.google.com/spreadsheets/d/1-3Vjw2Cyy-mry5gbC8ypIR3YVGFfEpyFESummAta6sg/edit"", ""Sheet1!B:D""), 3, FALSE), ""Not Found"")"),"k r æ ʃ ɪ ŋ ")</f>
        <v>k r æ ʃ ɪ ŋ </v>
      </c>
    </row>
    <row r="6899">
      <c r="A6899" s="1" t="s">
        <v>6901</v>
      </c>
      <c r="B6899" s="1" t="s">
        <v>5</v>
      </c>
      <c r="C6899" s="2">
        <f>IFERROR(__xludf.DUMMYFUNCTION("IFERROR(VLOOKUP(A6899, IMPORTRANGE(""https://docs.google.com/spreadsheets/d/1AVX9GT0dgogEBStecCXMMQ29tWz3gBrtNB8yIromXbY/edit?gid=741673867"", ""out1g!A:B""), 2, FALSE), 0)"),38.0)</f>
        <v>38</v>
      </c>
      <c r="D6899" s="2" t="str">
        <f>IFERROR(__xludf.DUMMYFUNCTION("IFERROR(VLOOKUP(A6899, IMPORTRANGE(""https://docs.google.com/spreadsheets/d/1-3Vjw2Cyy-mry5gbC8ypIR3YVGFfEpyFESummAta6sg/edit"", ""Sheet1!B:D""), 2, FALSE), ""Not Found"")"),"liʧ")</f>
        <v>liʧ</v>
      </c>
      <c r="E6899" s="2" t="str">
        <f>IFERROR(__xludf.DUMMYFUNCTION("IFERROR(VLOOKUP(A6899, IMPORTRANGE(""https://docs.google.com/spreadsheets/d/1-3Vjw2Cyy-mry5gbC8ypIR3YVGFfEpyFESummAta6sg/edit"", ""Sheet1!B:D""), 3, FALSE), ""Not Found"")"),"l i ʧ ")</f>
        <v>l i ʧ </v>
      </c>
    </row>
    <row r="6900">
      <c r="A6900" s="1" t="s">
        <v>6902</v>
      </c>
      <c r="B6900" s="1" t="s">
        <v>5</v>
      </c>
      <c r="C6900" s="2">
        <f>IFERROR(__xludf.DUMMYFUNCTION("IFERROR(VLOOKUP(A6900, IMPORTRANGE(""https://docs.google.com/spreadsheets/d/1AVX9GT0dgogEBStecCXMMQ29tWz3gBrtNB8yIromXbY/edit?gid=741673867"", ""out1g!A:B""), 2, FALSE), 0)"),184.0)</f>
        <v>184</v>
      </c>
      <c r="D6900" s="2" t="str">
        <f>IFERROR(__xludf.DUMMYFUNCTION("IFERROR(VLOOKUP(A6900, IMPORTRANGE(""https://docs.google.com/spreadsheets/d/1-3Vjw2Cyy-mry5gbC8ypIR3YVGFfEpyFESummAta6sg/edit"", ""Sheet1!B:D""), 2, FALSE), ""Not Found"")"),"brɔdz")</f>
        <v>brɔdz</v>
      </c>
      <c r="E6900" s="2" t="str">
        <f>IFERROR(__xludf.DUMMYFUNCTION("IFERROR(VLOOKUP(A6900, IMPORTRANGE(""https://docs.google.com/spreadsheets/d/1-3Vjw2Cyy-mry5gbC8ypIR3YVGFfEpyFESummAta6sg/edit"", ""Sheet1!B:D""), 3, FALSE), ""Not Found"")"),"b r ɔ d z ")</f>
        <v>b r ɔ d z </v>
      </c>
    </row>
    <row r="6901">
      <c r="A6901" s="1" t="s">
        <v>6903</v>
      </c>
      <c r="B6901" s="1" t="s">
        <v>5</v>
      </c>
      <c r="C6901" s="2">
        <f>IFERROR(__xludf.DUMMYFUNCTION("IFERROR(VLOOKUP(A6901, IMPORTRANGE(""https://docs.google.com/spreadsheets/d/1AVX9GT0dgogEBStecCXMMQ29tWz3gBrtNB8yIromXbY/edit?gid=741673867"", ""out1g!A:B""), 2, FALSE), 0)"),575.0)</f>
        <v>575</v>
      </c>
      <c r="D6901" s="2" t="str">
        <f>IFERROR(__xludf.DUMMYFUNCTION("IFERROR(VLOOKUP(A6901, IMPORTRANGE(""https://docs.google.com/spreadsheets/d/1-3Vjw2Cyy-mry5gbC8ypIR3YVGFfEpyFESummAta6sg/edit"", ""Sheet1!B:D""), 2, FALSE), ""Not Found"")"),"hɔlt")</f>
        <v>hɔlt</v>
      </c>
      <c r="E6901" s="2" t="str">
        <f>IFERROR(__xludf.DUMMYFUNCTION("IFERROR(VLOOKUP(A6901, IMPORTRANGE(""https://docs.google.com/spreadsheets/d/1-3Vjw2Cyy-mry5gbC8ypIR3YVGFfEpyFESummAta6sg/edit"", ""Sheet1!B:D""), 3, FALSE), ""Not Found"")"),"h ɔ l t ")</f>
        <v>h ɔ l t </v>
      </c>
    </row>
    <row r="6902">
      <c r="A6902" s="1" t="s">
        <v>6904</v>
      </c>
      <c r="B6902" s="1" t="s">
        <v>5</v>
      </c>
      <c r="C6902" s="2">
        <f>IFERROR(__xludf.DUMMYFUNCTION("IFERROR(VLOOKUP(A6902, IMPORTRANGE(""https://docs.google.com/spreadsheets/d/1AVX9GT0dgogEBStecCXMMQ29tWz3gBrtNB8yIromXbY/edit?gid=741673867"", ""out1g!A:B""), 2, FALSE), 0)"),1647.0)</f>
        <v>1647</v>
      </c>
      <c r="D6902" s="2" t="str">
        <f>IFERROR(__xludf.DUMMYFUNCTION("IFERROR(VLOOKUP(A6902, IMPORTRANGE(""https://docs.google.com/spreadsheets/d/1-3Vjw2Cyy-mry5gbC8ypIR3YVGFfEpyFESummAta6sg/edit"", ""Sheet1!B:D""), 2, FALSE), ""Not Found"")"),"fɪkst")</f>
        <v>fɪkst</v>
      </c>
      <c r="E6902" s="2" t="str">
        <f>IFERROR(__xludf.DUMMYFUNCTION("IFERROR(VLOOKUP(A6902, IMPORTRANGE(""https://docs.google.com/spreadsheets/d/1-3Vjw2Cyy-mry5gbC8ypIR3YVGFfEpyFESummAta6sg/edit"", ""Sheet1!B:D""), 3, FALSE), ""Not Found"")"),"f ɪ k s t ")</f>
        <v>f ɪ k s t </v>
      </c>
    </row>
    <row r="6903">
      <c r="A6903" s="1" t="s">
        <v>6905</v>
      </c>
      <c r="B6903" s="1" t="s">
        <v>5</v>
      </c>
      <c r="C6903" s="2">
        <f>IFERROR(__xludf.DUMMYFUNCTION("IFERROR(VLOOKUP(A6903, IMPORTRANGE(""https://docs.google.com/spreadsheets/d/1AVX9GT0dgogEBStecCXMMQ29tWz3gBrtNB8yIromXbY/edit?gid=741673867"", ""out1g!A:B""), 2, FALSE), 0)"),70.0)</f>
        <v>70</v>
      </c>
      <c r="D6903" s="2" t="str">
        <f>IFERROR(__xludf.DUMMYFUNCTION("IFERROR(VLOOKUP(A6903, IMPORTRANGE(""https://docs.google.com/spreadsheets/d/1-3Vjw2Cyy-mry5gbC8ypIR3YVGFfEpyFESummAta6sg/edit"", ""Sheet1!B:D""), 2, FALSE), ""Not Found"")"),"kæm")</f>
        <v>kæm</v>
      </c>
      <c r="E6903" s="2" t="str">
        <f>IFERROR(__xludf.DUMMYFUNCTION("IFERROR(VLOOKUP(A6903, IMPORTRANGE(""https://docs.google.com/spreadsheets/d/1-3Vjw2Cyy-mry5gbC8ypIR3YVGFfEpyFESummAta6sg/edit"", ""Sheet1!B:D""), 3, FALSE), ""Not Found"")"),"k æ m ")</f>
        <v>k æ m </v>
      </c>
    </row>
    <row r="6904">
      <c r="A6904" s="1" t="s">
        <v>6906</v>
      </c>
      <c r="B6904" s="1" t="s">
        <v>5</v>
      </c>
      <c r="C6904" s="2">
        <f>IFERROR(__xludf.DUMMYFUNCTION("IFERROR(VLOOKUP(A6904, IMPORTRANGE(""https://docs.google.com/spreadsheets/d/1AVX9GT0dgogEBStecCXMMQ29tWz3gBrtNB8yIromXbY/edit?gid=741673867"", ""out1g!A:B""), 2, FALSE), 0)"),175.0)</f>
        <v>175</v>
      </c>
      <c r="D6904" s="2" t="str">
        <f>IFERROR(__xludf.DUMMYFUNCTION("IFERROR(VLOOKUP(A6904, IMPORTRANGE(""https://docs.google.com/spreadsheets/d/1-3Vjw2Cyy-mry5gbC8ypIR3YVGFfEpyFESummAta6sg/edit"", ""Sheet1!B:D""), 2, FALSE), ""Not Found"")"),"lɪkɪŋ")</f>
        <v>lɪkɪŋ</v>
      </c>
      <c r="E6904" s="2" t="str">
        <f>IFERROR(__xludf.DUMMYFUNCTION("IFERROR(VLOOKUP(A6904, IMPORTRANGE(""https://docs.google.com/spreadsheets/d/1-3Vjw2Cyy-mry5gbC8ypIR3YVGFfEpyFESummAta6sg/edit"", ""Sheet1!B:D""), 3, FALSE), ""Not Found"")"),"l ɪ k ɪ ŋ ")</f>
        <v>l ɪ k ɪ ŋ </v>
      </c>
    </row>
    <row r="6905">
      <c r="A6905" s="1" t="s">
        <v>6907</v>
      </c>
      <c r="B6905" s="1" t="s">
        <v>5</v>
      </c>
      <c r="C6905" s="2">
        <f>IFERROR(__xludf.DUMMYFUNCTION("IFERROR(VLOOKUP(A6905, IMPORTRANGE(""https://docs.google.com/spreadsheets/d/1AVX9GT0dgogEBStecCXMMQ29tWz3gBrtNB8yIromXbY/edit?gid=741673867"", ""out1g!A:B""), 2, FALSE), 0)"),193.0)</f>
        <v>193</v>
      </c>
      <c r="D6905" s="2" t="str">
        <f>IFERROR(__xludf.DUMMYFUNCTION("IFERROR(VLOOKUP(A6905, IMPORTRANGE(""https://docs.google.com/spreadsheets/d/1-3Vjw2Cyy-mry5gbC8ypIR3YVGFfEpyFESummAta6sg/edit"", ""Sheet1!B:D""), 2, FALSE), ""Not Found"")"),"emɪŋ")</f>
        <v>emɪŋ</v>
      </c>
      <c r="E6905" s="2" t="str">
        <f>IFERROR(__xludf.DUMMYFUNCTION("IFERROR(VLOOKUP(A6905, IMPORTRANGE(""https://docs.google.com/spreadsheets/d/1-3Vjw2Cyy-mry5gbC8ypIR3YVGFfEpyFESummAta6sg/edit"", ""Sheet1!B:D""), 3, FALSE), ""Not Found"")"),"e m ɪ ŋ ")</f>
        <v>e m ɪ ŋ </v>
      </c>
    </row>
    <row r="6906">
      <c r="A6906" s="1" t="s">
        <v>6908</v>
      </c>
      <c r="B6906" s="1" t="s">
        <v>5</v>
      </c>
      <c r="C6906" s="2">
        <f>IFERROR(__xludf.DUMMYFUNCTION("IFERROR(VLOOKUP(A6906, IMPORTRANGE(""https://docs.google.com/spreadsheets/d/1AVX9GT0dgogEBStecCXMMQ29tWz3gBrtNB8yIromXbY/edit?gid=741673867"", ""out1g!A:B""), 2, FALSE), 0)"),338.0)</f>
        <v>338</v>
      </c>
      <c r="D6906" s="2" t="str">
        <f>IFERROR(__xludf.DUMMYFUNCTION("IFERROR(VLOOKUP(A6906, IMPORTRANGE(""https://docs.google.com/spreadsheets/d/1-3Vjw2Cyy-mry5gbC8ypIR3YVGFfEpyFESummAta6sg/edit"", ""Sheet1!B:D""), 2, FALSE), ""Not Found"")"),"dɑt")</f>
        <v>dɑt</v>
      </c>
      <c r="E6906" s="2" t="str">
        <f>IFERROR(__xludf.DUMMYFUNCTION("IFERROR(VLOOKUP(A6906, IMPORTRANGE(""https://docs.google.com/spreadsheets/d/1-3Vjw2Cyy-mry5gbC8ypIR3YVGFfEpyFESummAta6sg/edit"", ""Sheet1!B:D""), 3, FALSE), ""Not Found"")"),"d ɑ t ")</f>
        <v>d ɑ t </v>
      </c>
    </row>
    <row r="6907">
      <c r="A6907" s="1" t="s">
        <v>6909</v>
      </c>
      <c r="B6907" s="1" t="s">
        <v>5</v>
      </c>
      <c r="C6907" s="2">
        <f>IFERROR(__xludf.DUMMYFUNCTION("IFERROR(VLOOKUP(A6907, IMPORTRANGE(""https://docs.google.com/spreadsheets/d/1AVX9GT0dgogEBStecCXMMQ29tWz3gBrtNB8yIromXbY/edit?gid=741673867"", ""out1g!A:B""), 2, FALSE), 0)"),1212.0)</f>
        <v>1212</v>
      </c>
      <c r="D6907" s="2" t="str">
        <f>IFERROR(__xludf.DUMMYFUNCTION("IFERROR(VLOOKUP(A6907, IMPORTRANGE(""https://docs.google.com/spreadsheets/d/1-3Vjw2Cyy-mry5gbC8ypIR3YVGFfEpyFESummAta6sg/edit"", ""Sheet1!B:D""), 2, FALSE), ""Not Found"")"),"dɛk")</f>
        <v>dɛk</v>
      </c>
      <c r="E6907" s="2" t="str">
        <f>IFERROR(__xludf.DUMMYFUNCTION("IFERROR(VLOOKUP(A6907, IMPORTRANGE(""https://docs.google.com/spreadsheets/d/1-3Vjw2Cyy-mry5gbC8ypIR3YVGFfEpyFESummAta6sg/edit"", ""Sheet1!B:D""), 3, FALSE), ""Not Found"")"),"d ɛ k ")</f>
        <v>d ɛ k </v>
      </c>
    </row>
    <row r="6908">
      <c r="A6908" s="1" t="s">
        <v>6910</v>
      </c>
      <c r="B6908" s="1" t="s">
        <v>5</v>
      </c>
      <c r="C6908" s="2">
        <f>IFERROR(__xludf.DUMMYFUNCTION("IFERROR(VLOOKUP(A6908, IMPORTRANGE(""https://docs.google.com/spreadsheets/d/1AVX9GT0dgogEBStecCXMMQ29tWz3gBrtNB8yIromXbY/edit?gid=741673867"", ""out1g!A:B""), 2, FALSE), 0)"),241.0)</f>
        <v>241</v>
      </c>
      <c r="D6908" s="2" t="str">
        <f>IFERROR(__xludf.DUMMYFUNCTION("IFERROR(VLOOKUP(A6908, IMPORTRANGE(""https://docs.google.com/spreadsheets/d/1-3Vjw2Cyy-mry5gbC8ypIR3YVGFfEpyFESummAta6sg/edit"", ""Sheet1!B:D""), 2, FALSE), ""Not Found"")"),"klæp")</f>
        <v>klæp</v>
      </c>
      <c r="E6908" s="2" t="str">
        <f>IFERROR(__xludf.DUMMYFUNCTION("IFERROR(VLOOKUP(A6908, IMPORTRANGE(""https://docs.google.com/spreadsheets/d/1-3Vjw2Cyy-mry5gbC8ypIR3YVGFfEpyFESummAta6sg/edit"", ""Sheet1!B:D""), 3, FALSE), ""Not Found"")"),"k l æ p ")</f>
        <v>k l æ p </v>
      </c>
    </row>
    <row r="6909">
      <c r="A6909" s="1" t="s">
        <v>6911</v>
      </c>
      <c r="B6909" s="1" t="s">
        <v>5</v>
      </c>
      <c r="C6909" s="2">
        <f>IFERROR(__xludf.DUMMYFUNCTION("IFERROR(VLOOKUP(A6909, IMPORTRANGE(""https://docs.google.com/spreadsheets/d/1AVX9GT0dgogEBStecCXMMQ29tWz3gBrtNB8yIromXbY/edit?gid=741673867"", ""out1g!A:B""), 2, FALSE), 0)"),11.0)</f>
        <v>11</v>
      </c>
      <c r="D6909" s="2" t="str">
        <f>IFERROR(__xludf.DUMMYFUNCTION("IFERROR(VLOOKUP(A6909, IMPORTRANGE(""https://docs.google.com/spreadsheets/d/1-3Vjw2Cyy-mry5gbC8ypIR3YVGFfEpyFESummAta6sg/edit"", ""Sheet1!B:D""), 2, FALSE), ""Not Found"")"),"bəsɔlt")</f>
        <v>bəsɔlt</v>
      </c>
      <c r="E6909" s="2" t="str">
        <f>IFERROR(__xludf.DUMMYFUNCTION("IFERROR(VLOOKUP(A6909, IMPORTRANGE(""https://docs.google.com/spreadsheets/d/1-3Vjw2Cyy-mry5gbC8ypIR3YVGFfEpyFESummAta6sg/edit"", ""Sheet1!B:D""), 3, FALSE), ""Not Found"")"),"b ə s ɔ l t ")</f>
        <v>b ə s ɔ l t </v>
      </c>
    </row>
    <row r="6910">
      <c r="A6910" s="1" t="s">
        <v>6912</v>
      </c>
      <c r="B6910" s="1" t="s">
        <v>5</v>
      </c>
      <c r="C6910" s="2">
        <f>IFERROR(__xludf.DUMMYFUNCTION("IFERROR(VLOOKUP(A6910, IMPORTRANGE(""https://docs.google.com/spreadsheets/d/1AVX9GT0dgogEBStecCXMMQ29tWz3gBrtNB8yIromXbY/edit?gid=741673867"", ""out1g!A:B""), 2, FALSE), 0)"),400.0)</f>
        <v>400</v>
      </c>
      <c r="D6910" s="2" t="str">
        <f>IFERROR(__xludf.DUMMYFUNCTION("IFERROR(VLOOKUP(A6910, IMPORTRANGE(""https://docs.google.com/spreadsheets/d/1-3Vjw2Cyy-mry5gbC8ypIR3YVGFfEpyFESummAta6sg/edit"", ""Sheet1!B:D""), 2, FALSE), ""Not Found"")"),"sɪs")</f>
        <v>sɪs</v>
      </c>
      <c r="E6910" s="2" t="str">
        <f>IFERROR(__xludf.DUMMYFUNCTION("IFERROR(VLOOKUP(A6910, IMPORTRANGE(""https://docs.google.com/spreadsheets/d/1-3Vjw2Cyy-mry5gbC8ypIR3YVGFfEpyFESummAta6sg/edit"", ""Sheet1!B:D""), 3, FALSE), ""Not Found"")"),"s ɪ s ")</f>
        <v>s ɪ s </v>
      </c>
    </row>
    <row r="6911">
      <c r="A6911" s="1" t="s">
        <v>6913</v>
      </c>
      <c r="B6911" s="1" t="s">
        <v>5</v>
      </c>
      <c r="C6911" s="2">
        <f>IFERROR(__xludf.DUMMYFUNCTION("IFERROR(VLOOKUP(A6911, IMPORTRANGE(""https://docs.google.com/spreadsheets/d/1AVX9GT0dgogEBStecCXMMQ29tWz3gBrtNB8yIromXbY/edit?gid=741673867"", ""out1g!A:B""), 2, FALSE), 0)"),4808.0)</f>
        <v>4808</v>
      </c>
      <c r="D6911" s="2" t="str">
        <f>IFERROR(__xludf.DUMMYFUNCTION("IFERROR(VLOOKUP(A6911, IMPORTRANGE(""https://docs.google.com/spreadsheets/d/1-3Vjw2Cyy-mry5gbC8ypIR3YVGFfEpyFESummAta6sg/edit"", ""Sheet1!B:D""), 2, FALSE), ""Not Found"")"),"kəvər")</f>
        <v>kəvər</v>
      </c>
      <c r="E6911" s="2" t="str">
        <f>IFERROR(__xludf.DUMMYFUNCTION("IFERROR(VLOOKUP(A6911, IMPORTRANGE(""https://docs.google.com/spreadsheets/d/1-3Vjw2Cyy-mry5gbC8ypIR3YVGFfEpyFESummAta6sg/edit"", ""Sheet1!B:D""), 3, FALSE), ""Not Found"")"),"k ə v ə r ")</f>
        <v>k ə v ə r </v>
      </c>
    </row>
    <row r="6912">
      <c r="A6912" s="1" t="s">
        <v>6914</v>
      </c>
      <c r="B6912" s="1" t="s">
        <v>5</v>
      </c>
      <c r="C6912" s="2">
        <f>IFERROR(__xludf.DUMMYFUNCTION("IFERROR(VLOOKUP(A6912, IMPORTRANGE(""https://docs.google.com/spreadsheets/d/1AVX9GT0dgogEBStecCXMMQ29tWz3gBrtNB8yIromXbY/edit?gid=741673867"", ""out1g!A:B""), 2, FALSE), 0)"),74.0)</f>
        <v>74</v>
      </c>
      <c r="D6912" s="2" t="str">
        <f>IFERROR(__xludf.DUMMYFUNCTION("IFERROR(VLOOKUP(A6912, IMPORTRANGE(""https://docs.google.com/spreadsheets/d/1-3Vjw2Cyy-mry5gbC8ypIR3YVGFfEpyFESummAta6sg/edit"", ""Sheet1!B:D""), 2, FALSE), ""Not Found"")"),"stekt")</f>
        <v>stekt</v>
      </c>
      <c r="E6912" s="2" t="str">
        <f>IFERROR(__xludf.DUMMYFUNCTION("IFERROR(VLOOKUP(A6912, IMPORTRANGE(""https://docs.google.com/spreadsheets/d/1-3Vjw2Cyy-mry5gbC8ypIR3YVGFfEpyFESummAta6sg/edit"", ""Sheet1!B:D""), 3, FALSE), ""Not Found"")"),"s t e k t ")</f>
        <v>s t e k t </v>
      </c>
    </row>
    <row r="6913">
      <c r="A6913" s="1" t="s">
        <v>6915</v>
      </c>
      <c r="B6913" s="1" t="s">
        <v>5</v>
      </c>
      <c r="C6913" s="2">
        <f>IFERROR(__xludf.DUMMYFUNCTION("IFERROR(VLOOKUP(A6913, IMPORTRANGE(""https://docs.google.com/spreadsheets/d/1AVX9GT0dgogEBStecCXMMQ29tWz3gBrtNB8yIromXbY/edit?gid=741673867"", ""out1g!A:B""), 2, FALSE), 0)"),334.0)</f>
        <v>334</v>
      </c>
      <c r="D6913" s="2" t="str">
        <f>IFERROR(__xludf.DUMMYFUNCTION("IFERROR(VLOOKUP(A6913, IMPORTRANGE(""https://docs.google.com/spreadsheets/d/1-3Vjw2Cyy-mry5gbC8ypIR3YVGFfEpyFESummAta6sg/edit"", ""Sheet1!B:D""), 2, FALSE), ""Not Found"")"),"naɪnθ")</f>
        <v>naɪnθ</v>
      </c>
      <c r="E6913" s="2" t="str">
        <f>IFERROR(__xludf.DUMMYFUNCTION("IFERROR(VLOOKUP(A6913, IMPORTRANGE(""https://docs.google.com/spreadsheets/d/1-3Vjw2Cyy-mry5gbC8ypIR3YVGFfEpyFESummAta6sg/edit"", ""Sheet1!B:D""), 3, FALSE), ""Not Found"")"),"n a ɪ n θ ")</f>
        <v>n a ɪ n θ </v>
      </c>
    </row>
    <row r="6914">
      <c r="A6914" s="1" t="s">
        <v>6916</v>
      </c>
      <c r="B6914" s="1" t="s">
        <v>5</v>
      </c>
      <c r="C6914" s="2">
        <f>IFERROR(__xludf.DUMMYFUNCTION("IFERROR(VLOOKUP(A6914, IMPORTRANGE(""https://docs.google.com/spreadsheets/d/1AVX9GT0dgogEBStecCXMMQ29tWz3gBrtNB8yIromXbY/edit?gid=741673867"", ""out1g!A:B""), 2, FALSE), 0)"),11299.0)</f>
        <v>11299</v>
      </c>
      <c r="D6914" s="2" t="str">
        <f>IFERROR(__xludf.DUMMYFUNCTION("IFERROR(VLOOKUP(A6914, IMPORTRANGE(""https://docs.google.com/spreadsheets/d/1-3Vjw2Cyy-mry5gbC8ypIR3YVGFfEpyFESummAta6sg/edit"", ""Sheet1!B:D""), 2, FALSE), ""Not Found"")"),"aɪz")</f>
        <v>aɪz</v>
      </c>
      <c r="E6914" s="2" t="str">
        <f>IFERROR(__xludf.DUMMYFUNCTION("IFERROR(VLOOKUP(A6914, IMPORTRANGE(""https://docs.google.com/spreadsheets/d/1-3Vjw2Cyy-mry5gbC8ypIR3YVGFfEpyFESummAta6sg/edit"", ""Sheet1!B:D""), 3, FALSE), ""Not Found"")"),"a ɪ z ")</f>
        <v>a ɪ z </v>
      </c>
    </row>
    <row r="6915">
      <c r="A6915" s="1" t="s">
        <v>6917</v>
      </c>
      <c r="B6915" s="1" t="s">
        <v>5</v>
      </c>
      <c r="C6915" s="2">
        <f>IFERROR(__xludf.DUMMYFUNCTION("IFERROR(VLOOKUP(A6915, IMPORTRANGE(""https://docs.google.com/spreadsheets/d/1AVX9GT0dgogEBStecCXMMQ29tWz3gBrtNB8yIromXbY/edit?gid=741673867"", ""out1g!A:B""), 2, FALSE), 0)"),268.0)</f>
        <v>268</v>
      </c>
      <c r="D6915" s="2" t="str">
        <f>IFERROR(__xludf.DUMMYFUNCTION("IFERROR(VLOOKUP(A6915, IMPORTRANGE(""https://docs.google.com/spreadsheets/d/1-3Vjw2Cyy-mry5gbC8ypIR3YVGFfEpyFESummAta6sg/edit"", ""Sheet1!B:D""), 2, FALSE), ""Not Found"")"),"ʃ")</f>
        <v>ʃ</v>
      </c>
      <c r="E6915" s="2" t="str">
        <f>IFERROR(__xludf.DUMMYFUNCTION("IFERROR(VLOOKUP(A6915, IMPORTRANGE(""https://docs.google.com/spreadsheets/d/1-3Vjw2Cyy-mry5gbC8ypIR3YVGFfEpyFESummAta6sg/edit"", ""Sheet1!B:D""), 3, FALSE), ""Not Found"")"),"ʃ ")</f>
        <v>ʃ </v>
      </c>
    </row>
    <row r="6916">
      <c r="A6916" s="1" t="s">
        <v>6918</v>
      </c>
      <c r="B6916" s="1" t="s">
        <v>5</v>
      </c>
      <c r="C6916" s="2">
        <f>IFERROR(__xludf.DUMMYFUNCTION("IFERROR(VLOOKUP(A6916, IMPORTRANGE(""https://docs.google.com/spreadsheets/d/1AVX9GT0dgogEBStecCXMMQ29tWz3gBrtNB8yIromXbY/edit?gid=741673867"", ""out1g!A:B""), 2, FALSE), 0)"),175.0)</f>
        <v>175</v>
      </c>
      <c r="D6916" s="2" t="str">
        <f>IFERROR(__xludf.DUMMYFUNCTION("IFERROR(VLOOKUP(A6916, IMPORTRANGE(""https://docs.google.com/spreadsheets/d/1-3Vjw2Cyy-mry5gbC8ypIR3YVGFfEpyFESummAta6sg/edit"", ""Sheet1!B:D""), 2, FALSE), ""Not Found"")"),"ʧoʊkt")</f>
        <v>ʧoʊkt</v>
      </c>
      <c r="E6916" s="2" t="str">
        <f>IFERROR(__xludf.DUMMYFUNCTION("IFERROR(VLOOKUP(A6916, IMPORTRANGE(""https://docs.google.com/spreadsheets/d/1-3Vjw2Cyy-mry5gbC8ypIR3YVGFfEpyFESummAta6sg/edit"", ""Sheet1!B:D""), 3, FALSE), ""Not Found"")"),"ʧ o ʊ k t ")</f>
        <v>ʧ o ʊ k t </v>
      </c>
    </row>
    <row r="6917">
      <c r="A6917" s="1" t="s">
        <v>6919</v>
      </c>
      <c r="B6917" s="1" t="s">
        <v>5</v>
      </c>
      <c r="C6917" s="2">
        <f>IFERROR(__xludf.DUMMYFUNCTION("IFERROR(VLOOKUP(A6917, IMPORTRANGE(""https://docs.google.com/spreadsheets/d/1AVX9GT0dgogEBStecCXMMQ29tWz3gBrtNB8yIromXbY/edit?gid=741673867"", ""out1g!A:B""), 2, FALSE), 0)"),1188.0)</f>
        <v>1188</v>
      </c>
      <c r="D6917" s="2" t="str">
        <f>IFERROR(__xludf.DUMMYFUNCTION("IFERROR(VLOOKUP(A6917, IMPORTRANGE(""https://docs.google.com/spreadsheets/d/1-3Vjw2Cyy-mry5gbC8ypIR3YVGFfEpyFESummAta6sg/edit"", ""Sheet1!B:D""), 2, FALSE), ""Not Found"")"),"rɑb")</f>
        <v>rɑb</v>
      </c>
      <c r="E6917" s="2" t="str">
        <f>IFERROR(__xludf.DUMMYFUNCTION("IFERROR(VLOOKUP(A6917, IMPORTRANGE(""https://docs.google.com/spreadsheets/d/1-3Vjw2Cyy-mry5gbC8ypIR3YVGFfEpyFESummAta6sg/edit"", ""Sheet1!B:D""), 3, FALSE), ""Not Found"")"),"r ɑ b ")</f>
        <v>r ɑ b </v>
      </c>
    </row>
    <row r="6918">
      <c r="A6918" s="1" t="s">
        <v>6920</v>
      </c>
      <c r="B6918" s="1" t="s">
        <v>5</v>
      </c>
      <c r="C6918" s="2">
        <f>IFERROR(__xludf.DUMMYFUNCTION("IFERROR(VLOOKUP(A6918, IMPORTRANGE(""https://docs.google.com/spreadsheets/d/1AVX9GT0dgogEBStecCXMMQ29tWz3gBrtNB8yIromXbY/edit?gid=741673867"", ""out1g!A:B""), 2, FALSE), 0)"),578.0)</f>
        <v>578</v>
      </c>
      <c r="D6918" s="2" t="str">
        <f>IFERROR(__xludf.DUMMYFUNCTION("IFERROR(VLOOKUP(A6918, IMPORTRANGE(""https://docs.google.com/spreadsheets/d/1-3Vjw2Cyy-mry5gbC8ypIR3YVGFfEpyFESummAta6sg/edit"", ""Sheet1!B:D""), 2, FALSE), ""Not Found"")"),"grik")</f>
        <v>grik</v>
      </c>
      <c r="E6918" s="2" t="str">
        <f>IFERROR(__xludf.DUMMYFUNCTION("IFERROR(VLOOKUP(A6918, IMPORTRANGE(""https://docs.google.com/spreadsheets/d/1-3Vjw2Cyy-mry5gbC8ypIR3YVGFfEpyFESummAta6sg/edit"", ""Sheet1!B:D""), 3, FALSE), ""Not Found"")"),"g r i k ")</f>
        <v>g r i k </v>
      </c>
    </row>
    <row r="6919">
      <c r="A6919" s="1" t="s">
        <v>6921</v>
      </c>
      <c r="B6919" s="1" t="s">
        <v>5</v>
      </c>
      <c r="C6919" s="2">
        <f>IFERROR(__xludf.DUMMYFUNCTION("IFERROR(VLOOKUP(A6919, IMPORTRANGE(""https://docs.google.com/spreadsheets/d/1AVX9GT0dgogEBStecCXMMQ29tWz3gBrtNB8yIromXbY/edit?gid=741673867"", ""out1g!A:B""), 2, FALSE), 0)"),337.0)</f>
        <v>337</v>
      </c>
      <c r="D6919" s="2" t="str">
        <f>IFERROR(__xludf.DUMMYFUNCTION("IFERROR(VLOOKUP(A6919, IMPORTRANGE(""https://docs.google.com/spreadsheets/d/1-3Vjw2Cyy-mry5gbC8ypIR3YVGFfEpyFESummAta6sg/edit"", ""Sheet1!B:D""), 2, FALSE), ""Not Found"")"),"mɛmoʊ")</f>
        <v>mɛmoʊ</v>
      </c>
      <c r="E6919" s="2" t="str">
        <f>IFERROR(__xludf.DUMMYFUNCTION("IFERROR(VLOOKUP(A6919, IMPORTRANGE(""https://docs.google.com/spreadsheets/d/1-3Vjw2Cyy-mry5gbC8ypIR3YVGFfEpyFESummAta6sg/edit"", ""Sheet1!B:D""), 3, FALSE), ""Not Found"")"),"m ɛ m o ʊ ")</f>
        <v>m ɛ m o ʊ </v>
      </c>
    </row>
    <row r="6920">
      <c r="A6920" s="1" t="s">
        <v>6922</v>
      </c>
      <c r="B6920" s="1" t="s">
        <v>5</v>
      </c>
      <c r="C6920" s="2">
        <f>IFERROR(__xludf.DUMMYFUNCTION("IFERROR(VLOOKUP(A6920, IMPORTRANGE(""https://docs.google.com/spreadsheets/d/1AVX9GT0dgogEBStecCXMMQ29tWz3gBrtNB8yIromXbY/edit?gid=741673867"", ""out1g!A:B""), 2, FALSE), 0)"),121.0)</f>
        <v>121</v>
      </c>
      <c r="D6920" s="2" t="str">
        <f>IFERROR(__xludf.DUMMYFUNCTION("IFERROR(VLOOKUP(A6920, IMPORTRANGE(""https://docs.google.com/spreadsheets/d/1-3Vjw2Cyy-mry5gbC8ypIR3YVGFfEpyFESummAta6sg/edit"", ""Sheet1!B:D""), 2, FALSE), ""Not Found"")"),"bin")</f>
        <v>bin</v>
      </c>
      <c r="E6920" s="2" t="str">
        <f>IFERROR(__xludf.DUMMYFUNCTION("IFERROR(VLOOKUP(A6920, IMPORTRANGE(""https://docs.google.com/spreadsheets/d/1-3Vjw2Cyy-mry5gbC8ypIR3YVGFfEpyFESummAta6sg/edit"", ""Sheet1!B:D""), 3, FALSE), ""Not Found"")"),"b i n ")</f>
        <v>b i n </v>
      </c>
    </row>
    <row r="6921">
      <c r="A6921" s="1" t="s">
        <v>6923</v>
      </c>
      <c r="B6921" s="1" t="s">
        <v>5</v>
      </c>
      <c r="C6921" s="2">
        <f>IFERROR(__xludf.DUMMYFUNCTION("IFERROR(VLOOKUP(A6921, IMPORTRANGE(""https://docs.google.com/spreadsheets/d/1AVX9GT0dgogEBStecCXMMQ29tWz3gBrtNB8yIromXbY/edit?gid=741673867"", ""out1g!A:B""), 2, FALSE), 0)"),238.0)</f>
        <v>238</v>
      </c>
      <c r="D6921" s="2" t="str">
        <f>IFERROR(__xludf.DUMMYFUNCTION("IFERROR(VLOOKUP(A6921, IMPORTRANGE(""https://docs.google.com/spreadsheets/d/1-3Vjw2Cyy-mry5gbC8ypIR3YVGFfEpyFESummAta6sg/edit"", ""Sheet1!B:D""), 2, FALSE), ""Not Found"")"),"lɪli")</f>
        <v>lɪli</v>
      </c>
      <c r="E6921" s="2" t="str">
        <f>IFERROR(__xludf.DUMMYFUNCTION("IFERROR(VLOOKUP(A6921, IMPORTRANGE(""https://docs.google.com/spreadsheets/d/1-3Vjw2Cyy-mry5gbC8ypIR3YVGFfEpyFESummAta6sg/edit"", ""Sheet1!B:D""), 3, FALSE), ""Not Found"")"),"l ɪ l i ")</f>
        <v>l ɪ l i </v>
      </c>
    </row>
    <row r="6922">
      <c r="A6922" s="1" t="s">
        <v>6924</v>
      </c>
      <c r="B6922" s="1" t="s">
        <v>5</v>
      </c>
      <c r="C6922" s="2">
        <f>IFERROR(__xludf.DUMMYFUNCTION("IFERROR(VLOOKUP(A6922, IMPORTRANGE(""https://docs.google.com/spreadsheets/d/1AVX9GT0dgogEBStecCXMMQ29tWz3gBrtNB8yIromXbY/edit?gid=741673867"", ""out1g!A:B""), 2, FALSE), 0)"),37.0)</f>
        <v>37</v>
      </c>
      <c r="D6922" s="2" t="str">
        <f>IFERROR(__xludf.DUMMYFUNCTION("IFERROR(VLOOKUP(A6922, IMPORTRANGE(""https://docs.google.com/spreadsheets/d/1-3Vjw2Cyy-mry5gbC8ypIR3YVGFfEpyFESummAta6sg/edit"", ""Sheet1!B:D""), 2, FALSE), ""Not Found"")"),"boʊɪŋ")</f>
        <v>boʊɪŋ</v>
      </c>
      <c r="E6922" s="2" t="str">
        <f>IFERROR(__xludf.DUMMYFUNCTION("IFERROR(VLOOKUP(A6922, IMPORTRANGE(""https://docs.google.com/spreadsheets/d/1-3Vjw2Cyy-mry5gbC8ypIR3YVGFfEpyFESummAta6sg/edit"", ""Sheet1!B:D""), 3, FALSE), ""Not Found"")"),"b o ʊ ɪ ŋ ")</f>
        <v>b o ʊ ɪ ŋ </v>
      </c>
    </row>
    <row r="6923">
      <c r="A6923" s="1" t="s">
        <v>6925</v>
      </c>
      <c r="B6923" s="1" t="s">
        <v>5</v>
      </c>
      <c r="C6923" s="2">
        <f>IFERROR(__xludf.DUMMYFUNCTION("IFERROR(VLOOKUP(A6923, IMPORTRANGE(""https://docs.google.com/spreadsheets/d/1AVX9GT0dgogEBStecCXMMQ29tWz3gBrtNB8yIromXbY/edit?gid=741673867"", ""out1g!A:B""), 2, FALSE), 0)"),278.0)</f>
        <v>278</v>
      </c>
      <c r="D6923" s="2" t="str">
        <f>IFERROR(__xludf.DUMMYFUNCTION("IFERROR(VLOOKUP(A6923, IMPORTRANGE(""https://docs.google.com/spreadsheets/d/1-3Vjw2Cyy-mry5gbC8ypIR3YVGFfEpyFESummAta6sg/edit"", ""Sheet1!B:D""), 2, FALSE), ""Not Found"")"),"ridər")</f>
        <v>ridər</v>
      </c>
      <c r="E6923" s="2" t="str">
        <f>IFERROR(__xludf.DUMMYFUNCTION("IFERROR(VLOOKUP(A6923, IMPORTRANGE(""https://docs.google.com/spreadsheets/d/1-3Vjw2Cyy-mry5gbC8ypIR3YVGFfEpyFESummAta6sg/edit"", ""Sheet1!B:D""), 3, FALSE), ""Not Found"")"),"r i d ə r ")</f>
        <v>r i d ə r </v>
      </c>
    </row>
    <row r="6924">
      <c r="A6924" s="1" t="s">
        <v>6926</v>
      </c>
      <c r="B6924" s="1" t="s">
        <v>5</v>
      </c>
      <c r="C6924" s="2">
        <f>IFERROR(__xludf.DUMMYFUNCTION("IFERROR(VLOOKUP(A6924, IMPORTRANGE(""https://docs.google.com/spreadsheets/d/1AVX9GT0dgogEBStecCXMMQ29tWz3gBrtNB8yIromXbY/edit?gid=741673867"", ""out1g!A:B""), 2, FALSE), 0)"),138.0)</f>
        <v>138</v>
      </c>
      <c r="D6924" s="2" t="str">
        <f>IFERROR(__xludf.DUMMYFUNCTION("IFERROR(VLOOKUP(A6924, IMPORTRANGE(""https://docs.google.com/spreadsheets/d/1-3Vjw2Cyy-mry5gbC8ypIR3YVGFfEpyFESummAta6sg/edit"", ""Sheet1!B:D""), 2, FALSE), ""Not Found"")"),"rend")</f>
        <v>rend</v>
      </c>
      <c r="E6924" s="2" t="str">
        <f>IFERROR(__xludf.DUMMYFUNCTION("IFERROR(VLOOKUP(A6924, IMPORTRANGE(""https://docs.google.com/spreadsheets/d/1-3Vjw2Cyy-mry5gbC8ypIR3YVGFfEpyFESummAta6sg/edit"", ""Sheet1!B:D""), 3, FALSE), ""Not Found"")"),"r e n d ")</f>
        <v>r e n d </v>
      </c>
    </row>
    <row r="6925">
      <c r="A6925" s="1" t="s">
        <v>6927</v>
      </c>
      <c r="B6925" s="1" t="s">
        <v>5</v>
      </c>
      <c r="C6925" s="2">
        <f>IFERROR(__xludf.DUMMYFUNCTION("IFERROR(VLOOKUP(A6925, IMPORTRANGE(""https://docs.google.com/spreadsheets/d/1AVX9GT0dgogEBStecCXMMQ29tWz3gBrtNB8yIromXbY/edit?gid=741673867"", ""out1g!A:B""), 2, FALSE), 0)"),20196.0)</f>
        <v>20196</v>
      </c>
      <c r="D6925" s="2" t="str">
        <f>IFERROR(__xludf.DUMMYFUNCTION("IFERROR(VLOOKUP(A6925, IMPORTRANGE(""https://docs.google.com/spreadsheets/d/1-3Vjw2Cyy-mry5gbC8ypIR3YVGFfEpyFESummAta6sg/edit"", ""Sheet1!B:D""), 2, FALSE), ""Not Found"")"),"faʊnd")</f>
        <v>faʊnd</v>
      </c>
      <c r="E6925" s="2" t="str">
        <f>IFERROR(__xludf.DUMMYFUNCTION("IFERROR(VLOOKUP(A6925, IMPORTRANGE(""https://docs.google.com/spreadsheets/d/1-3Vjw2Cyy-mry5gbC8ypIR3YVGFfEpyFESummAta6sg/edit"", ""Sheet1!B:D""), 3, FALSE), ""Not Found"")"),"f a ʊ n d ")</f>
        <v>f a ʊ n d </v>
      </c>
    </row>
    <row r="6926">
      <c r="A6926" s="1" t="s">
        <v>6928</v>
      </c>
      <c r="B6926" s="1" t="s">
        <v>5</v>
      </c>
      <c r="C6926" s="2">
        <f>IFERROR(__xludf.DUMMYFUNCTION("IFERROR(VLOOKUP(A6926, IMPORTRANGE(""https://docs.google.com/spreadsheets/d/1AVX9GT0dgogEBStecCXMMQ29tWz3gBrtNB8yIromXbY/edit?gid=741673867"", ""out1g!A:B""), 2, FALSE), 0)"),469.0)</f>
        <v>469</v>
      </c>
      <c r="D6926" s="2" t="str">
        <f>IFERROR(__xludf.DUMMYFUNCTION("IFERROR(VLOOKUP(A6926, IMPORTRANGE(""https://docs.google.com/spreadsheets/d/1-3Vjw2Cyy-mry5gbC8ypIR3YVGFfEpyFESummAta6sg/edit"", ""Sheet1!B:D""), 2, FALSE), ""Not Found"")"),"boʊnəs")</f>
        <v>boʊnəs</v>
      </c>
      <c r="E6926" s="2" t="str">
        <f>IFERROR(__xludf.DUMMYFUNCTION("IFERROR(VLOOKUP(A6926, IMPORTRANGE(""https://docs.google.com/spreadsheets/d/1-3Vjw2Cyy-mry5gbC8ypIR3YVGFfEpyFESummAta6sg/edit"", ""Sheet1!B:D""), 3, FALSE), ""Not Found"")"),"b o ʊ n ə s ")</f>
        <v>b o ʊ n ə s </v>
      </c>
    </row>
    <row r="6927">
      <c r="A6927" s="1" t="s">
        <v>6929</v>
      </c>
      <c r="B6927" s="1" t="s">
        <v>5</v>
      </c>
      <c r="C6927" s="2">
        <f>IFERROR(__xludf.DUMMYFUNCTION("IFERROR(VLOOKUP(A6927, IMPORTRANGE(""https://docs.google.com/spreadsheets/d/1AVX9GT0dgogEBStecCXMMQ29tWz3gBrtNB8yIromXbY/edit?gid=741673867"", ""out1g!A:B""), 2, FALSE), 0)"),88.0)</f>
        <v>88</v>
      </c>
      <c r="D6927" s="2" t="str">
        <f>IFERROR(__xludf.DUMMYFUNCTION("IFERROR(VLOOKUP(A6927, IMPORTRANGE(""https://docs.google.com/spreadsheets/d/1-3Vjw2Cyy-mry5gbC8ypIR3YVGFfEpyFESummAta6sg/edit"", ""Sheet1!B:D""), 2, FALSE), ""Not Found"")"),"stɪŋz")</f>
        <v>stɪŋz</v>
      </c>
      <c r="E6927" s="2" t="str">
        <f>IFERROR(__xludf.DUMMYFUNCTION("IFERROR(VLOOKUP(A6927, IMPORTRANGE(""https://docs.google.com/spreadsheets/d/1-3Vjw2Cyy-mry5gbC8ypIR3YVGFfEpyFESummAta6sg/edit"", ""Sheet1!B:D""), 3, FALSE), ""Not Found"")"),"s t ɪ ŋ z ")</f>
        <v>s t ɪ ŋ z </v>
      </c>
    </row>
    <row r="6928">
      <c r="A6928" s="1" t="s">
        <v>6930</v>
      </c>
      <c r="B6928" s="1" t="s">
        <v>5</v>
      </c>
      <c r="C6928" s="2">
        <f>IFERROR(__xludf.DUMMYFUNCTION("IFERROR(VLOOKUP(A6928, IMPORTRANGE(""https://docs.google.com/spreadsheets/d/1AVX9GT0dgogEBStecCXMMQ29tWz3gBrtNB8yIromXbY/edit?gid=741673867"", ""out1g!A:B""), 2, FALSE), 0)"),571.0)</f>
        <v>571</v>
      </c>
      <c r="D6928" s="2" t="str">
        <f>IFERROR(__xludf.DUMMYFUNCTION("IFERROR(VLOOKUP(A6928, IMPORTRANGE(""https://docs.google.com/spreadsheets/d/1-3Vjw2Cyy-mry5gbC8ypIR3YVGFfEpyFESummAta6sg/edit"", ""Sheet1!B:D""), 2, FALSE), ""Not Found"")"),"wɛsli")</f>
        <v>wɛsli</v>
      </c>
      <c r="E6928" s="2" t="str">
        <f>IFERROR(__xludf.DUMMYFUNCTION("IFERROR(VLOOKUP(A6928, IMPORTRANGE(""https://docs.google.com/spreadsheets/d/1-3Vjw2Cyy-mry5gbC8ypIR3YVGFfEpyFESummAta6sg/edit"", ""Sheet1!B:D""), 3, FALSE), ""Not Found"")"),"w ɛ s l i ")</f>
        <v>w ɛ s l i </v>
      </c>
    </row>
    <row r="6929">
      <c r="A6929" s="1" t="s">
        <v>6931</v>
      </c>
      <c r="B6929" s="1" t="s">
        <v>5</v>
      </c>
      <c r="C6929" s="2">
        <f>IFERROR(__xludf.DUMMYFUNCTION("IFERROR(VLOOKUP(A6929, IMPORTRANGE(""https://docs.google.com/spreadsheets/d/1AVX9GT0dgogEBStecCXMMQ29tWz3gBrtNB8yIromXbY/edit?gid=741673867"", ""out1g!A:B""), 2, FALSE), 0)"),787.0)</f>
        <v>787</v>
      </c>
      <c r="D6929" s="2" t="str">
        <f>IFERROR(__xludf.DUMMYFUNCTION("IFERROR(VLOOKUP(A6929, IMPORTRANGE(""https://docs.google.com/spreadsheets/d/1-3Vjw2Cyy-mry5gbC8ypIR3YVGFfEpyFESummAta6sg/edit"", ""Sheet1!B:D""), 2, FALSE), ""Not Found"")"),"fɔrt")</f>
        <v>fɔrt</v>
      </c>
      <c r="E6929" s="2" t="str">
        <f>IFERROR(__xludf.DUMMYFUNCTION("IFERROR(VLOOKUP(A6929, IMPORTRANGE(""https://docs.google.com/spreadsheets/d/1-3Vjw2Cyy-mry5gbC8ypIR3YVGFfEpyFESummAta6sg/edit"", ""Sheet1!B:D""), 3, FALSE), ""Not Found"")"),"f ɔ r t ")</f>
        <v>f ɔ r t </v>
      </c>
    </row>
    <row r="6930">
      <c r="A6930" s="1" t="s">
        <v>6932</v>
      </c>
      <c r="B6930" s="1" t="s">
        <v>5</v>
      </c>
      <c r="C6930" s="2">
        <f>IFERROR(__xludf.DUMMYFUNCTION("IFERROR(VLOOKUP(A6930, IMPORTRANGE(""https://docs.google.com/spreadsheets/d/1AVX9GT0dgogEBStecCXMMQ29tWz3gBrtNB8yIromXbY/edit?gid=741673867"", ""out1g!A:B""), 2, FALSE), 0)"),64.0)</f>
        <v>64</v>
      </c>
      <c r="D6930" s="2" t="str">
        <f>IFERROR(__xludf.DUMMYFUNCTION("IFERROR(VLOOKUP(A6930, IMPORTRANGE(""https://docs.google.com/spreadsheets/d/1-3Vjw2Cyy-mry5gbC8ypIR3YVGFfEpyFESummAta6sg/edit"", ""Sheet1!B:D""), 2, FALSE), ""Not Found"")"),"kjoʊtoʊ")</f>
        <v>kjoʊtoʊ</v>
      </c>
      <c r="E6930" s="2" t="str">
        <f>IFERROR(__xludf.DUMMYFUNCTION("IFERROR(VLOOKUP(A6930, IMPORTRANGE(""https://docs.google.com/spreadsheets/d/1-3Vjw2Cyy-mry5gbC8ypIR3YVGFfEpyFESummAta6sg/edit"", ""Sheet1!B:D""), 3, FALSE), ""Not Found"")"),"k j o ʊ t o ʊ ")</f>
        <v>k j o ʊ t o ʊ </v>
      </c>
    </row>
    <row r="6931">
      <c r="A6931" s="1" t="s">
        <v>6933</v>
      </c>
      <c r="B6931" s="1" t="s">
        <v>5</v>
      </c>
      <c r="C6931" s="2">
        <f>IFERROR(__xludf.DUMMYFUNCTION("IFERROR(VLOOKUP(A6931, IMPORTRANGE(""https://docs.google.com/spreadsheets/d/1AVX9GT0dgogEBStecCXMMQ29tWz3gBrtNB8yIromXbY/edit?gid=741673867"", ""out1g!A:B""), 2, FALSE), 0)"),230.0)</f>
        <v>230</v>
      </c>
      <c r="D6931" s="2" t="str">
        <f>IFERROR(__xludf.DUMMYFUNCTION("IFERROR(VLOOKUP(A6931, IMPORTRANGE(""https://docs.google.com/spreadsheets/d/1-3Vjw2Cyy-mry5gbC8ypIR3YVGFfEpyFESummAta6sg/edit"", ""Sheet1!B:D""), 2, FALSE), ""Not Found"")"),"fekɪŋ")</f>
        <v>fekɪŋ</v>
      </c>
      <c r="E6931" s="2" t="str">
        <f>IFERROR(__xludf.DUMMYFUNCTION("IFERROR(VLOOKUP(A6931, IMPORTRANGE(""https://docs.google.com/spreadsheets/d/1-3Vjw2Cyy-mry5gbC8ypIR3YVGFfEpyFESummAta6sg/edit"", ""Sheet1!B:D""), 3, FALSE), ""Not Found"")"),"f e k ɪ ŋ ")</f>
        <v>f e k ɪ ŋ </v>
      </c>
    </row>
    <row r="6932">
      <c r="A6932" s="1" t="s">
        <v>6934</v>
      </c>
      <c r="B6932" s="1" t="s">
        <v>5</v>
      </c>
      <c r="C6932" s="2">
        <f>IFERROR(__xludf.DUMMYFUNCTION("IFERROR(VLOOKUP(A6932, IMPORTRANGE(""https://docs.google.com/spreadsheets/d/1AVX9GT0dgogEBStecCXMMQ29tWz3gBrtNB8yIromXbY/edit?gid=741673867"", ""out1g!A:B""), 2, FALSE), 0)"),281.0)</f>
        <v>281</v>
      </c>
      <c r="D6932" s="2" t="str">
        <f>IFERROR(__xludf.DUMMYFUNCTION("IFERROR(VLOOKUP(A6932, IMPORTRANGE(""https://docs.google.com/spreadsheets/d/1-3Vjw2Cyy-mry5gbC8ypIR3YVGFfEpyFESummAta6sg/edit"", ""Sheet1!B:D""), 2, FALSE), ""Not Found"")"),"wi")</f>
        <v>wi</v>
      </c>
      <c r="E6932" s="2" t="str">
        <f>IFERROR(__xludf.DUMMYFUNCTION("IFERROR(VLOOKUP(A6932, IMPORTRANGE(""https://docs.google.com/spreadsheets/d/1-3Vjw2Cyy-mry5gbC8ypIR3YVGFfEpyFESummAta6sg/edit"", ""Sheet1!B:D""), 3, FALSE), ""Not Found"")"),"w i ")</f>
        <v>w i </v>
      </c>
    </row>
    <row r="6933">
      <c r="A6933" s="1" t="s">
        <v>6935</v>
      </c>
      <c r="B6933" s="1" t="s">
        <v>5</v>
      </c>
      <c r="C6933" s="2">
        <f>IFERROR(__xludf.DUMMYFUNCTION("IFERROR(VLOOKUP(A6933, IMPORTRANGE(""https://docs.google.com/spreadsheets/d/1AVX9GT0dgogEBStecCXMMQ29tWz3gBrtNB8yIromXbY/edit?gid=741673867"", ""out1g!A:B""), 2, FALSE), 0)"),1097.0)</f>
        <v>1097</v>
      </c>
      <c r="D6933" s="2" t="str">
        <f>IFERROR(__xludf.DUMMYFUNCTION("IFERROR(VLOOKUP(A6933, IMPORTRANGE(""https://docs.google.com/spreadsheets/d/1-3Vjw2Cyy-mry5gbC8ypIR3YVGFfEpyFESummAta6sg/edit"", ""Sheet1!B:D""), 2, FALSE), ""Not Found"")"),"sərkəl")</f>
        <v>sərkəl</v>
      </c>
      <c r="E6933" s="2" t="str">
        <f>IFERROR(__xludf.DUMMYFUNCTION("IFERROR(VLOOKUP(A6933, IMPORTRANGE(""https://docs.google.com/spreadsheets/d/1-3Vjw2Cyy-mry5gbC8ypIR3YVGFfEpyFESummAta6sg/edit"", ""Sheet1!B:D""), 3, FALSE), ""Not Found"")"),"s ə r k ə l ")</f>
        <v>s ə r k ə l </v>
      </c>
    </row>
    <row r="6934">
      <c r="A6934" s="1" t="s">
        <v>6936</v>
      </c>
      <c r="B6934" s="1" t="s">
        <v>5</v>
      </c>
      <c r="C6934" s="2">
        <f>IFERROR(__xludf.DUMMYFUNCTION("IFERROR(VLOOKUP(A6934, IMPORTRANGE(""https://docs.google.com/spreadsheets/d/1AVX9GT0dgogEBStecCXMMQ29tWz3gBrtNB8yIromXbY/edit?gid=741673867"", ""out1g!A:B""), 2, FALSE), 0)"),68.0)</f>
        <v>68</v>
      </c>
      <c r="D6934" s="2" t="str">
        <f>IFERROR(__xludf.DUMMYFUNCTION("IFERROR(VLOOKUP(A6934, IMPORTRANGE(""https://docs.google.com/spreadsheets/d/1-3Vjw2Cyy-mry5gbC8ypIR3YVGFfEpyFESummAta6sg/edit"", ""Sheet1!B:D""), 2, FALSE), ""Not Found"")"),"baɪu")</f>
        <v>baɪu</v>
      </c>
      <c r="E6934" s="2" t="str">
        <f>IFERROR(__xludf.DUMMYFUNCTION("IFERROR(VLOOKUP(A6934, IMPORTRANGE(""https://docs.google.com/spreadsheets/d/1-3Vjw2Cyy-mry5gbC8ypIR3YVGFfEpyFESummAta6sg/edit"", ""Sheet1!B:D""), 3, FALSE), ""Not Found"")"),"b a ɪ u ")</f>
        <v>b a ɪ u </v>
      </c>
    </row>
    <row r="6935">
      <c r="A6935" s="1" t="s">
        <v>6937</v>
      </c>
      <c r="B6935" s="1" t="s">
        <v>5</v>
      </c>
      <c r="C6935" s="2">
        <f>IFERROR(__xludf.DUMMYFUNCTION("IFERROR(VLOOKUP(A6935, IMPORTRANGE(""https://docs.google.com/spreadsheets/d/1AVX9GT0dgogEBStecCXMMQ29tWz3gBrtNB8yIromXbY/edit?gid=741673867"", ""out1g!A:B""), 2, FALSE), 0)"),138.0)</f>
        <v>138</v>
      </c>
      <c r="D6935" s="2" t="str">
        <f>IFERROR(__xludf.DUMMYFUNCTION("IFERROR(VLOOKUP(A6935, IMPORTRANGE(""https://docs.google.com/spreadsheets/d/1-3Vjw2Cyy-mry5gbC8ypIR3YVGFfEpyFESummAta6sg/edit"", ""Sheet1!B:D""), 2, FALSE), ""Not Found"")"),"grɪn")</f>
        <v>grɪn</v>
      </c>
      <c r="E6935" s="2" t="str">
        <f>IFERROR(__xludf.DUMMYFUNCTION("IFERROR(VLOOKUP(A6935, IMPORTRANGE(""https://docs.google.com/spreadsheets/d/1-3Vjw2Cyy-mry5gbC8ypIR3YVGFfEpyFESummAta6sg/edit"", ""Sheet1!B:D""), 3, FALSE), ""Not Found"")"),"g r ɪ n ")</f>
        <v>g r ɪ n </v>
      </c>
    </row>
    <row r="6936">
      <c r="A6936" s="1" t="s">
        <v>6938</v>
      </c>
      <c r="B6936" s="1" t="s">
        <v>5</v>
      </c>
      <c r="C6936" s="2">
        <f>IFERROR(__xludf.DUMMYFUNCTION("IFERROR(VLOOKUP(A6936, IMPORTRANGE(""https://docs.google.com/spreadsheets/d/1AVX9GT0dgogEBStecCXMMQ29tWz3gBrtNB8yIromXbY/edit?gid=741673867"", ""out1g!A:B""), 2, FALSE), 0)"),27.0)</f>
        <v>27</v>
      </c>
      <c r="D6936" s="2" t="str">
        <f>IFERROR(__xludf.DUMMYFUNCTION("IFERROR(VLOOKUP(A6936, IMPORTRANGE(""https://docs.google.com/spreadsheets/d/1-3Vjw2Cyy-mry5gbC8ypIR3YVGFfEpyFESummAta6sg/edit"", ""Sheet1!B:D""), 2, FALSE), ""Not Found"")"),"ræps")</f>
        <v>ræps</v>
      </c>
      <c r="E6936" s="2" t="str">
        <f>IFERROR(__xludf.DUMMYFUNCTION("IFERROR(VLOOKUP(A6936, IMPORTRANGE(""https://docs.google.com/spreadsheets/d/1-3Vjw2Cyy-mry5gbC8ypIR3YVGFfEpyFESummAta6sg/edit"", ""Sheet1!B:D""), 3, FALSE), ""Not Found"")"),"r æ p s ")</f>
        <v>r æ p s </v>
      </c>
    </row>
    <row r="6937">
      <c r="A6937" s="1" t="s">
        <v>6939</v>
      </c>
      <c r="B6937" s="1" t="s">
        <v>5</v>
      </c>
      <c r="C6937" s="2">
        <f>IFERROR(__xludf.DUMMYFUNCTION("IFERROR(VLOOKUP(A6937, IMPORTRANGE(""https://docs.google.com/spreadsheets/d/1AVX9GT0dgogEBStecCXMMQ29tWz3gBrtNB8yIromXbY/edit?gid=741673867"", ""out1g!A:B""), 2, FALSE), 0)"),141.0)</f>
        <v>141</v>
      </c>
      <c r="D6937" s="2" t="str">
        <f>IFERROR(__xludf.DUMMYFUNCTION("IFERROR(VLOOKUP(A6937, IMPORTRANGE(""https://docs.google.com/spreadsheets/d/1-3Vjw2Cyy-mry5gbC8ypIR3YVGFfEpyFESummAta6sg/edit"", ""Sheet1!B:D""), 2, FALSE), ""Not Found"")"),"loʊnz")</f>
        <v>loʊnz</v>
      </c>
      <c r="E6937" s="2" t="str">
        <f>IFERROR(__xludf.DUMMYFUNCTION("IFERROR(VLOOKUP(A6937, IMPORTRANGE(""https://docs.google.com/spreadsheets/d/1-3Vjw2Cyy-mry5gbC8ypIR3YVGFfEpyFESummAta6sg/edit"", ""Sheet1!B:D""), 3, FALSE), ""Not Found"")"),"l o ʊ n z ")</f>
        <v>l o ʊ n z </v>
      </c>
    </row>
    <row r="6938">
      <c r="A6938" s="1" t="s">
        <v>6940</v>
      </c>
      <c r="B6938" s="1" t="s">
        <v>5</v>
      </c>
      <c r="C6938" s="2">
        <f>IFERROR(__xludf.DUMMYFUNCTION("IFERROR(VLOOKUP(A6938, IMPORTRANGE(""https://docs.google.com/spreadsheets/d/1AVX9GT0dgogEBStecCXMMQ29tWz3gBrtNB8yIromXbY/edit?gid=741673867"", ""out1g!A:B""), 2, FALSE), 0)"),66.0)</f>
        <v>66</v>
      </c>
      <c r="D6938" s="2" t="str">
        <f>IFERROR(__xludf.DUMMYFUNCTION("IFERROR(VLOOKUP(A6938, IMPORTRANGE(""https://docs.google.com/spreadsheets/d/1-3Vjw2Cyy-mry5gbC8ypIR3YVGFfEpyFESummAta6sg/edit"", ""Sheet1!B:D""), 2, FALSE), ""Not Found"")"),"mɔd")</f>
        <v>mɔd</v>
      </c>
      <c r="E6938" s="2" t="str">
        <f>IFERROR(__xludf.DUMMYFUNCTION("IFERROR(VLOOKUP(A6938, IMPORTRANGE(""https://docs.google.com/spreadsheets/d/1-3Vjw2Cyy-mry5gbC8ypIR3YVGFfEpyFESummAta6sg/edit"", ""Sheet1!B:D""), 3, FALSE), ""Not Found"")"),"m ɔ d ")</f>
        <v>m ɔ d </v>
      </c>
    </row>
    <row r="6939">
      <c r="A6939" s="1" t="s">
        <v>6941</v>
      </c>
      <c r="B6939" s="1" t="s">
        <v>5</v>
      </c>
      <c r="C6939" s="2">
        <f>IFERROR(__xludf.DUMMYFUNCTION("IFERROR(VLOOKUP(A6939, IMPORTRANGE(""https://docs.google.com/spreadsheets/d/1AVX9GT0dgogEBStecCXMMQ29tWz3gBrtNB8yIromXbY/edit?gid=741673867"", ""out1g!A:B""), 2, FALSE), 0)"),194.0)</f>
        <v>194</v>
      </c>
      <c r="D6939" s="2" t="str">
        <f>IFERROR(__xludf.DUMMYFUNCTION("IFERROR(VLOOKUP(A6939, IMPORTRANGE(""https://docs.google.com/spreadsheets/d/1-3Vjw2Cyy-mry5gbC8ypIR3YVGFfEpyFESummAta6sg/edit"", ""Sheet1!B:D""), 2, FALSE), ""Not Found"")"),"slɪt")</f>
        <v>slɪt</v>
      </c>
      <c r="E6939" s="2" t="str">
        <f>IFERROR(__xludf.DUMMYFUNCTION("IFERROR(VLOOKUP(A6939, IMPORTRANGE(""https://docs.google.com/spreadsheets/d/1-3Vjw2Cyy-mry5gbC8ypIR3YVGFfEpyFESummAta6sg/edit"", ""Sheet1!B:D""), 3, FALSE), ""Not Found"")"),"s l ɪ t ")</f>
        <v>s l ɪ t </v>
      </c>
    </row>
    <row r="6940">
      <c r="A6940" s="1" t="s">
        <v>6942</v>
      </c>
      <c r="B6940" s="1" t="s">
        <v>5</v>
      </c>
      <c r="C6940" s="2">
        <f>IFERROR(__xludf.DUMMYFUNCTION("IFERROR(VLOOKUP(A6940, IMPORTRANGE(""https://docs.google.com/spreadsheets/d/1AVX9GT0dgogEBStecCXMMQ29tWz3gBrtNB8yIromXbY/edit?gid=741673867"", ""out1g!A:B""), 2, FALSE), 0)"),62.0)</f>
        <v>62</v>
      </c>
      <c r="D6940" s="2" t="str">
        <f>IFERROR(__xludf.DUMMYFUNCTION("IFERROR(VLOOKUP(A6940, IMPORTRANGE(""https://docs.google.com/spreadsheets/d/1-3Vjw2Cyy-mry5gbC8ypIR3YVGFfEpyFESummAta6sg/edit"", ""Sheet1!B:D""), 2, FALSE), ""Not Found"")"),"sɪksɪz")</f>
        <v>sɪksɪz</v>
      </c>
      <c r="E6940" s="2" t="str">
        <f>IFERROR(__xludf.DUMMYFUNCTION("IFERROR(VLOOKUP(A6940, IMPORTRANGE(""https://docs.google.com/spreadsheets/d/1-3Vjw2Cyy-mry5gbC8ypIR3YVGFfEpyFESummAta6sg/edit"", ""Sheet1!B:D""), 3, FALSE), ""Not Found"")"),"s ɪ k s ɪ z ")</f>
        <v>s ɪ k s ɪ z </v>
      </c>
    </row>
    <row r="6941">
      <c r="A6941" s="1" t="s">
        <v>6943</v>
      </c>
      <c r="B6941" s="1" t="s">
        <v>5</v>
      </c>
      <c r="C6941" s="2">
        <f>IFERROR(__xludf.DUMMYFUNCTION("IFERROR(VLOOKUP(A6941, IMPORTRANGE(""https://docs.google.com/spreadsheets/d/1AVX9GT0dgogEBStecCXMMQ29tWz3gBrtNB8yIromXbY/edit?gid=741673867"", ""out1g!A:B""), 2, FALSE), 0)"),200.0)</f>
        <v>200</v>
      </c>
      <c r="D6941" s="2" t="str">
        <f>IFERROR(__xludf.DUMMYFUNCTION("IFERROR(VLOOKUP(A6941, IMPORTRANGE(""https://docs.google.com/spreadsheets/d/1-3Vjw2Cyy-mry5gbC8ypIR3YVGFfEpyFESummAta6sg/edit"", ""Sheet1!B:D""), 2, FALSE), ""Not Found"")"),"lɪtər")</f>
        <v>lɪtər</v>
      </c>
      <c r="E6941" s="2" t="str">
        <f>IFERROR(__xludf.DUMMYFUNCTION("IFERROR(VLOOKUP(A6941, IMPORTRANGE(""https://docs.google.com/spreadsheets/d/1-3Vjw2Cyy-mry5gbC8ypIR3YVGFfEpyFESummAta6sg/edit"", ""Sheet1!B:D""), 3, FALSE), ""Not Found"")"),"l ɪ t ə r ")</f>
        <v>l ɪ t ə r </v>
      </c>
    </row>
    <row r="6942">
      <c r="A6942" s="1" t="s">
        <v>6944</v>
      </c>
      <c r="B6942" s="1" t="s">
        <v>5</v>
      </c>
      <c r="C6942" s="2">
        <f>IFERROR(__xludf.DUMMYFUNCTION("IFERROR(VLOOKUP(A6942, IMPORTRANGE(""https://docs.google.com/spreadsheets/d/1AVX9GT0dgogEBStecCXMMQ29tWz3gBrtNB8yIromXbY/edit?gid=741673867"", ""out1g!A:B""), 2, FALSE), 0)"),52.0)</f>
        <v>52</v>
      </c>
      <c r="D6942" s="2" t="str">
        <f>IFERROR(__xludf.DUMMYFUNCTION("IFERROR(VLOOKUP(A6942, IMPORTRANGE(""https://docs.google.com/spreadsheets/d/1-3Vjw2Cyy-mry5gbC8ypIR3YVGFfEpyFESummAta6sg/edit"", ""Sheet1!B:D""), 2, FALSE), ""Not Found"")"),"gul")</f>
        <v>gul</v>
      </c>
      <c r="E6942" s="2" t="str">
        <f>IFERROR(__xludf.DUMMYFUNCTION("IFERROR(VLOOKUP(A6942, IMPORTRANGE(""https://docs.google.com/spreadsheets/d/1-3Vjw2Cyy-mry5gbC8ypIR3YVGFfEpyFESummAta6sg/edit"", ""Sheet1!B:D""), 3, FALSE), ""Not Found"")"),"g u l ")</f>
        <v>g u l </v>
      </c>
    </row>
    <row r="6943">
      <c r="A6943" s="1" t="s">
        <v>6945</v>
      </c>
      <c r="B6943" s="1" t="s">
        <v>5</v>
      </c>
      <c r="C6943" s="2">
        <f>IFERROR(__xludf.DUMMYFUNCTION("IFERROR(VLOOKUP(A6943, IMPORTRANGE(""https://docs.google.com/spreadsheets/d/1AVX9GT0dgogEBStecCXMMQ29tWz3gBrtNB8yIromXbY/edit?gid=741673867"", ""out1g!A:B""), 2, FALSE), 0)"),46.0)</f>
        <v>46</v>
      </c>
      <c r="D6943" s="2" t="str">
        <f>IFERROR(__xludf.DUMMYFUNCTION("IFERROR(VLOOKUP(A6943, IMPORTRANGE(""https://docs.google.com/spreadsheets/d/1-3Vjw2Cyy-mry5gbC8ypIR3YVGFfEpyFESummAta6sg/edit"", ""Sheet1!B:D""), 2, FALSE), ""Not Found"")"),"hɑps")</f>
        <v>hɑps</v>
      </c>
      <c r="E6943" s="2" t="str">
        <f>IFERROR(__xludf.DUMMYFUNCTION("IFERROR(VLOOKUP(A6943, IMPORTRANGE(""https://docs.google.com/spreadsheets/d/1-3Vjw2Cyy-mry5gbC8ypIR3YVGFfEpyFESummAta6sg/edit"", ""Sheet1!B:D""), 3, FALSE), ""Not Found"")"),"h ɑ p s ")</f>
        <v>h ɑ p s </v>
      </c>
    </row>
    <row r="6944">
      <c r="A6944" s="1" t="s">
        <v>6946</v>
      </c>
      <c r="B6944" s="1" t="s">
        <v>5</v>
      </c>
      <c r="C6944" s="2">
        <f>IFERROR(__xludf.DUMMYFUNCTION("IFERROR(VLOOKUP(A6944, IMPORTRANGE(""https://docs.google.com/spreadsheets/d/1AVX9GT0dgogEBStecCXMMQ29tWz3gBrtNB8yIromXbY/edit?gid=741673867"", ""out1g!A:B""), 2, FALSE), 0)"),199.0)</f>
        <v>199</v>
      </c>
      <c r="D6944" s="2" t="str">
        <f>IFERROR(__xludf.DUMMYFUNCTION("IFERROR(VLOOKUP(A6944, IMPORTRANGE(""https://docs.google.com/spreadsheets/d/1-3Vjw2Cyy-mry5gbC8ypIR3YVGFfEpyFESummAta6sg/edit"", ""Sheet1!B:D""), 2, FALSE), ""Not Found"")"),"wɪz")</f>
        <v>wɪz</v>
      </c>
      <c r="E6944" s="2" t="str">
        <f>IFERROR(__xludf.DUMMYFUNCTION("IFERROR(VLOOKUP(A6944, IMPORTRANGE(""https://docs.google.com/spreadsheets/d/1-3Vjw2Cyy-mry5gbC8ypIR3YVGFfEpyFESummAta6sg/edit"", ""Sheet1!B:D""), 3, FALSE), ""Not Found"")"),"w ɪ z ")</f>
        <v>w ɪ z </v>
      </c>
    </row>
    <row r="6945">
      <c r="A6945" s="1" t="s">
        <v>6947</v>
      </c>
      <c r="B6945" s="1" t="s">
        <v>5</v>
      </c>
      <c r="C6945" s="2">
        <f>IFERROR(__xludf.DUMMYFUNCTION("IFERROR(VLOOKUP(A6945, IMPORTRANGE(""https://docs.google.com/spreadsheets/d/1AVX9GT0dgogEBStecCXMMQ29tWz3gBrtNB8yIromXbY/edit?gid=741673867"", ""out1g!A:B""), 2, FALSE), 0)"),383.0)</f>
        <v>383</v>
      </c>
      <c r="D6945" s="2" t="str">
        <f>IFERROR(__xludf.DUMMYFUNCTION("IFERROR(VLOOKUP(A6945, IMPORTRANGE(""https://docs.google.com/spreadsheets/d/1-3Vjw2Cyy-mry5gbC8ypIR3YVGFfEpyFESummAta6sg/edit"", ""Sheet1!B:D""), 2, FALSE), ""Not Found"")"),"ʤɛnə")</f>
        <v>ʤɛnə</v>
      </c>
      <c r="E6945" s="2" t="str">
        <f>IFERROR(__xludf.DUMMYFUNCTION("IFERROR(VLOOKUP(A6945, IMPORTRANGE(""https://docs.google.com/spreadsheets/d/1-3Vjw2Cyy-mry5gbC8ypIR3YVGFfEpyFESummAta6sg/edit"", ""Sheet1!B:D""), 3, FALSE), ""Not Found"")"),"ʤ ɛ n ə ")</f>
        <v>ʤ ɛ n ə </v>
      </c>
    </row>
    <row r="6946">
      <c r="A6946" s="1" t="s">
        <v>6948</v>
      </c>
      <c r="B6946" s="1" t="s">
        <v>5</v>
      </c>
      <c r="C6946" s="2">
        <f>IFERROR(__xludf.DUMMYFUNCTION("IFERROR(VLOOKUP(A6946, IMPORTRANGE(""https://docs.google.com/spreadsheets/d/1AVX9GT0dgogEBStecCXMMQ29tWz3gBrtNB8yIromXbY/edit?gid=741673867"", ""out1g!A:B""), 2, FALSE), 0)"),116.0)</f>
        <v>116</v>
      </c>
      <c r="D6946" s="2" t="str">
        <f>IFERROR(__xludf.DUMMYFUNCTION("IFERROR(VLOOKUP(A6946, IMPORTRANGE(""https://docs.google.com/spreadsheets/d/1-3Vjw2Cyy-mry5gbC8ypIR3YVGFfEpyFESummAta6sg/edit"", ""Sheet1!B:D""), 2, FALSE), ""Not Found"")"),"mɛdoʊ")</f>
        <v>mɛdoʊ</v>
      </c>
      <c r="E6946" s="2" t="str">
        <f>IFERROR(__xludf.DUMMYFUNCTION("IFERROR(VLOOKUP(A6946, IMPORTRANGE(""https://docs.google.com/spreadsheets/d/1-3Vjw2Cyy-mry5gbC8ypIR3YVGFfEpyFESummAta6sg/edit"", ""Sheet1!B:D""), 3, FALSE), ""Not Found"")"),"m ɛ d o ʊ ")</f>
        <v>m ɛ d o ʊ </v>
      </c>
    </row>
    <row r="6947">
      <c r="A6947" s="1" t="s">
        <v>6949</v>
      </c>
      <c r="B6947" s="1" t="s">
        <v>5</v>
      </c>
      <c r="C6947" s="2">
        <f>IFERROR(__xludf.DUMMYFUNCTION("IFERROR(VLOOKUP(A6947, IMPORTRANGE(""https://docs.google.com/spreadsheets/d/1AVX9GT0dgogEBStecCXMMQ29tWz3gBrtNB8yIromXbY/edit?gid=741673867"", ""out1g!A:B""), 2, FALSE), 0)"),1192.0)</f>
        <v>1192</v>
      </c>
      <c r="D6947" s="2" t="str">
        <f>IFERROR(__xludf.DUMMYFUNCTION("IFERROR(VLOOKUP(A6947, IMPORTRANGE(""https://docs.google.com/spreadsheets/d/1-3Vjw2Cyy-mry5gbC8ypIR3YVGFfEpyFESummAta6sg/edit"", ""Sheet1!B:D""), 2, FALSE), ""Not Found"")"),"əpɪr")</f>
        <v>əpɪr</v>
      </c>
      <c r="E6947" s="2" t="str">
        <f>IFERROR(__xludf.DUMMYFUNCTION("IFERROR(VLOOKUP(A6947, IMPORTRANGE(""https://docs.google.com/spreadsheets/d/1-3Vjw2Cyy-mry5gbC8ypIR3YVGFfEpyFESummAta6sg/edit"", ""Sheet1!B:D""), 3, FALSE), ""Not Found"")"),"ə p ɪ r ")</f>
        <v>ə p ɪ r </v>
      </c>
    </row>
    <row r="6948">
      <c r="A6948" s="1" t="s">
        <v>6950</v>
      </c>
      <c r="B6948" s="1" t="s">
        <v>5</v>
      </c>
      <c r="C6948" s="2">
        <f>IFERROR(__xludf.DUMMYFUNCTION("IFERROR(VLOOKUP(A6948, IMPORTRANGE(""https://docs.google.com/spreadsheets/d/1AVX9GT0dgogEBStecCXMMQ29tWz3gBrtNB8yIromXbY/edit?gid=741673867"", ""out1g!A:B""), 2, FALSE), 0)"),110.0)</f>
        <v>110</v>
      </c>
      <c r="D6948" s="2" t="str">
        <f>IFERROR(__xludf.DUMMYFUNCTION("IFERROR(VLOOKUP(A6948, IMPORTRANGE(""https://docs.google.com/spreadsheets/d/1-3Vjw2Cyy-mry5gbC8ypIR3YVGFfEpyFESummAta6sg/edit"", ""Sheet1!B:D""), 2, FALSE), ""Not Found"")"),"nioʊ")</f>
        <v>nioʊ</v>
      </c>
      <c r="E6948" s="2" t="str">
        <f>IFERROR(__xludf.DUMMYFUNCTION("IFERROR(VLOOKUP(A6948, IMPORTRANGE(""https://docs.google.com/spreadsheets/d/1-3Vjw2Cyy-mry5gbC8ypIR3YVGFfEpyFESummAta6sg/edit"", ""Sheet1!B:D""), 3, FALSE), ""Not Found"")"),"n i o ʊ ")</f>
        <v>n i o ʊ </v>
      </c>
    </row>
    <row r="6949">
      <c r="A6949" s="1" t="s">
        <v>6951</v>
      </c>
      <c r="B6949" s="1" t="s">
        <v>5</v>
      </c>
      <c r="C6949" s="2">
        <f>IFERROR(__xludf.DUMMYFUNCTION("IFERROR(VLOOKUP(A6949, IMPORTRANGE(""https://docs.google.com/spreadsheets/d/1AVX9GT0dgogEBStecCXMMQ29tWz3gBrtNB8yIromXbY/edit?gid=741673867"", ""out1g!A:B""), 2, FALSE), 0)"),244.0)</f>
        <v>244</v>
      </c>
      <c r="D6949" s="2" t="str">
        <f>IFERROR(__xludf.DUMMYFUNCTION("IFERROR(VLOOKUP(A6949, IMPORTRANGE(""https://docs.google.com/spreadsheets/d/1-3Vjw2Cyy-mry5gbC8ypIR3YVGFfEpyFESummAta6sg/edit"", ""Sheet1!B:D""), 2, FALSE), ""Not Found"")"),"grɪm")</f>
        <v>grɪm</v>
      </c>
      <c r="E6949" s="2" t="str">
        <f>IFERROR(__xludf.DUMMYFUNCTION("IFERROR(VLOOKUP(A6949, IMPORTRANGE(""https://docs.google.com/spreadsheets/d/1-3Vjw2Cyy-mry5gbC8ypIR3YVGFfEpyFESummAta6sg/edit"", ""Sheet1!B:D""), 3, FALSE), ""Not Found"")"),"g r ɪ m ")</f>
        <v>g r ɪ m </v>
      </c>
    </row>
    <row r="6950">
      <c r="A6950" s="1" t="s">
        <v>6952</v>
      </c>
      <c r="B6950" s="1" t="s">
        <v>5</v>
      </c>
      <c r="C6950" s="2">
        <f>IFERROR(__xludf.DUMMYFUNCTION("IFERROR(VLOOKUP(A6950, IMPORTRANGE(""https://docs.google.com/spreadsheets/d/1AVX9GT0dgogEBStecCXMMQ29tWz3gBrtNB8yIromXbY/edit?gid=741673867"", ""out1g!A:B""), 2, FALSE), 0)"),946.0)</f>
        <v>946</v>
      </c>
      <c r="D6950" s="2" t="str">
        <f>IFERROR(__xludf.DUMMYFUNCTION("IFERROR(VLOOKUP(A6950, IMPORTRANGE(""https://docs.google.com/spreadsheets/d/1-3Vjw2Cyy-mry5gbC8ypIR3YVGFfEpyFESummAta6sg/edit"", ""Sheet1!B:D""), 2, FALSE), ""Not Found"")"),"bəni")</f>
        <v>bəni</v>
      </c>
      <c r="E6950" s="2" t="str">
        <f>IFERROR(__xludf.DUMMYFUNCTION("IFERROR(VLOOKUP(A6950, IMPORTRANGE(""https://docs.google.com/spreadsheets/d/1-3Vjw2Cyy-mry5gbC8ypIR3YVGFfEpyFESummAta6sg/edit"", ""Sheet1!B:D""), 3, FALSE), ""Not Found"")"),"b ə n i ")</f>
        <v>b ə n i </v>
      </c>
    </row>
    <row r="6951">
      <c r="A6951" s="1" t="s">
        <v>6953</v>
      </c>
      <c r="B6951" s="1" t="s">
        <v>5</v>
      </c>
      <c r="C6951" s="2">
        <f>IFERROR(__xludf.DUMMYFUNCTION("IFERROR(VLOOKUP(A6951, IMPORTRANGE(""https://docs.google.com/spreadsheets/d/1AVX9GT0dgogEBStecCXMMQ29tWz3gBrtNB8yIromXbY/edit?gid=741673867"", ""out1g!A:B""), 2, FALSE), 0)"),1541.0)</f>
        <v>1541</v>
      </c>
      <c r="D6951" s="2" t="str">
        <f>IFERROR(__xludf.DUMMYFUNCTION("IFERROR(VLOOKUP(A6951, IMPORTRANGE(""https://docs.google.com/spreadsheets/d/1-3Vjw2Cyy-mry5gbC8ypIR3YVGFfEpyFESummAta6sg/edit"", ""Sheet1!B:D""), 2, FALSE), ""Not Found"")"),"bræd")</f>
        <v>bræd</v>
      </c>
      <c r="E6951" s="2" t="str">
        <f>IFERROR(__xludf.DUMMYFUNCTION("IFERROR(VLOOKUP(A6951, IMPORTRANGE(""https://docs.google.com/spreadsheets/d/1-3Vjw2Cyy-mry5gbC8ypIR3YVGFfEpyFESummAta6sg/edit"", ""Sheet1!B:D""), 3, FALSE), ""Not Found"")"),"b r æ d ")</f>
        <v>b r æ d </v>
      </c>
    </row>
    <row r="6952">
      <c r="A6952" s="1" t="s">
        <v>6954</v>
      </c>
      <c r="B6952" s="1" t="s">
        <v>5</v>
      </c>
      <c r="C6952" s="2">
        <f>IFERROR(__xludf.DUMMYFUNCTION("IFERROR(VLOOKUP(A6952, IMPORTRANGE(""https://docs.google.com/spreadsheets/d/1AVX9GT0dgogEBStecCXMMQ29tWz3gBrtNB8yIromXbY/edit?gid=741673867"", ""out1g!A:B""), 2, FALSE), 0)"),258.0)</f>
        <v>258</v>
      </c>
      <c r="D6952" s="2" t="str">
        <f>IFERROR(__xludf.DUMMYFUNCTION("IFERROR(VLOOKUP(A6952, IMPORTRANGE(""https://docs.google.com/spreadsheets/d/1-3Vjw2Cyy-mry5gbC8ypIR3YVGFfEpyFESummAta6sg/edit"", ""Sheet1!B:D""), 2, FALSE), ""Not Found"")"),"draɪd")</f>
        <v>draɪd</v>
      </c>
      <c r="E6952" s="2" t="str">
        <f>IFERROR(__xludf.DUMMYFUNCTION("IFERROR(VLOOKUP(A6952, IMPORTRANGE(""https://docs.google.com/spreadsheets/d/1-3Vjw2Cyy-mry5gbC8ypIR3YVGFfEpyFESummAta6sg/edit"", ""Sheet1!B:D""), 3, FALSE), ""Not Found"")"),"d r a ɪ d ")</f>
        <v>d r a ɪ d </v>
      </c>
    </row>
    <row r="6953">
      <c r="A6953" s="1" t="s">
        <v>6955</v>
      </c>
      <c r="B6953" s="1" t="s">
        <v>5</v>
      </c>
      <c r="C6953" s="2">
        <f>IFERROR(__xludf.DUMMYFUNCTION("IFERROR(VLOOKUP(A6953, IMPORTRANGE(""https://docs.google.com/spreadsheets/d/1AVX9GT0dgogEBStecCXMMQ29tWz3gBrtNB8yIromXbY/edit?gid=741673867"", ""out1g!A:B""), 2, FALSE), 0)"),97.0)</f>
        <v>97</v>
      </c>
      <c r="D6953" s="2" t="str">
        <f>IFERROR(__xludf.DUMMYFUNCTION("IFERROR(VLOOKUP(A6953, IMPORTRANGE(""https://docs.google.com/spreadsheets/d/1-3Vjw2Cyy-mry5gbC8ypIR3YVGFfEpyFESummAta6sg/edit"", ""Sheet1!B:D""), 2, FALSE), ""Not Found"")"),"sled")</f>
        <v>sled</v>
      </c>
      <c r="E6953" s="2" t="str">
        <f>IFERROR(__xludf.DUMMYFUNCTION("IFERROR(VLOOKUP(A6953, IMPORTRANGE(""https://docs.google.com/spreadsheets/d/1-3Vjw2Cyy-mry5gbC8ypIR3YVGFfEpyFESummAta6sg/edit"", ""Sheet1!B:D""), 3, FALSE), ""Not Found"")"),"s l e d ")</f>
        <v>s l e d </v>
      </c>
    </row>
    <row r="6954">
      <c r="A6954" s="1" t="s">
        <v>6956</v>
      </c>
      <c r="B6954" s="1" t="s">
        <v>5</v>
      </c>
      <c r="C6954" s="2">
        <f>IFERROR(__xludf.DUMMYFUNCTION("IFERROR(VLOOKUP(A6954, IMPORTRANGE(""https://docs.google.com/spreadsheets/d/1AVX9GT0dgogEBStecCXMMQ29tWz3gBrtNB8yIromXbY/edit?gid=741673867"", ""out1g!A:B""), 2, FALSE), 0)"),57.0)</f>
        <v>57</v>
      </c>
      <c r="D6954" s="2" t="str">
        <f>IFERROR(__xludf.DUMMYFUNCTION("IFERROR(VLOOKUP(A6954, IMPORTRANGE(""https://docs.google.com/spreadsheets/d/1-3Vjw2Cyy-mry5gbC8ypIR3YVGFfEpyFESummAta6sg/edit"", ""Sheet1!B:D""), 2, FALSE), ""Not Found"")"),"liʤ")</f>
        <v>liʤ</v>
      </c>
      <c r="E6954" s="2" t="str">
        <f>IFERROR(__xludf.DUMMYFUNCTION("IFERROR(VLOOKUP(A6954, IMPORTRANGE(""https://docs.google.com/spreadsheets/d/1-3Vjw2Cyy-mry5gbC8ypIR3YVGFfEpyFESummAta6sg/edit"", ""Sheet1!B:D""), 3, FALSE), ""Not Found"")"),"l i ʤ ")</f>
        <v>l i ʤ </v>
      </c>
    </row>
    <row r="6955">
      <c r="A6955" s="1" t="s">
        <v>6957</v>
      </c>
      <c r="B6955" s="1" t="s">
        <v>5</v>
      </c>
      <c r="C6955" s="2">
        <f>IFERROR(__xludf.DUMMYFUNCTION("IFERROR(VLOOKUP(A6955, IMPORTRANGE(""https://docs.google.com/spreadsheets/d/1AVX9GT0dgogEBStecCXMMQ29tWz3gBrtNB8yIromXbY/edit?gid=741673867"", ""out1g!A:B""), 2, FALSE), 0)"),1452.0)</f>
        <v>1452</v>
      </c>
      <c r="D6955" s="2" t="str">
        <f>IFERROR(__xludf.DUMMYFUNCTION("IFERROR(VLOOKUP(A6955, IMPORTRANGE(""https://docs.google.com/spreadsheets/d/1-3Vjw2Cyy-mry5gbC8ypIR3YVGFfEpyFESummAta6sg/edit"", ""Sheet1!B:D""), 2, FALSE), ""Not Found"")"),"waɪz")</f>
        <v>waɪz</v>
      </c>
      <c r="E6955" s="2" t="str">
        <f>IFERROR(__xludf.DUMMYFUNCTION("IFERROR(VLOOKUP(A6955, IMPORTRANGE(""https://docs.google.com/spreadsheets/d/1-3Vjw2Cyy-mry5gbC8ypIR3YVGFfEpyFESummAta6sg/edit"", ""Sheet1!B:D""), 3, FALSE), ""Not Found"")"),"w a ɪ z ")</f>
        <v>w a ɪ z </v>
      </c>
    </row>
    <row r="6956">
      <c r="A6956" s="1" t="s">
        <v>6958</v>
      </c>
      <c r="B6956" s="1" t="s">
        <v>5</v>
      </c>
      <c r="C6956" s="2">
        <f>IFERROR(__xludf.DUMMYFUNCTION("IFERROR(VLOOKUP(A6956, IMPORTRANGE(""https://docs.google.com/spreadsheets/d/1AVX9GT0dgogEBStecCXMMQ29tWz3gBrtNB8yIromXbY/edit?gid=741673867"", ""out1g!A:B""), 2, FALSE), 0)"),60.0)</f>
        <v>60</v>
      </c>
      <c r="D6956" s="2" t="str">
        <f>IFERROR(__xludf.DUMMYFUNCTION("IFERROR(VLOOKUP(A6956, IMPORTRANGE(""https://docs.google.com/spreadsheets/d/1-3Vjw2Cyy-mry5gbC8ypIR3YVGFfEpyFESummAta6sg/edit"", ""Sheet1!B:D""), 2, FALSE), ""Not Found"")"),"hənts")</f>
        <v>hənts</v>
      </c>
      <c r="E6956" s="2" t="str">
        <f>IFERROR(__xludf.DUMMYFUNCTION("IFERROR(VLOOKUP(A6956, IMPORTRANGE(""https://docs.google.com/spreadsheets/d/1-3Vjw2Cyy-mry5gbC8ypIR3YVGFfEpyFESummAta6sg/edit"", ""Sheet1!B:D""), 3, FALSE), ""Not Found"")"),"h ə n t s ")</f>
        <v>h ə n t s </v>
      </c>
    </row>
    <row r="6957">
      <c r="A6957" s="1" t="s">
        <v>6959</v>
      </c>
      <c r="B6957" s="1" t="s">
        <v>5</v>
      </c>
      <c r="C6957" s="2">
        <f>IFERROR(__xludf.DUMMYFUNCTION("IFERROR(VLOOKUP(A6957, IMPORTRANGE(""https://docs.google.com/spreadsheets/d/1AVX9GT0dgogEBStecCXMMQ29tWz3gBrtNB8yIromXbY/edit?gid=741673867"", ""out1g!A:B""), 2, FALSE), 0)"),48.0)</f>
        <v>48</v>
      </c>
      <c r="D6957" s="2" t="str">
        <f>IFERROR(__xludf.DUMMYFUNCTION("IFERROR(VLOOKUP(A6957, IMPORTRANGE(""https://docs.google.com/spreadsheets/d/1-3Vjw2Cyy-mry5gbC8ypIR3YVGFfEpyFESummAta6sg/edit"", ""Sheet1!B:D""), 2, FALSE), ""Not Found"")"),"stɪfs")</f>
        <v>stɪfs</v>
      </c>
      <c r="E6957" s="2" t="str">
        <f>IFERROR(__xludf.DUMMYFUNCTION("IFERROR(VLOOKUP(A6957, IMPORTRANGE(""https://docs.google.com/spreadsheets/d/1-3Vjw2Cyy-mry5gbC8ypIR3YVGFfEpyFESummAta6sg/edit"", ""Sheet1!B:D""), 3, FALSE), ""Not Found"")"),"s t ɪ f s ")</f>
        <v>s t ɪ f s </v>
      </c>
    </row>
    <row r="6958">
      <c r="A6958" s="1" t="s">
        <v>6960</v>
      </c>
      <c r="B6958" s="1" t="s">
        <v>5</v>
      </c>
      <c r="C6958" s="2">
        <f>IFERROR(__xludf.DUMMYFUNCTION("IFERROR(VLOOKUP(A6958, IMPORTRANGE(""https://docs.google.com/spreadsheets/d/1AVX9GT0dgogEBStecCXMMQ29tWz3gBrtNB8yIromXbY/edit?gid=741673867"", ""out1g!A:B""), 2, FALSE), 0)"),1089.0)</f>
        <v>1089</v>
      </c>
      <c r="D6958" s="2" t="str">
        <f>IFERROR(__xludf.DUMMYFUNCTION("IFERROR(VLOOKUP(A6958, IMPORTRANGE(""https://docs.google.com/spreadsheets/d/1-3Vjw2Cyy-mry5gbC8ypIR3YVGFfEpyFESummAta6sg/edit"", ""Sheet1!B:D""), 2, FALSE), ""Not Found"")"),"rut")</f>
        <v>rut</v>
      </c>
      <c r="E6958" s="2" t="str">
        <f>IFERROR(__xludf.DUMMYFUNCTION("IFERROR(VLOOKUP(A6958, IMPORTRANGE(""https://docs.google.com/spreadsheets/d/1-3Vjw2Cyy-mry5gbC8ypIR3YVGFfEpyFESummAta6sg/edit"", ""Sheet1!B:D""), 3, FALSE), ""Not Found"")"),"r u t ")</f>
        <v>r u t </v>
      </c>
    </row>
    <row r="6959">
      <c r="A6959" s="1" t="s">
        <v>6961</v>
      </c>
      <c r="B6959" s="1" t="s">
        <v>5</v>
      </c>
      <c r="C6959" s="2">
        <f>IFERROR(__xludf.DUMMYFUNCTION("IFERROR(VLOOKUP(A6959, IMPORTRANGE(""https://docs.google.com/spreadsheets/d/1AVX9GT0dgogEBStecCXMMQ29tWz3gBrtNB8yIromXbY/edit?gid=741673867"", ""out1g!A:B""), 2, FALSE), 0)"),102.0)</f>
        <v>102</v>
      </c>
      <c r="D6959" s="2" t="str">
        <f>IFERROR(__xludf.DUMMYFUNCTION("IFERROR(VLOOKUP(A6959, IMPORTRANGE(""https://docs.google.com/spreadsheets/d/1-3Vjw2Cyy-mry5gbC8ypIR3YVGFfEpyFESummAta6sg/edit"", ""Sheet1!B:D""), 2, FALSE), ""Not Found"")"),"ætə")</f>
        <v>ætə</v>
      </c>
      <c r="E6959" s="2" t="str">
        <f>IFERROR(__xludf.DUMMYFUNCTION("IFERROR(VLOOKUP(A6959, IMPORTRANGE(""https://docs.google.com/spreadsheets/d/1-3Vjw2Cyy-mry5gbC8ypIR3YVGFfEpyFESummAta6sg/edit"", ""Sheet1!B:D""), 3, FALSE), ""Not Found"")"),"æ t ə ")</f>
        <v>æ t ə </v>
      </c>
    </row>
    <row r="6960">
      <c r="A6960" s="1" t="s">
        <v>6962</v>
      </c>
      <c r="B6960" s="1" t="s">
        <v>5</v>
      </c>
      <c r="C6960" s="2">
        <f>IFERROR(__xludf.DUMMYFUNCTION("IFERROR(VLOOKUP(A6960, IMPORTRANGE(""https://docs.google.com/spreadsheets/d/1AVX9GT0dgogEBStecCXMMQ29tWz3gBrtNB8yIromXbY/edit?gid=741673867"", ""out1g!A:B""), 2, FALSE), 0)"),182.0)</f>
        <v>182</v>
      </c>
      <c r="D6960" s="2" t="str">
        <f>IFERROR(__xludf.DUMMYFUNCTION("IFERROR(VLOOKUP(A6960, IMPORTRANGE(""https://docs.google.com/spreadsheets/d/1-3Vjw2Cyy-mry5gbC8ypIR3YVGFfEpyFESummAta6sg/edit"", ""Sheet1!B:D""), 2, FALSE), ""Not Found"")"),"tund")</f>
        <v>tund</v>
      </c>
      <c r="E6960" s="2" t="str">
        <f>IFERROR(__xludf.DUMMYFUNCTION("IFERROR(VLOOKUP(A6960, IMPORTRANGE(""https://docs.google.com/spreadsheets/d/1-3Vjw2Cyy-mry5gbC8ypIR3YVGFfEpyFESummAta6sg/edit"", ""Sheet1!B:D""), 3, FALSE), ""Not Found"")"),"t u n d ")</f>
        <v>t u n d </v>
      </c>
    </row>
    <row r="6961">
      <c r="A6961" s="1" t="s">
        <v>6963</v>
      </c>
      <c r="B6961" s="1" t="s">
        <v>5</v>
      </c>
      <c r="C6961" s="2">
        <f>IFERROR(__xludf.DUMMYFUNCTION("IFERROR(VLOOKUP(A6961, IMPORTRANGE(""https://docs.google.com/spreadsheets/d/1AVX9GT0dgogEBStecCXMMQ29tWz3gBrtNB8yIromXbY/edit?gid=741673867"", ""out1g!A:B""), 2, FALSE), 0)"),704.0)</f>
        <v>704</v>
      </c>
      <c r="D6961" s="2" t="str">
        <f>IFERROR(__xludf.DUMMYFUNCTION("IFERROR(VLOOKUP(A6961, IMPORTRANGE(""https://docs.google.com/spreadsheets/d/1-3Vjw2Cyy-mry5gbC8ypIR3YVGFfEpyFESummAta6sg/edit"", ""Sheet1!B:D""), 2, FALSE), ""Not Found"")"),"swɛtər")</f>
        <v>swɛtər</v>
      </c>
      <c r="E6961" s="2" t="str">
        <f>IFERROR(__xludf.DUMMYFUNCTION("IFERROR(VLOOKUP(A6961, IMPORTRANGE(""https://docs.google.com/spreadsheets/d/1-3Vjw2Cyy-mry5gbC8ypIR3YVGFfEpyFESummAta6sg/edit"", ""Sheet1!B:D""), 3, FALSE), ""Not Found"")"),"s w ɛ t ə r ")</f>
        <v>s w ɛ t ə r </v>
      </c>
    </row>
    <row r="6962">
      <c r="A6962" s="1" t="s">
        <v>6964</v>
      </c>
      <c r="B6962" s="1" t="s">
        <v>5</v>
      </c>
      <c r="C6962" s="2">
        <f>IFERROR(__xludf.DUMMYFUNCTION("IFERROR(VLOOKUP(A6962, IMPORTRANGE(""https://docs.google.com/spreadsheets/d/1AVX9GT0dgogEBStecCXMMQ29tWz3gBrtNB8yIromXbY/edit?gid=741673867"", ""out1g!A:B""), 2, FALSE), 0)"),74.0)</f>
        <v>74</v>
      </c>
      <c r="D6962" s="2" t="str">
        <f>IFERROR(__xludf.DUMMYFUNCTION("IFERROR(VLOOKUP(A6962, IMPORTRANGE(""https://docs.google.com/spreadsheets/d/1-3Vjw2Cyy-mry5gbC8ypIR3YVGFfEpyFESummAta6sg/edit"", ""Sheet1!B:D""), 2, FALSE), ""Not Found"")"),"hɑts")</f>
        <v>hɑts</v>
      </c>
      <c r="E6962" s="2" t="str">
        <f>IFERROR(__xludf.DUMMYFUNCTION("IFERROR(VLOOKUP(A6962, IMPORTRANGE(""https://docs.google.com/spreadsheets/d/1-3Vjw2Cyy-mry5gbC8ypIR3YVGFfEpyFESummAta6sg/edit"", ""Sheet1!B:D""), 3, FALSE), ""Not Found"")"),"h ɑ t s ")</f>
        <v>h ɑ t s </v>
      </c>
    </row>
    <row r="6963">
      <c r="A6963" s="1" t="s">
        <v>6965</v>
      </c>
      <c r="B6963" s="1" t="s">
        <v>5</v>
      </c>
      <c r="C6963" s="2">
        <f>IFERROR(__xludf.DUMMYFUNCTION("IFERROR(VLOOKUP(A6963, IMPORTRANGE(""https://docs.google.com/spreadsheets/d/1AVX9GT0dgogEBStecCXMMQ29tWz3gBrtNB8yIromXbY/edit?gid=741673867"", ""out1g!A:B""), 2, FALSE), 0)"),428.0)</f>
        <v>428</v>
      </c>
      <c r="D6963" s="2" t="str">
        <f>IFERROR(__xludf.DUMMYFUNCTION("IFERROR(VLOOKUP(A6963, IMPORTRANGE(""https://docs.google.com/spreadsheets/d/1-3Vjw2Cyy-mry5gbC8ypIR3YVGFfEpyFESummAta6sg/edit"", ""Sheet1!B:D""), 2, FALSE), ""Not Found"")"),"fraɪ")</f>
        <v>fraɪ</v>
      </c>
      <c r="E6963" s="2" t="str">
        <f>IFERROR(__xludf.DUMMYFUNCTION("IFERROR(VLOOKUP(A6963, IMPORTRANGE(""https://docs.google.com/spreadsheets/d/1-3Vjw2Cyy-mry5gbC8ypIR3YVGFfEpyFESummAta6sg/edit"", ""Sheet1!B:D""), 3, FALSE), ""Not Found"")"),"f r a ɪ ")</f>
        <v>f r a ɪ </v>
      </c>
    </row>
    <row r="6964">
      <c r="A6964" s="1" t="s">
        <v>6966</v>
      </c>
      <c r="B6964" s="1" t="s">
        <v>5</v>
      </c>
      <c r="C6964" s="2">
        <f>IFERROR(__xludf.DUMMYFUNCTION("IFERROR(VLOOKUP(A6964, IMPORTRANGE(""https://docs.google.com/spreadsheets/d/1AVX9GT0dgogEBStecCXMMQ29tWz3gBrtNB8yIromXbY/edit?gid=741673867"", ""out1g!A:B""), 2, FALSE), 0)"),51.0)</f>
        <v>51</v>
      </c>
      <c r="D6964" s="2" t="str">
        <f>IFERROR(__xludf.DUMMYFUNCTION("IFERROR(VLOOKUP(A6964, IMPORTRANGE(""https://docs.google.com/spreadsheets/d/1-3Vjw2Cyy-mry5gbC8ypIR3YVGFfEpyFESummAta6sg/edit"", ""Sheet1!B:D""), 2, FALSE), ""Not Found"")"),"naɪki")</f>
        <v>naɪki</v>
      </c>
      <c r="E6964" s="2" t="str">
        <f>IFERROR(__xludf.DUMMYFUNCTION("IFERROR(VLOOKUP(A6964, IMPORTRANGE(""https://docs.google.com/spreadsheets/d/1-3Vjw2Cyy-mry5gbC8ypIR3YVGFfEpyFESummAta6sg/edit"", ""Sheet1!B:D""), 3, FALSE), ""Not Found"")"),"n a ɪ k i ")</f>
        <v>n a ɪ k i </v>
      </c>
    </row>
    <row r="6965">
      <c r="A6965" s="1" t="s">
        <v>6967</v>
      </c>
      <c r="B6965" s="1" t="s">
        <v>5</v>
      </c>
      <c r="C6965" s="2">
        <f>IFERROR(__xludf.DUMMYFUNCTION("IFERROR(VLOOKUP(A6965, IMPORTRANGE(""https://docs.google.com/spreadsheets/d/1AVX9GT0dgogEBStecCXMMQ29tWz3gBrtNB8yIromXbY/edit?gid=741673867"", ""out1g!A:B""), 2, FALSE), 0)"),59.0)</f>
        <v>59</v>
      </c>
      <c r="D6965" s="2" t="str">
        <f>IFERROR(__xludf.DUMMYFUNCTION("IFERROR(VLOOKUP(A6965, IMPORTRANGE(""https://docs.google.com/spreadsheets/d/1-3Vjw2Cyy-mry5gbC8ypIR3YVGFfEpyFESummAta6sg/edit"", ""Sheet1!B:D""), 2, FALSE), ""Not Found"")"),"rumərd")</f>
        <v>rumərd</v>
      </c>
      <c r="E6965" s="2" t="str">
        <f>IFERROR(__xludf.DUMMYFUNCTION("IFERROR(VLOOKUP(A6965, IMPORTRANGE(""https://docs.google.com/spreadsheets/d/1-3Vjw2Cyy-mry5gbC8ypIR3YVGFfEpyFESummAta6sg/edit"", ""Sheet1!B:D""), 3, FALSE), ""Not Found"")"),"r u m ə r d ")</f>
        <v>r u m ə r d </v>
      </c>
    </row>
    <row r="6966">
      <c r="A6966" s="1" t="s">
        <v>6968</v>
      </c>
      <c r="B6966" s="1" t="s">
        <v>5</v>
      </c>
      <c r="C6966" s="2">
        <f>IFERROR(__xludf.DUMMYFUNCTION("IFERROR(VLOOKUP(A6966, IMPORTRANGE(""https://docs.google.com/spreadsheets/d/1AVX9GT0dgogEBStecCXMMQ29tWz3gBrtNB8yIromXbY/edit?gid=741673867"", ""out1g!A:B""), 2, FALSE), 0)"),512.0)</f>
        <v>512</v>
      </c>
      <c r="D6966" s="2" t="str">
        <f>IFERROR(__xludf.DUMMYFUNCTION("IFERROR(VLOOKUP(A6966, IMPORTRANGE(""https://docs.google.com/spreadsheets/d/1-3Vjw2Cyy-mry5gbC8ypIR3YVGFfEpyFESummAta6sg/edit"", ""Sheet1!B:D""), 2, FALSE), ""Not Found"")"),"ʃɔ")</f>
        <v>ʃɔ</v>
      </c>
      <c r="E6966" s="2" t="str">
        <f>IFERROR(__xludf.DUMMYFUNCTION("IFERROR(VLOOKUP(A6966, IMPORTRANGE(""https://docs.google.com/spreadsheets/d/1-3Vjw2Cyy-mry5gbC8ypIR3YVGFfEpyFESummAta6sg/edit"", ""Sheet1!B:D""), 3, FALSE), ""Not Found"")"),"ʃ ɔ ")</f>
        <v>ʃ ɔ </v>
      </c>
    </row>
    <row r="6967">
      <c r="A6967" s="1" t="s">
        <v>6969</v>
      </c>
      <c r="B6967" s="1" t="s">
        <v>5</v>
      </c>
      <c r="C6967" s="2">
        <f>IFERROR(__xludf.DUMMYFUNCTION("IFERROR(VLOOKUP(A6967, IMPORTRANGE(""https://docs.google.com/spreadsheets/d/1AVX9GT0dgogEBStecCXMMQ29tWz3gBrtNB8yIromXbY/edit?gid=741673867"", ""out1g!A:B""), 2, FALSE), 0)"),196.0)</f>
        <v>196</v>
      </c>
      <c r="D6967" s="2" t="str">
        <f>IFERROR(__xludf.DUMMYFUNCTION("IFERROR(VLOOKUP(A6967, IMPORTRANGE(""https://docs.google.com/spreadsheets/d/1-3Vjw2Cyy-mry5gbC8ypIR3YVGFfEpyFESummAta6sg/edit"", ""Sheet1!B:D""), 2, FALSE), ""Not Found"")"),"fe")</f>
        <v>fe</v>
      </c>
      <c r="E6967" s="2" t="str">
        <f>IFERROR(__xludf.DUMMYFUNCTION("IFERROR(VLOOKUP(A6967, IMPORTRANGE(""https://docs.google.com/spreadsheets/d/1-3Vjw2Cyy-mry5gbC8ypIR3YVGFfEpyFESummAta6sg/edit"", ""Sheet1!B:D""), 3, FALSE), ""Not Found"")"),"f e ")</f>
        <v>f e </v>
      </c>
    </row>
    <row r="6968">
      <c r="A6968" s="1" t="s">
        <v>6970</v>
      </c>
      <c r="B6968" s="1" t="s">
        <v>5</v>
      </c>
      <c r="C6968" s="2">
        <f>IFERROR(__xludf.DUMMYFUNCTION("IFERROR(VLOOKUP(A6968, IMPORTRANGE(""https://docs.google.com/spreadsheets/d/1AVX9GT0dgogEBStecCXMMQ29tWz3gBrtNB8yIromXbY/edit?gid=741673867"", ""out1g!A:B""), 2, FALSE), 0)"),1068.0)</f>
        <v>1068</v>
      </c>
      <c r="D6968" s="2" t="str">
        <f>IFERROR(__xludf.DUMMYFUNCTION("IFERROR(VLOOKUP(A6968, IMPORTRANGE(""https://docs.google.com/spreadsheets/d/1-3Vjw2Cyy-mry5gbC8ypIR3YVGFfEpyFESummAta6sg/edit"", ""Sheet1!B:D""), 2, FALSE), ""Not Found"")"),"bəg")</f>
        <v>bəg</v>
      </c>
      <c r="E6968" s="2" t="str">
        <f>IFERROR(__xludf.DUMMYFUNCTION("IFERROR(VLOOKUP(A6968, IMPORTRANGE(""https://docs.google.com/spreadsheets/d/1-3Vjw2Cyy-mry5gbC8ypIR3YVGFfEpyFESummAta6sg/edit"", ""Sheet1!B:D""), 3, FALSE), ""Not Found"")"),"b ə g ")</f>
        <v>b ə g </v>
      </c>
    </row>
    <row r="6969">
      <c r="A6969" s="1" t="s">
        <v>6971</v>
      </c>
      <c r="B6969" s="1" t="s">
        <v>5</v>
      </c>
      <c r="C6969" s="2">
        <f>IFERROR(__xludf.DUMMYFUNCTION("IFERROR(VLOOKUP(A6969, IMPORTRANGE(""https://docs.google.com/spreadsheets/d/1AVX9GT0dgogEBStecCXMMQ29tWz3gBrtNB8yIromXbY/edit?gid=741673867"", ""out1g!A:B""), 2, FALSE), 0)"),599.0)</f>
        <v>599</v>
      </c>
      <c r="D6969" s="2" t="str">
        <f>IFERROR(__xludf.DUMMYFUNCTION("IFERROR(VLOOKUP(A6969, IMPORTRANGE(""https://docs.google.com/spreadsheets/d/1-3Vjw2Cyy-mry5gbC8ypIR3YVGFfEpyFESummAta6sg/edit"", ""Sheet1!B:D""), 2, FALSE), ""Not Found"")"),"boʊts")</f>
        <v>boʊts</v>
      </c>
      <c r="E6969" s="2" t="str">
        <f>IFERROR(__xludf.DUMMYFUNCTION("IFERROR(VLOOKUP(A6969, IMPORTRANGE(""https://docs.google.com/spreadsheets/d/1-3Vjw2Cyy-mry5gbC8ypIR3YVGFfEpyFESummAta6sg/edit"", ""Sheet1!B:D""), 3, FALSE), ""Not Found"")"),"b o ʊ t s ")</f>
        <v>b o ʊ t s </v>
      </c>
    </row>
    <row r="6970">
      <c r="A6970" s="1" t="s">
        <v>6972</v>
      </c>
      <c r="B6970" s="1" t="s">
        <v>5</v>
      </c>
      <c r="C6970" s="2">
        <f>IFERROR(__xludf.DUMMYFUNCTION("IFERROR(VLOOKUP(A6970, IMPORTRANGE(""https://docs.google.com/spreadsheets/d/1AVX9GT0dgogEBStecCXMMQ29tWz3gBrtNB8yIromXbY/edit?gid=741673867"", ""out1g!A:B""), 2, FALSE), 0)"),137.0)</f>
        <v>137</v>
      </c>
      <c r="D6970" s="2" t="str">
        <f>IFERROR(__xludf.DUMMYFUNCTION("IFERROR(VLOOKUP(A6970, IMPORTRANGE(""https://docs.google.com/spreadsheets/d/1-3Vjw2Cyy-mry5gbC8ypIR3YVGFfEpyFESummAta6sg/edit"", ""Sheet1!B:D""), 2, FALSE), ""Not Found"")"),"sɪnərz")</f>
        <v>sɪnərz</v>
      </c>
      <c r="E6970" s="2" t="str">
        <f>IFERROR(__xludf.DUMMYFUNCTION("IFERROR(VLOOKUP(A6970, IMPORTRANGE(""https://docs.google.com/spreadsheets/d/1-3Vjw2Cyy-mry5gbC8ypIR3YVGFfEpyFESummAta6sg/edit"", ""Sheet1!B:D""), 3, FALSE), ""Not Found"")"),"s ɪ n ə r z ")</f>
        <v>s ɪ n ə r z </v>
      </c>
    </row>
    <row r="6971">
      <c r="A6971" s="1" t="s">
        <v>6973</v>
      </c>
      <c r="B6971" s="1" t="s">
        <v>5</v>
      </c>
      <c r="C6971" s="2">
        <f>IFERROR(__xludf.DUMMYFUNCTION("IFERROR(VLOOKUP(A6971, IMPORTRANGE(""https://docs.google.com/spreadsheets/d/1AVX9GT0dgogEBStecCXMMQ29tWz3gBrtNB8yIromXbY/edit?gid=741673867"", ""out1g!A:B""), 2, FALSE), 0)"),173.0)</f>
        <v>173</v>
      </c>
      <c r="D6971" s="2" t="str">
        <f>IFERROR(__xludf.DUMMYFUNCTION("IFERROR(VLOOKUP(A6971, IMPORTRANGE(""https://docs.google.com/spreadsheets/d/1-3Vjw2Cyy-mry5gbC8ypIR3YVGFfEpyFESummAta6sg/edit"", ""Sheet1!B:D""), 2, FALSE), ""Not Found"")"),"bɛriər")</f>
        <v>bɛriər</v>
      </c>
      <c r="E6971" s="2" t="str">
        <f>IFERROR(__xludf.DUMMYFUNCTION("IFERROR(VLOOKUP(A6971, IMPORTRANGE(""https://docs.google.com/spreadsheets/d/1-3Vjw2Cyy-mry5gbC8ypIR3YVGFfEpyFESummAta6sg/edit"", ""Sheet1!B:D""), 3, FALSE), ""Not Found"")"),"b ɛ r i ə r ")</f>
        <v>b ɛ r i ə r </v>
      </c>
    </row>
    <row r="6972">
      <c r="A6972" s="1" t="s">
        <v>6974</v>
      </c>
      <c r="B6972" s="1" t="s">
        <v>5</v>
      </c>
      <c r="C6972" s="2">
        <f>IFERROR(__xludf.DUMMYFUNCTION("IFERROR(VLOOKUP(A6972, IMPORTRANGE(""https://docs.google.com/spreadsheets/d/1AVX9GT0dgogEBStecCXMMQ29tWz3gBrtNB8yIromXbY/edit?gid=741673867"", ""out1g!A:B""), 2, FALSE), 0)"),14.0)</f>
        <v>14</v>
      </c>
      <c r="D6972" s="2" t="str">
        <f>IFERROR(__xludf.DUMMYFUNCTION("IFERROR(VLOOKUP(A6972, IMPORTRANGE(""https://docs.google.com/spreadsheets/d/1-3Vjw2Cyy-mry5gbC8ypIR3YVGFfEpyFESummAta6sg/edit"", ""Sheet1!B:D""), 2, FALSE), ""Not Found"")"),"skaɪ")</f>
        <v>skaɪ</v>
      </c>
      <c r="E6972" s="2" t="str">
        <f>IFERROR(__xludf.DUMMYFUNCTION("IFERROR(VLOOKUP(A6972, IMPORTRANGE(""https://docs.google.com/spreadsheets/d/1-3Vjw2Cyy-mry5gbC8ypIR3YVGFfEpyFESummAta6sg/edit"", ""Sheet1!B:D""), 3, FALSE), ""Not Found"")"),"s k a ɪ ")</f>
        <v>s k a ɪ </v>
      </c>
    </row>
    <row r="6973">
      <c r="A6973" s="1" t="s">
        <v>6975</v>
      </c>
      <c r="B6973" s="1" t="s">
        <v>5</v>
      </c>
      <c r="C6973" s="2">
        <f>IFERROR(__xludf.DUMMYFUNCTION("IFERROR(VLOOKUP(A6973, IMPORTRANGE(""https://docs.google.com/spreadsheets/d/1AVX9GT0dgogEBStecCXMMQ29tWz3gBrtNB8yIromXbY/edit?gid=741673867"", ""out1g!A:B""), 2, FALSE), 0)"),496.0)</f>
        <v>496</v>
      </c>
      <c r="D6973" s="2" t="str">
        <f>IFERROR(__xludf.DUMMYFUNCTION("IFERROR(VLOOKUP(A6973, IMPORTRANGE(""https://docs.google.com/spreadsheets/d/1-3Vjw2Cyy-mry5gbC8ypIR3YVGFfEpyFESummAta6sg/edit"", ""Sheet1!B:D""), 2, FALSE), ""Not Found"")"),"bet")</f>
        <v>bet</v>
      </c>
      <c r="E6973" s="2" t="str">
        <f>IFERROR(__xludf.DUMMYFUNCTION("IFERROR(VLOOKUP(A6973, IMPORTRANGE(""https://docs.google.com/spreadsheets/d/1-3Vjw2Cyy-mry5gbC8ypIR3YVGFfEpyFESummAta6sg/edit"", ""Sheet1!B:D""), 3, FALSE), ""Not Found"")"),"b e t ")</f>
        <v>b e t </v>
      </c>
    </row>
    <row r="6974">
      <c r="A6974" s="1" t="s">
        <v>6976</v>
      </c>
      <c r="B6974" s="1" t="s">
        <v>5</v>
      </c>
      <c r="C6974" s="2">
        <f>IFERROR(__xludf.DUMMYFUNCTION("IFERROR(VLOOKUP(A6974, IMPORTRANGE(""https://docs.google.com/spreadsheets/d/1AVX9GT0dgogEBStecCXMMQ29tWz3gBrtNB8yIromXbY/edit?gid=741673867"", ""out1g!A:B""), 2, FALSE), 0)"),3723.0)</f>
        <v>3723</v>
      </c>
      <c r="D6974" s="2" t="str">
        <f>IFERROR(__xludf.DUMMYFUNCTION("IFERROR(VLOOKUP(A6974, IMPORTRANGE(""https://docs.google.com/spreadsheets/d/1-3Vjw2Cyy-mry5gbC8ypIR3YVGFfEpyFESummAta6sg/edit"", ""Sheet1!B:D""), 2, FALSE), ""Not Found"")"),"fɛl")</f>
        <v>fɛl</v>
      </c>
      <c r="E6974" s="2" t="str">
        <f>IFERROR(__xludf.DUMMYFUNCTION("IFERROR(VLOOKUP(A6974, IMPORTRANGE(""https://docs.google.com/spreadsheets/d/1-3Vjw2Cyy-mry5gbC8ypIR3YVGFfEpyFESummAta6sg/edit"", ""Sheet1!B:D""), 3, FALSE), ""Not Found"")"),"f ɛ l ")</f>
        <v>f ɛ l </v>
      </c>
    </row>
    <row r="6975">
      <c r="A6975" s="1" t="s">
        <v>6977</v>
      </c>
      <c r="B6975" s="1" t="s">
        <v>5</v>
      </c>
      <c r="C6975" s="2">
        <f>IFERROR(__xludf.DUMMYFUNCTION("IFERROR(VLOOKUP(A6975, IMPORTRANGE(""https://docs.google.com/spreadsheets/d/1AVX9GT0dgogEBStecCXMMQ29tWz3gBrtNB8yIromXbY/edit?gid=741673867"", ""out1g!A:B""), 2, FALSE), 0)"),399.0)</f>
        <v>399</v>
      </c>
      <c r="D6975" s="2" t="str">
        <f>IFERROR(__xludf.DUMMYFUNCTION("IFERROR(VLOOKUP(A6975, IMPORTRANGE(""https://docs.google.com/spreadsheets/d/1-3Vjw2Cyy-mry5gbC8ypIR3YVGFfEpyFESummAta6sg/edit"", ""Sheet1!B:D""), 2, FALSE), ""Not Found"")"),"sædəl")</f>
        <v>sædəl</v>
      </c>
      <c r="E6975" s="2" t="str">
        <f>IFERROR(__xludf.DUMMYFUNCTION("IFERROR(VLOOKUP(A6975, IMPORTRANGE(""https://docs.google.com/spreadsheets/d/1-3Vjw2Cyy-mry5gbC8ypIR3YVGFfEpyFESummAta6sg/edit"", ""Sheet1!B:D""), 3, FALSE), ""Not Found"")"),"s æ d ə l ")</f>
        <v>s æ d ə l </v>
      </c>
    </row>
    <row r="6976">
      <c r="A6976" s="1" t="s">
        <v>6978</v>
      </c>
      <c r="B6976" s="1" t="s">
        <v>5</v>
      </c>
      <c r="C6976" s="2">
        <f>IFERROR(__xludf.DUMMYFUNCTION("IFERROR(VLOOKUP(A6976, IMPORTRANGE(""https://docs.google.com/spreadsheets/d/1AVX9GT0dgogEBStecCXMMQ29tWz3gBrtNB8yIromXbY/edit?gid=741673867"", ""out1g!A:B""), 2, FALSE), 0)"),108.0)</f>
        <v>108</v>
      </c>
      <c r="D6976" s="2" t="str">
        <f>IFERROR(__xludf.DUMMYFUNCTION("IFERROR(VLOOKUP(A6976, IMPORTRANGE(""https://docs.google.com/spreadsheets/d/1-3Vjw2Cyy-mry5gbC8ypIR3YVGFfEpyFESummAta6sg/edit"", ""Sheet1!B:D""), 2, FALSE), ""Not Found"")"),"mudz")</f>
        <v>mudz</v>
      </c>
      <c r="E6976" s="2" t="str">
        <f>IFERROR(__xludf.DUMMYFUNCTION("IFERROR(VLOOKUP(A6976, IMPORTRANGE(""https://docs.google.com/spreadsheets/d/1-3Vjw2Cyy-mry5gbC8ypIR3YVGFfEpyFESummAta6sg/edit"", ""Sheet1!B:D""), 3, FALSE), ""Not Found"")"),"m u d z ")</f>
        <v>m u d z </v>
      </c>
    </row>
    <row r="6977">
      <c r="A6977" s="1" t="s">
        <v>6979</v>
      </c>
      <c r="B6977" s="1" t="s">
        <v>5</v>
      </c>
      <c r="C6977" s="2">
        <f>IFERROR(__xludf.DUMMYFUNCTION("IFERROR(VLOOKUP(A6977, IMPORTRANGE(""https://docs.google.com/spreadsheets/d/1AVX9GT0dgogEBStecCXMMQ29tWz3gBrtNB8yIromXbY/edit?gid=741673867"", ""out1g!A:B""), 2, FALSE), 0)"),97.0)</f>
        <v>97</v>
      </c>
      <c r="D6977" s="2" t="str">
        <f>IFERROR(__xludf.DUMMYFUNCTION("IFERROR(VLOOKUP(A6977, IMPORTRANGE(""https://docs.google.com/spreadsheets/d/1-3Vjw2Cyy-mry5gbC8ypIR3YVGFfEpyFESummAta6sg/edit"", ""Sheet1!B:D""), 2, FALSE), ""Not Found"")"),"ʃæg")</f>
        <v>ʃæg</v>
      </c>
      <c r="E6977" s="2" t="str">
        <f>IFERROR(__xludf.DUMMYFUNCTION("IFERROR(VLOOKUP(A6977, IMPORTRANGE(""https://docs.google.com/spreadsheets/d/1-3Vjw2Cyy-mry5gbC8ypIR3YVGFfEpyFESummAta6sg/edit"", ""Sheet1!B:D""), 3, FALSE), ""Not Found"")"),"ʃ æ g ")</f>
        <v>ʃ æ g </v>
      </c>
    </row>
    <row r="6978">
      <c r="A6978" s="1" t="s">
        <v>6980</v>
      </c>
      <c r="B6978" s="1" t="s">
        <v>5</v>
      </c>
      <c r="C6978" s="2">
        <f>IFERROR(__xludf.DUMMYFUNCTION("IFERROR(VLOOKUP(A6978, IMPORTRANGE(""https://docs.google.com/spreadsheets/d/1AVX9GT0dgogEBStecCXMMQ29tWz3gBrtNB8yIromXbY/edit?gid=741673867"", ""out1g!A:B""), 2, FALSE), 0)"),136.0)</f>
        <v>136</v>
      </c>
      <c r="D6978" s="2" t="str">
        <f>IFERROR(__xludf.DUMMYFUNCTION("IFERROR(VLOOKUP(A6978, IMPORTRANGE(""https://docs.google.com/spreadsheets/d/1-3Vjw2Cyy-mry5gbC8ypIR3YVGFfEpyFESummAta6sg/edit"", ""Sheet1!B:D""), 2, FALSE), ""Not Found"")"),"wets")</f>
        <v>wets</v>
      </c>
      <c r="E6978" s="2" t="str">
        <f>IFERROR(__xludf.DUMMYFUNCTION("IFERROR(VLOOKUP(A6978, IMPORTRANGE(""https://docs.google.com/spreadsheets/d/1-3Vjw2Cyy-mry5gbC8ypIR3YVGFfEpyFESummAta6sg/edit"", ""Sheet1!B:D""), 3, FALSE), ""Not Found"")"),"w e t s ")</f>
        <v>w e t s </v>
      </c>
    </row>
    <row r="6979">
      <c r="A6979" s="1" t="s">
        <v>6981</v>
      </c>
      <c r="B6979" s="1" t="s">
        <v>5</v>
      </c>
      <c r="C6979" s="2">
        <f>IFERROR(__xludf.DUMMYFUNCTION("IFERROR(VLOOKUP(A6979, IMPORTRANGE(""https://docs.google.com/spreadsheets/d/1AVX9GT0dgogEBStecCXMMQ29tWz3gBrtNB8yIromXbY/edit?gid=741673867"", ""out1g!A:B""), 2, FALSE), 0)"),1246.0)</f>
        <v>1246</v>
      </c>
      <c r="D6979" s="2" t="str">
        <f>IFERROR(__xludf.DUMMYFUNCTION("IFERROR(VLOOKUP(A6979, IMPORTRANGE(""https://docs.google.com/spreadsheets/d/1-3Vjw2Cyy-mry5gbC8ypIR3YVGFfEpyFESummAta6sg/edit"", ""Sheet1!B:D""), 2, FALSE), ""Not Found"")"),"bɛti")</f>
        <v>bɛti</v>
      </c>
      <c r="E6979" s="2" t="str">
        <f>IFERROR(__xludf.DUMMYFUNCTION("IFERROR(VLOOKUP(A6979, IMPORTRANGE(""https://docs.google.com/spreadsheets/d/1-3Vjw2Cyy-mry5gbC8ypIR3YVGFfEpyFESummAta6sg/edit"", ""Sheet1!B:D""), 3, FALSE), ""Not Found"")"),"b ɛ t i ")</f>
        <v>b ɛ t i </v>
      </c>
    </row>
    <row r="6980">
      <c r="A6980" s="1" t="s">
        <v>6982</v>
      </c>
      <c r="B6980" s="1" t="s">
        <v>5</v>
      </c>
      <c r="C6980" s="2">
        <f>IFERROR(__xludf.DUMMYFUNCTION("IFERROR(VLOOKUP(A6980, IMPORTRANGE(""https://docs.google.com/spreadsheets/d/1AVX9GT0dgogEBStecCXMMQ29tWz3gBrtNB8yIromXbY/edit?gid=741673867"", ""out1g!A:B""), 2, FALSE), 0)"),257.0)</f>
        <v>257</v>
      </c>
      <c r="D6980" s="2" t="str">
        <f>IFERROR(__xludf.DUMMYFUNCTION("IFERROR(VLOOKUP(A6980, IMPORTRANGE(""https://docs.google.com/spreadsheets/d/1-3Vjw2Cyy-mry5gbC8ypIR3YVGFfEpyFESummAta6sg/edit"", ""Sheet1!B:D""), 2, FALSE), ""Not Found"")"),"stæʃ")</f>
        <v>stæʃ</v>
      </c>
      <c r="E6980" s="2" t="str">
        <f>IFERROR(__xludf.DUMMYFUNCTION("IFERROR(VLOOKUP(A6980, IMPORTRANGE(""https://docs.google.com/spreadsheets/d/1-3Vjw2Cyy-mry5gbC8ypIR3YVGFfEpyFESummAta6sg/edit"", ""Sheet1!B:D""), 3, FALSE), ""Not Found"")"),"s t æ ʃ ")</f>
        <v>s t æ ʃ </v>
      </c>
    </row>
    <row r="6981">
      <c r="A6981" s="1" t="s">
        <v>6983</v>
      </c>
      <c r="B6981" s="1" t="s">
        <v>5</v>
      </c>
      <c r="C6981" s="2">
        <f>IFERROR(__xludf.DUMMYFUNCTION("IFERROR(VLOOKUP(A6981, IMPORTRANGE(""https://docs.google.com/spreadsheets/d/1AVX9GT0dgogEBStecCXMMQ29tWz3gBrtNB8yIromXbY/edit?gid=741673867"", ""out1g!A:B""), 2, FALSE), 0)"),389.0)</f>
        <v>389</v>
      </c>
      <c r="D6981" s="2" t="str">
        <f>IFERROR(__xludf.DUMMYFUNCTION("IFERROR(VLOOKUP(A6981, IMPORTRANGE(""https://docs.google.com/spreadsheets/d/1-3Vjw2Cyy-mry5gbC8ypIR3YVGFfEpyFESummAta6sg/edit"", ""Sheet1!B:D""), 2, FALSE), ""Not Found"")"),"zɪp")</f>
        <v>zɪp</v>
      </c>
      <c r="E6981" s="2" t="str">
        <f>IFERROR(__xludf.DUMMYFUNCTION("IFERROR(VLOOKUP(A6981, IMPORTRANGE(""https://docs.google.com/spreadsheets/d/1-3Vjw2Cyy-mry5gbC8ypIR3YVGFfEpyFESummAta6sg/edit"", ""Sheet1!B:D""), 3, FALSE), ""Not Found"")"),"z ɪ p ")</f>
        <v>z ɪ p </v>
      </c>
    </row>
    <row r="6982">
      <c r="A6982" s="1" t="s">
        <v>6984</v>
      </c>
      <c r="B6982" s="1" t="s">
        <v>5</v>
      </c>
      <c r="C6982" s="2">
        <f>IFERROR(__xludf.DUMMYFUNCTION("IFERROR(VLOOKUP(A6982, IMPORTRANGE(""https://docs.google.com/spreadsheets/d/1AVX9GT0dgogEBStecCXMMQ29tWz3gBrtNB8yIromXbY/edit?gid=741673867"", ""out1g!A:B""), 2, FALSE), 0)"),86.0)</f>
        <v>86</v>
      </c>
      <c r="D6982" s="2" t="str">
        <f>IFERROR(__xludf.DUMMYFUNCTION("IFERROR(VLOOKUP(A6982, IMPORTRANGE(""https://docs.google.com/spreadsheets/d/1-3Vjw2Cyy-mry5gbC8ypIR3YVGFfEpyFESummAta6sg/edit"", ""Sheet1!B:D""), 2, FALSE), ""Not Found"")"),"frɪski")</f>
        <v>frɪski</v>
      </c>
      <c r="E6982" s="2" t="str">
        <f>IFERROR(__xludf.DUMMYFUNCTION("IFERROR(VLOOKUP(A6982, IMPORTRANGE(""https://docs.google.com/spreadsheets/d/1-3Vjw2Cyy-mry5gbC8ypIR3YVGFfEpyFESummAta6sg/edit"", ""Sheet1!B:D""), 3, FALSE), ""Not Found"")"),"f r ɪ s k i ")</f>
        <v>f r ɪ s k i </v>
      </c>
    </row>
    <row r="6983">
      <c r="A6983" s="1" t="s">
        <v>6985</v>
      </c>
      <c r="B6983" s="1" t="s">
        <v>5</v>
      </c>
      <c r="C6983" s="2">
        <f>IFERROR(__xludf.DUMMYFUNCTION("IFERROR(VLOOKUP(A6983, IMPORTRANGE(""https://docs.google.com/spreadsheets/d/1AVX9GT0dgogEBStecCXMMQ29tWz3gBrtNB8yIromXbY/edit?gid=741673867"", ""out1g!A:B""), 2, FALSE), 0)"),581.0)</f>
        <v>581</v>
      </c>
      <c r="D6983" s="2" t="str">
        <f>IFERROR(__xludf.DUMMYFUNCTION("IFERROR(VLOOKUP(A6983, IMPORTRANGE(""https://docs.google.com/spreadsheets/d/1-3Vjw2Cyy-mry5gbC8ypIR3YVGFfEpyFESummAta6sg/edit"", ""Sheet1!B:D""), 2, FALSE), ""Not Found"")"),"stoʊnz")</f>
        <v>stoʊnz</v>
      </c>
      <c r="E6983" s="2" t="str">
        <f>IFERROR(__xludf.DUMMYFUNCTION("IFERROR(VLOOKUP(A6983, IMPORTRANGE(""https://docs.google.com/spreadsheets/d/1-3Vjw2Cyy-mry5gbC8ypIR3YVGFfEpyFESummAta6sg/edit"", ""Sheet1!B:D""), 3, FALSE), ""Not Found"")"),"s t o ʊ n z ")</f>
        <v>s t o ʊ n z </v>
      </c>
    </row>
    <row r="6984">
      <c r="A6984" s="1" t="s">
        <v>6986</v>
      </c>
      <c r="B6984" s="1" t="s">
        <v>5</v>
      </c>
      <c r="C6984" s="2">
        <f>IFERROR(__xludf.DUMMYFUNCTION("IFERROR(VLOOKUP(A6984, IMPORTRANGE(""https://docs.google.com/spreadsheets/d/1AVX9GT0dgogEBStecCXMMQ29tWz3gBrtNB8yIromXbY/edit?gid=741673867"", ""out1g!A:B""), 2, FALSE), 0)"),228.0)</f>
        <v>228</v>
      </c>
      <c r="D6984" s="2" t="str">
        <f>IFERROR(__xludf.DUMMYFUNCTION("IFERROR(VLOOKUP(A6984, IMPORTRANGE(""https://docs.google.com/spreadsheets/d/1-3Vjw2Cyy-mry5gbC8ypIR3YVGFfEpyFESummAta6sg/edit"", ""Sheet1!B:D""), 2, FALSE), ""Not Found"")"),"tæpt")</f>
        <v>tæpt</v>
      </c>
      <c r="E6984" s="2" t="str">
        <f>IFERROR(__xludf.DUMMYFUNCTION("IFERROR(VLOOKUP(A6984, IMPORTRANGE(""https://docs.google.com/spreadsheets/d/1-3Vjw2Cyy-mry5gbC8ypIR3YVGFfEpyFESummAta6sg/edit"", ""Sheet1!B:D""), 3, FALSE), ""Not Found"")"),"t æ p t ")</f>
        <v>t æ p t </v>
      </c>
    </row>
    <row r="6985">
      <c r="A6985" s="1" t="s">
        <v>6987</v>
      </c>
      <c r="B6985" s="1" t="s">
        <v>5</v>
      </c>
      <c r="C6985" s="2">
        <f>IFERROR(__xludf.DUMMYFUNCTION("IFERROR(VLOOKUP(A6985, IMPORTRANGE(""https://docs.google.com/spreadsheets/d/1AVX9GT0dgogEBStecCXMMQ29tWz3gBrtNB8yIromXbY/edit?gid=741673867"", ""out1g!A:B""), 2, FALSE), 0)"),1599.0)</f>
        <v>1599</v>
      </c>
      <c r="D6985" s="2" t="str">
        <f>IFERROR(__xludf.DUMMYFUNCTION("IFERROR(VLOOKUP(A6985, IMPORTRANGE(""https://docs.google.com/spreadsheets/d/1-3Vjw2Cyy-mry5gbC8ypIR3YVGFfEpyFESummAta6sg/edit"", ""Sheet1!B:D""), 2, FALSE), ""Not Found"")"),"snoʊ")</f>
        <v>snoʊ</v>
      </c>
      <c r="E6985" s="2" t="str">
        <f>IFERROR(__xludf.DUMMYFUNCTION("IFERROR(VLOOKUP(A6985, IMPORTRANGE(""https://docs.google.com/spreadsheets/d/1-3Vjw2Cyy-mry5gbC8ypIR3YVGFfEpyFESummAta6sg/edit"", ""Sheet1!B:D""), 3, FALSE), ""Not Found"")"),"s n o ʊ ")</f>
        <v>s n o ʊ </v>
      </c>
    </row>
    <row r="6986">
      <c r="A6986" s="1" t="s">
        <v>6988</v>
      </c>
      <c r="B6986" s="1" t="s">
        <v>5</v>
      </c>
      <c r="C6986" s="2">
        <f>IFERROR(__xludf.DUMMYFUNCTION("IFERROR(VLOOKUP(A6986, IMPORTRANGE(""https://docs.google.com/spreadsheets/d/1AVX9GT0dgogEBStecCXMMQ29tWz3gBrtNB8yIromXbY/edit?gid=741673867"", ""out1g!A:B""), 2, FALSE), 0)"),530.0)</f>
        <v>530</v>
      </c>
      <c r="D6986" s="2" t="str">
        <f>IFERROR(__xludf.DUMMYFUNCTION("IFERROR(VLOOKUP(A6986, IMPORTRANGE(""https://docs.google.com/spreadsheets/d/1-3Vjw2Cyy-mry5gbC8ypIR3YVGFfEpyFESummAta6sg/edit"", ""Sheet1!B:D""), 2, FALSE), ""Not Found"")"),"kæl")</f>
        <v>kæl</v>
      </c>
      <c r="E6986" s="2" t="str">
        <f>IFERROR(__xludf.DUMMYFUNCTION("IFERROR(VLOOKUP(A6986, IMPORTRANGE(""https://docs.google.com/spreadsheets/d/1-3Vjw2Cyy-mry5gbC8ypIR3YVGFfEpyFESummAta6sg/edit"", ""Sheet1!B:D""), 3, FALSE), ""Not Found"")"),"k æ l ")</f>
        <v>k æ l </v>
      </c>
    </row>
    <row r="6987">
      <c r="A6987" s="1" t="s">
        <v>6989</v>
      </c>
      <c r="B6987" s="1" t="s">
        <v>5</v>
      </c>
      <c r="C6987" s="2">
        <f>IFERROR(__xludf.DUMMYFUNCTION("IFERROR(VLOOKUP(A6987, IMPORTRANGE(""https://docs.google.com/spreadsheets/d/1AVX9GT0dgogEBStecCXMMQ29tWz3gBrtNB8yIromXbY/edit?gid=741673867"", ""out1g!A:B""), 2, FALSE), 0)"),21276.0)</f>
        <v>21276</v>
      </c>
      <c r="D6987" s="2" t="str">
        <f>IFERROR(__xludf.DUMMYFUNCTION("IFERROR(VLOOKUP(A6987, IMPORTRANGE(""https://docs.google.com/spreadsheets/d/1-3Vjw2Cyy-mry5gbC8ypIR3YVGFfEpyFESummAta6sg/edit"", ""Sheet1!B:D""), 2, FALSE), ""Not Found"")"),"sem")</f>
        <v>sem</v>
      </c>
      <c r="E6987" s="2" t="str">
        <f>IFERROR(__xludf.DUMMYFUNCTION("IFERROR(VLOOKUP(A6987, IMPORTRANGE(""https://docs.google.com/spreadsheets/d/1-3Vjw2Cyy-mry5gbC8ypIR3YVGFfEpyFESummAta6sg/edit"", ""Sheet1!B:D""), 3, FALSE), ""Not Found"")"),"s e m ")</f>
        <v>s e m </v>
      </c>
    </row>
    <row r="6988">
      <c r="A6988" s="1" t="s">
        <v>6990</v>
      </c>
      <c r="B6988" s="1" t="s">
        <v>5</v>
      </c>
      <c r="C6988" s="2">
        <f>IFERROR(__xludf.DUMMYFUNCTION("IFERROR(VLOOKUP(A6988, IMPORTRANGE(""https://docs.google.com/spreadsheets/d/1AVX9GT0dgogEBStecCXMMQ29tWz3gBrtNB8yIromXbY/edit?gid=741673867"", ""out1g!A:B""), 2, FALSE), 0)"),507.0)</f>
        <v>507</v>
      </c>
      <c r="D6988" s="2" t="str">
        <f>IFERROR(__xludf.DUMMYFUNCTION("IFERROR(VLOOKUP(A6988, IMPORTRANGE(""https://docs.google.com/spreadsheets/d/1-3Vjw2Cyy-mry5gbC8ypIR3YVGFfEpyFESummAta6sg/edit"", ""Sheet1!B:D""), 2, FALSE), ""Not Found"")"),"ɪnər")</f>
        <v>ɪnər</v>
      </c>
      <c r="E6988" s="2" t="str">
        <f>IFERROR(__xludf.DUMMYFUNCTION("IFERROR(VLOOKUP(A6988, IMPORTRANGE(""https://docs.google.com/spreadsheets/d/1-3Vjw2Cyy-mry5gbC8ypIR3YVGFfEpyFESummAta6sg/edit"", ""Sheet1!B:D""), 3, FALSE), ""Not Found"")"),"ɪ n ə r ")</f>
        <v>ɪ n ə r </v>
      </c>
    </row>
    <row r="6989">
      <c r="A6989" s="1" t="s">
        <v>6991</v>
      </c>
      <c r="B6989" s="1" t="s">
        <v>5</v>
      </c>
      <c r="C6989" s="2">
        <f>IFERROR(__xludf.DUMMYFUNCTION("IFERROR(VLOOKUP(A6989, IMPORTRANGE(""https://docs.google.com/spreadsheets/d/1AVX9GT0dgogEBStecCXMMQ29tWz3gBrtNB8yIromXbY/edit?gid=741673867"", ""out1g!A:B""), 2, FALSE), 0)"),1724.0)</f>
        <v>1724</v>
      </c>
      <c r="D6989" s="2" t="str">
        <f>IFERROR(__xludf.DUMMYFUNCTION("IFERROR(VLOOKUP(A6989, IMPORTRANGE(""https://docs.google.com/spreadsheets/d/1-3Vjw2Cyy-mry5gbC8ypIR3YVGFfEpyFESummAta6sg/edit"", ""Sheet1!B:D""), 2, FALSE), ""Not Found"")"),"jɛloʊ")</f>
        <v>jɛloʊ</v>
      </c>
      <c r="E6989" s="2" t="str">
        <f>IFERROR(__xludf.DUMMYFUNCTION("IFERROR(VLOOKUP(A6989, IMPORTRANGE(""https://docs.google.com/spreadsheets/d/1-3Vjw2Cyy-mry5gbC8ypIR3YVGFfEpyFESummAta6sg/edit"", ""Sheet1!B:D""), 3, FALSE), ""Not Found"")"),"j ɛ l o ʊ ")</f>
        <v>j ɛ l o ʊ </v>
      </c>
    </row>
    <row r="6990">
      <c r="A6990" s="1" t="s">
        <v>6992</v>
      </c>
      <c r="B6990" s="1" t="s">
        <v>5</v>
      </c>
      <c r="C6990" s="2">
        <f>IFERROR(__xludf.DUMMYFUNCTION("IFERROR(VLOOKUP(A6990, IMPORTRANGE(""https://docs.google.com/spreadsheets/d/1AVX9GT0dgogEBStecCXMMQ29tWz3gBrtNB8yIromXbY/edit?gid=741673867"", ""out1g!A:B""), 2, FALSE), 0)"),65.0)</f>
        <v>65</v>
      </c>
      <c r="D6990" s="2" t="str">
        <f>IFERROR(__xludf.DUMMYFUNCTION("IFERROR(VLOOKUP(A6990, IMPORTRANGE(""https://docs.google.com/spreadsheets/d/1-3Vjw2Cyy-mry5gbC8ypIR3YVGFfEpyFESummAta6sg/edit"", ""Sheet1!B:D""), 2, FALSE), ""Not Found"")"),"taʊ")</f>
        <v>taʊ</v>
      </c>
      <c r="E6990" s="2" t="str">
        <f>IFERROR(__xludf.DUMMYFUNCTION("IFERROR(VLOOKUP(A6990, IMPORTRANGE(""https://docs.google.com/spreadsheets/d/1-3Vjw2Cyy-mry5gbC8ypIR3YVGFfEpyFESummAta6sg/edit"", ""Sheet1!B:D""), 3, FALSE), ""Not Found"")"),"t a ʊ ")</f>
        <v>t a ʊ </v>
      </c>
    </row>
    <row r="6991">
      <c r="A6991" s="1" t="s">
        <v>6993</v>
      </c>
      <c r="B6991" s="1" t="s">
        <v>5</v>
      </c>
      <c r="C6991" s="2">
        <f>IFERROR(__xludf.DUMMYFUNCTION("IFERROR(VLOOKUP(A6991, IMPORTRANGE(""https://docs.google.com/spreadsheets/d/1AVX9GT0dgogEBStecCXMMQ29tWz3gBrtNB8yIromXbY/edit?gid=741673867"", ""out1g!A:B""), 2, FALSE), 0)"),725.0)</f>
        <v>725</v>
      </c>
      <c r="D6991" s="2" t="str">
        <f>IFERROR(__xludf.DUMMYFUNCTION("IFERROR(VLOOKUP(A6991, IMPORTRANGE(""https://docs.google.com/spreadsheets/d/1-3Vjw2Cyy-mry5gbC8ypIR3YVGFfEpyFESummAta6sg/edit"", ""Sheet1!B:D""), 2, FALSE), ""Not Found"")"),"gæl")</f>
        <v>gæl</v>
      </c>
      <c r="E6991" s="2" t="str">
        <f>IFERROR(__xludf.DUMMYFUNCTION("IFERROR(VLOOKUP(A6991, IMPORTRANGE(""https://docs.google.com/spreadsheets/d/1-3Vjw2Cyy-mry5gbC8ypIR3YVGFfEpyFESummAta6sg/edit"", ""Sheet1!B:D""), 3, FALSE), ""Not Found"")"),"g æ l ")</f>
        <v>g æ l </v>
      </c>
    </row>
    <row r="6992">
      <c r="A6992" s="1" t="s">
        <v>6994</v>
      </c>
      <c r="B6992" s="1" t="s">
        <v>5</v>
      </c>
      <c r="C6992" s="2">
        <f>IFERROR(__xludf.DUMMYFUNCTION("IFERROR(VLOOKUP(A6992, IMPORTRANGE(""https://docs.google.com/spreadsheets/d/1AVX9GT0dgogEBStecCXMMQ29tWz3gBrtNB8yIromXbY/edit?gid=741673867"", ""out1g!A:B""), 2, FALSE), 0)"),888.0)</f>
        <v>888</v>
      </c>
      <c r="D6992" s="2" t="str">
        <f>IFERROR(__xludf.DUMMYFUNCTION("IFERROR(VLOOKUP(A6992, IMPORTRANGE(""https://docs.google.com/spreadsheets/d/1-3Vjw2Cyy-mry5gbC8ypIR3YVGFfEpyFESummAta6sg/edit"", ""Sheet1!B:D""), 2, FALSE), ""Not Found"")"),"təʧɪŋ")</f>
        <v>təʧɪŋ</v>
      </c>
      <c r="E6992" s="2" t="str">
        <f>IFERROR(__xludf.DUMMYFUNCTION("IFERROR(VLOOKUP(A6992, IMPORTRANGE(""https://docs.google.com/spreadsheets/d/1-3Vjw2Cyy-mry5gbC8ypIR3YVGFfEpyFESummAta6sg/edit"", ""Sheet1!B:D""), 3, FALSE), ""Not Found"")"),"t ə ʧ ɪ ŋ ")</f>
        <v>t ə ʧ ɪ ŋ </v>
      </c>
    </row>
    <row r="6993">
      <c r="A6993" s="1" t="s">
        <v>6995</v>
      </c>
      <c r="B6993" s="1" t="s">
        <v>5</v>
      </c>
      <c r="C6993" s="2">
        <f>IFERROR(__xludf.DUMMYFUNCTION("IFERROR(VLOOKUP(A6993, IMPORTRANGE(""https://docs.google.com/spreadsheets/d/1AVX9GT0dgogEBStecCXMMQ29tWz3gBrtNB8yIromXbY/edit?gid=741673867"", ""out1g!A:B""), 2, FALSE), 0)"),63.0)</f>
        <v>63</v>
      </c>
      <c r="D6993" s="2" t="str">
        <f>IFERROR(__xludf.DUMMYFUNCTION("IFERROR(VLOOKUP(A6993, IMPORTRANGE(""https://docs.google.com/spreadsheets/d/1-3Vjw2Cyy-mry5gbC8ypIR3YVGFfEpyFESummAta6sg/edit"", ""Sheet1!B:D""), 2, FALSE), ""Not Found"")"),"dɑbi")</f>
        <v>dɑbi</v>
      </c>
      <c r="E6993" s="2" t="str">
        <f>IFERROR(__xludf.DUMMYFUNCTION("IFERROR(VLOOKUP(A6993, IMPORTRANGE(""https://docs.google.com/spreadsheets/d/1-3Vjw2Cyy-mry5gbC8ypIR3YVGFfEpyFESummAta6sg/edit"", ""Sheet1!B:D""), 3, FALSE), ""Not Found"")"),"d ɑ b i ")</f>
        <v>d ɑ b i </v>
      </c>
    </row>
    <row r="6994">
      <c r="A6994" s="1" t="s">
        <v>6996</v>
      </c>
      <c r="B6994" s="1" t="s">
        <v>5</v>
      </c>
      <c r="C6994" s="2">
        <f>IFERROR(__xludf.DUMMYFUNCTION("IFERROR(VLOOKUP(A6994, IMPORTRANGE(""https://docs.google.com/spreadsheets/d/1AVX9GT0dgogEBStecCXMMQ29tWz3gBrtNB8yIromXbY/edit?gid=741673867"", ""out1g!A:B""), 2, FALSE), 0)"),271.0)</f>
        <v>271</v>
      </c>
      <c r="D6994" s="2" t="str">
        <f>IFERROR(__xludf.DUMMYFUNCTION("IFERROR(VLOOKUP(A6994, IMPORTRANGE(""https://docs.google.com/spreadsheets/d/1-3Vjw2Cyy-mry5gbC8ypIR3YVGFfEpyFESummAta6sg/edit"", ""Sheet1!B:D""), 2, FALSE), ""Not Found"")"),"kwaɪər")</f>
        <v>kwaɪər</v>
      </c>
      <c r="E6994" s="2" t="str">
        <f>IFERROR(__xludf.DUMMYFUNCTION("IFERROR(VLOOKUP(A6994, IMPORTRANGE(""https://docs.google.com/spreadsheets/d/1-3Vjw2Cyy-mry5gbC8ypIR3YVGFfEpyFESummAta6sg/edit"", ""Sheet1!B:D""), 3, FALSE), ""Not Found"")"),"k w a ɪ ə r ")</f>
        <v>k w a ɪ ə r </v>
      </c>
    </row>
    <row r="6995">
      <c r="A6995" s="1" t="s">
        <v>6997</v>
      </c>
      <c r="B6995" s="1" t="s">
        <v>5</v>
      </c>
      <c r="C6995" s="2">
        <f>IFERROR(__xludf.DUMMYFUNCTION("IFERROR(VLOOKUP(A6995, IMPORTRANGE(""https://docs.google.com/spreadsheets/d/1AVX9GT0dgogEBStecCXMMQ29tWz3gBrtNB8yIromXbY/edit?gid=741673867"", ""out1g!A:B""), 2, FALSE), 0)"),26214.0)</f>
        <v>26214</v>
      </c>
      <c r="D6995" s="2" t="str">
        <f>IFERROR(__xludf.DUMMYFUNCTION("IFERROR(VLOOKUP(A6995, IMPORTRANGE(""https://docs.google.com/spreadsheets/d/1-3Vjw2Cyy-mry5gbC8ypIR3YVGFfEpyFESummAta6sg/edit"", ""Sheet1!B:D""), 2, FALSE), ""Not Found"")"),"haʊs")</f>
        <v>haʊs</v>
      </c>
      <c r="E6995" s="2" t="str">
        <f>IFERROR(__xludf.DUMMYFUNCTION("IFERROR(VLOOKUP(A6995, IMPORTRANGE(""https://docs.google.com/spreadsheets/d/1-3Vjw2Cyy-mry5gbC8ypIR3YVGFfEpyFESummAta6sg/edit"", ""Sheet1!B:D""), 3, FALSE), ""Not Found"")"),"h a ʊ s ")</f>
        <v>h a ʊ s </v>
      </c>
    </row>
    <row r="6996">
      <c r="A6996" s="1" t="s">
        <v>6998</v>
      </c>
      <c r="B6996" s="1" t="s">
        <v>5</v>
      </c>
      <c r="C6996" s="2">
        <f>IFERROR(__xludf.DUMMYFUNCTION("IFERROR(VLOOKUP(A6996, IMPORTRANGE(""https://docs.google.com/spreadsheets/d/1AVX9GT0dgogEBStecCXMMQ29tWz3gBrtNB8yIromXbY/edit?gid=741673867"", ""out1g!A:B""), 2, FALSE), 0)"),107.0)</f>
        <v>107</v>
      </c>
      <c r="D6996" s="2" t="str">
        <f>IFERROR(__xludf.DUMMYFUNCTION("IFERROR(VLOOKUP(A6996, IMPORTRANGE(""https://docs.google.com/spreadsheets/d/1-3Vjw2Cyy-mry5gbC8ypIR3YVGFfEpyFESummAta6sg/edit"", ""Sheet1!B:D""), 2, FALSE), ""Not Found"")"),"tɪti")</f>
        <v>tɪti</v>
      </c>
      <c r="E6996" s="2" t="str">
        <f>IFERROR(__xludf.DUMMYFUNCTION("IFERROR(VLOOKUP(A6996, IMPORTRANGE(""https://docs.google.com/spreadsheets/d/1-3Vjw2Cyy-mry5gbC8ypIR3YVGFfEpyFESummAta6sg/edit"", ""Sheet1!B:D""), 3, FALSE), ""Not Found"")"),"t ɪ t i ")</f>
        <v>t ɪ t i </v>
      </c>
    </row>
    <row r="6997">
      <c r="A6997" s="1" t="s">
        <v>6999</v>
      </c>
      <c r="B6997" s="1" t="s">
        <v>5</v>
      </c>
      <c r="C6997" s="2">
        <f>IFERROR(__xludf.DUMMYFUNCTION("IFERROR(VLOOKUP(A6997, IMPORTRANGE(""https://docs.google.com/spreadsheets/d/1AVX9GT0dgogEBStecCXMMQ29tWz3gBrtNB8yIromXbY/edit?gid=741673867"", ""out1g!A:B""), 2, FALSE), 0)"),790.0)</f>
        <v>790</v>
      </c>
      <c r="D6997" s="2" t="str">
        <f>IFERROR(__xludf.DUMMYFUNCTION("IFERROR(VLOOKUP(A6997, IMPORTRANGE(""https://docs.google.com/spreadsheets/d/1-3Vjw2Cyy-mry5gbC8ypIR3YVGFfEpyFESummAta6sg/edit"", ""Sheet1!B:D""), 2, FALSE), ""Not Found"")"),"timz")</f>
        <v>timz</v>
      </c>
      <c r="E6997" s="2" t="str">
        <f>IFERROR(__xludf.DUMMYFUNCTION("IFERROR(VLOOKUP(A6997, IMPORTRANGE(""https://docs.google.com/spreadsheets/d/1-3Vjw2Cyy-mry5gbC8ypIR3YVGFfEpyFESummAta6sg/edit"", ""Sheet1!B:D""), 3, FALSE), ""Not Found"")"),"t i m z ")</f>
        <v>t i m z </v>
      </c>
    </row>
    <row r="6998">
      <c r="A6998" s="1" t="s">
        <v>7000</v>
      </c>
      <c r="B6998" s="1" t="s">
        <v>5</v>
      </c>
      <c r="C6998" s="2">
        <f>IFERROR(__xludf.DUMMYFUNCTION("IFERROR(VLOOKUP(A6998, IMPORTRANGE(""https://docs.google.com/spreadsheets/d/1AVX9GT0dgogEBStecCXMMQ29tWz3gBrtNB8yIromXbY/edit?gid=741673867"", ""out1g!A:B""), 2, FALSE), 0)"),349.0)</f>
        <v>349</v>
      </c>
      <c r="D6998" s="2" t="str">
        <f>IFERROR(__xludf.DUMMYFUNCTION("IFERROR(VLOOKUP(A6998, IMPORTRANGE(""https://docs.google.com/spreadsheets/d/1-3Vjw2Cyy-mry5gbC8ypIR3YVGFfEpyFESummAta6sg/edit"", ""Sheet1!B:D""), 2, FALSE), ""Not Found"")"),"pli")</f>
        <v>pli</v>
      </c>
      <c r="E6998" s="2" t="str">
        <f>IFERROR(__xludf.DUMMYFUNCTION("IFERROR(VLOOKUP(A6998, IMPORTRANGE(""https://docs.google.com/spreadsheets/d/1-3Vjw2Cyy-mry5gbC8ypIR3YVGFfEpyFESummAta6sg/edit"", ""Sheet1!B:D""), 3, FALSE), ""Not Found"")"),"p l i ")</f>
        <v>p l i </v>
      </c>
    </row>
    <row r="6999">
      <c r="A6999" s="1" t="s">
        <v>7001</v>
      </c>
      <c r="B6999" s="1" t="s">
        <v>5</v>
      </c>
      <c r="C6999" s="2">
        <f>IFERROR(__xludf.DUMMYFUNCTION("IFERROR(VLOOKUP(A6999, IMPORTRANGE(""https://docs.google.com/spreadsheets/d/1AVX9GT0dgogEBStecCXMMQ29tWz3gBrtNB8yIromXbY/edit?gid=741673867"", ""out1g!A:B""), 2, FALSE), 0)"),516.0)</f>
        <v>516</v>
      </c>
      <c r="D6999" s="2" t="str">
        <f>IFERROR(__xludf.DUMMYFUNCTION("IFERROR(VLOOKUP(A6999, IMPORTRANGE(""https://docs.google.com/spreadsheets/d/1-3Vjw2Cyy-mry5gbC8ypIR3YVGFfEpyFESummAta6sg/edit"", ""Sheet1!B:D""), 2, FALSE), ""Not Found"")"),"wərm")</f>
        <v>wərm</v>
      </c>
      <c r="E6999" s="2" t="str">
        <f>IFERROR(__xludf.DUMMYFUNCTION("IFERROR(VLOOKUP(A6999, IMPORTRANGE(""https://docs.google.com/spreadsheets/d/1-3Vjw2Cyy-mry5gbC8ypIR3YVGFfEpyFESummAta6sg/edit"", ""Sheet1!B:D""), 3, FALSE), ""Not Found"")"),"w ə r m ")</f>
        <v>w ə r m </v>
      </c>
    </row>
    <row r="7000">
      <c r="A7000" s="1" t="s">
        <v>7002</v>
      </c>
      <c r="B7000" s="1" t="s">
        <v>5</v>
      </c>
      <c r="C7000" s="2">
        <f>IFERROR(__xludf.DUMMYFUNCTION("IFERROR(VLOOKUP(A7000, IMPORTRANGE(""https://docs.google.com/spreadsheets/d/1AVX9GT0dgogEBStecCXMMQ29tWz3gBrtNB8yIromXbY/edit?gid=741673867"", ""out1g!A:B""), 2, FALSE), 0)"),451.0)</f>
        <v>451</v>
      </c>
      <c r="D7000" s="2" t="str">
        <f>IFERROR(__xludf.DUMMYFUNCTION("IFERROR(VLOOKUP(A7000, IMPORTRANGE(""https://docs.google.com/spreadsheets/d/1-3Vjw2Cyy-mry5gbC8ypIR3YVGFfEpyFESummAta6sg/edit"", ""Sheet1!B:D""), 2, FALSE), ""Not Found"")"),"sidi")</f>
        <v>sidi</v>
      </c>
      <c r="E7000" s="2" t="str">
        <f>IFERROR(__xludf.DUMMYFUNCTION("IFERROR(VLOOKUP(A7000, IMPORTRANGE(""https://docs.google.com/spreadsheets/d/1-3Vjw2Cyy-mry5gbC8ypIR3YVGFfEpyFESummAta6sg/edit"", ""Sheet1!B:D""), 3, FALSE), ""Not Found"")"),"s i d i ")</f>
        <v>s i d i </v>
      </c>
    </row>
    <row r="7001">
      <c r="A7001" s="1" t="s">
        <v>7003</v>
      </c>
      <c r="B7001" s="1" t="s">
        <v>5</v>
      </c>
      <c r="C7001" s="2">
        <f>IFERROR(__xludf.DUMMYFUNCTION("IFERROR(VLOOKUP(A7001, IMPORTRANGE(""https://docs.google.com/spreadsheets/d/1AVX9GT0dgogEBStecCXMMQ29tWz3gBrtNB8yIromXbY/edit?gid=741673867"", ""out1g!A:B""), 2, FALSE), 0)"),109.0)</f>
        <v>109</v>
      </c>
      <c r="D7001" s="2" t="str">
        <f>IFERROR(__xludf.DUMMYFUNCTION("IFERROR(VLOOKUP(A7001, IMPORTRANGE(""https://docs.google.com/spreadsheets/d/1-3Vjw2Cyy-mry5gbC8ypIR3YVGFfEpyFESummAta6sg/edit"", ""Sheet1!B:D""), 2, FALSE), ""Not Found"")"),"krevɪŋ")</f>
        <v>krevɪŋ</v>
      </c>
      <c r="E7001" s="2" t="str">
        <f>IFERROR(__xludf.DUMMYFUNCTION("IFERROR(VLOOKUP(A7001, IMPORTRANGE(""https://docs.google.com/spreadsheets/d/1-3Vjw2Cyy-mry5gbC8ypIR3YVGFfEpyFESummAta6sg/edit"", ""Sheet1!B:D""), 3, FALSE), ""Not Found"")"),"k r e v ɪ ŋ ")</f>
        <v>k r e v ɪ ŋ </v>
      </c>
    </row>
    <row r="7002">
      <c r="A7002" s="1" t="s">
        <v>7004</v>
      </c>
      <c r="B7002" s="1" t="s">
        <v>5</v>
      </c>
      <c r="C7002" s="2">
        <f>IFERROR(__xludf.DUMMYFUNCTION("IFERROR(VLOOKUP(A7002, IMPORTRANGE(""https://docs.google.com/spreadsheets/d/1AVX9GT0dgogEBStecCXMMQ29tWz3gBrtNB8yIromXbY/edit?gid=741673867"", ""out1g!A:B""), 2, FALSE), 0)"),131.0)</f>
        <v>131</v>
      </c>
      <c r="D7002" s="2" t="str">
        <f>IFERROR(__xludf.DUMMYFUNCTION("IFERROR(VLOOKUP(A7002, IMPORTRANGE(""https://docs.google.com/spreadsheets/d/1-3Vjw2Cyy-mry5gbC8ypIR3YVGFfEpyFESummAta6sg/edit"", ""Sheet1!B:D""), 2, FALSE), ""Not Found"")"),"tɛlər")</f>
        <v>tɛlər</v>
      </c>
      <c r="E7002" s="2" t="str">
        <f>IFERROR(__xludf.DUMMYFUNCTION("IFERROR(VLOOKUP(A7002, IMPORTRANGE(""https://docs.google.com/spreadsheets/d/1-3Vjw2Cyy-mry5gbC8ypIR3YVGFfEpyFESummAta6sg/edit"", ""Sheet1!B:D""), 3, FALSE), ""Not Found"")"),"t ɛ l ə r ")</f>
        <v>t ɛ l ə r </v>
      </c>
    </row>
    <row r="7003">
      <c r="A7003" s="1" t="s">
        <v>7005</v>
      </c>
      <c r="B7003" s="1" t="s">
        <v>5</v>
      </c>
      <c r="C7003" s="2">
        <f>IFERROR(__xludf.DUMMYFUNCTION("IFERROR(VLOOKUP(A7003, IMPORTRANGE(""https://docs.google.com/spreadsheets/d/1AVX9GT0dgogEBStecCXMMQ29tWz3gBrtNB8yIromXbY/edit?gid=741673867"", ""out1g!A:B""), 2, FALSE), 0)"),1826.0)</f>
        <v>1826</v>
      </c>
      <c r="D7003" s="2" t="str">
        <f>IFERROR(__xludf.DUMMYFUNCTION("IFERROR(VLOOKUP(A7003, IMPORTRANGE(""https://docs.google.com/spreadsheets/d/1-3Vjw2Cyy-mry5gbC8ypIR3YVGFfEpyFESummAta6sg/edit"", ""Sheet1!B:D""), 2, FALSE), ""Not Found"")"),"kæb")</f>
        <v>kæb</v>
      </c>
      <c r="E7003" s="2" t="str">
        <f>IFERROR(__xludf.DUMMYFUNCTION("IFERROR(VLOOKUP(A7003, IMPORTRANGE(""https://docs.google.com/spreadsheets/d/1-3Vjw2Cyy-mry5gbC8ypIR3YVGFfEpyFESummAta6sg/edit"", ""Sheet1!B:D""), 3, FALSE), ""Not Found"")"),"k æ b ")</f>
        <v>k æ b </v>
      </c>
    </row>
    <row r="7004">
      <c r="A7004" s="1" t="s">
        <v>7006</v>
      </c>
      <c r="B7004" s="1" t="s">
        <v>5</v>
      </c>
      <c r="C7004" s="2">
        <f>IFERROR(__xludf.DUMMYFUNCTION("IFERROR(VLOOKUP(A7004, IMPORTRANGE(""https://docs.google.com/spreadsheets/d/1AVX9GT0dgogEBStecCXMMQ29tWz3gBrtNB8yIromXbY/edit?gid=741673867"", ""out1g!A:B""), 2, FALSE), 0)"),543.0)</f>
        <v>543</v>
      </c>
      <c r="D7004" s="2" t="str">
        <f>IFERROR(__xludf.DUMMYFUNCTION("IFERROR(VLOOKUP(A7004, IMPORTRANGE(""https://docs.google.com/spreadsheets/d/1-3Vjw2Cyy-mry5gbC8ypIR3YVGFfEpyFESummAta6sg/edit"", ""Sheet1!B:D""), 2, FALSE), ""Not Found"")"),"hɛktər")</f>
        <v>hɛktər</v>
      </c>
      <c r="E7004" s="2" t="str">
        <f>IFERROR(__xludf.DUMMYFUNCTION("IFERROR(VLOOKUP(A7004, IMPORTRANGE(""https://docs.google.com/spreadsheets/d/1-3Vjw2Cyy-mry5gbC8ypIR3YVGFfEpyFESummAta6sg/edit"", ""Sheet1!B:D""), 3, FALSE), ""Not Found"")"),"h ɛ k t ə r ")</f>
        <v>h ɛ k t ə r </v>
      </c>
    </row>
    <row r="7005">
      <c r="A7005" s="1" t="s">
        <v>7007</v>
      </c>
      <c r="B7005" s="1" t="s">
        <v>5</v>
      </c>
      <c r="C7005" s="2">
        <f>IFERROR(__xludf.DUMMYFUNCTION("IFERROR(VLOOKUP(A7005, IMPORTRANGE(""https://docs.google.com/spreadsheets/d/1AVX9GT0dgogEBStecCXMMQ29tWz3gBrtNB8yIromXbY/edit?gid=741673867"", ""out1g!A:B""), 2, FALSE), 0)"),80.0)</f>
        <v>80</v>
      </c>
      <c r="D7005" s="2" t="str">
        <f>IFERROR(__xludf.DUMMYFUNCTION("IFERROR(VLOOKUP(A7005, IMPORTRANGE(""https://docs.google.com/spreadsheets/d/1-3Vjw2Cyy-mry5gbC8ypIR3YVGFfEpyFESummAta6sg/edit"", ""Sheet1!B:D""), 2, FALSE), ""Not Found"")"),"ʤən")</f>
        <v>ʤən</v>
      </c>
      <c r="E7005" s="2" t="str">
        <f>IFERROR(__xludf.DUMMYFUNCTION("IFERROR(VLOOKUP(A7005, IMPORTRANGE(""https://docs.google.com/spreadsheets/d/1-3Vjw2Cyy-mry5gbC8ypIR3YVGFfEpyFESummAta6sg/edit"", ""Sheet1!B:D""), 3, FALSE), ""Not Found"")"),"ʤ ə n ")</f>
        <v>ʤ ə n </v>
      </c>
    </row>
    <row r="7006">
      <c r="A7006" s="1" t="s">
        <v>7008</v>
      </c>
      <c r="B7006" s="1" t="s">
        <v>5</v>
      </c>
      <c r="C7006" s="2">
        <f>IFERROR(__xludf.DUMMYFUNCTION("IFERROR(VLOOKUP(A7006, IMPORTRANGE(""https://docs.google.com/spreadsheets/d/1AVX9GT0dgogEBStecCXMMQ29tWz3gBrtNB8yIromXbY/edit?gid=741673867"", ""out1g!A:B""), 2, FALSE), 0)"),66.0)</f>
        <v>66</v>
      </c>
      <c r="D7006" s="2" t="str">
        <f>IFERROR(__xludf.DUMMYFUNCTION("IFERROR(VLOOKUP(A7006, IMPORTRANGE(""https://docs.google.com/spreadsheets/d/1-3Vjw2Cyy-mry5gbC8ypIR3YVGFfEpyFESummAta6sg/edit"", ""Sheet1!B:D""), 2, FALSE), ""Not Found"")"),"brutəs")</f>
        <v>brutəs</v>
      </c>
      <c r="E7006" s="2" t="str">
        <f>IFERROR(__xludf.DUMMYFUNCTION("IFERROR(VLOOKUP(A7006, IMPORTRANGE(""https://docs.google.com/spreadsheets/d/1-3Vjw2Cyy-mry5gbC8ypIR3YVGFfEpyFESummAta6sg/edit"", ""Sheet1!B:D""), 3, FALSE), ""Not Found"")"),"b r u t ə s ")</f>
        <v>b r u t ə s </v>
      </c>
    </row>
    <row r="7007">
      <c r="A7007" s="1" t="s">
        <v>7009</v>
      </c>
      <c r="B7007" s="1" t="s">
        <v>5</v>
      </c>
      <c r="C7007" s="2">
        <f>IFERROR(__xludf.DUMMYFUNCTION("IFERROR(VLOOKUP(A7007, IMPORTRANGE(""https://docs.google.com/spreadsheets/d/1AVX9GT0dgogEBStecCXMMQ29tWz3gBrtNB8yIromXbY/edit?gid=741673867"", ""out1g!A:B""), 2, FALSE), 0)"),14481.0)</f>
        <v>14481</v>
      </c>
      <c r="D7007" s="2" t="str">
        <f>IFERROR(__xludf.DUMMYFUNCTION("IFERROR(VLOOKUP(A7007, IMPORTRANGE(""https://docs.google.com/spreadsheets/d/1-3Vjw2Cyy-mry5gbC8ypIR3YVGFfEpyFESummAta6sg/edit"", ""Sheet1!B:D""), 2, FALSE), ""Not Found"")"),"brəðər")</f>
        <v>brəðər</v>
      </c>
      <c r="E7007" s="2" t="str">
        <f>IFERROR(__xludf.DUMMYFUNCTION("IFERROR(VLOOKUP(A7007, IMPORTRANGE(""https://docs.google.com/spreadsheets/d/1-3Vjw2Cyy-mry5gbC8ypIR3YVGFfEpyFESummAta6sg/edit"", ""Sheet1!B:D""), 3, FALSE), ""Not Found"")"),"b r ə ð ə r ")</f>
        <v>b r ə ð ə r </v>
      </c>
    </row>
    <row r="7008">
      <c r="A7008" s="1" t="s">
        <v>7010</v>
      </c>
      <c r="B7008" s="1" t="s">
        <v>5</v>
      </c>
      <c r="C7008" s="2">
        <f>IFERROR(__xludf.DUMMYFUNCTION("IFERROR(VLOOKUP(A7008, IMPORTRANGE(""https://docs.google.com/spreadsheets/d/1AVX9GT0dgogEBStecCXMMQ29tWz3gBrtNB8yIromXbY/edit?gid=741673867"", ""out1g!A:B""), 2, FALSE), 0)"),60.0)</f>
        <v>60</v>
      </c>
      <c r="D7008" s="2" t="str">
        <f>IFERROR(__xludf.DUMMYFUNCTION("IFERROR(VLOOKUP(A7008, IMPORTRANGE(""https://docs.google.com/spreadsheets/d/1-3Vjw2Cyy-mry5gbC8ypIR3YVGFfEpyFESummAta6sg/edit"", ""Sheet1!B:D""), 2, FALSE), ""Not Found"")"),"fɪnz")</f>
        <v>fɪnz</v>
      </c>
      <c r="E7008" s="2" t="str">
        <f>IFERROR(__xludf.DUMMYFUNCTION("IFERROR(VLOOKUP(A7008, IMPORTRANGE(""https://docs.google.com/spreadsheets/d/1-3Vjw2Cyy-mry5gbC8ypIR3YVGFfEpyFESummAta6sg/edit"", ""Sheet1!B:D""), 3, FALSE), ""Not Found"")"),"f ɪ n z ")</f>
        <v>f ɪ n z </v>
      </c>
    </row>
    <row r="7009">
      <c r="A7009" s="1" t="s">
        <v>7011</v>
      </c>
      <c r="B7009" s="1" t="s">
        <v>5</v>
      </c>
      <c r="C7009" s="2">
        <f>IFERROR(__xludf.DUMMYFUNCTION("IFERROR(VLOOKUP(A7009, IMPORTRANGE(""https://docs.google.com/spreadsheets/d/1AVX9GT0dgogEBStecCXMMQ29tWz3gBrtNB8yIromXbY/edit?gid=741673867"", ""out1g!A:B""), 2, FALSE), 0)"),165.0)</f>
        <v>165</v>
      </c>
      <c r="D7009" s="2" t="str">
        <f>IFERROR(__xludf.DUMMYFUNCTION("IFERROR(VLOOKUP(A7009, IMPORTRANGE(""https://docs.google.com/spreadsheets/d/1-3Vjw2Cyy-mry5gbC8ypIR3YVGFfEpyFESummAta6sg/edit"", ""Sheet1!B:D""), 2, FALSE), ""Not Found"")"),"ɛl")</f>
        <v>ɛl</v>
      </c>
      <c r="E7009" s="2" t="str">
        <f>IFERROR(__xludf.DUMMYFUNCTION("IFERROR(VLOOKUP(A7009, IMPORTRANGE(""https://docs.google.com/spreadsheets/d/1-3Vjw2Cyy-mry5gbC8ypIR3YVGFfEpyFESummAta6sg/edit"", ""Sheet1!B:D""), 3, FALSE), ""Not Found"")"),"ɛ l ")</f>
        <v>ɛ l </v>
      </c>
    </row>
    <row r="7010">
      <c r="A7010" s="1" t="s">
        <v>7012</v>
      </c>
      <c r="B7010" s="1" t="s">
        <v>5</v>
      </c>
      <c r="C7010" s="2">
        <f>IFERROR(__xludf.DUMMYFUNCTION("IFERROR(VLOOKUP(A7010, IMPORTRANGE(""https://docs.google.com/spreadsheets/d/1AVX9GT0dgogEBStecCXMMQ29tWz3gBrtNB8yIromXbY/edit?gid=741673867"", ""out1g!A:B""), 2, FALSE), 0)"),68.0)</f>
        <v>68</v>
      </c>
      <c r="D7010" s="2" t="str">
        <f>IFERROR(__xludf.DUMMYFUNCTION("IFERROR(VLOOKUP(A7010, IMPORTRANGE(""https://docs.google.com/spreadsheets/d/1-3Vjw2Cyy-mry5gbC8ypIR3YVGFfEpyFESummAta6sg/edit"", ""Sheet1!B:D""), 2, FALSE), ""Not Found"")"),"pɪpɪn")</f>
        <v>pɪpɪn</v>
      </c>
      <c r="E7010" s="2" t="str">
        <f>IFERROR(__xludf.DUMMYFUNCTION("IFERROR(VLOOKUP(A7010, IMPORTRANGE(""https://docs.google.com/spreadsheets/d/1-3Vjw2Cyy-mry5gbC8ypIR3YVGFfEpyFESummAta6sg/edit"", ""Sheet1!B:D""), 3, FALSE), ""Not Found"")"),"p ɪ p ɪ n ")</f>
        <v>p ɪ p ɪ n </v>
      </c>
    </row>
    <row r="7011">
      <c r="A7011" s="1" t="s">
        <v>7013</v>
      </c>
      <c r="B7011" s="1" t="s">
        <v>5</v>
      </c>
      <c r="C7011" s="2">
        <f>IFERROR(__xludf.DUMMYFUNCTION("IFERROR(VLOOKUP(A7011, IMPORTRANGE(""https://docs.google.com/spreadsheets/d/1AVX9GT0dgogEBStecCXMMQ29tWz3gBrtNB8yIromXbY/edit?gid=741673867"", ""out1g!A:B""), 2, FALSE), 0)"),340.0)</f>
        <v>340</v>
      </c>
      <c r="D7011" s="2" t="str">
        <f>IFERROR(__xludf.DUMMYFUNCTION("IFERROR(VLOOKUP(A7011, IMPORTRANGE(""https://docs.google.com/spreadsheets/d/1-3Vjw2Cyy-mry5gbC8ypIR3YVGFfEpyFESummAta6sg/edit"", ""Sheet1!B:D""), 2, FALSE), ""Not Found"")"),"hoʊmər")</f>
        <v>hoʊmər</v>
      </c>
      <c r="E7011" s="2" t="str">
        <f>IFERROR(__xludf.DUMMYFUNCTION("IFERROR(VLOOKUP(A7011, IMPORTRANGE(""https://docs.google.com/spreadsheets/d/1-3Vjw2Cyy-mry5gbC8ypIR3YVGFfEpyFESummAta6sg/edit"", ""Sheet1!B:D""), 3, FALSE), ""Not Found"")"),"h o ʊ m ə r ")</f>
        <v>h o ʊ m ə r </v>
      </c>
    </row>
    <row r="7012">
      <c r="A7012" s="1" t="s">
        <v>7014</v>
      </c>
      <c r="B7012" s="1" t="s">
        <v>5</v>
      </c>
      <c r="C7012" s="2">
        <f>IFERROR(__xludf.DUMMYFUNCTION("IFERROR(VLOOKUP(A7012, IMPORTRANGE(""https://docs.google.com/spreadsheets/d/1AVX9GT0dgogEBStecCXMMQ29tWz3gBrtNB8yIromXbY/edit?gid=741673867"", ""out1g!A:B""), 2, FALSE), 0)"),9.0)</f>
        <v>9</v>
      </c>
      <c r="D7012" s="2" t="str">
        <f>IFERROR(__xludf.DUMMYFUNCTION("IFERROR(VLOOKUP(A7012, IMPORTRANGE(""https://docs.google.com/spreadsheets/d/1-3Vjw2Cyy-mry5gbC8ypIR3YVGFfEpyFESummAta6sg/edit"", ""Sheet1!B:D""), 2, FALSE), ""Not Found"")"),"de")</f>
        <v>de</v>
      </c>
      <c r="E7012" s="2" t="str">
        <f>IFERROR(__xludf.DUMMYFUNCTION("IFERROR(VLOOKUP(A7012, IMPORTRANGE(""https://docs.google.com/spreadsheets/d/1-3Vjw2Cyy-mry5gbC8ypIR3YVGFfEpyFESummAta6sg/edit"", ""Sheet1!B:D""), 3, FALSE), ""Not Found"")"),"d e ")</f>
        <v>d e </v>
      </c>
    </row>
    <row r="7013">
      <c r="A7013" s="1" t="s">
        <v>7015</v>
      </c>
      <c r="B7013" s="1" t="s">
        <v>5</v>
      </c>
      <c r="C7013" s="2">
        <f>IFERROR(__xludf.DUMMYFUNCTION("IFERROR(VLOOKUP(A7013, IMPORTRANGE(""https://docs.google.com/spreadsheets/d/1AVX9GT0dgogEBStecCXMMQ29tWz3gBrtNB8yIromXbY/edit?gid=741673867"", ""out1g!A:B""), 2, FALSE), 0)"),59.0)</f>
        <v>59</v>
      </c>
      <c r="D7013" s="2" t="str">
        <f>IFERROR(__xludf.DUMMYFUNCTION("IFERROR(VLOOKUP(A7013, IMPORTRANGE(""https://docs.google.com/spreadsheets/d/1-3Vjw2Cyy-mry5gbC8ypIR3YVGFfEpyFESummAta6sg/edit"", ""Sheet1!B:D""), 2, FALSE), ""Not Found"")"),"klɪpər")</f>
        <v>klɪpər</v>
      </c>
      <c r="E7013" s="2" t="str">
        <f>IFERROR(__xludf.DUMMYFUNCTION("IFERROR(VLOOKUP(A7013, IMPORTRANGE(""https://docs.google.com/spreadsheets/d/1-3Vjw2Cyy-mry5gbC8ypIR3YVGFfEpyFESummAta6sg/edit"", ""Sheet1!B:D""), 3, FALSE), ""Not Found"")"),"k l ɪ p ə r ")</f>
        <v>k l ɪ p ə r </v>
      </c>
    </row>
    <row r="7014">
      <c r="A7014" s="1" t="s">
        <v>7016</v>
      </c>
      <c r="B7014" s="1" t="s">
        <v>5</v>
      </c>
      <c r="C7014" s="2">
        <f>IFERROR(__xludf.DUMMYFUNCTION("IFERROR(VLOOKUP(A7014, IMPORTRANGE(""https://docs.google.com/spreadsheets/d/1AVX9GT0dgogEBStecCXMMQ29tWz3gBrtNB8yIromXbY/edit?gid=741673867"", ""out1g!A:B""), 2, FALSE), 0)"),68.0)</f>
        <v>68</v>
      </c>
      <c r="D7014" s="2" t="str">
        <f>IFERROR(__xludf.DUMMYFUNCTION("IFERROR(VLOOKUP(A7014, IMPORTRANGE(""https://docs.google.com/spreadsheets/d/1-3Vjw2Cyy-mry5gbC8ypIR3YVGFfEpyFESummAta6sg/edit"", ""Sheet1!B:D""), 2, FALSE), ""Not Found"")"),"treni")</f>
        <v>treni</v>
      </c>
      <c r="E7014" s="2" t="str">
        <f>IFERROR(__xludf.DUMMYFUNCTION("IFERROR(VLOOKUP(A7014, IMPORTRANGE(""https://docs.google.com/spreadsheets/d/1-3Vjw2Cyy-mry5gbC8ypIR3YVGFfEpyFESummAta6sg/edit"", ""Sheet1!B:D""), 3, FALSE), ""Not Found"")"),"t r e n i ")</f>
        <v>t r e n i </v>
      </c>
    </row>
    <row r="7015">
      <c r="A7015" s="1" t="s">
        <v>7017</v>
      </c>
      <c r="B7015" s="1" t="s">
        <v>5</v>
      </c>
      <c r="C7015" s="2">
        <f>IFERROR(__xludf.DUMMYFUNCTION("IFERROR(VLOOKUP(A7015, IMPORTRANGE(""https://docs.google.com/spreadsheets/d/1AVX9GT0dgogEBStecCXMMQ29tWz3gBrtNB8yIromXbY/edit?gid=741673867"", ""out1g!A:B""), 2, FALSE), 0)"),32435.0)</f>
        <v>32435</v>
      </c>
      <c r="D7015" s="2" t="str">
        <f>IFERROR(__xludf.DUMMYFUNCTION("IFERROR(VLOOKUP(A7015, IMPORTRANGE(""https://docs.google.com/spreadsheets/d/1-3Vjw2Cyy-mry5gbC8ypIR3YVGFfEpyFESummAta6sg/edit"", ""Sheet1!B:D""), 2, FALSE), ""Not Found"")"),"duzn")</f>
        <v>duzn</v>
      </c>
      <c r="E7015" s="2" t="str">
        <f>IFERROR(__xludf.DUMMYFUNCTION("IFERROR(VLOOKUP(A7015, IMPORTRANGE(""https://docs.google.com/spreadsheets/d/1-3Vjw2Cyy-mry5gbC8ypIR3YVGFfEpyFESummAta6sg/edit"", ""Sheet1!B:D""), 3, FALSE), ""Not Found"")"),"d u z n ")</f>
        <v>d u z n </v>
      </c>
    </row>
    <row r="7016">
      <c r="A7016" s="1" t="s">
        <v>7018</v>
      </c>
      <c r="B7016" s="1" t="s">
        <v>5</v>
      </c>
      <c r="C7016" s="2">
        <f>IFERROR(__xludf.DUMMYFUNCTION("IFERROR(VLOOKUP(A7016, IMPORTRANGE(""https://docs.google.com/spreadsheets/d/1AVX9GT0dgogEBStecCXMMQ29tWz3gBrtNB8yIromXbY/edit?gid=741673867"", ""out1g!A:B""), 2, FALSE), 0)"),29.0)</f>
        <v>29</v>
      </c>
      <c r="D7016" s="2" t="str">
        <f>IFERROR(__xludf.DUMMYFUNCTION("IFERROR(VLOOKUP(A7016, IMPORTRANGE(""https://docs.google.com/spreadsheets/d/1-3Vjw2Cyy-mry5gbC8ypIR3YVGFfEpyFESummAta6sg/edit"", ""Sheet1!B:D""), 2, FALSE), ""Not Found"")"),"swed")</f>
        <v>swed</v>
      </c>
      <c r="E7016" s="2" t="str">
        <f>IFERROR(__xludf.DUMMYFUNCTION("IFERROR(VLOOKUP(A7016, IMPORTRANGE(""https://docs.google.com/spreadsheets/d/1-3Vjw2Cyy-mry5gbC8ypIR3YVGFfEpyFESummAta6sg/edit"", ""Sheet1!B:D""), 3, FALSE), ""Not Found"")"),"s w e d ")</f>
        <v>s w e d </v>
      </c>
    </row>
    <row r="7017">
      <c r="A7017" s="1" t="s">
        <v>7019</v>
      </c>
      <c r="B7017" s="1" t="s">
        <v>5</v>
      </c>
      <c r="C7017" s="2">
        <f>IFERROR(__xludf.DUMMYFUNCTION("IFERROR(VLOOKUP(A7017, IMPORTRANGE(""https://docs.google.com/spreadsheets/d/1AVX9GT0dgogEBStecCXMMQ29tWz3gBrtNB8yIromXbY/edit?gid=741673867"", ""out1g!A:B""), 2, FALSE), 0)"),105.0)</f>
        <v>105</v>
      </c>
      <c r="D7017" s="2" t="str">
        <f>IFERROR(__xludf.DUMMYFUNCTION("IFERROR(VLOOKUP(A7017, IMPORTRANGE(""https://docs.google.com/spreadsheets/d/1-3Vjw2Cyy-mry5gbC8ypIR3YVGFfEpyFESummAta6sg/edit"", ""Sheet1!B:D""), 2, FALSE), ""Not Found"")"),"dɪke")</f>
        <v>dɪke</v>
      </c>
      <c r="E7017" s="2" t="str">
        <f>IFERROR(__xludf.DUMMYFUNCTION("IFERROR(VLOOKUP(A7017, IMPORTRANGE(""https://docs.google.com/spreadsheets/d/1-3Vjw2Cyy-mry5gbC8ypIR3YVGFfEpyFESummAta6sg/edit"", ""Sheet1!B:D""), 3, FALSE), ""Not Found"")"),"d ɪ k e ")</f>
        <v>d ɪ k e </v>
      </c>
    </row>
    <row r="7018">
      <c r="A7018" s="1" t="s">
        <v>7020</v>
      </c>
      <c r="B7018" s="1" t="s">
        <v>5</v>
      </c>
      <c r="C7018" s="2">
        <f>IFERROR(__xludf.DUMMYFUNCTION("IFERROR(VLOOKUP(A7018, IMPORTRANGE(""https://docs.google.com/spreadsheets/d/1AVX9GT0dgogEBStecCXMMQ29tWz3gBrtNB8yIromXbY/edit?gid=741673867"", ""out1g!A:B""), 2, FALSE), 0)"),38729.0)</f>
        <v>38729</v>
      </c>
      <c r="D7018" s="2" t="str">
        <f>IFERROR(__xludf.DUMMYFUNCTION("IFERROR(VLOOKUP(A7018, IMPORTRANGE(""https://docs.google.com/spreadsheets/d/1-3Vjw2Cyy-mry5gbC8ypIR3YVGFfEpyFESummAta6sg/edit"", ""Sheet1!B:D""), 2, FALSE), ""Not Found"")"),"wən")</f>
        <v>wən</v>
      </c>
      <c r="E7018" s="2" t="str">
        <f>IFERROR(__xludf.DUMMYFUNCTION("IFERROR(VLOOKUP(A7018, IMPORTRANGE(""https://docs.google.com/spreadsheets/d/1-3Vjw2Cyy-mry5gbC8ypIR3YVGFfEpyFESummAta6sg/edit"", ""Sheet1!B:D""), 3, FALSE), ""Not Found"")"),"w ə n ")</f>
        <v>w ə n </v>
      </c>
    </row>
    <row r="7019">
      <c r="A7019" s="1" t="s">
        <v>7021</v>
      </c>
      <c r="B7019" s="1" t="s">
        <v>5</v>
      </c>
      <c r="C7019" s="2">
        <f>IFERROR(__xludf.DUMMYFUNCTION("IFERROR(VLOOKUP(A7019, IMPORTRANGE(""https://docs.google.com/spreadsheets/d/1AVX9GT0dgogEBStecCXMMQ29tWz3gBrtNB8yIromXbY/edit?gid=741673867"", ""out1g!A:B""), 2, FALSE), 0)"),10.0)</f>
        <v>10</v>
      </c>
      <c r="D7019" s="2" t="str">
        <f>IFERROR(__xludf.DUMMYFUNCTION("IFERROR(VLOOKUP(A7019, IMPORTRANGE(""https://docs.google.com/spreadsheets/d/1-3Vjw2Cyy-mry5gbC8ypIR3YVGFfEpyFESummAta6sg/edit"", ""Sheet1!B:D""), 2, FALSE), ""Not Found"")"),"wɔznt")</f>
        <v>wɔznt</v>
      </c>
      <c r="E7019" s="2" t="str">
        <f>IFERROR(__xludf.DUMMYFUNCTION("IFERROR(VLOOKUP(A7019, IMPORTRANGE(""https://docs.google.com/spreadsheets/d/1-3Vjw2Cyy-mry5gbC8ypIR3YVGFfEpyFESummAta6sg/edit"", ""Sheet1!B:D""), 3, FALSE), ""Not Found"")"),"w ɔ z n t ")</f>
        <v>w ɔ z n t </v>
      </c>
    </row>
    <row r="7020">
      <c r="A7020" s="1" t="s">
        <v>7022</v>
      </c>
      <c r="B7020" s="1" t="s">
        <v>5</v>
      </c>
      <c r="C7020" s="2">
        <f>IFERROR(__xludf.DUMMYFUNCTION("IFERROR(VLOOKUP(A7020, IMPORTRANGE(""https://docs.google.com/spreadsheets/d/1AVX9GT0dgogEBStecCXMMQ29tWz3gBrtNB8yIromXbY/edit?gid=741673867"", ""out1g!A:B""), 2, FALSE), 0)"),811.0)</f>
        <v>811</v>
      </c>
      <c r="D7020" s="2" t="str">
        <f>IFERROR(__xludf.DUMMYFUNCTION("IFERROR(VLOOKUP(A7020, IMPORTRANGE(""https://docs.google.com/spreadsheets/d/1-3Vjw2Cyy-mry5gbC8ypIR3YVGFfEpyFESummAta6sg/edit"", ""Sheet1!B:D""), 2, FALSE), ""Not Found"")"),"bloʊn")</f>
        <v>bloʊn</v>
      </c>
      <c r="E7020" s="2" t="str">
        <f>IFERROR(__xludf.DUMMYFUNCTION("IFERROR(VLOOKUP(A7020, IMPORTRANGE(""https://docs.google.com/spreadsheets/d/1-3Vjw2Cyy-mry5gbC8ypIR3YVGFfEpyFESummAta6sg/edit"", ""Sheet1!B:D""), 3, FALSE), ""Not Found"")"),"b l o ʊ n ")</f>
        <v>b l o ʊ n </v>
      </c>
    </row>
    <row r="7021">
      <c r="A7021" s="1" t="s">
        <v>7023</v>
      </c>
      <c r="B7021" s="1" t="s">
        <v>5</v>
      </c>
      <c r="C7021" s="2">
        <f>IFERROR(__xludf.DUMMYFUNCTION("IFERROR(VLOOKUP(A7021, IMPORTRANGE(""https://docs.google.com/spreadsheets/d/1AVX9GT0dgogEBStecCXMMQ29tWz3gBrtNB8yIromXbY/edit?gid=741673867"", ""out1g!A:B""), 2, FALSE), 0)"),174.0)</f>
        <v>174</v>
      </c>
      <c r="D7021" s="2" t="str">
        <f>IFERROR(__xludf.DUMMYFUNCTION("IFERROR(VLOOKUP(A7021, IMPORTRANGE(""https://docs.google.com/spreadsheets/d/1-3Vjw2Cyy-mry5gbC8ypIR3YVGFfEpyFESummAta6sg/edit"", ""Sheet1!B:D""), 2, FALSE), ""Not Found"")"),"pɛniz")</f>
        <v>pɛniz</v>
      </c>
      <c r="E7021" s="2" t="str">
        <f>IFERROR(__xludf.DUMMYFUNCTION("IFERROR(VLOOKUP(A7021, IMPORTRANGE(""https://docs.google.com/spreadsheets/d/1-3Vjw2Cyy-mry5gbC8ypIR3YVGFfEpyFESummAta6sg/edit"", ""Sheet1!B:D""), 3, FALSE), ""Not Found"")"),"p ɛ n i z ")</f>
        <v>p ɛ n i z </v>
      </c>
    </row>
    <row r="7022">
      <c r="A7022" s="1" t="s">
        <v>7024</v>
      </c>
      <c r="B7022" s="1" t="s">
        <v>5</v>
      </c>
      <c r="C7022" s="2">
        <f>IFERROR(__xludf.DUMMYFUNCTION("IFERROR(VLOOKUP(A7022, IMPORTRANGE(""https://docs.google.com/spreadsheets/d/1AVX9GT0dgogEBStecCXMMQ29tWz3gBrtNB8yIromXbY/edit?gid=741673867"", ""out1g!A:B""), 2, FALSE), 0)"),5550.0)</f>
        <v>5550</v>
      </c>
      <c r="D7022" s="2" t="str">
        <f>IFERROR(__xludf.DUMMYFUNCTION("IFERROR(VLOOKUP(A7022, IMPORTRANGE(""https://docs.google.com/spreadsheets/d/1-3Vjw2Cyy-mry5gbC8ypIR3YVGFfEpyFESummAta6sg/edit"", ""Sheet1!B:D""), 2, FALSE), ""Not Found"")"),"kɛrfəl")</f>
        <v>kɛrfəl</v>
      </c>
      <c r="E7022" s="2" t="str">
        <f>IFERROR(__xludf.DUMMYFUNCTION("IFERROR(VLOOKUP(A7022, IMPORTRANGE(""https://docs.google.com/spreadsheets/d/1-3Vjw2Cyy-mry5gbC8ypIR3YVGFfEpyFESummAta6sg/edit"", ""Sheet1!B:D""), 3, FALSE), ""Not Found"")"),"k ɛ r f ə l ")</f>
        <v>k ɛ r f ə l </v>
      </c>
    </row>
    <row r="7023">
      <c r="A7023" s="1" t="s">
        <v>7025</v>
      </c>
      <c r="B7023" s="1" t="s">
        <v>5</v>
      </c>
      <c r="C7023" s="2">
        <f>IFERROR(__xludf.DUMMYFUNCTION("IFERROR(VLOOKUP(A7023, IMPORTRANGE(""https://docs.google.com/spreadsheets/d/1AVX9GT0dgogEBStecCXMMQ29tWz3gBrtNB8yIromXbY/edit?gid=741673867"", ""out1g!A:B""), 2, FALSE), 0)"),182.0)</f>
        <v>182</v>
      </c>
      <c r="D7023" s="2" t="str">
        <f>IFERROR(__xludf.DUMMYFUNCTION("IFERROR(VLOOKUP(A7023, IMPORTRANGE(""https://docs.google.com/spreadsheets/d/1-3Vjw2Cyy-mry5gbC8ypIR3YVGFfEpyFESummAta6sg/edit"", ""Sheet1!B:D""), 2, FALSE), ""Not Found"")"),"pɛgd")</f>
        <v>pɛgd</v>
      </c>
      <c r="E7023" s="2" t="str">
        <f>IFERROR(__xludf.DUMMYFUNCTION("IFERROR(VLOOKUP(A7023, IMPORTRANGE(""https://docs.google.com/spreadsheets/d/1-3Vjw2Cyy-mry5gbC8ypIR3YVGFfEpyFESummAta6sg/edit"", ""Sheet1!B:D""), 3, FALSE), ""Not Found"")"),"p ɛ g d ")</f>
        <v>p ɛ g d </v>
      </c>
    </row>
    <row r="7024">
      <c r="A7024" s="1" t="s">
        <v>7026</v>
      </c>
      <c r="B7024" s="1" t="s">
        <v>5</v>
      </c>
      <c r="C7024" s="2">
        <f>IFERROR(__xludf.DUMMYFUNCTION("IFERROR(VLOOKUP(A7024, IMPORTRANGE(""https://docs.google.com/spreadsheets/d/1AVX9GT0dgogEBStecCXMMQ29tWz3gBrtNB8yIromXbY/edit?gid=741673867"", ""out1g!A:B""), 2, FALSE), 0)"),632.0)</f>
        <v>632</v>
      </c>
      <c r="D7024" s="2" t="str">
        <f>IFERROR(__xludf.DUMMYFUNCTION("IFERROR(VLOOKUP(A7024, IMPORTRANGE(""https://docs.google.com/spreadsheets/d/1-3Vjw2Cyy-mry5gbC8ypIR3YVGFfEpyFESummAta6sg/edit"", ""Sheet1!B:D""), 2, FALSE), ""Not Found"")"),"ðə")</f>
        <v>ðə</v>
      </c>
      <c r="E7024" s="2" t="str">
        <f>IFERROR(__xludf.DUMMYFUNCTION("IFERROR(VLOOKUP(A7024, IMPORTRANGE(""https://docs.google.com/spreadsheets/d/1-3Vjw2Cyy-mry5gbC8ypIR3YVGFfEpyFESummAta6sg/edit"", ""Sheet1!B:D""), 3, FALSE), ""Not Found"")"),"ð ə ")</f>
        <v>ð ə </v>
      </c>
    </row>
    <row r="7025">
      <c r="A7025" s="1" t="s">
        <v>7027</v>
      </c>
      <c r="B7025" s="1" t="s">
        <v>5</v>
      </c>
      <c r="C7025" s="2">
        <f>IFERROR(__xludf.DUMMYFUNCTION("IFERROR(VLOOKUP(A7025, IMPORTRANGE(""https://docs.google.com/spreadsheets/d/1AVX9GT0dgogEBStecCXMMQ29tWz3gBrtNB8yIromXbY/edit?gid=741673867"", ""out1g!A:B""), 2, FALSE), 0)"),282.0)</f>
        <v>282</v>
      </c>
      <c r="D7025" s="2" t="str">
        <f>IFERROR(__xludf.DUMMYFUNCTION("IFERROR(VLOOKUP(A7025, IMPORTRANGE(""https://docs.google.com/spreadsheets/d/1-3Vjw2Cyy-mry5gbC8ypIR3YVGFfEpyFESummAta6sg/edit"", ""Sheet1!B:D""), 2, FALSE), ""Not Found"")"),"men")</f>
        <v>men</v>
      </c>
      <c r="E7025" s="2" t="str">
        <f>IFERROR(__xludf.DUMMYFUNCTION("IFERROR(VLOOKUP(A7025, IMPORTRANGE(""https://docs.google.com/spreadsheets/d/1-3Vjw2Cyy-mry5gbC8ypIR3YVGFfEpyFESummAta6sg/edit"", ""Sheet1!B:D""), 3, FALSE), ""Not Found"")"),"m e n ")</f>
        <v>m e n </v>
      </c>
    </row>
    <row r="7026">
      <c r="A7026" s="1" t="s">
        <v>7028</v>
      </c>
      <c r="B7026" s="1" t="s">
        <v>5</v>
      </c>
      <c r="C7026" s="2">
        <f>IFERROR(__xludf.DUMMYFUNCTION("IFERROR(VLOOKUP(A7026, IMPORTRANGE(""https://docs.google.com/spreadsheets/d/1AVX9GT0dgogEBStecCXMMQ29tWz3gBrtNB8yIromXbY/edit?gid=741673867"", ""out1g!A:B""), 2, FALSE), 0)"),60.0)</f>
        <v>60</v>
      </c>
      <c r="D7026" s="2" t="str">
        <f>IFERROR(__xludf.DUMMYFUNCTION("IFERROR(VLOOKUP(A7026, IMPORTRANGE(""https://docs.google.com/spreadsheets/d/1-3Vjw2Cyy-mry5gbC8ypIR3YVGFfEpyFESummAta6sg/edit"", ""Sheet1!B:D""), 2, FALSE), ""Not Found"")"),"smɔlz")</f>
        <v>smɔlz</v>
      </c>
      <c r="E7026" s="2" t="str">
        <f>IFERROR(__xludf.DUMMYFUNCTION("IFERROR(VLOOKUP(A7026, IMPORTRANGE(""https://docs.google.com/spreadsheets/d/1-3Vjw2Cyy-mry5gbC8ypIR3YVGFfEpyFESummAta6sg/edit"", ""Sheet1!B:D""), 3, FALSE), ""Not Found"")"),"s m ɔ l z ")</f>
        <v>s m ɔ l z </v>
      </c>
    </row>
    <row r="7027">
      <c r="A7027" s="1" t="s">
        <v>7029</v>
      </c>
      <c r="B7027" s="1" t="s">
        <v>5</v>
      </c>
      <c r="C7027" s="2">
        <f>IFERROR(__xludf.DUMMYFUNCTION("IFERROR(VLOOKUP(A7027, IMPORTRANGE(""https://docs.google.com/spreadsheets/d/1AVX9GT0dgogEBStecCXMMQ29tWz3gBrtNB8yIromXbY/edit?gid=741673867"", ""out1g!A:B""), 2, FALSE), 0)"),297.0)</f>
        <v>297</v>
      </c>
      <c r="D7027" s="2" t="str">
        <f>IFERROR(__xludf.DUMMYFUNCTION("IFERROR(VLOOKUP(A7027, IMPORTRANGE(""https://docs.google.com/spreadsheets/d/1-3Vjw2Cyy-mry5gbC8ypIR3YVGFfEpyFESummAta6sg/edit"", ""Sheet1!B:D""), 2, FALSE), ""Not Found"")"),"saʊər")</f>
        <v>saʊər</v>
      </c>
      <c r="E7027" s="2" t="str">
        <f>IFERROR(__xludf.DUMMYFUNCTION("IFERROR(VLOOKUP(A7027, IMPORTRANGE(""https://docs.google.com/spreadsheets/d/1-3Vjw2Cyy-mry5gbC8ypIR3YVGFfEpyFESummAta6sg/edit"", ""Sheet1!B:D""), 3, FALSE), ""Not Found"")"),"s a ʊ ə r ")</f>
        <v>s a ʊ ə r </v>
      </c>
    </row>
    <row r="7028">
      <c r="A7028" s="1" t="s">
        <v>7030</v>
      </c>
      <c r="B7028" s="1" t="s">
        <v>5</v>
      </c>
      <c r="C7028" s="2">
        <f>IFERROR(__xludf.DUMMYFUNCTION("IFERROR(VLOOKUP(A7028, IMPORTRANGE(""https://docs.google.com/spreadsheets/d/1AVX9GT0dgogEBStecCXMMQ29tWz3gBrtNB8yIromXbY/edit?gid=741673867"", ""out1g!A:B""), 2, FALSE), 0)"),70.0)</f>
        <v>70</v>
      </c>
      <c r="D7028" s="2" t="str">
        <f>IFERROR(__xludf.DUMMYFUNCTION("IFERROR(VLOOKUP(A7028, IMPORTRANGE(""https://docs.google.com/spreadsheets/d/1-3Vjw2Cyy-mry5gbC8ypIR3YVGFfEpyFESummAta6sg/edit"", ""Sheet1!B:D""), 2, FALSE), ""Not Found"")"),"ʤɔɪz")</f>
        <v>ʤɔɪz</v>
      </c>
      <c r="E7028" s="2" t="str">
        <f>IFERROR(__xludf.DUMMYFUNCTION("IFERROR(VLOOKUP(A7028, IMPORTRANGE(""https://docs.google.com/spreadsheets/d/1-3Vjw2Cyy-mry5gbC8ypIR3YVGFfEpyFESummAta6sg/edit"", ""Sheet1!B:D""), 3, FALSE), ""Not Found"")"),"ʤ ɔ ɪ z ")</f>
        <v>ʤ ɔ ɪ z </v>
      </c>
    </row>
    <row r="7029">
      <c r="A7029" s="1" t="s">
        <v>7031</v>
      </c>
      <c r="B7029" s="1" t="s">
        <v>5</v>
      </c>
      <c r="C7029" s="2">
        <f>IFERROR(__xludf.DUMMYFUNCTION("IFERROR(VLOOKUP(A7029, IMPORTRANGE(""https://docs.google.com/spreadsheets/d/1AVX9GT0dgogEBStecCXMMQ29tWz3gBrtNB8yIromXbY/edit?gid=741673867"", ""out1g!A:B""), 2, FALSE), 0)"),93.0)</f>
        <v>93</v>
      </c>
      <c r="D7029" s="2" t="str">
        <f>IFERROR(__xludf.DUMMYFUNCTION("IFERROR(VLOOKUP(A7029, IMPORTRANGE(""https://docs.google.com/spreadsheets/d/1-3Vjw2Cyy-mry5gbC8ypIR3YVGFfEpyFESummAta6sg/edit"", ""Sheet1!B:D""), 2, FALSE), ""Not Found"")"),"spɔn")</f>
        <v>spɔn</v>
      </c>
      <c r="E7029" s="2" t="str">
        <f>IFERROR(__xludf.DUMMYFUNCTION("IFERROR(VLOOKUP(A7029, IMPORTRANGE(""https://docs.google.com/spreadsheets/d/1-3Vjw2Cyy-mry5gbC8ypIR3YVGFfEpyFESummAta6sg/edit"", ""Sheet1!B:D""), 3, FALSE), ""Not Found"")"),"s p ɔ n ")</f>
        <v>s p ɔ n </v>
      </c>
    </row>
    <row r="7030">
      <c r="A7030" s="1" t="s">
        <v>7032</v>
      </c>
      <c r="B7030" s="1" t="s">
        <v>5</v>
      </c>
      <c r="C7030" s="2">
        <f>IFERROR(__xludf.DUMMYFUNCTION("IFERROR(VLOOKUP(A7030, IMPORTRANGE(""https://docs.google.com/spreadsheets/d/1AVX9GT0dgogEBStecCXMMQ29tWz3gBrtNB8yIromXbY/edit?gid=741673867"", ""out1g!A:B""), 2, FALSE), 0)"),90.0)</f>
        <v>90</v>
      </c>
      <c r="D7030" s="2" t="str">
        <f>IFERROR(__xludf.DUMMYFUNCTION("IFERROR(VLOOKUP(A7030, IMPORTRANGE(""https://docs.google.com/spreadsheets/d/1-3Vjw2Cyy-mry5gbC8ypIR3YVGFfEpyFESummAta6sg/edit"", ""Sheet1!B:D""), 2, FALSE), ""Not Found"")"),"gælə")</f>
        <v>gælə</v>
      </c>
      <c r="E7030" s="2" t="str">
        <f>IFERROR(__xludf.DUMMYFUNCTION("IFERROR(VLOOKUP(A7030, IMPORTRANGE(""https://docs.google.com/spreadsheets/d/1-3Vjw2Cyy-mry5gbC8ypIR3YVGFfEpyFESummAta6sg/edit"", ""Sheet1!B:D""), 3, FALSE), ""Not Found"")"),"g æ l ə ")</f>
        <v>g æ l ə </v>
      </c>
    </row>
    <row r="7031">
      <c r="A7031" s="1" t="s">
        <v>7033</v>
      </c>
      <c r="B7031" s="1" t="s">
        <v>5</v>
      </c>
      <c r="C7031" s="2">
        <f>IFERROR(__xludf.DUMMYFUNCTION("IFERROR(VLOOKUP(A7031, IMPORTRANGE(""https://docs.google.com/spreadsheets/d/1AVX9GT0dgogEBStecCXMMQ29tWz3gBrtNB8yIromXbY/edit?gid=741673867"", ""out1g!A:B""), 2, FALSE), 0)"),525.0)</f>
        <v>525</v>
      </c>
      <c r="D7031" s="2" t="str">
        <f>IFERROR(__xludf.DUMMYFUNCTION("IFERROR(VLOOKUP(A7031, IMPORTRANGE(""https://docs.google.com/spreadsheets/d/1-3Vjw2Cyy-mry5gbC8ypIR3YVGFfEpyFESummAta6sg/edit"", ""Sheet1!B:D""), 2, FALSE), ""Not Found"")"),"drɑps")</f>
        <v>drɑps</v>
      </c>
      <c r="E7031" s="2" t="str">
        <f>IFERROR(__xludf.DUMMYFUNCTION("IFERROR(VLOOKUP(A7031, IMPORTRANGE(""https://docs.google.com/spreadsheets/d/1-3Vjw2Cyy-mry5gbC8ypIR3YVGFfEpyFESummAta6sg/edit"", ""Sheet1!B:D""), 3, FALSE), ""Not Found"")"),"d r ɑ p s ")</f>
        <v>d r ɑ p s </v>
      </c>
    </row>
    <row r="7032">
      <c r="A7032" s="1" t="s">
        <v>7034</v>
      </c>
      <c r="B7032" s="1" t="s">
        <v>5</v>
      </c>
      <c r="C7032" s="2">
        <f>IFERROR(__xludf.DUMMYFUNCTION("IFERROR(VLOOKUP(A7032, IMPORTRANGE(""https://docs.google.com/spreadsheets/d/1AVX9GT0dgogEBStecCXMMQ29tWz3gBrtNB8yIromXbY/edit?gid=741673867"", ""out1g!A:B""), 2, FALSE), 0)"),50.0)</f>
        <v>50</v>
      </c>
      <c r="D7032" s="2" t="str">
        <f>IFERROR(__xludf.DUMMYFUNCTION("IFERROR(VLOOKUP(A7032, IMPORTRANGE(""https://docs.google.com/spreadsheets/d/1-3Vjw2Cyy-mry5gbC8ypIR3YVGFfEpyFESummAta6sg/edit"", ""Sheet1!B:D""), 2, FALSE), ""Not Found"")"),"dɔrki")</f>
        <v>dɔrki</v>
      </c>
      <c r="E7032" s="2" t="str">
        <f>IFERROR(__xludf.DUMMYFUNCTION("IFERROR(VLOOKUP(A7032, IMPORTRANGE(""https://docs.google.com/spreadsheets/d/1-3Vjw2Cyy-mry5gbC8ypIR3YVGFfEpyFESummAta6sg/edit"", ""Sheet1!B:D""), 3, FALSE), ""Not Found"")"),"d ɔ r k i ")</f>
        <v>d ɔ r k i </v>
      </c>
    </row>
    <row r="7033">
      <c r="A7033" s="1" t="s">
        <v>7035</v>
      </c>
      <c r="B7033" s="1" t="s">
        <v>5</v>
      </c>
      <c r="C7033" s="2">
        <f>IFERROR(__xludf.DUMMYFUNCTION("IFERROR(VLOOKUP(A7033, IMPORTRANGE(""https://docs.google.com/spreadsheets/d/1AVX9GT0dgogEBStecCXMMQ29tWz3gBrtNB8yIromXbY/edit?gid=741673867"", ""out1g!A:B""), 2, FALSE), 0)"),231.0)</f>
        <v>231</v>
      </c>
      <c r="D7033" s="2" t="str">
        <f>IFERROR(__xludf.DUMMYFUNCTION("IFERROR(VLOOKUP(A7033, IMPORTRANGE(""https://docs.google.com/spreadsheets/d/1-3Vjw2Cyy-mry5gbC8ypIR3YVGFfEpyFESummAta6sg/edit"", ""Sheet1!B:D""), 2, FALSE), ""Not Found"")"),"tɑ")</f>
        <v>tɑ</v>
      </c>
      <c r="E7033" s="2" t="str">
        <f>IFERROR(__xludf.DUMMYFUNCTION("IFERROR(VLOOKUP(A7033, IMPORTRANGE(""https://docs.google.com/spreadsheets/d/1-3Vjw2Cyy-mry5gbC8ypIR3YVGFfEpyFESummAta6sg/edit"", ""Sheet1!B:D""), 3, FALSE), ""Not Found"")"),"t ɑ ")</f>
        <v>t ɑ </v>
      </c>
    </row>
    <row r="7034">
      <c r="A7034" s="1" t="s">
        <v>7036</v>
      </c>
      <c r="B7034" s="1" t="s">
        <v>5</v>
      </c>
      <c r="C7034" s="2">
        <f>IFERROR(__xludf.DUMMYFUNCTION("IFERROR(VLOOKUP(A7034, IMPORTRANGE(""https://docs.google.com/spreadsheets/d/1AVX9GT0dgogEBStecCXMMQ29tWz3gBrtNB8yIromXbY/edit?gid=741673867"", ""out1g!A:B""), 2, FALSE), 0)"),1349.0)</f>
        <v>1349</v>
      </c>
      <c r="D7034" s="2" t="str">
        <f>IFERROR(__xludf.DUMMYFUNCTION("IFERROR(VLOOKUP(A7034, IMPORTRANGE(""https://docs.google.com/spreadsheets/d/1-3Vjw2Cyy-mry5gbC8ypIR3YVGFfEpyFESummAta6sg/edit"", ""Sheet1!B:D""), 2, FALSE), ""Not Found"")"),"fɔrst")</f>
        <v>fɔrst</v>
      </c>
      <c r="E7034" s="2" t="str">
        <f>IFERROR(__xludf.DUMMYFUNCTION("IFERROR(VLOOKUP(A7034, IMPORTRANGE(""https://docs.google.com/spreadsheets/d/1-3Vjw2Cyy-mry5gbC8ypIR3YVGFfEpyFESummAta6sg/edit"", ""Sheet1!B:D""), 3, FALSE), ""Not Found"")"),"f ɔ r s t ")</f>
        <v>f ɔ r s t </v>
      </c>
    </row>
    <row r="7035">
      <c r="A7035" s="1" t="s">
        <v>7037</v>
      </c>
      <c r="B7035" s="1" t="s">
        <v>5</v>
      </c>
      <c r="C7035" s="2">
        <f>IFERROR(__xludf.DUMMYFUNCTION("IFERROR(VLOOKUP(A7035, IMPORTRANGE(""https://docs.google.com/spreadsheets/d/1AVX9GT0dgogEBStecCXMMQ29tWz3gBrtNB8yIromXbY/edit?gid=741673867"", ""out1g!A:B""), 2, FALSE), 0)"),1676.0)</f>
        <v>1676</v>
      </c>
      <c r="D7035" s="2" t="str">
        <f>IFERROR(__xludf.DUMMYFUNCTION("IFERROR(VLOOKUP(A7035, IMPORTRANGE(""https://docs.google.com/spreadsheets/d/1-3Vjw2Cyy-mry5gbC8ypIR3YVGFfEpyFESummAta6sg/edit"", ""Sheet1!B:D""), 2, FALSE), ""Not Found"")"),"ælən")</f>
        <v>ælən</v>
      </c>
      <c r="E7035" s="2" t="str">
        <f>IFERROR(__xludf.DUMMYFUNCTION("IFERROR(VLOOKUP(A7035, IMPORTRANGE(""https://docs.google.com/spreadsheets/d/1-3Vjw2Cyy-mry5gbC8ypIR3YVGFfEpyFESummAta6sg/edit"", ""Sheet1!B:D""), 3, FALSE), ""Not Found"")"),"æ l ə n ")</f>
        <v>æ l ə n </v>
      </c>
    </row>
    <row r="7036">
      <c r="A7036" s="1" t="s">
        <v>7038</v>
      </c>
      <c r="B7036" s="1" t="s">
        <v>5</v>
      </c>
      <c r="C7036" s="2">
        <f>IFERROR(__xludf.DUMMYFUNCTION("IFERROR(VLOOKUP(A7036, IMPORTRANGE(""https://docs.google.com/spreadsheets/d/1AVX9GT0dgogEBStecCXMMQ29tWz3gBrtNB8yIromXbY/edit?gid=741673867"", ""out1g!A:B""), 2, FALSE), 0)"),394.0)</f>
        <v>394</v>
      </c>
      <c r="D7036" s="2" t="str">
        <f>IFERROR(__xludf.DUMMYFUNCTION("IFERROR(VLOOKUP(A7036, IMPORTRANGE(""https://docs.google.com/spreadsheets/d/1-3Vjw2Cyy-mry5gbC8ypIR3YVGFfEpyFESummAta6sg/edit"", ""Sheet1!B:D""), 2, FALSE), ""Not Found"")"),"rɑt")</f>
        <v>rɑt</v>
      </c>
      <c r="E7036" s="2" t="str">
        <f>IFERROR(__xludf.DUMMYFUNCTION("IFERROR(VLOOKUP(A7036, IMPORTRANGE(""https://docs.google.com/spreadsheets/d/1-3Vjw2Cyy-mry5gbC8ypIR3YVGFfEpyFESummAta6sg/edit"", ""Sheet1!B:D""), 3, FALSE), ""Not Found"")"),"r ɑ t ")</f>
        <v>r ɑ t </v>
      </c>
    </row>
    <row r="7037">
      <c r="A7037" s="1" t="s">
        <v>7039</v>
      </c>
      <c r="B7037" s="1" t="s">
        <v>5</v>
      </c>
      <c r="C7037" s="2">
        <f>IFERROR(__xludf.DUMMYFUNCTION("IFERROR(VLOOKUP(A7037, IMPORTRANGE(""https://docs.google.com/spreadsheets/d/1AVX9GT0dgogEBStecCXMMQ29tWz3gBrtNB8yIromXbY/edit?gid=741673867"", ""out1g!A:B""), 2, FALSE), 0)"),2394.0)</f>
        <v>2394</v>
      </c>
      <c r="D7037" s="2" t="str">
        <f>IFERROR(__xludf.DUMMYFUNCTION("IFERROR(VLOOKUP(A7037, IMPORTRANGE(""https://docs.google.com/spreadsheets/d/1-3Vjw2Cyy-mry5gbC8ypIR3YVGFfEpyFESummAta6sg/edit"", ""Sheet1!B:D""), 2, FALSE), ""Not Found"")"),"drɛst")</f>
        <v>drɛst</v>
      </c>
      <c r="E7037" s="2" t="str">
        <f>IFERROR(__xludf.DUMMYFUNCTION("IFERROR(VLOOKUP(A7037, IMPORTRANGE(""https://docs.google.com/spreadsheets/d/1-3Vjw2Cyy-mry5gbC8ypIR3YVGFfEpyFESummAta6sg/edit"", ""Sheet1!B:D""), 3, FALSE), ""Not Found"")"),"d r ɛ s t ")</f>
        <v>d r ɛ s t </v>
      </c>
    </row>
    <row r="7038">
      <c r="A7038" s="1" t="s">
        <v>7040</v>
      </c>
      <c r="B7038" s="1" t="s">
        <v>5</v>
      </c>
      <c r="C7038" s="2">
        <f>IFERROR(__xludf.DUMMYFUNCTION("IFERROR(VLOOKUP(A7038, IMPORTRANGE(""https://docs.google.com/spreadsheets/d/1AVX9GT0dgogEBStecCXMMQ29tWz3gBrtNB8yIromXbY/edit?gid=741673867"", ""out1g!A:B""), 2, FALSE), 0)"),1003.0)</f>
        <v>1003</v>
      </c>
      <c r="D7038" s="2" t="str">
        <f>IFERROR(__xludf.DUMMYFUNCTION("IFERROR(VLOOKUP(A7038, IMPORTRANGE(""https://docs.google.com/spreadsheets/d/1-3Vjw2Cyy-mry5gbC8ypIR3YVGFfEpyFESummAta6sg/edit"", ""Sheet1!B:D""), 2, FALSE), ""Not Found"")"),"wɪŋz")</f>
        <v>wɪŋz</v>
      </c>
      <c r="E7038" s="2" t="str">
        <f>IFERROR(__xludf.DUMMYFUNCTION("IFERROR(VLOOKUP(A7038, IMPORTRANGE(""https://docs.google.com/spreadsheets/d/1-3Vjw2Cyy-mry5gbC8ypIR3YVGFfEpyFESummAta6sg/edit"", ""Sheet1!B:D""), 3, FALSE), ""Not Found"")"),"w ɪ ŋ z ")</f>
        <v>w ɪ ŋ z </v>
      </c>
    </row>
    <row r="7039">
      <c r="A7039" s="1" t="s">
        <v>7041</v>
      </c>
      <c r="B7039" s="1" t="s">
        <v>5</v>
      </c>
      <c r="C7039" s="2">
        <f>IFERROR(__xludf.DUMMYFUNCTION("IFERROR(VLOOKUP(A7039, IMPORTRANGE(""https://docs.google.com/spreadsheets/d/1AVX9GT0dgogEBStecCXMMQ29tWz3gBrtNB8yIromXbY/edit?gid=741673867"", ""out1g!A:B""), 2, FALSE), 0)"),364.0)</f>
        <v>364</v>
      </c>
      <c r="D7039" s="2" t="str">
        <f>IFERROR(__xludf.DUMMYFUNCTION("IFERROR(VLOOKUP(A7039, IMPORTRANGE(""https://docs.google.com/spreadsheets/d/1-3Vjw2Cyy-mry5gbC8ypIR3YVGFfEpyFESummAta6sg/edit"", ""Sheet1!B:D""), 2, FALSE), ""Not Found"")"),"fəs")</f>
        <v>fəs</v>
      </c>
      <c r="E7039" s="2" t="str">
        <f>IFERROR(__xludf.DUMMYFUNCTION("IFERROR(VLOOKUP(A7039, IMPORTRANGE(""https://docs.google.com/spreadsheets/d/1-3Vjw2Cyy-mry5gbC8ypIR3YVGFfEpyFESummAta6sg/edit"", ""Sheet1!B:D""), 3, FALSE), ""Not Found"")"),"f ə s ")</f>
        <v>f ə s </v>
      </c>
    </row>
    <row r="7040">
      <c r="A7040" s="1" t="s">
        <v>7042</v>
      </c>
      <c r="B7040" s="1" t="s">
        <v>5</v>
      </c>
      <c r="C7040" s="2">
        <f>IFERROR(__xludf.DUMMYFUNCTION("IFERROR(VLOOKUP(A7040, IMPORTRANGE(""https://docs.google.com/spreadsheets/d/1AVX9GT0dgogEBStecCXMMQ29tWz3gBrtNB8yIromXbY/edit?gid=741673867"", ""out1g!A:B""), 2, FALSE), 0)"),293.0)</f>
        <v>293</v>
      </c>
      <c r="D7040" s="2" t="str">
        <f>IFERROR(__xludf.DUMMYFUNCTION("IFERROR(VLOOKUP(A7040, IMPORTRANGE(""https://docs.google.com/spreadsheets/d/1-3Vjw2Cyy-mry5gbC8ypIR3YVGFfEpyFESummAta6sg/edit"", ""Sheet1!B:D""), 2, FALSE), ""Not Found"")"),"skɔrd")</f>
        <v>skɔrd</v>
      </c>
      <c r="E7040" s="2" t="str">
        <f>IFERROR(__xludf.DUMMYFUNCTION("IFERROR(VLOOKUP(A7040, IMPORTRANGE(""https://docs.google.com/spreadsheets/d/1-3Vjw2Cyy-mry5gbC8ypIR3YVGFfEpyFESummAta6sg/edit"", ""Sheet1!B:D""), 3, FALSE), ""Not Found"")"),"s k ɔ r d ")</f>
        <v>s k ɔ r d </v>
      </c>
    </row>
    <row r="7041">
      <c r="A7041" s="1" t="s">
        <v>7043</v>
      </c>
      <c r="B7041" s="1" t="s">
        <v>5</v>
      </c>
      <c r="C7041" s="2">
        <f>IFERROR(__xludf.DUMMYFUNCTION("IFERROR(VLOOKUP(A7041, IMPORTRANGE(""https://docs.google.com/spreadsheets/d/1AVX9GT0dgogEBStecCXMMQ29tWz3gBrtNB8yIromXbY/edit?gid=741673867"", ""out1g!A:B""), 2, FALSE), 0)"),4814.0)</f>
        <v>4814</v>
      </c>
      <c r="D7041" s="2" t="str">
        <f>IFERROR(__xludf.DUMMYFUNCTION("IFERROR(VLOOKUP(A7041, IMPORTRANGE(""https://docs.google.com/spreadsheets/d/1-3Vjw2Cyy-mry5gbC8ypIR3YVGFfEpyFESummAta6sg/edit"", ""Sheet1!B:D""), 2, FALSE), ""Not Found"")"),"sɪtɪŋ")</f>
        <v>sɪtɪŋ</v>
      </c>
      <c r="E7041" s="2" t="str">
        <f>IFERROR(__xludf.DUMMYFUNCTION("IFERROR(VLOOKUP(A7041, IMPORTRANGE(""https://docs.google.com/spreadsheets/d/1-3Vjw2Cyy-mry5gbC8ypIR3YVGFfEpyFESummAta6sg/edit"", ""Sheet1!B:D""), 3, FALSE), ""Not Found"")"),"s ɪ t ɪ ŋ ")</f>
        <v>s ɪ t ɪ ŋ </v>
      </c>
    </row>
    <row r="7042">
      <c r="A7042" s="1" t="s">
        <v>7044</v>
      </c>
      <c r="B7042" s="1" t="s">
        <v>5</v>
      </c>
      <c r="C7042" s="2">
        <f>IFERROR(__xludf.DUMMYFUNCTION("IFERROR(VLOOKUP(A7042, IMPORTRANGE(""https://docs.google.com/spreadsheets/d/1AVX9GT0dgogEBStecCXMMQ29tWz3gBrtNB8yIromXbY/edit?gid=741673867"", ""out1g!A:B""), 2, FALSE), 0)"),66.0)</f>
        <v>66</v>
      </c>
      <c r="D7042" s="2" t="str">
        <f>IFERROR(__xludf.DUMMYFUNCTION("IFERROR(VLOOKUP(A7042, IMPORTRANGE(""https://docs.google.com/spreadsheets/d/1-3Vjw2Cyy-mry5gbC8ypIR3YVGFfEpyFESummAta6sg/edit"", ""Sheet1!B:D""), 2, FALSE), ""Not Found"")"),"boʊkə")</f>
        <v>boʊkə</v>
      </c>
      <c r="E7042" s="2" t="str">
        <f>IFERROR(__xludf.DUMMYFUNCTION("IFERROR(VLOOKUP(A7042, IMPORTRANGE(""https://docs.google.com/spreadsheets/d/1-3Vjw2Cyy-mry5gbC8ypIR3YVGFfEpyFESummAta6sg/edit"", ""Sheet1!B:D""), 3, FALSE), ""Not Found"")"),"b o ʊ k ə ")</f>
        <v>b o ʊ k ə </v>
      </c>
    </row>
    <row r="7043">
      <c r="A7043" s="1" t="s">
        <v>7045</v>
      </c>
      <c r="B7043" s="1" t="s">
        <v>5</v>
      </c>
      <c r="C7043" s="2">
        <f>IFERROR(__xludf.DUMMYFUNCTION("IFERROR(VLOOKUP(A7043, IMPORTRANGE(""https://docs.google.com/spreadsheets/d/1AVX9GT0dgogEBStecCXMMQ29tWz3gBrtNB8yIromXbY/edit?gid=741673867"", ""out1g!A:B""), 2, FALSE), 0)"),17878.0)</f>
        <v>17878</v>
      </c>
      <c r="D7043" s="2" t="str">
        <f>IFERROR(__xludf.DUMMYFUNCTION("IFERROR(VLOOKUP(A7043, IMPORTRANGE(""https://docs.google.com/spreadsheets/d/1-3Vjw2Cyy-mry5gbC8ypIR3YVGFfEpyFESummAta6sg/edit"", ""Sheet1!B:D""), 2, FALSE), ""Not Found"")"),"rən")</f>
        <v>rən</v>
      </c>
      <c r="E7043" s="2" t="str">
        <f>IFERROR(__xludf.DUMMYFUNCTION("IFERROR(VLOOKUP(A7043, IMPORTRANGE(""https://docs.google.com/spreadsheets/d/1-3Vjw2Cyy-mry5gbC8ypIR3YVGFfEpyFESummAta6sg/edit"", ""Sheet1!B:D""), 3, FALSE), ""Not Found"")"),"r ə n ")</f>
        <v>r ə n </v>
      </c>
    </row>
    <row r="7044">
      <c r="A7044" s="1" t="s">
        <v>7046</v>
      </c>
      <c r="B7044" s="1" t="s">
        <v>5</v>
      </c>
      <c r="C7044" s="2">
        <f>IFERROR(__xludf.DUMMYFUNCTION("IFERROR(VLOOKUP(A7044, IMPORTRANGE(""https://docs.google.com/spreadsheets/d/1AVX9GT0dgogEBStecCXMMQ29tWz3gBrtNB8yIromXbY/edit?gid=741673867"", ""out1g!A:B""), 2, FALSE), 0)"),123.0)</f>
        <v>123</v>
      </c>
      <c r="D7044" s="2" t="str">
        <f>IFERROR(__xludf.DUMMYFUNCTION("IFERROR(VLOOKUP(A7044, IMPORTRANGE(""https://docs.google.com/spreadsheets/d/1-3Vjw2Cyy-mry5gbC8ypIR3YVGFfEpyFESummAta6sg/edit"", ""Sheet1!B:D""), 2, FALSE), ""Not Found"")"),"ʤɑg")</f>
        <v>ʤɑg</v>
      </c>
      <c r="E7044" s="2" t="str">
        <f>IFERROR(__xludf.DUMMYFUNCTION("IFERROR(VLOOKUP(A7044, IMPORTRANGE(""https://docs.google.com/spreadsheets/d/1-3Vjw2Cyy-mry5gbC8ypIR3YVGFfEpyFESummAta6sg/edit"", ""Sheet1!B:D""), 3, FALSE), ""Not Found"")"),"ʤ ɑ g ")</f>
        <v>ʤ ɑ g </v>
      </c>
    </row>
    <row r="7045">
      <c r="A7045" s="1" t="s">
        <v>7047</v>
      </c>
      <c r="B7045" s="1" t="s">
        <v>5</v>
      </c>
      <c r="C7045" s="2">
        <f>IFERROR(__xludf.DUMMYFUNCTION("IFERROR(VLOOKUP(A7045, IMPORTRANGE(""https://docs.google.com/spreadsheets/d/1AVX9GT0dgogEBStecCXMMQ29tWz3gBrtNB8yIromXbY/edit?gid=741673867"", ""out1g!A:B""), 2, FALSE), 0)"),56.0)</f>
        <v>56</v>
      </c>
      <c r="D7045" s="2" t="str">
        <f>IFERROR(__xludf.DUMMYFUNCTION("IFERROR(VLOOKUP(A7045, IMPORTRANGE(""https://docs.google.com/spreadsheets/d/1-3Vjw2Cyy-mry5gbC8ypIR3YVGFfEpyFESummAta6sg/edit"", ""Sheet1!B:D""), 2, FALSE), ""Not Found"")"),"bɔldi")</f>
        <v>bɔldi</v>
      </c>
      <c r="E7045" s="2" t="str">
        <f>IFERROR(__xludf.DUMMYFUNCTION("IFERROR(VLOOKUP(A7045, IMPORTRANGE(""https://docs.google.com/spreadsheets/d/1-3Vjw2Cyy-mry5gbC8ypIR3YVGFfEpyFESummAta6sg/edit"", ""Sheet1!B:D""), 3, FALSE), ""Not Found"")"),"b ɔ l d i ")</f>
        <v>b ɔ l d i </v>
      </c>
    </row>
    <row r="7046">
      <c r="A7046" s="1" t="s">
        <v>7048</v>
      </c>
      <c r="B7046" s="1" t="s">
        <v>5</v>
      </c>
      <c r="C7046" s="2">
        <f>IFERROR(__xludf.DUMMYFUNCTION("IFERROR(VLOOKUP(A7046, IMPORTRANGE(""https://docs.google.com/spreadsheets/d/1AVX9GT0dgogEBStecCXMMQ29tWz3gBrtNB8yIromXbY/edit?gid=741673867"", ""out1g!A:B""), 2, FALSE), 0)"),1054.0)</f>
        <v>1054</v>
      </c>
      <c r="D7046" s="2" t="str">
        <f>IFERROR(__xludf.DUMMYFUNCTION("IFERROR(VLOOKUP(A7046, IMPORTRANGE(""https://docs.google.com/spreadsheets/d/1-3Vjw2Cyy-mry5gbC8ypIR3YVGFfEpyFESummAta6sg/edit"", ""Sheet1!B:D""), 2, FALSE), ""Not Found"")"),"bɛri")</f>
        <v>bɛri</v>
      </c>
      <c r="E7046" s="2" t="str">
        <f>IFERROR(__xludf.DUMMYFUNCTION("IFERROR(VLOOKUP(A7046, IMPORTRANGE(""https://docs.google.com/spreadsheets/d/1-3Vjw2Cyy-mry5gbC8ypIR3YVGFfEpyFESummAta6sg/edit"", ""Sheet1!B:D""), 3, FALSE), ""Not Found"")"),"b ɛ r i ")</f>
        <v>b ɛ r i </v>
      </c>
    </row>
    <row r="7047">
      <c r="A7047" s="1" t="s">
        <v>7049</v>
      </c>
      <c r="B7047" s="1" t="s">
        <v>5</v>
      </c>
      <c r="C7047" s="2">
        <f>IFERROR(__xludf.DUMMYFUNCTION("IFERROR(VLOOKUP(A7047, IMPORTRANGE(""https://docs.google.com/spreadsheets/d/1AVX9GT0dgogEBStecCXMMQ29tWz3gBrtNB8yIromXbY/edit?gid=741673867"", ""out1g!A:B""), 2, FALSE), 0)"),183.0)</f>
        <v>183</v>
      </c>
      <c r="D7047" s="2" t="str">
        <f>IFERROR(__xludf.DUMMYFUNCTION("IFERROR(VLOOKUP(A7047, IMPORTRANGE(""https://docs.google.com/spreadsheets/d/1-3Vjw2Cyy-mry5gbC8ypIR3YVGFfEpyFESummAta6sg/edit"", ""Sheet1!B:D""), 2, FALSE), ""Not Found"")"),"haʊlɪŋ")</f>
        <v>haʊlɪŋ</v>
      </c>
      <c r="E7047" s="2" t="str">
        <f>IFERROR(__xludf.DUMMYFUNCTION("IFERROR(VLOOKUP(A7047, IMPORTRANGE(""https://docs.google.com/spreadsheets/d/1-3Vjw2Cyy-mry5gbC8ypIR3YVGFfEpyFESummAta6sg/edit"", ""Sheet1!B:D""), 3, FALSE), ""Not Found"")"),"h a ʊ l ɪ ŋ ")</f>
        <v>h a ʊ l ɪ ŋ </v>
      </c>
    </row>
    <row r="7048">
      <c r="A7048" s="1" t="s">
        <v>7050</v>
      </c>
      <c r="B7048" s="1" t="s">
        <v>5</v>
      </c>
      <c r="C7048" s="2">
        <f>IFERROR(__xludf.DUMMYFUNCTION("IFERROR(VLOOKUP(A7048, IMPORTRANGE(""https://docs.google.com/spreadsheets/d/1AVX9GT0dgogEBStecCXMMQ29tWz3gBrtNB8yIromXbY/edit?gid=741673867"", ""out1g!A:B""), 2, FALSE), 0)"),53.0)</f>
        <v>53</v>
      </c>
      <c r="D7048" s="2" t="str">
        <f>IFERROR(__xludf.DUMMYFUNCTION("IFERROR(VLOOKUP(A7048, IMPORTRANGE(""https://docs.google.com/spreadsheets/d/1-3Vjw2Cyy-mry5gbC8ypIR3YVGFfEpyFESummAta6sg/edit"", ""Sheet1!B:D""), 2, FALSE), ""Not Found"")"),"ɛθɪk")</f>
        <v>ɛθɪk</v>
      </c>
      <c r="E7048" s="2" t="str">
        <f>IFERROR(__xludf.DUMMYFUNCTION("IFERROR(VLOOKUP(A7048, IMPORTRANGE(""https://docs.google.com/spreadsheets/d/1-3Vjw2Cyy-mry5gbC8ypIR3YVGFfEpyFESummAta6sg/edit"", ""Sheet1!B:D""), 3, FALSE), ""Not Found"")"),"ɛ θ ɪ k ")</f>
        <v>ɛ θ ɪ k </v>
      </c>
    </row>
    <row r="7049">
      <c r="A7049" s="1" t="s">
        <v>7051</v>
      </c>
      <c r="B7049" s="1" t="s">
        <v>5</v>
      </c>
      <c r="C7049" s="2">
        <f>IFERROR(__xludf.DUMMYFUNCTION("IFERROR(VLOOKUP(A7049, IMPORTRANGE(""https://docs.google.com/spreadsheets/d/1AVX9GT0dgogEBStecCXMMQ29tWz3gBrtNB8yIromXbY/edit?gid=741673867"", ""out1g!A:B""), 2, FALSE), 0)"),752.0)</f>
        <v>752</v>
      </c>
      <c r="D7049" s="2" t="str">
        <f>IFERROR(__xludf.DUMMYFUNCTION("IFERROR(VLOOKUP(A7049, IMPORTRANGE(""https://docs.google.com/spreadsheets/d/1-3Vjw2Cyy-mry5gbC8ypIR3YVGFfEpyFESummAta6sg/edit"", ""Sheet1!B:D""), 2, FALSE), ""Not Found"")"),"skɑʧ")</f>
        <v>skɑʧ</v>
      </c>
      <c r="E7049" s="2" t="str">
        <f>IFERROR(__xludf.DUMMYFUNCTION("IFERROR(VLOOKUP(A7049, IMPORTRANGE(""https://docs.google.com/spreadsheets/d/1-3Vjw2Cyy-mry5gbC8ypIR3YVGFfEpyFESummAta6sg/edit"", ""Sheet1!B:D""), 3, FALSE), ""Not Found"")"),"s k ɑ ʧ ")</f>
        <v>s k ɑ ʧ </v>
      </c>
    </row>
    <row r="7050">
      <c r="A7050" s="1" t="s">
        <v>7052</v>
      </c>
      <c r="B7050" s="1" t="s">
        <v>5</v>
      </c>
      <c r="C7050" s="2">
        <f>IFERROR(__xludf.DUMMYFUNCTION("IFERROR(VLOOKUP(A7050, IMPORTRANGE(""https://docs.google.com/spreadsheets/d/1AVX9GT0dgogEBStecCXMMQ29tWz3gBrtNB8yIromXbY/edit?gid=741673867"", ""out1g!A:B""), 2, FALSE), 0)"),205.0)</f>
        <v>205</v>
      </c>
      <c r="D7050" s="2" t="str">
        <f>IFERROR(__xludf.DUMMYFUNCTION("IFERROR(VLOOKUP(A7050, IMPORTRANGE(""https://docs.google.com/spreadsheets/d/1-3Vjw2Cyy-mry5gbC8ypIR3YVGFfEpyFESummAta6sg/edit"", ""Sheet1!B:D""), 2, FALSE), ""Not Found"")"),"mæʧt")</f>
        <v>mæʧt</v>
      </c>
      <c r="E7050" s="2" t="str">
        <f>IFERROR(__xludf.DUMMYFUNCTION("IFERROR(VLOOKUP(A7050, IMPORTRANGE(""https://docs.google.com/spreadsheets/d/1-3Vjw2Cyy-mry5gbC8ypIR3YVGFfEpyFESummAta6sg/edit"", ""Sheet1!B:D""), 3, FALSE), ""Not Found"")"),"m æ ʧ t ")</f>
        <v>m æ ʧ t </v>
      </c>
    </row>
    <row r="7051">
      <c r="A7051" s="1" t="s">
        <v>7053</v>
      </c>
      <c r="B7051" s="1" t="s">
        <v>5</v>
      </c>
      <c r="C7051" s="2">
        <f>IFERROR(__xludf.DUMMYFUNCTION("IFERROR(VLOOKUP(A7051, IMPORTRANGE(""https://docs.google.com/spreadsheets/d/1AVX9GT0dgogEBStecCXMMQ29tWz3gBrtNB8yIromXbY/edit?gid=741673867"", ""out1g!A:B""), 2, FALSE), 0)"),401.0)</f>
        <v>401</v>
      </c>
      <c r="D7051" s="2" t="str">
        <f>IFERROR(__xludf.DUMMYFUNCTION("IFERROR(VLOOKUP(A7051, IMPORTRANGE(""https://docs.google.com/spreadsheets/d/1-3Vjw2Cyy-mry5gbC8ypIR3YVGFfEpyFESummAta6sg/edit"", ""Sheet1!B:D""), 2, FALSE), ""Not Found"")"),"ɔnti")</f>
        <v>ɔnti</v>
      </c>
      <c r="E7051" s="2" t="str">
        <f>IFERROR(__xludf.DUMMYFUNCTION("IFERROR(VLOOKUP(A7051, IMPORTRANGE(""https://docs.google.com/spreadsheets/d/1-3Vjw2Cyy-mry5gbC8ypIR3YVGFfEpyFESummAta6sg/edit"", ""Sheet1!B:D""), 3, FALSE), ""Not Found"")"),"ɔ n t i ")</f>
        <v>ɔ n t i </v>
      </c>
    </row>
    <row r="7052">
      <c r="A7052" s="1" t="s">
        <v>7054</v>
      </c>
      <c r="B7052" s="1" t="s">
        <v>5</v>
      </c>
      <c r="C7052" s="2">
        <f>IFERROR(__xludf.DUMMYFUNCTION("IFERROR(VLOOKUP(A7052, IMPORTRANGE(""https://docs.google.com/spreadsheets/d/1AVX9GT0dgogEBStecCXMMQ29tWz3gBrtNB8yIromXbY/edit?gid=741673867"", ""out1g!A:B""), 2, FALSE), 0)"),23.0)</f>
        <v>23</v>
      </c>
      <c r="D7052" s="2" t="str">
        <f>IFERROR(__xludf.DUMMYFUNCTION("IFERROR(VLOOKUP(A7052, IMPORTRANGE(""https://docs.google.com/spreadsheets/d/1-3Vjw2Cyy-mry5gbC8ypIR3YVGFfEpyFESummAta6sg/edit"", ""Sheet1!B:D""), 2, FALSE), ""Not Found"")"),"hɔɪl")</f>
        <v>hɔɪl</v>
      </c>
      <c r="E7052" s="2" t="str">
        <f>IFERROR(__xludf.DUMMYFUNCTION("IFERROR(VLOOKUP(A7052, IMPORTRANGE(""https://docs.google.com/spreadsheets/d/1-3Vjw2Cyy-mry5gbC8ypIR3YVGFfEpyFESummAta6sg/edit"", ""Sheet1!B:D""), 3, FALSE), ""Not Found"")"),"h ɔ ɪ l ")</f>
        <v>h ɔ ɪ l </v>
      </c>
    </row>
    <row r="7053">
      <c r="A7053" s="1" t="s">
        <v>7055</v>
      </c>
      <c r="B7053" s="1" t="s">
        <v>5</v>
      </c>
      <c r="C7053" s="2">
        <f>IFERROR(__xludf.DUMMYFUNCTION("IFERROR(VLOOKUP(A7053, IMPORTRANGE(""https://docs.google.com/spreadsheets/d/1AVX9GT0dgogEBStecCXMMQ29tWz3gBrtNB8yIromXbY/edit?gid=741673867"", ""out1g!A:B""), 2, FALSE), 0)"),144.0)</f>
        <v>144</v>
      </c>
      <c r="D7053" s="2" t="str">
        <f>IFERROR(__xludf.DUMMYFUNCTION("IFERROR(VLOOKUP(A7053, IMPORTRANGE(""https://docs.google.com/spreadsheets/d/1-3Vjw2Cyy-mry5gbC8ypIR3YVGFfEpyFESummAta6sg/edit"", ""Sheet1!B:D""), 2, FALSE), ""Not Found"")"),"bipər")</f>
        <v>bipər</v>
      </c>
      <c r="E7053" s="2" t="str">
        <f>IFERROR(__xludf.DUMMYFUNCTION("IFERROR(VLOOKUP(A7053, IMPORTRANGE(""https://docs.google.com/spreadsheets/d/1-3Vjw2Cyy-mry5gbC8ypIR3YVGFfEpyFESummAta6sg/edit"", ""Sheet1!B:D""), 3, FALSE), ""Not Found"")"),"b i p ə r ")</f>
        <v>b i p ə r </v>
      </c>
    </row>
    <row r="7054">
      <c r="A7054" s="1" t="s">
        <v>7056</v>
      </c>
      <c r="B7054" s="1" t="s">
        <v>5</v>
      </c>
      <c r="C7054" s="2">
        <f>IFERROR(__xludf.DUMMYFUNCTION("IFERROR(VLOOKUP(A7054, IMPORTRANGE(""https://docs.google.com/spreadsheets/d/1AVX9GT0dgogEBStecCXMMQ29tWz3gBrtNB8yIromXbY/edit?gid=741673867"", ""out1g!A:B""), 2, FALSE), 0)"),99.0)</f>
        <v>99</v>
      </c>
      <c r="D7054" s="2" t="str">
        <f>IFERROR(__xludf.DUMMYFUNCTION("IFERROR(VLOOKUP(A7054, IMPORTRANGE(""https://docs.google.com/spreadsheets/d/1-3Vjw2Cyy-mry5gbC8ypIR3YVGFfEpyFESummAta6sg/edit"", ""Sheet1!B:D""), 2, FALSE), ""Not Found"")"),"blæstɪŋ")</f>
        <v>blæstɪŋ</v>
      </c>
      <c r="E7054" s="2" t="str">
        <f>IFERROR(__xludf.DUMMYFUNCTION("IFERROR(VLOOKUP(A7054, IMPORTRANGE(""https://docs.google.com/spreadsheets/d/1-3Vjw2Cyy-mry5gbC8ypIR3YVGFfEpyFESummAta6sg/edit"", ""Sheet1!B:D""), 3, FALSE), ""Not Found"")"),"b l æ s t ɪ ŋ ")</f>
        <v>b l æ s t ɪ ŋ </v>
      </c>
    </row>
    <row r="7055">
      <c r="A7055" s="1" t="s">
        <v>7057</v>
      </c>
      <c r="B7055" s="1" t="s">
        <v>5</v>
      </c>
      <c r="C7055" s="2">
        <f>IFERROR(__xludf.DUMMYFUNCTION("IFERROR(VLOOKUP(A7055, IMPORTRANGE(""https://docs.google.com/spreadsheets/d/1AVX9GT0dgogEBStecCXMMQ29tWz3gBrtNB8yIromXbY/edit?gid=741673867"", ""out1g!A:B""), 2, FALSE), 0)"),371.0)</f>
        <v>371</v>
      </c>
      <c r="D7055" s="2" t="str">
        <f>IFERROR(__xludf.DUMMYFUNCTION("IFERROR(VLOOKUP(A7055, IMPORTRANGE(""https://docs.google.com/spreadsheets/d/1-3Vjw2Cyy-mry5gbC8ypIR3YVGFfEpyFESummAta6sg/edit"", ""Sheet1!B:D""), 2, FALSE), ""Not Found"")"),"dɑni")</f>
        <v>dɑni</v>
      </c>
      <c r="E7055" s="2" t="str">
        <f>IFERROR(__xludf.DUMMYFUNCTION("IFERROR(VLOOKUP(A7055, IMPORTRANGE(""https://docs.google.com/spreadsheets/d/1-3Vjw2Cyy-mry5gbC8ypIR3YVGFfEpyFESummAta6sg/edit"", ""Sheet1!B:D""), 3, FALSE), ""Not Found"")"),"d ɑ n i ")</f>
        <v>d ɑ n i </v>
      </c>
    </row>
    <row r="7056">
      <c r="A7056" s="1" t="s">
        <v>7058</v>
      </c>
      <c r="B7056" s="1" t="s">
        <v>5</v>
      </c>
      <c r="C7056" s="2">
        <f>IFERROR(__xludf.DUMMYFUNCTION("IFERROR(VLOOKUP(A7056, IMPORTRANGE(""https://docs.google.com/spreadsheets/d/1AVX9GT0dgogEBStecCXMMQ29tWz3gBrtNB8yIromXbY/edit?gid=741673867"", ""out1g!A:B""), 2, FALSE), 0)"),508.0)</f>
        <v>508</v>
      </c>
      <c r="D7056" s="2" t="str">
        <f>IFERROR(__xludf.DUMMYFUNCTION("IFERROR(VLOOKUP(A7056, IMPORTRANGE(""https://docs.google.com/spreadsheets/d/1-3Vjw2Cyy-mry5gbC8ypIR3YVGFfEpyFESummAta6sg/edit"", ""Sheet1!B:D""), 2, FALSE), ""Not Found"")"),"skərt")</f>
        <v>skərt</v>
      </c>
      <c r="E7056" s="2" t="str">
        <f>IFERROR(__xludf.DUMMYFUNCTION("IFERROR(VLOOKUP(A7056, IMPORTRANGE(""https://docs.google.com/spreadsheets/d/1-3Vjw2Cyy-mry5gbC8ypIR3YVGFfEpyFESummAta6sg/edit"", ""Sheet1!B:D""), 3, FALSE), ""Not Found"")"),"s k ə r t ")</f>
        <v>s k ə r t </v>
      </c>
    </row>
    <row r="7057">
      <c r="A7057" s="1" t="s">
        <v>7059</v>
      </c>
      <c r="B7057" s="1" t="s">
        <v>5</v>
      </c>
      <c r="C7057" s="2">
        <f>IFERROR(__xludf.DUMMYFUNCTION("IFERROR(VLOOKUP(A7057, IMPORTRANGE(""https://docs.google.com/spreadsheets/d/1AVX9GT0dgogEBStecCXMMQ29tWz3gBrtNB8yIromXbY/edit?gid=741673867"", ""out1g!A:B""), 2, FALSE), 0)"),1165.0)</f>
        <v>1165</v>
      </c>
      <c r="D7057" s="2" t="str">
        <f>IFERROR(__xludf.DUMMYFUNCTION("IFERROR(VLOOKUP(A7057, IMPORTRANGE(""https://docs.google.com/spreadsheets/d/1-3Vjw2Cyy-mry5gbC8ypIR3YVGFfEpyFESummAta6sg/edit"", ""Sheet1!B:D""), 2, FALSE), ""Not Found"")"),"mɪlər")</f>
        <v>mɪlər</v>
      </c>
      <c r="E7057" s="2" t="str">
        <f>IFERROR(__xludf.DUMMYFUNCTION("IFERROR(VLOOKUP(A7057, IMPORTRANGE(""https://docs.google.com/spreadsheets/d/1-3Vjw2Cyy-mry5gbC8ypIR3YVGFfEpyFESummAta6sg/edit"", ""Sheet1!B:D""), 3, FALSE), ""Not Found"")"),"m ɪ l ə r ")</f>
        <v>m ɪ l ə r </v>
      </c>
    </row>
    <row r="7058">
      <c r="A7058" s="1" t="s">
        <v>7060</v>
      </c>
      <c r="B7058" s="1" t="s">
        <v>5</v>
      </c>
      <c r="C7058" s="2">
        <f>IFERROR(__xludf.DUMMYFUNCTION("IFERROR(VLOOKUP(A7058, IMPORTRANGE(""https://docs.google.com/spreadsheets/d/1AVX9GT0dgogEBStecCXMMQ29tWz3gBrtNB8yIromXbY/edit?gid=741673867"", ""out1g!A:B""), 2, FALSE), 0)"),474.0)</f>
        <v>474</v>
      </c>
      <c r="D7058" s="2" t="str">
        <f>IFERROR(__xludf.DUMMYFUNCTION("IFERROR(VLOOKUP(A7058, IMPORTRANGE(""https://docs.google.com/spreadsheets/d/1-3Vjw2Cyy-mry5gbC8ypIR3YVGFfEpyFESummAta6sg/edit"", ""Sheet1!B:D""), 2, FALSE), ""Not Found"")"),"əpsaɪd")</f>
        <v>əpsaɪd</v>
      </c>
      <c r="E7058" s="2" t="str">
        <f>IFERROR(__xludf.DUMMYFUNCTION("IFERROR(VLOOKUP(A7058, IMPORTRANGE(""https://docs.google.com/spreadsheets/d/1-3Vjw2Cyy-mry5gbC8ypIR3YVGFfEpyFESummAta6sg/edit"", ""Sheet1!B:D""), 3, FALSE), ""Not Found"")"),"ə p s a ɪ d ")</f>
        <v>ə p s a ɪ d </v>
      </c>
    </row>
    <row r="7059">
      <c r="A7059" s="1" t="s">
        <v>7061</v>
      </c>
      <c r="B7059" s="1" t="s">
        <v>5</v>
      </c>
      <c r="C7059" s="2">
        <f>IFERROR(__xludf.DUMMYFUNCTION("IFERROR(VLOOKUP(A7059, IMPORTRANGE(""https://docs.google.com/spreadsheets/d/1AVX9GT0dgogEBStecCXMMQ29tWz3gBrtNB8yIromXbY/edit?gid=741673867"", ""out1g!A:B""), 2, FALSE), 0)"),287.0)</f>
        <v>287</v>
      </c>
      <c r="D7059" s="2" t="str">
        <f>IFERROR(__xludf.DUMMYFUNCTION("IFERROR(VLOOKUP(A7059, IMPORTRANGE(""https://docs.google.com/spreadsheets/d/1-3Vjw2Cyy-mry5gbC8ypIR3YVGFfEpyFESummAta6sg/edit"", ""Sheet1!B:D""), 2, FALSE), ""Not Found"")"),"tum")</f>
        <v>tum</v>
      </c>
      <c r="E7059" s="2" t="str">
        <f>IFERROR(__xludf.DUMMYFUNCTION("IFERROR(VLOOKUP(A7059, IMPORTRANGE(""https://docs.google.com/spreadsheets/d/1-3Vjw2Cyy-mry5gbC8ypIR3YVGFfEpyFESummAta6sg/edit"", ""Sheet1!B:D""), 3, FALSE), ""Not Found"")"),"t u m ")</f>
        <v>t u m </v>
      </c>
    </row>
    <row r="7060">
      <c r="A7060" s="1" t="s">
        <v>7062</v>
      </c>
      <c r="B7060" s="1" t="s">
        <v>5</v>
      </c>
      <c r="C7060" s="2">
        <f>IFERROR(__xludf.DUMMYFUNCTION("IFERROR(VLOOKUP(A7060, IMPORTRANGE(""https://docs.google.com/spreadsheets/d/1AVX9GT0dgogEBStecCXMMQ29tWz3gBrtNB8yIromXbY/edit?gid=741673867"", ""out1g!A:B""), 2, FALSE), 0)"),470.0)</f>
        <v>470</v>
      </c>
      <c r="D7060" s="2" t="str">
        <f>IFERROR(__xludf.DUMMYFUNCTION("IFERROR(VLOOKUP(A7060, IMPORTRANGE(""https://docs.google.com/spreadsheets/d/1-3Vjw2Cyy-mry5gbC8ypIR3YVGFfEpyFESummAta6sg/edit"", ""Sheet1!B:D""), 2, FALSE), ""Not Found"")"),"wɪli")</f>
        <v>wɪli</v>
      </c>
      <c r="E7060" s="2" t="str">
        <f>IFERROR(__xludf.DUMMYFUNCTION("IFERROR(VLOOKUP(A7060, IMPORTRANGE(""https://docs.google.com/spreadsheets/d/1-3Vjw2Cyy-mry5gbC8ypIR3YVGFfEpyFESummAta6sg/edit"", ""Sheet1!B:D""), 3, FALSE), ""Not Found"")"),"w ɪ l i ")</f>
        <v>w ɪ l i </v>
      </c>
    </row>
    <row r="7061">
      <c r="A7061" s="1" t="s">
        <v>7063</v>
      </c>
      <c r="B7061" s="1" t="s">
        <v>5</v>
      </c>
      <c r="C7061" s="2">
        <f>IFERROR(__xludf.DUMMYFUNCTION("IFERROR(VLOOKUP(A7061, IMPORTRANGE(""https://docs.google.com/spreadsheets/d/1AVX9GT0dgogEBStecCXMMQ29tWz3gBrtNB8yIromXbY/edit?gid=741673867"", ""out1g!A:B""), 2, FALSE), 0)"),551.0)</f>
        <v>551</v>
      </c>
      <c r="D7061" s="2" t="str">
        <f>IFERROR(__xludf.DUMMYFUNCTION("IFERROR(VLOOKUP(A7061, IMPORTRANGE(""https://docs.google.com/spreadsheets/d/1-3Vjw2Cyy-mry5gbC8ypIR3YVGFfEpyFESummAta6sg/edit"", ""Sheet1!B:D""), 2, FALSE), ""Not Found"")"),"ke")</f>
        <v>ke</v>
      </c>
      <c r="E7061" s="2" t="str">
        <f>IFERROR(__xludf.DUMMYFUNCTION("IFERROR(VLOOKUP(A7061, IMPORTRANGE(""https://docs.google.com/spreadsheets/d/1-3Vjw2Cyy-mry5gbC8ypIR3YVGFfEpyFESummAta6sg/edit"", ""Sheet1!B:D""), 3, FALSE), ""Not Found"")"),"k e ")</f>
        <v>k e </v>
      </c>
    </row>
    <row r="7062">
      <c r="A7062" s="1" t="s">
        <v>7064</v>
      </c>
      <c r="B7062" s="1" t="s">
        <v>5</v>
      </c>
      <c r="C7062" s="2">
        <f>IFERROR(__xludf.DUMMYFUNCTION("IFERROR(VLOOKUP(A7062, IMPORTRANGE(""https://docs.google.com/spreadsheets/d/1AVX9GT0dgogEBStecCXMMQ29tWz3gBrtNB8yIromXbY/edit?gid=741673867"", ""out1g!A:B""), 2, FALSE), 0)"),138.0)</f>
        <v>138</v>
      </c>
      <c r="D7062" s="2" t="str">
        <f>IFERROR(__xludf.DUMMYFUNCTION("IFERROR(VLOOKUP(A7062, IMPORTRANGE(""https://docs.google.com/spreadsheets/d/1-3Vjw2Cyy-mry5gbC8ypIR3YVGFfEpyFESummAta6sg/edit"", ""Sheet1!B:D""), 2, FALSE), ""Not Found"")"),"klɪrər")</f>
        <v>klɪrər</v>
      </c>
      <c r="E7062" s="2" t="str">
        <f>IFERROR(__xludf.DUMMYFUNCTION("IFERROR(VLOOKUP(A7062, IMPORTRANGE(""https://docs.google.com/spreadsheets/d/1-3Vjw2Cyy-mry5gbC8ypIR3YVGFfEpyFESummAta6sg/edit"", ""Sheet1!B:D""), 3, FALSE), ""Not Found"")"),"k l ɪ r ə r ")</f>
        <v>k l ɪ r ə r </v>
      </c>
    </row>
    <row r="7063">
      <c r="A7063" s="1" t="s">
        <v>7065</v>
      </c>
      <c r="B7063" s="1" t="s">
        <v>5</v>
      </c>
      <c r="C7063" s="2">
        <f>IFERROR(__xludf.DUMMYFUNCTION("IFERROR(VLOOKUP(A7063, IMPORTRANGE(""https://docs.google.com/spreadsheets/d/1AVX9GT0dgogEBStecCXMMQ29tWz3gBrtNB8yIromXbY/edit?gid=741673867"", ""out1g!A:B""), 2, FALSE), 0)"),48.0)</f>
        <v>48</v>
      </c>
      <c r="D7063" s="2" t="str">
        <f>IFERROR(__xludf.DUMMYFUNCTION("IFERROR(VLOOKUP(A7063, IMPORTRANGE(""https://docs.google.com/spreadsheets/d/1-3Vjw2Cyy-mry5gbC8ypIR3YVGFfEpyFESummAta6sg/edit"", ""Sheet1!B:D""), 2, FALSE), ""Not Found"")"),"fɑnt")</f>
        <v>fɑnt</v>
      </c>
      <c r="E7063" s="2" t="str">
        <f>IFERROR(__xludf.DUMMYFUNCTION("IFERROR(VLOOKUP(A7063, IMPORTRANGE(""https://docs.google.com/spreadsheets/d/1-3Vjw2Cyy-mry5gbC8ypIR3YVGFfEpyFESummAta6sg/edit"", ""Sheet1!B:D""), 3, FALSE), ""Not Found"")"),"f ɑ n t ")</f>
        <v>f ɑ n t </v>
      </c>
    </row>
    <row r="7064">
      <c r="A7064" s="1" t="s">
        <v>7066</v>
      </c>
      <c r="B7064" s="1" t="s">
        <v>5</v>
      </c>
      <c r="C7064" s="2">
        <f>IFERROR(__xludf.DUMMYFUNCTION("IFERROR(VLOOKUP(A7064, IMPORTRANGE(""https://docs.google.com/spreadsheets/d/1AVX9GT0dgogEBStecCXMMQ29tWz3gBrtNB8yIromXbY/edit?gid=741673867"", ""out1g!A:B""), 2, FALSE), 0)"),116.0)</f>
        <v>116</v>
      </c>
      <c r="D7064" s="2" t="str">
        <f>IFERROR(__xludf.DUMMYFUNCTION("IFERROR(VLOOKUP(A7064, IMPORTRANGE(""https://docs.google.com/spreadsheets/d/1-3Vjw2Cyy-mry5gbC8ypIR3YVGFfEpyFESummAta6sg/edit"", ""Sheet1!B:D""), 2, FALSE), ""Not Found"")"),"flɛr")</f>
        <v>flɛr</v>
      </c>
      <c r="E7064" s="2" t="str">
        <f>IFERROR(__xludf.DUMMYFUNCTION("IFERROR(VLOOKUP(A7064, IMPORTRANGE(""https://docs.google.com/spreadsheets/d/1-3Vjw2Cyy-mry5gbC8ypIR3YVGFfEpyFESummAta6sg/edit"", ""Sheet1!B:D""), 3, FALSE), ""Not Found"")"),"f l ɛ r ")</f>
        <v>f l ɛ r </v>
      </c>
    </row>
    <row r="7065">
      <c r="A7065" s="1" t="s">
        <v>7067</v>
      </c>
      <c r="B7065" s="1" t="s">
        <v>5</v>
      </c>
      <c r="C7065" s="2">
        <f>IFERROR(__xludf.DUMMYFUNCTION("IFERROR(VLOOKUP(A7065, IMPORTRANGE(""https://docs.google.com/spreadsheets/d/1AVX9GT0dgogEBStecCXMMQ29tWz3gBrtNB8yIromXbY/edit?gid=741673867"", ""out1g!A:B""), 2, FALSE), 0)"),3272.0)</f>
        <v>3272</v>
      </c>
      <c r="D7065" s="2" t="str">
        <f>IFERROR(__xludf.DUMMYFUNCTION("IFERROR(VLOOKUP(A7065, IMPORTRANGE(""https://docs.google.com/spreadsheets/d/1-3Vjw2Cyy-mry5gbC8ypIR3YVGFfEpyFESummAta6sg/edit"", ""Sheet1!B:D""), 2, FALSE), ""Not Found"")"),"bɔrd")</f>
        <v>bɔrd</v>
      </c>
      <c r="E7065" s="2" t="str">
        <f>IFERROR(__xludf.DUMMYFUNCTION("IFERROR(VLOOKUP(A7065, IMPORTRANGE(""https://docs.google.com/spreadsheets/d/1-3Vjw2Cyy-mry5gbC8ypIR3YVGFfEpyFESummAta6sg/edit"", ""Sheet1!B:D""), 3, FALSE), ""Not Found"")"),"b ɔ r d ")</f>
        <v>b ɔ r d </v>
      </c>
    </row>
    <row r="7066">
      <c r="A7066" s="1" t="s">
        <v>7068</v>
      </c>
      <c r="B7066" s="1" t="s">
        <v>5</v>
      </c>
      <c r="C7066" s="2">
        <f>IFERROR(__xludf.DUMMYFUNCTION("IFERROR(VLOOKUP(A7066, IMPORTRANGE(""https://docs.google.com/spreadsheets/d/1AVX9GT0dgogEBStecCXMMQ29tWz3gBrtNB8yIromXbY/edit?gid=741673867"", ""out1g!A:B""), 2, FALSE), 0)"),120.0)</f>
        <v>120</v>
      </c>
      <c r="D7066" s="2" t="str">
        <f>IFERROR(__xludf.DUMMYFUNCTION("IFERROR(VLOOKUP(A7066, IMPORTRANGE(""https://docs.google.com/spreadsheets/d/1-3Vjw2Cyy-mry5gbC8ypIR3YVGFfEpyFESummAta6sg/edit"", ""Sheet1!B:D""), 2, FALSE), ""Not Found"")"),"gɑbəl")</f>
        <v>gɑbəl</v>
      </c>
      <c r="E7066" s="2" t="str">
        <f>IFERROR(__xludf.DUMMYFUNCTION("IFERROR(VLOOKUP(A7066, IMPORTRANGE(""https://docs.google.com/spreadsheets/d/1-3Vjw2Cyy-mry5gbC8ypIR3YVGFfEpyFESummAta6sg/edit"", ""Sheet1!B:D""), 3, FALSE), ""Not Found"")"),"g ɑ b ə l ")</f>
        <v>g ɑ b ə l </v>
      </c>
    </row>
    <row r="7067">
      <c r="A7067" s="1" t="s">
        <v>7069</v>
      </c>
      <c r="B7067" s="1" t="s">
        <v>5</v>
      </c>
      <c r="C7067" s="2">
        <f>IFERROR(__xludf.DUMMYFUNCTION("IFERROR(VLOOKUP(A7067, IMPORTRANGE(""https://docs.google.com/spreadsheets/d/1AVX9GT0dgogEBStecCXMMQ29tWz3gBrtNB8yIromXbY/edit?gid=741673867"", ""out1g!A:B""), 2, FALSE), 0)"),260.0)</f>
        <v>260</v>
      </c>
      <c r="D7067" s="2" t="str">
        <f>IFERROR(__xludf.DUMMYFUNCTION("IFERROR(VLOOKUP(A7067, IMPORTRANGE(""https://docs.google.com/spreadsheets/d/1-3Vjw2Cyy-mry5gbC8ypIR3YVGFfEpyFESummAta6sg/edit"", ""Sheet1!B:D""), 2, FALSE), ""Not Found"")"),"sɪp")</f>
        <v>sɪp</v>
      </c>
      <c r="E7067" s="2" t="str">
        <f>IFERROR(__xludf.DUMMYFUNCTION("IFERROR(VLOOKUP(A7067, IMPORTRANGE(""https://docs.google.com/spreadsheets/d/1-3Vjw2Cyy-mry5gbC8ypIR3YVGFfEpyFESummAta6sg/edit"", ""Sheet1!B:D""), 3, FALSE), ""Not Found"")"),"s ɪ p ")</f>
        <v>s ɪ p </v>
      </c>
    </row>
    <row r="7068">
      <c r="A7068" s="1" t="s">
        <v>7070</v>
      </c>
      <c r="B7068" s="1" t="s">
        <v>5</v>
      </c>
      <c r="C7068" s="2">
        <f>IFERROR(__xludf.DUMMYFUNCTION("IFERROR(VLOOKUP(A7068, IMPORTRANGE(""https://docs.google.com/spreadsheets/d/1AVX9GT0dgogEBStecCXMMQ29tWz3gBrtNB8yIromXbY/edit?gid=741673867"", ""out1g!A:B""), 2, FALSE), 0)"),861.0)</f>
        <v>861</v>
      </c>
      <c r="D7068" s="2" t="str">
        <f>IFERROR(__xludf.DUMMYFUNCTION("IFERROR(VLOOKUP(A7068, IMPORTRANGE(""https://docs.google.com/spreadsheets/d/1-3Vjw2Cyy-mry5gbC8ypIR3YVGFfEpyFESummAta6sg/edit"", ""Sheet1!B:D""), 2, FALSE), ""Not Found"")"),"snik")</f>
        <v>snik</v>
      </c>
      <c r="E7068" s="2" t="str">
        <f>IFERROR(__xludf.DUMMYFUNCTION("IFERROR(VLOOKUP(A7068, IMPORTRANGE(""https://docs.google.com/spreadsheets/d/1-3Vjw2Cyy-mry5gbC8ypIR3YVGFfEpyFESummAta6sg/edit"", ""Sheet1!B:D""), 3, FALSE), ""Not Found"")"),"s n i k ")</f>
        <v>s n i k </v>
      </c>
    </row>
    <row r="7069">
      <c r="A7069" s="1" t="s">
        <v>7071</v>
      </c>
      <c r="B7069" s="1" t="s">
        <v>5</v>
      </c>
      <c r="C7069" s="2">
        <f>IFERROR(__xludf.DUMMYFUNCTION("IFERROR(VLOOKUP(A7069, IMPORTRANGE(""https://docs.google.com/spreadsheets/d/1AVX9GT0dgogEBStecCXMMQ29tWz3gBrtNB8yIromXbY/edit?gid=741673867"", ""out1g!A:B""), 2, FALSE), 0)"),470.0)</f>
        <v>470</v>
      </c>
      <c r="D7069" s="2" t="str">
        <f>IFERROR(__xludf.DUMMYFUNCTION("IFERROR(VLOOKUP(A7069, IMPORTRANGE(""https://docs.google.com/spreadsheets/d/1-3Vjw2Cyy-mry5gbC8ypIR3YVGFfEpyFESummAta6sg/edit"", ""Sheet1!B:D""), 2, FALSE), ""Not Found"")"),"poʊət")</f>
        <v>poʊət</v>
      </c>
      <c r="E7069" s="2" t="str">
        <f>IFERROR(__xludf.DUMMYFUNCTION("IFERROR(VLOOKUP(A7069, IMPORTRANGE(""https://docs.google.com/spreadsheets/d/1-3Vjw2Cyy-mry5gbC8ypIR3YVGFfEpyFESummAta6sg/edit"", ""Sheet1!B:D""), 3, FALSE), ""Not Found"")"),"p o ʊ ə t ")</f>
        <v>p o ʊ ə t </v>
      </c>
    </row>
    <row r="7070">
      <c r="A7070" s="1" t="s">
        <v>7072</v>
      </c>
      <c r="B7070" s="1" t="s">
        <v>5</v>
      </c>
      <c r="C7070" s="2">
        <f>IFERROR(__xludf.DUMMYFUNCTION("IFERROR(VLOOKUP(A7070, IMPORTRANGE(""https://docs.google.com/spreadsheets/d/1AVX9GT0dgogEBStecCXMMQ29tWz3gBrtNB8yIromXbY/edit?gid=741673867"", ""out1g!A:B""), 2, FALSE), 0)"),55.0)</f>
        <v>55</v>
      </c>
      <c r="D7070" s="2" t="str">
        <f>IFERROR(__xludf.DUMMYFUNCTION("IFERROR(VLOOKUP(A7070, IMPORTRANGE(""https://docs.google.com/spreadsheets/d/1-3Vjw2Cyy-mry5gbC8ypIR3YVGFfEpyFESummAta6sg/edit"", ""Sheet1!B:D""), 2, FALSE), ""Not Found"")"),"vɪr")</f>
        <v>vɪr</v>
      </c>
      <c r="E7070" s="2" t="str">
        <f>IFERROR(__xludf.DUMMYFUNCTION("IFERROR(VLOOKUP(A7070, IMPORTRANGE(""https://docs.google.com/spreadsheets/d/1-3Vjw2Cyy-mry5gbC8ypIR3YVGFfEpyFESummAta6sg/edit"", ""Sheet1!B:D""), 3, FALSE), ""Not Found"")"),"v ɪ r ")</f>
        <v>v ɪ r </v>
      </c>
    </row>
    <row r="7071">
      <c r="A7071" s="1" t="s">
        <v>7073</v>
      </c>
      <c r="B7071" s="1" t="s">
        <v>6138</v>
      </c>
      <c r="C7071" s="2">
        <f>IFERROR(__xludf.DUMMYFUNCTION("IFERROR(VLOOKUP(A7071, IMPORTRANGE(""https://docs.google.com/spreadsheets/d/1AVX9GT0dgogEBStecCXMMQ29tWz3gBrtNB8yIromXbY/edit?gid=741673867"", ""out1g!A:B""), 2, FALSE), 0)"),53.0)</f>
        <v>53</v>
      </c>
      <c r="D7071" s="2" t="str">
        <f>IFERROR(__xludf.DUMMYFUNCTION("IFERROR(VLOOKUP(A7071, IMPORTRANGE(""https://docs.google.com/spreadsheets/d/1-3Vjw2Cyy-mry5gbC8ypIR3YVGFfEpyFESummAta6sg/edit"", ""Sheet1!B:D""), 2, FALSE), ""Not Found"")"),"ʤipərz")</f>
        <v>ʤipərz</v>
      </c>
      <c r="E7071" s="2" t="str">
        <f>IFERROR(__xludf.DUMMYFUNCTION("IFERROR(VLOOKUP(A7071, IMPORTRANGE(""https://docs.google.com/spreadsheets/d/1-3Vjw2Cyy-mry5gbC8ypIR3YVGFfEpyFESummAta6sg/edit"", ""Sheet1!B:D""), 3, FALSE), ""Not Found"")"),"ʤ i p ə r z ")</f>
        <v>ʤ i p ə r z </v>
      </c>
    </row>
    <row r="7072">
      <c r="A7072" s="1" t="s">
        <v>7074</v>
      </c>
      <c r="B7072" s="1" t="s">
        <v>6138</v>
      </c>
      <c r="C7072" s="2">
        <f>IFERROR(__xludf.DUMMYFUNCTION("IFERROR(VLOOKUP(A7072, IMPORTRANGE(""https://docs.google.com/spreadsheets/d/1AVX9GT0dgogEBStecCXMMQ29tWz3gBrtNB8yIromXbY/edit?gid=741673867"", ""out1g!A:B""), 2, FALSE), 0)"),322.0)</f>
        <v>322</v>
      </c>
      <c r="D7072" s="2" t="str">
        <f>IFERROR(__xludf.DUMMYFUNCTION("IFERROR(VLOOKUP(A7072, IMPORTRANGE(""https://docs.google.com/spreadsheets/d/1-3Vjw2Cyy-mry5gbC8ypIR3YVGFfEpyFESummAta6sg/edit"", ""Sheet1!B:D""), 2, FALSE), ""Not Found"")"),"straɪps")</f>
        <v>straɪps</v>
      </c>
      <c r="E7072" s="2" t="str">
        <f>IFERROR(__xludf.DUMMYFUNCTION("IFERROR(VLOOKUP(A7072, IMPORTRANGE(""https://docs.google.com/spreadsheets/d/1-3Vjw2Cyy-mry5gbC8ypIR3YVGFfEpyFESummAta6sg/edit"", ""Sheet1!B:D""), 3, FALSE), ""Not Found"")"),"s t r a ɪ p s ")</f>
        <v>s t r a ɪ p s </v>
      </c>
    </row>
    <row r="7073">
      <c r="A7073" s="1" t="s">
        <v>7075</v>
      </c>
      <c r="B7073" s="1" t="s">
        <v>6138</v>
      </c>
      <c r="C7073" s="2">
        <f>IFERROR(__xludf.DUMMYFUNCTION("IFERROR(VLOOKUP(A7073, IMPORTRANGE(""https://docs.google.com/spreadsheets/d/1AVX9GT0dgogEBStecCXMMQ29tWz3gBrtNB8yIromXbY/edit?gid=741673867"", ""out1g!A:B""), 2, FALSE), 0)"),370.0)</f>
        <v>370</v>
      </c>
      <c r="D7073" s="2" t="str">
        <f>IFERROR(__xludf.DUMMYFUNCTION("IFERROR(VLOOKUP(A7073, IMPORTRANGE(""https://docs.google.com/spreadsheets/d/1-3Vjw2Cyy-mry5gbC8ypIR3YVGFfEpyFESummAta6sg/edit"", ""Sheet1!B:D""), 2, FALSE), ""Not Found"")"),"səlut")</f>
        <v>səlut</v>
      </c>
      <c r="E7073" s="2" t="str">
        <f>IFERROR(__xludf.DUMMYFUNCTION("IFERROR(VLOOKUP(A7073, IMPORTRANGE(""https://docs.google.com/spreadsheets/d/1-3Vjw2Cyy-mry5gbC8ypIR3YVGFfEpyFESummAta6sg/edit"", ""Sheet1!B:D""), 3, FALSE), ""Not Found"")"),"s ə l u t ")</f>
        <v>s ə l u t </v>
      </c>
    </row>
    <row r="7074">
      <c r="A7074" s="1" t="s">
        <v>7076</v>
      </c>
      <c r="B7074" s="1" t="s">
        <v>6138</v>
      </c>
      <c r="C7074" s="2">
        <f>IFERROR(__xludf.DUMMYFUNCTION("IFERROR(VLOOKUP(A7074, IMPORTRANGE(""https://docs.google.com/spreadsheets/d/1AVX9GT0dgogEBStecCXMMQ29tWz3gBrtNB8yIromXbY/edit?gid=741673867"", ""out1g!A:B""), 2, FALSE), 0)"),3358.0)</f>
        <v>3358</v>
      </c>
      <c r="D7074" s="2" t="str">
        <f>IFERROR(__xludf.DUMMYFUNCTION("IFERROR(VLOOKUP(A7074, IMPORTRANGE(""https://docs.google.com/spreadsheets/d/1-3Vjw2Cyy-mry5gbC8ypIR3YVGFfEpyFESummAta6sg/edit"", ""Sheet1!B:D""), 2, FALSE), ""Not Found"")"),"ʤemz")</f>
        <v>ʤemz</v>
      </c>
      <c r="E7074" s="2" t="str">
        <f>IFERROR(__xludf.DUMMYFUNCTION("IFERROR(VLOOKUP(A7074, IMPORTRANGE(""https://docs.google.com/spreadsheets/d/1-3Vjw2Cyy-mry5gbC8ypIR3YVGFfEpyFESummAta6sg/edit"", ""Sheet1!B:D""), 3, FALSE), ""Not Found"")"),"ʤ e m z ")</f>
        <v>ʤ e m z </v>
      </c>
    </row>
    <row r="7075">
      <c r="A7075" s="1" t="s">
        <v>7077</v>
      </c>
      <c r="B7075" s="1" t="s">
        <v>6138</v>
      </c>
      <c r="C7075" s="2">
        <f>IFERROR(__xludf.DUMMYFUNCTION("IFERROR(VLOOKUP(A7075, IMPORTRANGE(""https://docs.google.com/spreadsheets/d/1AVX9GT0dgogEBStecCXMMQ29tWz3gBrtNB8yIromXbY/edit?gid=741673867"", ""out1g!A:B""), 2, FALSE), 0)"),24.0)</f>
        <v>24</v>
      </c>
      <c r="D7075" s="2" t="str">
        <f>IFERROR(__xludf.DUMMYFUNCTION("IFERROR(VLOOKUP(A7075, IMPORTRANGE(""https://docs.google.com/spreadsheets/d/1-3Vjw2Cyy-mry5gbC8ypIR3YVGFfEpyFESummAta6sg/edit"", ""Sheet1!B:D""), 2, FALSE), ""Not Found"")"),"oʊldz")</f>
        <v>oʊldz</v>
      </c>
      <c r="E7075" s="2" t="str">
        <f>IFERROR(__xludf.DUMMYFUNCTION("IFERROR(VLOOKUP(A7075, IMPORTRANGE(""https://docs.google.com/spreadsheets/d/1-3Vjw2Cyy-mry5gbC8ypIR3YVGFfEpyFESummAta6sg/edit"", ""Sheet1!B:D""), 3, FALSE), ""Not Found"")"),"o ʊ l d z ")</f>
        <v>o ʊ l d z </v>
      </c>
    </row>
    <row r="7076">
      <c r="A7076" s="1" t="s">
        <v>7078</v>
      </c>
      <c r="B7076" s="1" t="s">
        <v>6138</v>
      </c>
      <c r="C7076" s="2">
        <f>IFERROR(__xludf.DUMMYFUNCTION("IFERROR(VLOOKUP(A7076, IMPORTRANGE(""https://docs.google.com/spreadsheets/d/1AVX9GT0dgogEBStecCXMMQ29tWz3gBrtNB8yIromXbY/edit?gid=741673867"", ""out1g!A:B""), 2, FALSE), 0)"),1295.0)</f>
        <v>1295</v>
      </c>
      <c r="D7076" s="2" t="str">
        <f>IFERROR(__xludf.DUMMYFUNCTION("IFERROR(VLOOKUP(A7076, IMPORTRANGE(""https://docs.google.com/spreadsheets/d/1-3Vjw2Cyy-mry5gbC8ypIR3YVGFfEpyFESummAta6sg/edit"", ""Sheet1!B:D""), 2, FALSE), ""Not Found"")"),"sel")</f>
        <v>sel</v>
      </c>
      <c r="E7076" s="2" t="str">
        <f>IFERROR(__xludf.DUMMYFUNCTION("IFERROR(VLOOKUP(A7076, IMPORTRANGE(""https://docs.google.com/spreadsheets/d/1-3Vjw2Cyy-mry5gbC8ypIR3YVGFfEpyFESummAta6sg/edit"", ""Sheet1!B:D""), 3, FALSE), ""Not Found"")"),"s e l ")</f>
        <v>s e l </v>
      </c>
    </row>
    <row r="7077">
      <c r="A7077" s="1" t="s">
        <v>7079</v>
      </c>
      <c r="B7077" s="1" t="s">
        <v>6138</v>
      </c>
      <c r="C7077" s="2">
        <f>IFERROR(__xludf.DUMMYFUNCTION("IFERROR(VLOOKUP(A7077, IMPORTRANGE(""https://docs.google.com/spreadsheets/d/1AVX9GT0dgogEBStecCXMMQ29tWz3gBrtNB8yIromXbY/edit?gid=741673867"", ""out1g!A:B""), 2, FALSE), 0)"),753.0)</f>
        <v>753</v>
      </c>
      <c r="D7077" s="2" t="str">
        <f>IFERROR(__xludf.DUMMYFUNCTION("IFERROR(VLOOKUP(A7077, IMPORTRANGE(""https://docs.google.com/spreadsheets/d/1-3Vjw2Cyy-mry5gbC8ypIR3YVGFfEpyFESummAta6sg/edit"", ""Sheet1!B:D""), 2, FALSE), ""Not Found"")"),"ɑlɪvər")</f>
        <v>ɑlɪvər</v>
      </c>
      <c r="E7077" s="2" t="str">
        <f>IFERROR(__xludf.DUMMYFUNCTION("IFERROR(VLOOKUP(A7077, IMPORTRANGE(""https://docs.google.com/spreadsheets/d/1-3Vjw2Cyy-mry5gbC8ypIR3YVGFfEpyFESummAta6sg/edit"", ""Sheet1!B:D""), 3, FALSE), ""Not Found"")"),"ɑ l ɪ v ə r ")</f>
        <v>ɑ l ɪ v ə r </v>
      </c>
    </row>
    <row r="7078">
      <c r="A7078" s="1" t="s">
        <v>7080</v>
      </c>
      <c r="B7078" s="1" t="s">
        <v>6138</v>
      </c>
      <c r="C7078" s="2">
        <f>IFERROR(__xludf.DUMMYFUNCTION("IFERROR(VLOOKUP(A7078, IMPORTRANGE(""https://docs.google.com/spreadsheets/d/1AVX9GT0dgogEBStecCXMMQ29tWz3gBrtNB8yIromXbY/edit?gid=741673867"", ""out1g!A:B""), 2, FALSE), 0)"),2424.0)</f>
        <v>2424</v>
      </c>
      <c r="D7078" s="2" t="str">
        <f>IFERROR(__xludf.DUMMYFUNCTION("IFERROR(VLOOKUP(A7078, IMPORTRANGE(""https://docs.google.com/spreadsheets/d/1-3Vjw2Cyy-mry5gbC8ypIR3YVGFfEpyFESummAta6sg/edit"", ""Sheet1!B:D""), 2, FALSE), ""Not Found"")"),"kru")</f>
        <v>kru</v>
      </c>
      <c r="E7078" s="2" t="str">
        <f>IFERROR(__xludf.DUMMYFUNCTION("IFERROR(VLOOKUP(A7078, IMPORTRANGE(""https://docs.google.com/spreadsheets/d/1-3Vjw2Cyy-mry5gbC8ypIR3YVGFfEpyFESummAta6sg/edit"", ""Sheet1!B:D""), 3, FALSE), ""Not Found"")"),"k r u ")</f>
        <v>k r u </v>
      </c>
    </row>
    <row r="7079">
      <c r="A7079" s="1" t="s">
        <v>7081</v>
      </c>
      <c r="B7079" s="1" t="s">
        <v>6138</v>
      </c>
      <c r="C7079" s="2">
        <f>IFERROR(__xludf.DUMMYFUNCTION("IFERROR(VLOOKUP(A7079, IMPORTRANGE(""https://docs.google.com/spreadsheets/d/1AVX9GT0dgogEBStecCXMMQ29tWz3gBrtNB8yIromXbY/edit?gid=741673867"", ""out1g!A:B""), 2, FALSE), 0)"),29.0)</f>
        <v>29</v>
      </c>
      <c r="D7079" s="2" t="str">
        <f>IFERROR(__xludf.DUMMYFUNCTION("IFERROR(VLOOKUP(A7079, IMPORTRANGE(""https://docs.google.com/spreadsheets/d/1-3Vjw2Cyy-mry5gbC8ypIR3YVGFfEpyFESummAta6sg/edit"", ""Sheet1!B:D""), 2, FALSE), ""Not Found"")"),"taɪfən")</f>
        <v>taɪfən</v>
      </c>
      <c r="E7079" s="2" t="str">
        <f>IFERROR(__xludf.DUMMYFUNCTION("IFERROR(VLOOKUP(A7079, IMPORTRANGE(""https://docs.google.com/spreadsheets/d/1-3Vjw2Cyy-mry5gbC8ypIR3YVGFfEpyFESummAta6sg/edit"", ""Sheet1!B:D""), 3, FALSE), ""Not Found"")"),"t a ɪ f ə n ")</f>
        <v>t a ɪ f ə n </v>
      </c>
    </row>
    <row r="7080">
      <c r="A7080" s="1" t="s">
        <v>7082</v>
      </c>
      <c r="B7080" s="1" t="s">
        <v>6138</v>
      </c>
      <c r="C7080" s="2">
        <f>IFERROR(__xludf.DUMMYFUNCTION("IFERROR(VLOOKUP(A7080, IMPORTRANGE(""https://docs.google.com/spreadsheets/d/1AVX9GT0dgogEBStecCXMMQ29tWz3gBrtNB8yIromXbY/edit?gid=741673867"", ""out1g!A:B""), 2, FALSE), 0)"),70.0)</f>
        <v>70</v>
      </c>
      <c r="D7080" s="2" t="str">
        <f>IFERROR(__xludf.DUMMYFUNCTION("IFERROR(VLOOKUP(A7080, IMPORTRANGE(""https://docs.google.com/spreadsheets/d/1-3Vjw2Cyy-mry5gbC8ypIR3YVGFfEpyFESummAta6sg/edit"", ""Sheet1!B:D""), 2, FALSE), ""Not Found"")"),"stɑrtlɪŋ")</f>
        <v>stɑrtlɪŋ</v>
      </c>
      <c r="E7080" s="2" t="str">
        <f>IFERROR(__xludf.DUMMYFUNCTION("IFERROR(VLOOKUP(A7080, IMPORTRANGE(""https://docs.google.com/spreadsheets/d/1-3Vjw2Cyy-mry5gbC8ypIR3YVGFfEpyFESummAta6sg/edit"", ""Sheet1!B:D""), 3, FALSE), ""Not Found"")"),"s t ɑ r t l ɪ ŋ ")</f>
        <v>s t ɑ r t l ɪ ŋ </v>
      </c>
    </row>
    <row r="7081">
      <c r="A7081" s="1" t="s">
        <v>7083</v>
      </c>
      <c r="B7081" s="1" t="s">
        <v>6138</v>
      </c>
      <c r="C7081" s="2">
        <f>IFERROR(__xludf.DUMMYFUNCTION("IFERROR(VLOOKUP(A7081, IMPORTRANGE(""https://docs.google.com/spreadsheets/d/1AVX9GT0dgogEBStecCXMMQ29tWz3gBrtNB8yIromXbY/edit?gid=741673867"", ""out1g!A:B""), 2, FALSE), 0)"),185.0)</f>
        <v>185</v>
      </c>
      <c r="D7081" s="2" t="str">
        <f>IFERROR(__xludf.DUMMYFUNCTION("IFERROR(VLOOKUP(A7081, IMPORTRANGE(""https://docs.google.com/spreadsheets/d/1-3Vjw2Cyy-mry5gbC8ypIR3YVGFfEpyFESummAta6sg/edit"", ""Sheet1!B:D""), 2, FALSE), ""Not Found"")"),"broʊkər")</f>
        <v>broʊkər</v>
      </c>
      <c r="E7081" s="2" t="str">
        <f>IFERROR(__xludf.DUMMYFUNCTION("IFERROR(VLOOKUP(A7081, IMPORTRANGE(""https://docs.google.com/spreadsheets/d/1-3Vjw2Cyy-mry5gbC8ypIR3YVGFfEpyFESummAta6sg/edit"", ""Sheet1!B:D""), 3, FALSE), ""Not Found"")"),"b r o ʊ k ə r ")</f>
        <v>b r o ʊ k ə r </v>
      </c>
    </row>
    <row r="7082">
      <c r="A7082" s="1" t="s">
        <v>7084</v>
      </c>
      <c r="B7082" s="1" t="s">
        <v>6138</v>
      </c>
      <c r="C7082" s="2">
        <f>IFERROR(__xludf.DUMMYFUNCTION("IFERROR(VLOOKUP(A7082, IMPORTRANGE(""https://docs.google.com/spreadsheets/d/1AVX9GT0dgogEBStecCXMMQ29tWz3gBrtNB8yIromXbY/edit?gid=741673867"", ""out1g!A:B""), 2, FALSE), 0)"),63.0)</f>
        <v>63</v>
      </c>
      <c r="D7082" s="2" t="str">
        <f>IFERROR(__xludf.DUMMYFUNCTION("IFERROR(VLOOKUP(A7082, IMPORTRANGE(""https://docs.google.com/spreadsheets/d/1-3Vjw2Cyy-mry5gbC8ypIR3YVGFfEpyFESummAta6sg/edit"", ""Sheet1!B:D""), 2, FALSE), ""Not Found"")"),"ʧɑrmər")</f>
        <v>ʧɑrmər</v>
      </c>
      <c r="E7082" s="2" t="str">
        <f>IFERROR(__xludf.DUMMYFUNCTION("IFERROR(VLOOKUP(A7082, IMPORTRANGE(""https://docs.google.com/spreadsheets/d/1-3Vjw2Cyy-mry5gbC8ypIR3YVGFfEpyFESummAta6sg/edit"", ""Sheet1!B:D""), 3, FALSE), ""Not Found"")"),"ʧ ɑ r m ə r ")</f>
        <v>ʧ ɑ r m ə r </v>
      </c>
    </row>
    <row r="7083">
      <c r="A7083" s="1" t="s">
        <v>7085</v>
      </c>
      <c r="B7083" s="1" t="s">
        <v>6138</v>
      </c>
      <c r="C7083" s="2">
        <f>IFERROR(__xludf.DUMMYFUNCTION("IFERROR(VLOOKUP(A7083, IMPORTRANGE(""https://docs.google.com/spreadsheets/d/1AVX9GT0dgogEBStecCXMMQ29tWz3gBrtNB8yIromXbY/edit?gid=741673867"", ""out1g!A:B""), 2, FALSE), 0)"),2546.0)</f>
        <v>2546</v>
      </c>
      <c r="D7083" s="2" t="str">
        <f>IFERROR(__xludf.DUMMYFUNCTION("IFERROR(VLOOKUP(A7083, IMPORTRANGE(""https://docs.google.com/spreadsheets/d/1-3Vjw2Cyy-mry5gbC8ypIR3YVGFfEpyFESummAta6sg/edit"", ""Sheet1!B:D""), 2, FALSE), ""Not Found"")"),"bɑtəm")</f>
        <v>bɑtəm</v>
      </c>
      <c r="E7083" s="2" t="str">
        <f>IFERROR(__xludf.DUMMYFUNCTION("IFERROR(VLOOKUP(A7083, IMPORTRANGE(""https://docs.google.com/spreadsheets/d/1-3Vjw2Cyy-mry5gbC8ypIR3YVGFfEpyFESummAta6sg/edit"", ""Sheet1!B:D""), 3, FALSE), ""Not Found"")"),"b ɑ t ə m ")</f>
        <v>b ɑ t ə m </v>
      </c>
    </row>
    <row r="7084">
      <c r="A7084" s="1" t="s">
        <v>7086</v>
      </c>
      <c r="B7084" s="1" t="s">
        <v>6138</v>
      </c>
      <c r="C7084" s="2">
        <f>IFERROR(__xludf.DUMMYFUNCTION("IFERROR(VLOOKUP(A7084, IMPORTRANGE(""https://docs.google.com/spreadsheets/d/1AVX9GT0dgogEBStecCXMMQ29tWz3gBrtNB8yIromXbY/edit?gid=741673867"", ""out1g!A:B""), 2, FALSE), 0)"),136.0)</f>
        <v>136</v>
      </c>
      <c r="D7084" s="2" t="str">
        <f>IFERROR(__xludf.DUMMYFUNCTION("IFERROR(VLOOKUP(A7084, IMPORTRANGE(""https://docs.google.com/spreadsheets/d/1-3Vjw2Cyy-mry5gbC8ypIR3YVGFfEpyFESummAta6sg/edit"", ""Sheet1!B:D""), 2, FALSE), ""Not Found"")"),"skwil")</f>
        <v>skwil</v>
      </c>
      <c r="E7084" s="2" t="str">
        <f>IFERROR(__xludf.DUMMYFUNCTION("IFERROR(VLOOKUP(A7084, IMPORTRANGE(""https://docs.google.com/spreadsheets/d/1-3Vjw2Cyy-mry5gbC8ypIR3YVGFfEpyFESummAta6sg/edit"", ""Sheet1!B:D""), 3, FALSE), ""Not Found"")"),"s k w i l ")</f>
        <v>s k w i l </v>
      </c>
    </row>
    <row r="7085">
      <c r="A7085" s="1" t="s">
        <v>7087</v>
      </c>
      <c r="B7085" s="1" t="s">
        <v>6138</v>
      </c>
      <c r="C7085" s="2">
        <f>IFERROR(__xludf.DUMMYFUNCTION("IFERROR(VLOOKUP(A7085, IMPORTRANGE(""https://docs.google.com/spreadsheets/d/1AVX9GT0dgogEBStecCXMMQ29tWz3gBrtNB8yIromXbY/edit?gid=741673867"", ""out1g!A:B""), 2, FALSE), 0)"),227.0)</f>
        <v>227</v>
      </c>
      <c r="D7085" s="2" t="str">
        <f>IFERROR(__xludf.DUMMYFUNCTION("IFERROR(VLOOKUP(A7085, IMPORTRANGE(""https://docs.google.com/spreadsheets/d/1-3Vjw2Cyy-mry5gbC8ypIR3YVGFfEpyFESummAta6sg/edit"", ""Sheet1!B:D""), 2, FALSE), ""Not Found"")"),"klinərz")</f>
        <v>klinərz</v>
      </c>
      <c r="E7085" s="2" t="str">
        <f>IFERROR(__xludf.DUMMYFUNCTION("IFERROR(VLOOKUP(A7085, IMPORTRANGE(""https://docs.google.com/spreadsheets/d/1-3Vjw2Cyy-mry5gbC8ypIR3YVGFfEpyFESummAta6sg/edit"", ""Sheet1!B:D""), 3, FALSE), ""Not Found"")"),"k l i n ə r z ")</f>
        <v>k l i n ə r z </v>
      </c>
    </row>
    <row r="7086">
      <c r="A7086" s="1" t="s">
        <v>7088</v>
      </c>
      <c r="B7086" s="1" t="s">
        <v>6138</v>
      </c>
      <c r="C7086" s="2">
        <f>IFERROR(__xludf.DUMMYFUNCTION("IFERROR(VLOOKUP(A7086, IMPORTRANGE(""https://docs.google.com/spreadsheets/d/1AVX9GT0dgogEBStecCXMMQ29tWz3gBrtNB8yIromXbY/edit?gid=741673867"", ""out1g!A:B""), 2, FALSE), 0)"),164.0)</f>
        <v>164</v>
      </c>
      <c r="D7086" s="2" t="str">
        <f>IFERROR(__xludf.DUMMYFUNCTION("IFERROR(VLOOKUP(A7086, IMPORTRANGE(""https://docs.google.com/spreadsheets/d/1-3Vjw2Cyy-mry5gbC8ypIR3YVGFfEpyFESummAta6sg/edit"", ""Sheet1!B:D""), 2, FALSE), ""Not Found"")"),"bɑrks")</f>
        <v>bɑrks</v>
      </c>
      <c r="E7086" s="2" t="str">
        <f>IFERROR(__xludf.DUMMYFUNCTION("IFERROR(VLOOKUP(A7086, IMPORTRANGE(""https://docs.google.com/spreadsheets/d/1-3Vjw2Cyy-mry5gbC8ypIR3YVGFfEpyFESummAta6sg/edit"", ""Sheet1!B:D""), 3, FALSE), ""Not Found"")"),"b ɑ r k s ")</f>
        <v>b ɑ r k s </v>
      </c>
    </row>
    <row r="7087">
      <c r="A7087" s="1" t="s">
        <v>7089</v>
      </c>
      <c r="B7087" s="1" t="s">
        <v>6138</v>
      </c>
      <c r="C7087" s="2">
        <f>IFERROR(__xludf.DUMMYFUNCTION("IFERROR(VLOOKUP(A7087, IMPORTRANGE(""https://docs.google.com/spreadsheets/d/1AVX9GT0dgogEBStecCXMMQ29tWz3gBrtNB8yIromXbY/edit?gid=741673867"", ""out1g!A:B""), 2, FALSE), 0)"),2134713.0)</f>
        <v>2134713</v>
      </c>
      <c r="D7087" s="2" t="str">
        <f>IFERROR(__xludf.DUMMYFUNCTION("IFERROR(VLOOKUP(A7087, IMPORTRANGE(""https://docs.google.com/spreadsheets/d/1-3Vjw2Cyy-mry5gbC8ypIR3YVGFfEpyFESummAta6sg/edit"", ""Sheet1!B:D""), 2, FALSE), ""Not Found"")"),"ju")</f>
        <v>ju</v>
      </c>
      <c r="E7087" s="2" t="str">
        <f>IFERROR(__xludf.DUMMYFUNCTION("IFERROR(VLOOKUP(A7087, IMPORTRANGE(""https://docs.google.com/spreadsheets/d/1-3Vjw2Cyy-mry5gbC8ypIR3YVGFfEpyFESummAta6sg/edit"", ""Sheet1!B:D""), 3, FALSE), ""Not Found"")"),"j u ")</f>
        <v>j u </v>
      </c>
    </row>
    <row r="7088">
      <c r="A7088" s="1" t="s">
        <v>7090</v>
      </c>
      <c r="B7088" s="1" t="s">
        <v>6138</v>
      </c>
      <c r="C7088" s="2">
        <f>IFERROR(__xludf.DUMMYFUNCTION("IFERROR(VLOOKUP(A7088, IMPORTRANGE(""https://docs.google.com/spreadsheets/d/1AVX9GT0dgogEBStecCXMMQ29tWz3gBrtNB8yIromXbY/edit?gid=741673867"", ""out1g!A:B""), 2, FALSE), 0)"),533.0)</f>
        <v>533</v>
      </c>
      <c r="D7088" s="2" t="str">
        <f>IFERROR(__xludf.DUMMYFUNCTION("IFERROR(VLOOKUP(A7088, IMPORTRANGE(""https://docs.google.com/spreadsheets/d/1-3Vjw2Cyy-mry5gbC8ypIR3YVGFfEpyFESummAta6sg/edit"", ""Sheet1!B:D""), 2, FALSE), ""Not Found"")"),"pɑrkt")</f>
        <v>pɑrkt</v>
      </c>
      <c r="E7088" s="2" t="str">
        <f>IFERROR(__xludf.DUMMYFUNCTION("IFERROR(VLOOKUP(A7088, IMPORTRANGE(""https://docs.google.com/spreadsheets/d/1-3Vjw2Cyy-mry5gbC8ypIR3YVGFfEpyFESummAta6sg/edit"", ""Sheet1!B:D""), 3, FALSE), ""Not Found"")"),"p ɑ r k t ")</f>
        <v>p ɑ r k t </v>
      </c>
    </row>
    <row r="7089">
      <c r="A7089" s="1" t="s">
        <v>7091</v>
      </c>
      <c r="B7089" s="1" t="s">
        <v>6138</v>
      </c>
      <c r="C7089" s="2">
        <f>IFERROR(__xludf.DUMMYFUNCTION("IFERROR(VLOOKUP(A7089, IMPORTRANGE(""https://docs.google.com/spreadsheets/d/1AVX9GT0dgogEBStecCXMMQ29tWz3gBrtNB8yIromXbY/edit?gid=741673867"", ""out1g!A:B""), 2, FALSE), 0)"),273.0)</f>
        <v>273</v>
      </c>
      <c r="D7089" s="2" t="str">
        <f>IFERROR(__xludf.DUMMYFUNCTION("IFERROR(VLOOKUP(A7089, IMPORTRANGE(""https://docs.google.com/spreadsheets/d/1-3Vjw2Cyy-mry5gbC8ypIR3YVGFfEpyFESummAta6sg/edit"", ""Sheet1!B:D""), 2, FALSE), ""Not Found"")"),"rɛbəl")</f>
        <v>rɛbəl</v>
      </c>
      <c r="E7089" s="2" t="str">
        <f>IFERROR(__xludf.DUMMYFUNCTION("IFERROR(VLOOKUP(A7089, IMPORTRANGE(""https://docs.google.com/spreadsheets/d/1-3Vjw2Cyy-mry5gbC8ypIR3YVGFfEpyFESummAta6sg/edit"", ""Sheet1!B:D""), 3, FALSE), ""Not Found"")"),"r ɛ b ə l ")</f>
        <v>r ɛ b ə l </v>
      </c>
    </row>
    <row r="7090">
      <c r="A7090" s="1" t="s">
        <v>7092</v>
      </c>
      <c r="B7090" s="1" t="s">
        <v>6138</v>
      </c>
      <c r="C7090" s="2">
        <f>IFERROR(__xludf.DUMMYFUNCTION("IFERROR(VLOOKUP(A7090, IMPORTRANGE(""https://docs.google.com/spreadsheets/d/1AVX9GT0dgogEBStecCXMMQ29tWz3gBrtNB8yIromXbY/edit?gid=741673867"", ""out1g!A:B""), 2, FALSE), 0)"),61.0)</f>
        <v>61</v>
      </c>
      <c r="D7090" s="2" t="str">
        <f>IFERROR(__xludf.DUMMYFUNCTION("IFERROR(VLOOKUP(A7090, IMPORTRANGE(""https://docs.google.com/spreadsheets/d/1-3Vjw2Cyy-mry5gbC8ypIR3YVGFfEpyFESummAta6sg/edit"", ""Sheet1!B:D""), 2, FALSE), ""Not Found"")"),"rəmbə")</f>
        <v>rəmbə</v>
      </c>
      <c r="E7090" s="2" t="str">
        <f>IFERROR(__xludf.DUMMYFUNCTION("IFERROR(VLOOKUP(A7090, IMPORTRANGE(""https://docs.google.com/spreadsheets/d/1-3Vjw2Cyy-mry5gbC8ypIR3YVGFfEpyFESummAta6sg/edit"", ""Sheet1!B:D""), 3, FALSE), ""Not Found"")"),"r ə m b ə ")</f>
        <v>r ə m b ə </v>
      </c>
    </row>
    <row r="7091">
      <c r="A7091" s="1" t="s">
        <v>7093</v>
      </c>
      <c r="B7091" s="1" t="s">
        <v>6138</v>
      </c>
      <c r="C7091" s="2">
        <f>IFERROR(__xludf.DUMMYFUNCTION("IFERROR(VLOOKUP(A7091, IMPORTRANGE(""https://docs.google.com/spreadsheets/d/1AVX9GT0dgogEBStecCXMMQ29tWz3gBrtNB8yIromXbY/edit?gid=741673867"", ""out1g!A:B""), 2, FALSE), 0)"),74.0)</f>
        <v>74</v>
      </c>
      <c r="D7091" s="2" t="str">
        <f>IFERROR(__xludf.DUMMYFUNCTION("IFERROR(VLOOKUP(A7091, IMPORTRANGE(""https://docs.google.com/spreadsheets/d/1-3Vjw2Cyy-mry5gbC8ypIR3YVGFfEpyFESummAta6sg/edit"", ""Sheet1!B:D""), 2, FALSE), ""Not Found"")"),"lɪŋər")</f>
        <v>lɪŋər</v>
      </c>
      <c r="E7091" s="2" t="str">
        <f>IFERROR(__xludf.DUMMYFUNCTION("IFERROR(VLOOKUP(A7091, IMPORTRANGE(""https://docs.google.com/spreadsheets/d/1-3Vjw2Cyy-mry5gbC8ypIR3YVGFfEpyFESummAta6sg/edit"", ""Sheet1!B:D""), 3, FALSE), ""Not Found"")"),"l ɪ ŋ ə r ")</f>
        <v>l ɪ ŋ ə r </v>
      </c>
    </row>
    <row r="7092">
      <c r="A7092" s="1" t="s">
        <v>7094</v>
      </c>
      <c r="B7092" s="1" t="s">
        <v>6138</v>
      </c>
      <c r="C7092" s="2">
        <f>IFERROR(__xludf.DUMMYFUNCTION("IFERROR(VLOOKUP(A7092, IMPORTRANGE(""https://docs.google.com/spreadsheets/d/1AVX9GT0dgogEBStecCXMMQ29tWz3gBrtNB8yIromXbY/edit?gid=741673867"", ""out1g!A:B""), 2, FALSE), 0)"),721.0)</f>
        <v>721</v>
      </c>
      <c r="D7092" s="2" t="str">
        <f>IFERROR(__xludf.DUMMYFUNCTION("IFERROR(VLOOKUP(A7092, IMPORTRANGE(""https://docs.google.com/spreadsheets/d/1-3Vjw2Cyy-mry5gbC8ypIR3YVGFfEpyFESummAta6sg/edit"", ""Sheet1!B:D""), 2, FALSE), ""Not Found"")"),"laɪtnɪŋ")</f>
        <v>laɪtnɪŋ</v>
      </c>
      <c r="E7092" s="2" t="str">
        <f>IFERROR(__xludf.DUMMYFUNCTION("IFERROR(VLOOKUP(A7092, IMPORTRANGE(""https://docs.google.com/spreadsheets/d/1-3Vjw2Cyy-mry5gbC8ypIR3YVGFfEpyFESummAta6sg/edit"", ""Sheet1!B:D""), 3, FALSE), ""Not Found"")"),"l a ɪ t n ɪ ŋ ")</f>
        <v>l a ɪ t n ɪ ŋ </v>
      </c>
    </row>
    <row r="7093">
      <c r="A7093" s="1" t="s">
        <v>7095</v>
      </c>
      <c r="B7093" s="1" t="s">
        <v>6138</v>
      </c>
      <c r="C7093" s="2">
        <f>IFERROR(__xludf.DUMMYFUNCTION("IFERROR(VLOOKUP(A7093, IMPORTRANGE(""https://docs.google.com/spreadsheets/d/1AVX9GT0dgogEBStecCXMMQ29tWz3gBrtNB8yIromXbY/edit?gid=741673867"", ""out1g!A:B""), 2, FALSE), 0)"),198.0)</f>
        <v>198</v>
      </c>
      <c r="D7093" s="2" t="str">
        <f>IFERROR(__xludf.DUMMYFUNCTION("IFERROR(VLOOKUP(A7093, IMPORTRANGE(""https://docs.google.com/spreadsheets/d/1-3Vjw2Cyy-mry5gbC8ypIR3YVGFfEpyFESummAta6sg/edit"", ""Sheet1!B:D""), 2, FALSE), ""Not Found"")"),"lɪsts")</f>
        <v>lɪsts</v>
      </c>
      <c r="E7093" s="2" t="str">
        <f>IFERROR(__xludf.DUMMYFUNCTION("IFERROR(VLOOKUP(A7093, IMPORTRANGE(""https://docs.google.com/spreadsheets/d/1-3Vjw2Cyy-mry5gbC8ypIR3YVGFfEpyFESummAta6sg/edit"", ""Sheet1!B:D""), 3, FALSE), ""Not Found"")"),"l ɪ s t s ")</f>
        <v>l ɪ s t s </v>
      </c>
    </row>
    <row r="7094">
      <c r="A7094" s="1" t="s">
        <v>7096</v>
      </c>
      <c r="B7094" s="1" t="s">
        <v>6138</v>
      </c>
      <c r="C7094" s="2">
        <f>IFERROR(__xludf.DUMMYFUNCTION("IFERROR(VLOOKUP(A7094, IMPORTRANGE(""https://docs.google.com/spreadsheets/d/1AVX9GT0dgogEBStecCXMMQ29tWz3gBrtNB8yIromXbY/edit?gid=741673867"", ""out1g!A:B""), 2, FALSE), 0)"),2061.0)</f>
        <v>2061</v>
      </c>
      <c r="D7094" s="2" t="str">
        <f>IFERROR(__xludf.DUMMYFUNCTION("IFERROR(VLOOKUP(A7094, IMPORTRANGE(""https://docs.google.com/spreadsheets/d/1-3Vjw2Cyy-mry5gbC8ypIR3YVGFfEpyFESummAta6sg/edit"", ""Sheet1!B:D""), 2, FALSE), ""Not Found"")"),"tərnɪŋ")</f>
        <v>tərnɪŋ</v>
      </c>
      <c r="E7094" s="2" t="str">
        <f>IFERROR(__xludf.DUMMYFUNCTION("IFERROR(VLOOKUP(A7094, IMPORTRANGE(""https://docs.google.com/spreadsheets/d/1-3Vjw2Cyy-mry5gbC8ypIR3YVGFfEpyFESummAta6sg/edit"", ""Sheet1!B:D""), 3, FALSE), ""Not Found"")"),"t ə r n ɪ ŋ ")</f>
        <v>t ə r n ɪ ŋ </v>
      </c>
    </row>
    <row r="7095">
      <c r="A7095" s="1" t="s">
        <v>7097</v>
      </c>
      <c r="B7095" s="1" t="s">
        <v>6138</v>
      </c>
      <c r="C7095" s="2">
        <f>IFERROR(__xludf.DUMMYFUNCTION("IFERROR(VLOOKUP(A7095, IMPORTRANGE(""https://docs.google.com/spreadsheets/d/1AVX9GT0dgogEBStecCXMMQ29tWz3gBrtNB8yIromXbY/edit?gid=741673867"", ""out1g!A:B""), 2, FALSE), 0)"),124.0)</f>
        <v>124</v>
      </c>
      <c r="D7095" s="2" t="str">
        <f>IFERROR(__xludf.DUMMYFUNCTION("IFERROR(VLOOKUP(A7095, IMPORTRANGE(""https://docs.google.com/spreadsheets/d/1-3Vjw2Cyy-mry5gbC8ypIR3YVGFfEpyFESummAta6sg/edit"", ""Sheet1!B:D""), 2, FALSE), ""Not Found"")"),"kətrinə")</f>
        <v>kətrinə</v>
      </c>
      <c r="E7095" s="2" t="str">
        <f>IFERROR(__xludf.DUMMYFUNCTION("IFERROR(VLOOKUP(A7095, IMPORTRANGE(""https://docs.google.com/spreadsheets/d/1-3Vjw2Cyy-mry5gbC8ypIR3YVGFfEpyFESummAta6sg/edit"", ""Sheet1!B:D""), 3, FALSE), ""Not Found"")"),"k ə t r i n ə ")</f>
        <v>k ə t r i n ə </v>
      </c>
    </row>
    <row r="7096">
      <c r="A7096" s="1" t="s">
        <v>7098</v>
      </c>
      <c r="B7096" s="1" t="s">
        <v>6138</v>
      </c>
      <c r="C7096" s="2">
        <f>IFERROR(__xludf.DUMMYFUNCTION("IFERROR(VLOOKUP(A7096, IMPORTRANGE(""https://docs.google.com/spreadsheets/d/1AVX9GT0dgogEBStecCXMMQ29tWz3gBrtNB8yIromXbY/edit?gid=741673867"", ""out1g!A:B""), 2, FALSE), 0)"),19.0)</f>
        <v>19</v>
      </c>
      <c r="D7096" s="2" t="str">
        <f>IFERROR(__xludf.DUMMYFUNCTION("IFERROR(VLOOKUP(A7096, IMPORTRANGE(""https://docs.google.com/spreadsheets/d/1-3Vjw2Cyy-mry5gbC8ypIR3YVGFfEpyFESummAta6sg/edit"", ""Sheet1!B:D""), 2, FALSE), ""Not Found"")"),"ʃɑrdz")</f>
        <v>ʃɑrdz</v>
      </c>
      <c r="E7096" s="2" t="str">
        <f>IFERROR(__xludf.DUMMYFUNCTION("IFERROR(VLOOKUP(A7096, IMPORTRANGE(""https://docs.google.com/spreadsheets/d/1-3Vjw2Cyy-mry5gbC8ypIR3YVGFfEpyFESummAta6sg/edit"", ""Sheet1!B:D""), 3, FALSE), ""Not Found"")"),"ʃ ɑ r d z ")</f>
        <v>ʃ ɑ r d z </v>
      </c>
    </row>
    <row r="7097">
      <c r="A7097" s="1" t="s">
        <v>7099</v>
      </c>
      <c r="B7097" s="1" t="s">
        <v>6138</v>
      </c>
      <c r="C7097" s="2">
        <f>IFERROR(__xludf.DUMMYFUNCTION("IFERROR(VLOOKUP(A7097, IMPORTRANGE(""https://docs.google.com/spreadsheets/d/1AVX9GT0dgogEBStecCXMMQ29tWz3gBrtNB8yIromXbY/edit?gid=741673867"", ""out1g!A:B""), 2, FALSE), 0)"),64.0)</f>
        <v>64</v>
      </c>
      <c r="D7097" s="2" t="str">
        <f>IFERROR(__xludf.DUMMYFUNCTION("IFERROR(VLOOKUP(A7097, IMPORTRANGE(""https://docs.google.com/spreadsheets/d/1-3Vjw2Cyy-mry5gbC8ypIR3YVGFfEpyFESummAta6sg/edit"", ""Sheet1!B:D""), 2, FALSE), ""Not Found"")"),"fentɪŋ")</f>
        <v>fentɪŋ</v>
      </c>
      <c r="E7097" s="2" t="str">
        <f>IFERROR(__xludf.DUMMYFUNCTION("IFERROR(VLOOKUP(A7097, IMPORTRANGE(""https://docs.google.com/spreadsheets/d/1-3Vjw2Cyy-mry5gbC8ypIR3YVGFfEpyFESummAta6sg/edit"", ""Sheet1!B:D""), 3, FALSE), ""Not Found"")"),"f e n t ɪ ŋ ")</f>
        <v>f e n t ɪ ŋ </v>
      </c>
    </row>
    <row r="7098">
      <c r="A7098" s="1" t="s">
        <v>7100</v>
      </c>
      <c r="B7098" s="1" t="s">
        <v>6138</v>
      </c>
      <c r="C7098" s="2">
        <f>IFERROR(__xludf.DUMMYFUNCTION("IFERROR(VLOOKUP(A7098, IMPORTRANGE(""https://docs.google.com/spreadsheets/d/1AVX9GT0dgogEBStecCXMMQ29tWz3gBrtNB8yIromXbY/edit?gid=741673867"", ""out1g!A:B""), 2, FALSE), 0)"),70.0)</f>
        <v>70</v>
      </c>
      <c r="D7098" s="2" t="str">
        <f>IFERROR(__xludf.DUMMYFUNCTION("IFERROR(VLOOKUP(A7098, IMPORTRANGE(""https://docs.google.com/spreadsheets/d/1-3Vjw2Cyy-mry5gbC8ypIR3YVGFfEpyFESummAta6sg/edit"", ""Sheet1!B:D""), 2, FALSE), ""Not Found"")"),"fɛnsɪŋ")</f>
        <v>fɛnsɪŋ</v>
      </c>
      <c r="E7098" s="2" t="str">
        <f>IFERROR(__xludf.DUMMYFUNCTION("IFERROR(VLOOKUP(A7098, IMPORTRANGE(""https://docs.google.com/spreadsheets/d/1-3Vjw2Cyy-mry5gbC8ypIR3YVGFfEpyFESummAta6sg/edit"", ""Sheet1!B:D""), 3, FALSE), ""Not Found"")"),"f ɛ n s ɪ ŋ ")</f>
        <v>f ɛ n s ɪ ŋ </v>
      </c>
    </row>
    <row r="7099">
      <c r="A7099" s="1" t="s">
        <v>7101</v>
      </c>
      <c r="B7099" s="1" t="s">
        <v>6138</v>
      </c>
      <c r="C7099" s="2">
        <f>IFERROR(__xludf.DUMMYFUNCTION("IFERROR(VLOOKUP(A7099, IMPORTRANGE(""https://docs.google.com/spreadsheets/d/1AVX9GT0dgogEBStecCXMMQ29tWz3gBrtNB8yIromXbY/edit?gid=741673867"", ""out1g!A:B""), 2, FALSE), 0)"),149.0)</f>
        <v>149</v>
      </c>
      <c r="D7099" s="2" t="str">
        <f>IFERROR(__xludf.DUMMYFUNCTION("IFERROR(VLOOKUP(A7099, IMPORTRANGE(""https://docs.google.com/spreadsheets/d/1-3Vjw2Cyy-mry5gbC8ypIR3YVGFfEpyFESummAta6sg/edit"", ""Sheet1!B:D""), 2, FALSE), ""Not Found"")"),"rumər")</f>
        <v>rumər</v>
      </c>
      <c r="E7099" s="2" t="str">
        <f>IFERROR(__xludf.DUMMYFUNCTION("IFERROR(VLOOKUP(A7099, IMPORTRANGE(""https://docs.google.com/spreadsheets/d/1-3Vjw2Cyy-mry5gbC8ypIR3YVGFfEpyFESummAta6sg/edit"", ""Sheet1!B:D""), 3, FALSE), ""Not Found"")"),"r u m ə r ")</f>
        <v>r u m ə r </v>
      </c>
    </row>
    <row r="7100">
      <c r="A7100" s="1" t="s">
        <v>7102</v>
      </c>
      <c r="B7100" s="1" t="s">
        <v>6138</v>
      </c>
      <c r="C7100" s="2">
        <f>IFERROR(__xludf.DUMMYFUNCTION("IFERROR(VLOOKUP(A7100, IMPORTRANGE(""https://docs.google.com/spreadsheets/d/1AVX9GT0dgogEBStecCXMMQ29tWz3gBrtNB8yIromXbY/edit?gid=741673867"", ""out1g!A:B""), 2, FALSE), 0)"),135.0)</f>
        <v>135</v>
      </c>
      <c r="D7100" s="2" t="str">
        <f>IFERROR(__xludf.DUMMYFUNCTION("IFERROR(VLOOKUP(A7100, IMPORTRANGE(""https://docs.google.com/spreadsheets/d/1-3Vjw2Cyy-mry5gbC8ypIR3YVGFfEpyFESummAta6sg/edit"", ""Sheet1!B:D""), 2, FALSE), ""Not Found"")"),"dizəl")</f>
        <v>dizəl</v>
      </c>
      <c r="E7100" s="2" t="str">
        <f>IFERROR(__xludf.DUMMYFUNCTION("IFERROR(VLOOKUP(A7100, IMPORTRANGE(""https://docs.google.com/spreadsheets/d/1-3Vjw2Cyy-mry5gbC8ypIR3YVGFfEpyFESummAta6sg/edit"", ""Sheet1!B:D""), 3, FALSE), ""Not Found"")"),"d i z ə l ")</f>
        <v>d i z ə l </v>
      </c>
    </row>
    <row r="7101">
      <c r="A7101" s="1" t="s">
        <v>7103</v>
      </c>
      <c r="B7101" s="1" t="s">
        <v>6138</v>
      </c>
      <c r="C7101" s="2">
        <f>IFERROR(__xludf.DUMMYFUNCTION("IFERROR(VLOOKUP(A7101, IMPORTRANGE(""https://docs.google.com/spreadsheets/d/1AVX9GT0dgogEBStecCXMMQ29tWz3gBrtNB8yIromXbY/edit?gid=741673867"", ""out1g!A:B""), 2, FALSE), 0)"),159.0)</f>
        <v>159</v>
      </c>
      <c r="D7101" s="2" t="str">
        <f>IFERROR(__xludf.DUMMYFUNCTION("IFERROR(VLOOKUP(A7101, IMPORTRANGE(""https://docs.google.com/spreadsheets/d/1-3Vjw2Cyy-mry5gbC8ypIR3YVGFfEpyFESummAta6sg/edit"", ""Sheet1!B:D""), 2, FALSE), ""Not Found"")"),"koʊstər")</f>
        <v>koʊstər</v>
      </c>
      <c r="E7101" s="2" t="str">
        <f>IFERROR(__xludf.DUMMYFUNCTION("IFERROR(VLOOKUP(A7101, IMPORTRANGE(""https://docs.google.com/spreadsheets/d/1-3Vjw2Cyy-mry5gbC8ypIR3YVGFfEpyFESummAta6sg/edit"", ""Sheet1!B:D""), 3, FALSE), ""Not Found"")"),"k o ʊ s t ə r ")</f>
        <v>k o ʊ s t ə r </v>
      </c>
    </row>
    <row r="7102">
      <c r="A7102" s="1" t="s">
        <v>7104</v>
      </c>
      <c r="B7102" s="1" t="s">
        <v>6138</v>
      </c>
      <c r="C7102" s="2">
        <f>IFERROR(__xludf.DUMMYFUNCTION("IFERROR(VLOOKUP(A7102, IMPORTRANGE(""https://docs.google.com/spreadsheets/d/1AVX9GT0dgogEBStecCXMMQ29tWz3gBrtNB8yIromXbY/edit?gid=741673867"", ""out1g!A:B""), 2, FALSE), 0)"),918.0)</f>
        <v>918</v>
      </c>
      <c r="D7102" s="2" t="str">
        <f>IFERROR(__xludf.DUMMYFUNCTION("IFERROR(VLOOKUP(A7102, IMPORTRANGE(""https://docs.google.com/spreadsheets/d/1-3Vjw2Cyy-mry5gbC8ypIR3YVGFfEpyFESummAta6sg/edit"", ""Sheet1!B:D""), 2, FALSE), ""Not Found"")"),"ʤɔrʤə")</f>
        <v>ʤɔrʤə</v>
      </c>
      <c r="E7102" s="2" t="str">
        <f>IFERROR(__xludf.DUMMYFUNCTION("IFERROR(VLOOKUP(A7102, IMPORTRANGE(""https://docs.google.com/spreadsheets/d/1-3Vjw2Cyy-mry5gbC8ypIR3YVGFfEpyFESummAta6sg/edit"", ""Sheet1!B:D""), 3, FALSE), ""Not Found"")"),"ʤ ɔ r ʤ ə ")</f>
        <v>ʤ ɔ r ʤ ə </v>
      </c>
    </row>
    <row r="7103">
      <c r="A7103" s="1" t="s">
        <v>7105</v>
      </c>
      <c r="B7103" s="1" t="s">
        <v>6138</v>
      </c>
      <c r="C7103" s="2">
        <f>IFERROR(__xludf.DUMMYFUNCTION("IFERROR(VLOOKUP(A7103, IMPORTRANGE(""https://docs.google.com/spreadsheets/d/1AVX9GT0dgogEBStecCXMMQ29tWz3gBrtNB8yIromXbY/edit?gid=741673867"", ""out1g!A:B""), 2, FALSE), 0)"),1665.0)</f>
        <v>1665</v>
      </c>
      <c r="D7103" s="2" t="str">
        <f>IFERROR(__xludf.DUMMYFUNCTION("IFERROR(VLOOKUP(A7103, IMPORTRANGE(""https://docs.google.com/spreadsheets/d/1-3Vjw2Cyy-mry5gbC8ypIR3YVGFfEpyFESummAta6sg/edit"", ""Sheet1!B:D""), 2, FALSE), ""Not Found"")"),"dɪfɛns")</f>
        <v>dɪfɛns</v>
      </c>
      <c r="E7103" s="2" t="str">
        <f>IFERROR(__xludf.DUMMYFUNCTION("IFERROR(VLOOKUP(A7103, IMPORTRANGE(""https://docs.google.com/spreadsheets/d/1-3Vjw2Cyy-mry5gbC8ypIR3YVGFfEpyFESummAta6sg/edit"", ""Sheet1!B:D""), 3, FALSE), ""Not Found"")"),"d ɪ f ɛ n s ")</f>
        <v>d ɪ f ɛ n s </v>
      </c>
    </row>
    <row r="7104">
      <c r="A7104" s="1" t="s">
        <v>7106</v>
      </c>
      <c r="B7104" s="1" t="s">
        <v>6138</v>
      </c>
      <c r="C7104" s="2">
        <f>IFERROR(__xludf.DUMMYFUNCTION("IFERROR(VLOOKUP(A7104, IMPORTRANGE(""https://docs.google.com/spreadsheets/d/1AVX9GT0dgogEBStecCXMMQ29tWz3gBrtNB8yIromXbY/edit?gid=741673867"", ""out1g!A:B""), 2, FALSE), 0)"),2347.0)</f>
        <v>2347</v>
      </c>
      <c r="D7104" s="2" t="str">
        <f>IFERROR(__xludf.DUMMYFUNCTION("IFERROR(VLOOKUP(A7104, IMPORTRANGE(""https://docs.google.com/spreadsheets/d/1-3Vjw2Cyy-mry5gbC8ypIR3YVGFfEpyFESummAta6sg/edit"", ""Sheet1!B:D""), 2, FALSE), ""Not Found"")"),"ləndən")</f>
        <v>ləndən</v>
      </c>
      <c r="E7104" s="2" t="str">
        <f>IFERROR(__xludf.DUMMYFUNCTION("IFERROR(VLOOKUP(A7104, IMPORTRANGE(""https://docs.google.com/spreadsheets/d/1-3Vjw2Cyy-mry5gbC8ypIR3YVGFfEpyFESummAta6sg/edit"", ""Sheet1!B:D""), 3, FALSE), ""Not Found"")"),"l ə n d ə n ")</f>
        <v>l ə n d ə n </v>
      </c>
    </row>
    <row r="7105">
      <c r="A7105" s="1" t="s">
        <v>7107</v>
      </c>
      <c r="B7105" s="1" t="s">
        <v>6138</v>
      </c>
      <c r="C7105" s="2">
        <f>IFERROR(__xludf.DUMMYFUNCTION("IFERROR(VLOOKUP(A7105, IMPORTRANGE(""https://docs.google.com/spreadsheets/d/1AVX9GT0dgogEBStecCXMMQ29tWz3gBrtNB8yIromXbY/edit?gid=741673867"", ""out1g!A:B""), 2, FALSE), 0)"),485.0)</f>
        <v>485</v>
      </c>
      <c r="D7105" s="2" t="str">
        <f>IFERROR(__xludf.DUMMYFUNCTION("IFERROR(VLOOKUP(A7105, IMPORTRANGE(""https://docs.google.com/spreadsheets/d/1-3Vjw2Cyy-mry5gbC8ypIR3YVGFfEpyFESummAta6sg/edit"", ""Sheet1!B:D""), 2, FALSE), ""Not Found"")"),"luzɪz")</f>
        <v>luzɪz</v>
      </c>
      <c r="E7105" s="2" t="str">
        <f>IFERROR(__xludf.DUMMYFUNCTION("IFERROR(VLOOKUP(A7105, IMPORTRANGE(""https://docs.google.com/spreadsheets/d/1-3Vjw2Cyy-mry5gbC8ypIR3YVGFfEpyFESummAta6sg/edit"", ""Sheet1!B:D""), 3, FALSE), ""Not Found"")"),"l u z ɪ z ")</f>
        <v>l u z ɪ z </v>
      </c>
    </row>
    <row r="7106">
      <c r="A7106" s="1" t="s">
        <v>7108</v>
      </c>
      <c r="B7106" s="1" t="s">
        <v>6138</v>
      </c>
      <c r="C7106" s="2">
        <f>IFERROR(__xludf.DUMMYFUNCTION("IFERROR(VLOOKUP(A7106, IMPORTRANGE(""https://docs.google.com/spreadsheets/d/1AVX9GT0dgogEBStecCXMMQ29tWz3gBrtNB8yIromXbY/edit?gid=741673867"", ""out1g!A:B""), 2, FALSE), 0)"),1744.0)</f>
        <v>1744</v>
      </c>
      <c r="D7106" s="2" t="str">
        <f>IFERROR(__xludf.DUMMYFUNCTION("IFERROR(VLOOKUP(A7106, IMPORTRANGE(""https://docs.google.com/spreadsheets/d/1-3Vjw2Cyy-mry5gbC8ypIR3YVGFfEpyFESummAta6sg/edit"", ""Sheet1!B:D""), 2, FALSE), ""Not Found"")"),"drɪŋks")</f>
        <v>drɪŋks</v>
      </c>
      <c r="E7106" s="2" t="str">
        <f>IFERROR(__xludf.DUMMYFUNCTION("IFERROR(VLOOKUP(A7106, IMPORTRANGE(""https://docs.google.com/spreadsheets/d/1-3Vjw2Cyy-mry5gbC8ypIR3YVGFfEpyFESummAta6sg/edit"", ""Sheet1!B:D""), 3, FALSE), ""Not Found"")"),"d r ɪ ŋ k s ")</f>
        <v>d r ɪ ŋ k s </v>
      </c>
    </row>
    <row r="7107">
      <c r="A7107" s="1" t="s">
        <v>7109</v>
      </c>
      <c r="B7107" s="1" t="s">
        <v>6138</v>
      </c>
      <c r="C7107" s="2">
        <f>IFERROR(__xludf.DUMMYFUNCTION("IFERROR(VLOOKUP(A7107, IMPORTRANGE(""https://docs.google.com/spreadsheets/d/1AVX9GT0dgogEBStecCXMMQ29tWz3gBrtNB8yIromXbY/edit?gid=741673867"", ""out1g!A:B""), 2, FALSE), 0)"),62.0)</f>
        <v>62</v>
      </c>
      <c r="D7107" s="2" t="str">
        <f>IFERROR(__xludf.DUMMYFUNCTION("IFERROR(VLOOKUP(A7107, IMPORTRANGE(""https://docs.google.com/spreadsheets/d/1-3Vjw2Cyy-mry5gbC8ypIR3YVGFfEpyFESummAta6sg/edit"", ""Sheet1!B:D""), 2, FALSE), ""Not Found"")"),"θraɪvɪŋ")</f>
        <v>θraɪvɪŋ</v>
      </c>
      <c r="E7107" s="2" t="str">
        <f>IFERROR(__xludf.DUMMYFUNCTION("IFERROR(VLOOKUP(A7107, IMPORTRANGE(""https://docs.google.com/spreadsheets/d/1-3Vjw2Cyy-mry5gbC8ypIR3YVGFfEpyFESummAta6sg/edit"", ""Sheet1!B:D""), 3, FALSE), ""Not Found"")"),"θ r a ɪ v ɪ ŋ ")</f>
        <v>θ r a ɪ v ɪ ŋ </v>
      </c>
    </row>
    <row r="7108">
      <c r="A7108" s="1" t="s">
        <v>7110</v>
      </c>
      <c r="B7108" s="1" t="s">
        <v>6138</v>
      </c>
      <c r="C7108" s="2">
        <f>IFERROR(__xludf.DUMMYFUNCTION("IFERROR(VLOOKUP(A7108, IMPORTRANGE(""https://docs.google.com/spreadsheets/d/1AVX9GT0dgogEBStecCXMMQ29tWz3gBrtNB8yIromXbY/edit?gid=741673867"", ""out1g!A:B""), 2, FALSE), 0)"),609.0)</f>
        <v>609</v>
      </c>
      <c r="D7108" s="2" t="str">
        <f>IFERROR(__xludf.DUMMYFUNCTION("IFERROR(VLOOKUP(A7108, IMPORTRANGE(""https://docs.google.com/spreadsheets/d/1-3Vjw2Cyy-mry5gbC8ypIR3YVGFfEpyFESummAta6sg/edit"", ""Sheet1!B:D""), 2, FALSE), ""Not Found"")"),"besɪs")</f>
        <v>besɪs</v>
      </c>
      <c r="E7108" s="2" t="str">
        <f>IFERROR(__xludf.DUMMYFUNCTION("IFERROR(VLOOKUP(A7108, IMPORTRANGE(""https://docs.google.com/spreadsheets/d/1-3Vjw2Cyy-mry5gbC8ypIR3YVGFfEpyFESummAta6sg/edit"", ""Sheet1!B:D""), 3, FALSE), ""Not Found"")"),"b e s ɪ s ")</f>
        <v>b e s ɪ s </v>
      </c>
    </row>
    <row r="7109">
      <c r="A7109" s="1" t="s">
        <v>7111</v>
      </c>
      <c r="B7109" s="1" t="s">
        <v>6138</v>
      </c>
      <c r="C7109" s="2">
        <f>IFERROR(__xludf.DUMMYFUNCTION("IFERROR(VLOOKUP(A7109, IMPORTRANGE(""https://docs.google.com/spreadsheets/d/1AVX9GT0dgogEBStecCXMMQ29tWz3gBrtNB8yIromXbY/edit?gid=741673867"", ""out1g!A:B""), 2, FALSE), 0)"),326.0)</f>
        <v>326</v>
      </c>
      <c r="D7109" s="2" t="str">
        <f>IFERROR(__xludf.DUMMYFUNCTION("IFERROR(VLOOKUP(A7109, IMPORTRANGE(""https://docs.google.com/spreadsheets/d/1-3Vjw2Cyy-mry5gbC8ypIR3YVGFfEpyFESummAta6sg/edit"", ""Sheet1!B:D""), 2, FALSE), ""Not Found"")"),"hæŋz")</f>
        <v>hæŋz</v>
      </c>
      <c r="E7109" s="2" t="str">
        <f>IFERROR(__xludf.DUMMYFUNCTION("IFERROR(VLOOKUP(A7109, IMPORTRANGE(""https://docs.google.com/spreadsheets/d/1-3Vjw2Cyy-mry5gbC8ypIR3YVGFfEpyFESummAta6sg/edit"", ""Sheet1!B:D""), 3, FALSE), ""Not Found"")"),"h æ ŋ z ")</f>
        <v>h æ ŋ z </v>
      </c>
    </row>
    <row r="7110">
      <c r="A7110" s="1" t="s">
        <v>7112</v>
      </c>
      <c r="B7110" s="1" t="s">
        <v>6138</v>
      </c>
      <c r="C7110" s="2">
        <f>IFERROR(__xludf.DUMMYFUNCTION("IFERROR(VLOOKUP(A7110, IMPORTRANGE(""https://docs.google.com/spreadsheets/d/1AVX9GT0dgogEBStecCXMMQ29tWz3gBrtNB8yIromXbY/edit?gid=741673867"", ""out1g!A:B""), 2, FALSE), 0)"),1183.0)</f>
        <v>1183</v>
      </c>
      <c r="D7110" s="2" t="str">
        <f>IFERROR(__xludf.DUMMYFUNCTION("IFERROR(VLOOKUP(A7110, IMPORTRANGE(""https://docs.google.com/spreadsheets/d/1-3Vjw2Cyy-mry5gbC8ypIR3YVGFfEpyFESummAta6sg/edit"", ""Sheet1!B:D""), 2, FALSE), ""Not Found"")"),"ɪntɛnd")</f>
        <v>ɪntɛnd</v>
      </c>
      <c r="E7110" s="2" t="str">
        <f>IFERROR(__xludf.DUMMYFUNCTION("IFERROR(VLOOKUP(A7110, IMPORTRANGE(""https://docs.google.com/spreadsheets/d/1-3Vjw2Cyy-mry5gbC8ypIR3YVGFfEpyFESummAta6sg/edit"", ""Sheet1!B:D""), 3, FALSE), ""Not Found"")"),"ɪ n t ɛ n d ")</f>
        <v>ɪ n t ɛ n d </v>
      </c>
    </row>
    <row r="7111">
      <c r="A7111" s="1" t="s">
        <v>7113</v>
      </c>
      <c r="B7111" s="1" t="s">
        <v>6138</v>
      </c>
      <c r="C7111" s="2">
        <f>IFERROR(__xludf.DUMMYFUNCTION("IFERROR(VLOOKUP(A7111, IMPORTRANGE(""https://docs.google.com/spreadsheets/d/1AVX9GT0dgogEBStecCXMMQ29tWz3gBrtNB8yIromXbY/edit?gid=741673867"", ""out1g!A:B""), 2, FALSE), 0)"),564.0)</f>
        <v>564</v>
      </c>
      <c r="D7111" s="2" t="str">
        <f>IFERROR(__xludf.DUMMYFUNCTION("IFERROR(VLOOKUP(A7111, IMPORTRANGE(""https://docs.google.com/spreadsheets/d/1-3Vjw2Cyy-mry5gbC8ypIR3YVGFfEpyFESummAta6sg/edit"", ""Sheet1!B:D""), 2, FALSE), ""Not Found"")"),"bɔrdɪŋ")</f>
        <v>bɔrdɪŋ</v>
      </c>
      <c r="E7111" s="2" t="str">
        <f>IFERROR(__xludf.DUMMYFUNCTION("IFERROR(VLOOKUP(A7111, IMPORTRANGE(""https://docs.google.com/spreadsheets/d/1-3Vjw2Cyy-mry5gbC8ypIR3YVGFfEpyFESummAta6sg/edit"", ""Sheet1!B:D""), 3, FALSE), ""Not Found"")"),"b ɔ r d ɪ ŋ ")</f>
        <v>b ɔ r d ɪ ŋ </v>
      </c>
    </row>
    <row r="7112">
      <c r="A7112" s="1" t="s">
        <v>7114</v>
      </c>
      <c r="B7112" s="1" t="s">
        <v>6138</v>
      </c>
      <c r="C7112" s="2">
        <f>IFERROR(__xludf.DUMMYFUNCTION("IFERROR(VLOOKUP(A7112, IMPORTRANGE(""https://docs.google.com/spreadsheets/d/1AVX9GT0dgogEBStecCXMMQ29tWz3gBrtNB8yIromXbY/edit?gid=741673867"", ""out1g!A:B""), 2, FALSE), 0)"),106.0)</f>
        <v>106</v>
      </c>
      <c r="D7112" s="2" t="str">
        <f>IFERROR(__xludf.DUMMYFUNCTION("IFERROR(VLOOKUP(A7112, IMPORTRANGE(""https://docs.google.com/spreadsheets/d/1-3Vjw2Cyy-mry5gbC8ypIR3YVGFfEpyFESummAta6sg/edit"", ""Sheet1!B:D""), 2, FALSE), ""Not Found"")"),"gaɪdɪŋ")</f>
        <v>gaɪdɪŋ</v>
      </c>
      <c r="E7112" s="2" t="str">
        <f>IFERROR(__xludf.DUMMYFUNCTION("IFERROR(VLOOKUP(A7112, IMPORTRANGE(""https://docs.google.com/spreadsheets/d/1-3Vjw2Cyy-mry5gbC8ypIR3YVGFfEpyFESummAta6sg/edit"", ""Sheet1!B:D""), 3, FALSE), ""Not Found"")"),"g a ɪ d ɪ ŋ ")</f>
        <v>g a ɪ d ɪ ŋ </v>
      </c>
    </row>
    <row r="7113">
      <c r="A7113" s="1" t="s">
        <v>7115</v>
      </c>
      <c r="B7113" s="1" t="s">
        <v>6138</v>
      </c>
      <c r="C7113" s="2">
        <f>IFERROR(__xludf.DUMMYFUNCTION("IFERROR(VLOOKUP(A7113, IMPORTRANGE(""https://docs.google.com/spreadsheets/d/1AVX9GT0dgogEBStecCXMMQ29tWz3gBrtNB8yIromXbY/edit?gid=741673867"", ""out1g!A:B""), 2, FALSE), 0)"),57.0)</f>
        <v>57</v>
      </c>
      <c r="D7113" s="2" t="str">
        <f>IFERROR(__xludf.DUMMYFUNCTION("IFERROR(VLOOKUP(A7113, IMPORTRANGE(""https://docs.google.com/spreadsheets/d/1-3Vjw2Cyy-mry5gbC8ypIR3YVGFfEpyFESummAta6sg/edit"", ""Sheet1!B:D""), 2, FALSE), ""Not Found"")"),"kloʊnɪŋ")</f>
        <v>kloʊnɪŋ</v>
      </c>
      <c r="E7113" s="2" t="str">
        <f>IFERROR(__xludf.DUMMYFUNCTION("IFERROR(VLOOKUP(A7113, IMPORTRANGE(""https://docs.google.com/spreadsheets/d/1-3Vjw2Cyy-mry5gbC8ypIR3YVGFfEpyFESummAta6sg/edit"", ""Sheet1!B:D""), 3, FALSE), ""Not Found"")"),"k l o ʊ n ɪ ŋ ")</f>
        <v>k l o ʊ n ɪ ŋ </v>
      </c>
    </row>
    <row r="7114">
      <c r="A7114" s="1" t="s">
        <v>7116</v>
      </c>
      <c r="B7114" s="1" t="s">
        <v>6138</v>
      </c>
      <c r="C7114" s="2">
        <f>IFERROR(__xludf.DUMMYFUNCTION("IFERROR(VLOOKUP(A7114, IMPORTRANGE(""https://docs.google.com/spreadsheets/d/1AVX9GT0dgogEBStecCXMMQ29tWz3gBrtNB8yIromXbY/edit?gid=741673867"", ""out1g!A:B""), 2, FALSE), 0)"),1655.0)</f>
        <v>1655</v>
      </c>
      <c r="D7114" s="2" t="str">
        <f>IFERROR(__xludf.DUMMYFUNCTION("IFERROR(VLOOKUP(A7114, IMPORTRANGE(""https://docs.google.com/spreadsheets/d/1-3Vjw2Cyy-mry5gbC8ypIR3YVGFfEpyFESummAta6sg/edit"", ""Sheet1!B:D""), 2, FALSE), ""Not Found"")"),"rizənz")</f>
        <v>rizənz</v>
      </c>
      <c r="E7114" s="2" t="str">
        <f>IFERROR(__xludf.DUMMYFUNCTION("IFERROR(VLOOKUP(A7114, IMPORTRANGE(""https://docs.google.com/spreadsheets/d/1-3Vjw2Cyy-mry5gbC8ypIR3YVGFfEpyFESummAta6sg/edit"", ""Sheet1!B:D""), 3, FALSE), ""Not Found"")"),"r i z ə n z ")</f>
        <v>r i z ə n z </v>
      </c>
    </row>
    <row r="7115">
      <c r="A7115" s="1" t="s">
        <v>7117</v>
      </c>
      <c r="B7115" s="1" t="s">
        <v>6138</v>
      </c>
      <c r="C7115" s="2">
        <f>IFERROR(__xludf.DUMMYFUNCTION("IFERROR(VLOOKUP(A7115, IMPORTRANGE(""https://docs.google.com/spreadsheets/d/1AVX9GT0dgogEBStecCXMMQ29tWz3gBrtNB8yIromXbY/edit?gid=741673867"", ""out1g!A:B""), 2, FALSE), 0)"),252.0)</f>
        <v>252</v>
      </c>
      <c r="D7115" s="2" t="str">
        <f>IFERROR(__xludf.DUMMYFUNCTION("IFERROR(VLOOKUP(A7115, IMPORTRANGE(""https://docs.google.com/spreadsheets/d/1-3Vjw2Cyy-mry5gbC8ypIR3YVGFfEpyFESummAta6sg/edit"", ""Sheet1!B:D""), 2, FALSE), ""Not Found"")"),"sɪŋkɪŋ")</f>
        <v>sɪŋkɪŋ</v>
      </c>
      <c r="E7115" s="2" t="str">
        <f>IFERROR(__xludf.DUMMYFUNCTION("IFERROR(VLOOKUP(A7115, IMPORTRANGE(""https://docs.google.com/spreadsheets/d/1-3Vjw2Cyy-mry5gbC8ypIR3YVGFfEpyFESummAta6sg/edit"", ""Sheet1!B:D""), 3, FALSE), ""Not Found"")"),"s ɪ ŋ k ɪ ŋ ")</f>
        <v>s ɪ ŋ k ɪ ŋ </v>
      </c>
    </row>
    <row r="7116">
      <c r="A7116" s="1" t="s">
        <v>7118</v>
      </c>
      <c r="B7116" s="1" t="s">
        <v>6138</v>
      </c>
      <c r="C7116" s="2">
        <f>IFERROR(__xludf.DUMMYFUNCTION("IFERROR(VLOOKUP(A7116, IMPORTRANGE(""https://docs.google.com/spreadsheets/d/1AVX9GT0dgogEBStecCXMMQ29tWz3gBrtNB8yIromXbY/edit?gid=741673867"", ""out1g!A:B""), 2, FALSE), 0)"),55.0)</f>
        <v>55</v>
      </c>
      <c r="D7116" s="2" t="str">
        <f>IFERROR(__xludf.DUMMYFUNCTION("IFERROR(VLOOKUP(A7116, IMPORTRANGE(""https://docs.google.com/spreadsheets/d/1-3Vjw2Cyy-mry5gbC8ypIR3YVGFfEpyFESummAta6sg/edit"", ""Sheet1!B:D""), 2, FALSE), ""Not Found"")"),"hoʊzɪz")</f>
        <v>hoʊzɪz</v>
      </c>
      <c r="E7116" s="2" t="str">
        <f>IFERROR(__xludf.DUMMYFUNCTION("IFERROR(VLOOKUP(A7116, IMPORTRANGE(""https://docs.google.com/spreadsheets/d/1-3Vjw2Cyy-mry5gbC8ypIR3YVGFfEpyFESummAta6sg/edit"", ""Sheet1!B:D""), 3, FALSE), ""Not Found"")"),"h o ʊ z ɪ z ")</f>
        <v>h o ʊ z ɪ z </v>
      </c>
    </row>
    <row r="7117">
      <c r="A7117" s="1" t="s">
        <v>7119</v>
      </c>
      <c r="B7117" s="1" t="s">
        <v>6138</v>
      </c>
      <c r="C7117" s="2">
        <f>IFERROR(__xludf.DUMMYFUNCTION("IFERROR(VLOOKUP(A7117, IMPORTRANGE(""https://docs.google.com/spreadsheets/d/1AVX9GT0dgogEBStecCXMMQ29tWz3gBrtNB8yIromXbY/edit?gid=741673867"", ""out1g!A:B""), 2, FALSE), 0)"),1151.0)</f>
        <v>1151</v>
      </c>
      <c r="D7117" s="2" t="str">
        <f>IFERROR(__xludf.DUMMYFUNCTION("IFERROR(VLOOKUP(A7117, IMPORTRANGE(""https://docs.google.com/spreadsheets/d/1-3Vjw2Cyy-mry5gbC8ypIR3YVGFfEpyFESummAta6sg/edit"", ""Sheet1!B:D""), 2, FALSE), ""Not Found"")"),"ʤəŋgəl")</f>
        <v>ʤəŋgəl</v>
      </c>
      <c r="E7117" s="2" t="str">
        <f>IFERROR(__xludf.DUMMYFUNCTION("IFERROR(VLOOKUP(A7117, IMPORTRANGE(""https://docs.google.com/spreadsheets/d/1-3Vjw2Cyy-mry5gbC8ypIR3YVGFfEpyFESummAta6sg/edit"", ""Sheet1!B:D""), 3, FALSE), ""Not Found"")"),"ʤ ə ŋ g ə l ")</f>
        <v>ʤ ə ŋ g ə l </v>
      </c>
    </row>
    <row r="7118">
      <c r="A7118" s="1" t="s">
        <v>7120</v>
      </c>
      <c r="B7118" s="1" t="s">
        <v>6138</v>
      </c>
      <c r="C7118" s="2">
        <f>IFERROR(__xludf.DUMMYFUNCTION("IFERROR(VLOOKUP(A7118, IMPORTRANGE(""https://docs.google.com/spreadsheets/d/1AVX9GT0dgogEBStecCXMMQ29tWz3gBrtNB8yIromXbY/edit?gid=741673867"", ""out1g!A:B""), 2, FALSE), 0)"),37505.0)</f>
        <v>37505</v>
      </c>
      <c r="D7118" s="2" t="str">
        <f>IFERROR(__xludf.DUMMYFUNCTION("IFERROR(VLOOKUP(A7118, IMPORTRANGE(""https://docs.google.com/spreadsheets/d/1-3Vjw2Cyy-mry5gbC8ypIR3YVGFfEpyFESummAta6sg/edit"", ""Sheet1!B:D""), 2, FALSE), ""Not Found"")"),"əðər")</f>
        <v>əðər</v>
      </c>
      <c r="E7118" s="2" t="str">
        <f>IFERROR(__xludf.DUMMYFUNCTION("IFERROR(VLOOKUP(A7118, IMPORTRANGE(""https://docs.google.com/spreadsheets/d/1-3Vjw2Cyy-mry5gbC8ypIR3YVGFfEpyFESummAta6sg/edit"", ""Sheet1!B:D""), 3, FALSE), ""Not Found"")"),"ə ð ə r ")</f>
        <v>ə ð ə r </v>
      </c>
    </row>
    <row r="7119">
      <c r="A7119" s="1" t="s">
        <v>7121</v>
      </c>
      <c r="B7119" s="1" t="s">
        <v>6138</v>
      </c>
      <c r="C7119" s="2">
        <f>IFERROR(__xludf.DUMMYFUNCTION("IFERROR(VLOOKUP(A7119, IMPORTRANGE(""https://docs.google.com/spreadsheets/d/1AVX9GT0dgogEBStecCXMMQ29tWz3gBrtNB8yIromXbY/edit?gid=741673867"", ""out1g!A:B""), 2, FALSE), 0)"),466.0)</f>
        <v>466</v>
      </c>
      <c r="D7119" s="2" t="str">
        <f>IFERROR(__xludf.DUMMYFUNCTION("IFERROR(VLOOKUP(A7119, IMPORTRANGE(""https://docs.google.com/spreadsheets/d/1-3Vjw2Cyy-mry5gbC8ypIR3YVGFfEpyFESummAta6sg/edit"", ""Sheet1!B:D""), 2, FALSE), ""Not Found"")"),"mædɪsən")</f>
        <v>mædɪsən</v>
      </c>
      <c r="E7119" s="2" t="str">
        <f>IFERROR(__xludf.DUMMYFUNCTION("IFERROR(VLOOKUP(A7119, IMPORTRANGE(""https://docs.google.com/spreadsheets/d/1-3Vjw2Cyy-mry5gbC8ypIR3YVGFfEpyFESummAta6sg/edit"", ""Sheet1!B:D""), 3, FALSE), ""Not Found"")"),"m æ d ɪ s ə n ")</f>
        <v>m æ d ɪ s ə n </v>
      </c>
    </row>
    <row r="7120">
      <c r="A7120" s="1" t="s">
        <v>7122</v>
      </c>
      <c r="B7120" s="1" t="s">
        <v>6138</v>
      </c>
      <c r="C7120" s="2">
        <f>IFERROR(__xludf.DUMMYFUNCTION("IFERROR(VLOOKUP(A7120, IMPORTRANGE(""https://docs.google.com/spreadsheets/d/1AVX9GT0dgogEBStecCXMMQ29tWz3gBrtNB8yIromXbY/edit?gid=741673867"", ""out1g!A:B""), 2, FALSE), 0)"),95.0)</f>
        <v>95</v>
      </c>
      <c r="D7120" s="2" t="str">
        <f>IFERROR(__xludf.DUMMYFUNCTION("IFERROR(VLOOKUP(A7120, IMPORTRANGE(""https://docs.google.com/spreadsheets/d/1-3Vjw2Cyy-mry5gbC8ypIR3YVGFfEpyFESummAta6sg/edit"", ""Sheet1!B:D""), 2, FALSE), ""Not Found"")"),"kjʊri")</f>
        <v>kjʊri</v>
      </c>
      <c r="E7120" s="2" t="str">
        <f>IFERROR(__xludf.DUMMYFUNCTION("IFERROR(VLOOKUP(A7120, IMPORTRANGE(""https://docs.google.com/spreadsheets/d/1-3Vjw2Cyy-mry5gbC8ypIR3YVGFfEpyFESummAta6sg/edit"", ""Sheet1!B:D""), 3, FALSE), ""Not Found"")"),"k j ʊ r i ")</f>
        <v>k j ʊ r i </v>
      </c>
    </row>
    <row r="7121">
      <c r="A7121" s="1" t="s">
        <v>7123</v>
      </c>
      <c r="B7121" s="1" t="s">
        <v>6138</v>
      </c>
      <c r="C7121" s="2">
        <f>IFERROR(__xludf.DUMMYFUNCTION("IFERROR(VLOOKUP(A7121, IMPORTRANGE(""https://docs.google.com/spreadsheets/d/1AVX9GT0dgogEBStecCXMMQ29tWz3gBrtNB8yIromXbY/edit?gid=741673867"", ""out1g!A:B""), 2, FALSE), 0)"),531.0)</f>
        <v>531</v>
      </c>
      <c r="D7121" s="2" t="str">
        <f>IFERROR(__xludf.DUMMYFUNCTION("IFERROR(VLOOKUP(A7121, IMPORTRANGE(""https://docs.google.com/spreadsheets/d/1-3Vjw2Cyy-mry5gbC8ypIR3YVGFfEpyFESummAta6sg/edit"", ""Sheet1!B:D""), 2, FALSE), ""Not Found"")"),"rumər")</f>
        <v>rumər</v>
      </c>
      <c r="E7121" s="2" t="str">
        <f>IFERROR(__xludf.DUMMYFUNCTION("IFERROR(VLOOKUP(A7121, IMPORTRANGE(""https://docs.google.com/spreadsheets/d/1-3Vjw2Cyy-mry5gbC8ypIR3YVGFfEpyFESummAta6sg/edit"", ""Sheet1!B:D""), 3, FALSE), ""Not Found"")"),"r u m ə r ")</f>
        <v>r u m ə r </v>
      </c>
    </row>
    <row r="7122">
      <c r="A7122" s="1" t="s">
        <v>7124</v>
      </c>
      <c r="B7122" s="1" t="s">
        <v>6138</v>
      </c>
      <c r="C7122" s="2">
        <f>IFERROR(__xludf.DUMMYFUNCTION("IFERROR(VLOOKUP(A7122, IMPORTRANGE(""https://docs.google.com/spreadsheets/d/1AVX9GT0dgogEBStecCXMMQ29tWz3gBrtNB8yIromXbY/edit?gid=741673867"", ""out1g!A:B""), 2, FALSE), 0)"),137.0)</f>
        <v>137</v>
      </c>
      <c r="D7122" s="2" t="str">
        <f>IFERROR(__xludf.DUMMYFUNCTION("IFERROR(VLOOKUP(A7122, IMPORTRANGE(""https://docs.google.com/spreadsheets/d/1-3Vjw2Cyy-mry5gbC8ypIR3YVGFfEpyFESummAta6sg/edit"", ""Sheet1!B:D""), 2, FALSE), ""Not Found"")"),"mɪŋgəl")</f>
        <v>mɪŋgəl</v>
      </c>
      <c r="E7122" s="2" t="str">
        <f>IFERROR(__xludf.DUMMYFUNCTION("IFERROR(VLOOKUP(A7122, IMPORTRANGE(""https://docs.google.com/spreadsheets/d/1-3Vjw2Cyy-mry5gbC8ypIR3YVGFfEpyFESummAta6sg/edit"", ""Sheet1!B:D""), 3, FALSE), ""Not Found"")"),"m ɪ ŋ g ə l ")</f>
        <v>m ɪ ŋ g ə l </v>
      </c>
    </row>
    <row r="7123">
      <c r="A7123" s="1" t="s">
        <v>7125</v>
      </c>
      <c r="B7123" s="1" t="s">
        <v>6138</v>
      </c>
      <c r="C7123" s="2">
        <f>IFERROR(__xludf.DUMMYFUNCTION("IFERROR(VLOOKUP(A7123, IMPORTRANGE(""https://docs.google.com/spreadsheets/d/1AVX9GT0dgogEBStecCXMMQ29tWz3gBrtNB8yIromXbY/edit?gid=741673867"", ""out1g!A:B""), 2, FALSE), 0)"),53.0)</f>
        <v>53</v>
      </c>
      <c r="D7123" s="2" t="str">
        <f>IFERROR(__xludf.DUMMYFUNCTION("IFERROR(VLOOKUP(A7123, IMPORTRANGE(""https://docs.google.com/spreadsheets/d/1-3Vjw2Cyy-mry5gbC8ypIR3YVGFfEpyFESummAta6sg/edit"", ""Sheet1!B:D""), 2, FALSE), ""Not Found"")"),"lɔrəns")</f>
        <v>lɔrəns</v>
      </c>
      <c r="E7123" s="2" t="str">
        <f>IFERROR(__xludf.DUMMYFUNCTION("IFERROR(VLOOKUP(A7123, IMPORTRANGE(""https://docs.google.com/spreadsheets/d/1-3Vjw2Cyy-mry5gbC8ypIR3YVGFfEpyFESummAta6sg/edit"", ""Sheet1!B:D""), 3, FALSE), ""Not Found"")"),"l ɔ r ə n s ")</f>
        <v>l ɔ r ə n s </v>
      </c>
    </row>
    <row r="7124">
      <c r="A7124" s="1" t="s">
        <v>7126</v>
      </c>
      <c r="B7124" s="1" t="s">
        <v>6138</v>
      </c>
      <c r="C7124" s="2">
        <f>IFERROR(__xludf.DUMMYFUNCTION("IFERROR(VLOOKUP(A7124, IMPORTRANGE(""https://docs.google.com/spreadsheets/d/1AVX9GT0dgogEBStecCXMMQ29tWz3gBrtNB8yIromXbY/edit?gid=741673867"", ""out1g!A:B""), 2, FALSE), 0)"),376.0)</f>
        <v>376</v>
      </c>
      <c r="D7124" s="2" t="str">
        <f>IFERROR(__xludf.DUMMYFUNCTION("IFERROR(VLOOKUP(A7124, IMPORTRANGE(""https://docs.google.com/spreadsheets/d/1-3Vjw2Cyy-mry5gbC8ypIR3YVGFfEpyFESummAta6sg/edit"", ""Sheet1!B:D""), 2, FALSE), ""Not Found"")"),"praɪsɪz")</f>
        <v>praɪsɪz</v>
      </c>
      <c r="E7124" s="2" t="str">
        <f>IFERROR(__xludf.DUMMYFUNCTION("IFERROR(VLOOKUP(A7124, IMPORTRANGE(""https://docs.google.com/spreadsheets/d/1-3Vjw2Cyy-mry5gbC8ypIR3YVGFfEpyFESummAta6sg/edit"", ""Sheet1!B:D""), 3, FALSE), ""Not Found"")"),"p r a ɪ s ɪ z ")</f>
        <v>p r a ɪ s ɪ z </v>
      </c>
    </row>
    <row r="7125">
      <c r="A7125" s="1" t="s">
        <v>7127</v>
      </c>
      <c r="B7125" s="1" t="s">
        <v>6138</v>
      </c>
      <c r="C7125" s="2">
        <f>IFERROR(__xludf.DUMMYFUNCTION("IFERROR(VLOOKUP(A7125, IMPORTRANGE(""https://docs.google.com/spreadsheets/d/1AVX9GT0dgogEBStecCXMMQ29tWz3gBrtNB8yIromXbY/edit?gid=741673867"", ""out1g!A:B""), 2, FALSE), 0)"),117.0)</f>
        <v>117</v>
      </c>
      <c r="D7125" s="2" t="str">
        <f>IFERROR(__xludf.DUMMYFUNCTION("IFERROR(VLOOKUP(A7125, IMPORTRANGE(""https://docs.google.com/spreadsheets/d/1-3Vjw2Cyy-mry5gbC8ypIR3YVGFfEpyFESummAta6sg/edit"", ""Sheet1!B:D""), 2, FALSE), ""Not Found"")"),"ʤəmpər")</f>
        <v>ʤəmpər</v>
      </c>
      <c r="E7125" s="2" t="str">
        <f>IFERROR(__xludf.DUMMYFUNCTION("IFERROR(VLOOKUP(A7125, IMPORTRANGE(""https://docs.google.com/spreadsheets/d/1-3Vjw2Cyy-mry5gbC8ypIR3YVGFfEpyFESummAta6sg/edit"", ""Sheet1!B:D""), 3, FALSE), ""Not Found"")"),"ʤ ə m p ə r ")</f>
        <v>ʤ ə m p ə r </v>
      </c>
    </row>
    <row r="7126">
      <c r="A7126" s="1" t="s">
        <v>7128</v>
      </c>
      <c r="B7126" s="1" t="s">
        <v>6138</v>
      </c>
      <c r="C7126" s="2">
        <f>IFERROR(__xludf.DUMMYFUNCTION("IFERROR(VLOOKUP(A7126, IMPORTRANGE(""https://docs.google.com/spreadsheets/d/1AVX9GT0dgogEBStecCXMMQ29tWz3gBrtNB8yIromXbY/edit?gid=741673867"", ""out1g!A:B""), 2, FALSE), 0)"),58.0)</f>
        <v>58</v>
      </c>
      <c r="D7126" s="2" t="str">
        <f>IFERROR(__xludf.DUMMYFUNCTION("IFERROR(VLOOKUP(A7126, IMPORTRANGE(""https://docs.google.com/spreadsheets/d/1-3Vjw2Cyy-mry5gbC8ypIR3YVGFfEpyFESummAta6sg/edit"", ""Sheet1!B:D""), 2, FALSE), ""Not Found"")"),"jæpɪŋ")</f>
        <v>jæpɪŋ</v>
      </c>
      <c r="E7126" s="2" t="str">
        <f>IFERROR(__xludf.DUMMYFUNCTION("IFERROR(VLOOKUP(A7126, IMPORTRANGE(""https://docs.google.com/spreadsheets/d/1-3Vjw2Cyy-mry5gbC8ypIR3YVGFfEpyFESummAta6sg/edit"", ""Sheet1!B:D""), 3, FALSE), ""Not Found"")"),"j æ p ɪ ŋ ")</f>
        <v>j æ p ɪ ŋ </v>
      </c>
    </row>
    <row r="7127">
      <c r="A7127" s="1" t="s">
        <v>7129</v>
      </c>
      <c r="B7127" s="1" t="s">
        <v>6138</v>
      </c>
      <c r="C7127" s="2">
        <f>IFERROR(__xludf.DUMMYFUNCTION("IFERROR(VLOOKUP(A7127, IMPORTRANGE(""https://docs.google.com/spreadsheets/d/1AVX9GT0dgogEBStecCXMMQ29tWz3gBrtNB8yIromXbY/edit?gid=741673867"", ""out1g!A:B""), 2, FALSE), 0)"),2709.0)</f>
        <v>2709</v>
      </c>
      <c r="D7127" s="2" t="str">
        <f>IFERROR(__xludf.DUMMYFUNCTION("IFERROR(VLOOKUP(A7127, IMPORTRANGE(""https://docs.google.com/spreadsheets/d/1-3Vjw2Cyy-mry5gbC8ypIR3YVGFfEpyFESummAta6sg/edit"", ""Sheet1!B:D""), 2, FALSE), ""Not Found"")"),"kraɪɪŋ")</f>
        <v>kraɪɪŋ</v>
      </c>
      <c r="E7127" s="2" t="str">
        <f>IFERROR(__xludf.DUMMYFUNCTION("IFERROR(VLOOKUP(A7127, IMPORTRANGE(""https://docs.google.com/spreadsheets/d/1-3Vjw2Cyy-mry5gbC8ypIR3YVGFfEpyFESummAta6sg/edit"", ""Sheet1!B:D""), 3, FALSE), ""Not Found"")"),"k r a ɪ ɪ ŋ ")</f>
        <v>k r a ɪ ɪ ŋ </v>
      </c>
    </row>
    <row r="7128">
      <c r="A7128" s="1" t="s">
        <v>7130</v>
      </c>
      <c r="B7128" s="1" t="s">
        <v>6138</v>
      </c>
      <c r="C7128" s="2">
        <f>IFERROR(__xludf.DUMMYFUNCTION("IFERROR(VLOOKUP(A7128, IMPORTRANGE(""https://docs.google.com/spreadsheets/d/1AVX9GT0dgogEBStecCXMMQ29tWz3gBrtNB8yIromXbY/edit?gid=741673867"", ""out1g!A:B""), 2, FALSE), 0)"),979.0)</f>
        <v>979</v>
      </c>
      <c r="D7128" s="2" t="str">
        <f>IFERROR(__xludf.DUMMYFUNCTION("IFERROR(VLOOKUP(A7128, IMPORTRANGE(""https://docs.google.com/spreadsheets/d/1-3Vjw2Cyy-mry5gbC8ypIR3YVGFfEpyFESummAta6sg/edit"", ""Sheet1!B:D""), 2, FALSE), ""Not Found"")"),"pæləs")</f>
        <v>pæləs</v>
      </c>
      <c r="E7128" s="2" t="str">
        <f>IFERROR(__xludf.DUMMYFUNCTION("IFERROR(VLOOKUP(A7128, IMPORTRANGE(""https://docs.google.com/spreadsheets/d/1-3Vjw2Cyy-mry5gbC8ypIR3YVGFfEpyFESummAta6sg/edit"", ""Sheet1!B:D""), 3, FALSE), ""Not Found"")"),"p æ l ə s ")</f>
        <v>p æ l ə s </v>
      </c>
    </row>
    <row r="7129">
      <c r="A7129" s="1" t="s">
        <v>7131</v>
      </c>
      <c r="B7129" s="1" t="s">
        <v>6138</v>
      </c>
      <c r="C7129" s="2">
        <f>IFERROR(__xludf.DUMMYFUNCTION("IFERROR(VLOOKUP(A7129, IMPORTRANGE(""https://docs.google.com/spreadsheets/d/1AVX9GT0dgogEBStecCXMMQ29tWz3gBrtNB8yIromXbY/edit?gid=741673867"", ""out1g!A:B""), 2, FALSE), 0)"),1197.0)</f>
        <v>1197</v>
      </c>
      <c r="D7129" s="2" t="str">
        <f>IFERROR(__xludf.DUMMYFUNCTION("IFERROR(VLOOKUP(A7129, IMPORTRANGE(""https://docs.google.com/spreadsheets/d/1-3Vjw2Cyy-mry5gbC8ypIR3YVGFfEpyFESummAta6sg/edit"", ""Sheet1!B:D""), 2, FALSE), ""Not Found"")"),"tɛsts")</f>
        <v>tɛsts</v>
      </c>
      <c r="E7129" s="2" t="str">
        <f>IFERROR(__xludf.DUMMYFUNCTION("IFERROR(VLOOKUP(A7129, IMPORTRANGE(""https://docs.google.com/spreadsheets/d/1-3Vjw2Cyy-mry5gbC8ypIR3YVGFfEpyFESummAta6sg/edit"", ""Sheet1!B:D""), 3, FALSE), ""Not Found"")"),"t ɛ s t s ")</f>
        <v>t ɛ s t s </v>
      </c>
    </row>
    <row r="7130">
      <c r="A7130" s="1" t="s">
        <v>7132</v>
      </c>
      <c r="B7130" s="1" t="s">
        <v>6138</v>
      </c>
      <c r="C7130" s="2">
        <f>IFERROR(__xludf.DUMMYFUNCTION("IFERROR(VLOOKUP(A7130, IMPORTRANGE(""https://docs.google.com/spreadsheets/d/1AVX9GT0dgogEBStecCXMMQ29tWz3gBrtNB8yIromXbY/edit?gid=741673867"", ""out1g!A:B""), 2, FALSE), 0)"),93.0)</f>
        <v>93</v>
      </c>
      <c r="D7130" s="2" t="str">
        <f>IFERROR(__xludf.DUMMYFUNCTION("IFERROR(VLOOKUP(A7130, IMPORTRANGE(""https://docs.google.com/spreadsheets/d/1-3Vjw2Cyy-mry5gbC8ypIR3YVGFfEpyFESummAta6sg/edit"", ""Sheet1!B:D""), 2, FALSE), ""Not Found"")"),"dɪten")</f>
        <v>dɪten</v>
      </c>
      <c r="E7130" s="2" t="str">
        <f>IFERROR(__xludf.DUMMYFUNCTION("IFERROR(VLOOKUP(A7130, IMPORTRANGE(""https://docs.google.com/spreadsheets/d/1-3Vjw2Cyy-mry5gbC8ypIR3YVGFfEpyFESummAta6sg/edit"", ""Sheet1!B:D""), 3, FALSE), ""Not Found"")"),"d ɪ t e n ")</f>
        <v>d ɪ t e n </v>
      </c>
    </row>
    <row r="7131">
      <c r="A7131" s="1" t="s">
        <v>7133</v>
      </c>
      <c r="B7131" s="1" t="s">
        <v>6138</v>
      </c>
      <c r="C7131" s="2">
        <f>IFERROR(__xludf.DUMMYFUNCTION("IFERROR(VLOOKUP(A7131, IMPORTRANGE(""https://docs.google.com/spreadsheets/d/1AVX9GT0dgogEBStecCXMMQ29tWz3gBrtNB8yIromXbY/edit?gid=741673867"", ""out1g!A:B""), 2, FALSE), 0)"),769.0)</f>
        <v>769</v>
      </c>
      <c r="D7131" s="2" t="str">
        <f>IFERROR(__xludf.DUMMYFUNCTION("IFERROR(VLOOKUP(A7131, IMPORTRANGE(""https://docs.google.com/spreadsheets/d/1-3Vjw2Cyy-mry5gbC8ypIR3YVGFfEpyFESummAta6sg/edit"", ""Sheet1!B:D""), 2, FALSE), ""Not Found"")"),"skwiz")</f>
        <v>skwiz</v>
      </c>
      <c r="E7131" s="2" t="str">
        <f>IFERROR(__xludf.DUMMYFUNCTION("IFERROR(VLOOKUP(A7131, IMPORTRANGE(""https://docs.google.com/spreadsheets/d/1-3Vjw2Cyy-mry5gbC8ypIR3YVGFfEpyFESummAta6sg/edit"", ""Sheet1!B:D""), 3, FALSE), ""Not Found"")"),"s k w i z ")</f>
        <v>s k w i z </v>
      </c>
    </row>
    <row r="7132">
      <c r="A7132" s="1" t="s">
        <v>7134</v>
      </c>
      <c r="B7132" s="1" t="s">
        <v>6138</v>
      </c>
      <c r="C7132" s="2">
        <f>IFERROR(__xludf.DUMMYFUNCTION("IFERROR(VLOOKUP(A7132, IMPORTRANGE(""https://docs.google.com/spreadsheets/d/1AVX9GT0dgogEBStecCXMMQ29tWz3gBrtNB8yIromXbY/edit?gid=741673867"", ""out1g!A:B""), 2, FALSE), 0)"),165.0)</f>
        <v>165</v>
      </c>
      <c r="D7132" s="2" t="str">
        <f>IFERROR(__xludf.DUMMYFUNCTION("IFERROR(VLOOKUP(A7132, IMPORTRANGE(""https://docs.google.com/spreadsheets/d/1-3Vjw2Cyy-mry5gbC8ypIR3YVGFfEpyFESummAta6sg/edit"", ""Sheet1!B:D""), 2, FALSE), ""Not Found"")"),"stəfɪŋ")</f>
        <v>stəfɪŋ</v>
      </c>
      <c r="E7132" s="2" t="str">
        <f>IFERROR(__xludf.DUMMYFUNCTION("IFERROR(VLOOKUP(A7132, IMPORTRANGE(""https://docs.google.com/spreadsheets/d/1-3Vjw2Cyy-mry5gbC8ypIR3YVGFfEpyFESummAta6sg/edit"", ""Sheet1!B:D""), 3, FALSE), ""Not Found"")"),"s t ə f ɪ ŋ ")</f>
        <v>s t ə f ɪ ŋ </v>
      </c>
    </row>
    <row r="7133">
      <c r="A7133" s="1" t="s">
        <v>7135</v>
      </c>
      <c r="B7133" s="1" t="s">
        <v>6138</v>
      </c>
      <c r="C7133" s="2">
        <f>IFERROR(__xludf.DUMMYFUNCTION("IFERROR(VLOOKUP(A7133, IMPORTRANGE(""https://docs.google.com/spreadsheets/d/1AVX9GT0dgogEBStecCXMMQ29tWz3gBrtNB8yIromXbY/edit?gid=741673867"", ""out1g!A:B""), 2, FALSE), 0)"),92.0)</f>
        <v>92</v>
      </c>
      <c r="D7133" s="2" t="str">
        <f>IFERROR(__xludf.DUMMYFUNCTION("IFERROR(VLOOKUP(A7133, IMPORTRANGE(""https://docs.google.com/spreadsheets/d/1-3Vjw2Cyy-mry5gbC8ypIR3YVGFfEpyFESummAta6sg/edit"", ""Sheet1!B:D""), 2, FALSE), ""Not Found"")"),"kɪdiz")</f>
        <v>kɪdiz</v>
      </c>
      <c r="E7133" s="2" t="str">
        <f>IFERROR(__xludf.DUMMYFUNCTION("IFERROR(VLOOKUP(A7133, IMPORTRANGE(""https://docs.google.com/spreadsheets/d/1-3Vjw2Cyy-mry5gbC8ypIR3YVGFfEpyFESummAta6sg/edit"", ""Sheet1!B:D""), 3, FALSE), ""Not Found"")"),"k ɪ d i z ")</f>
        <v>k ɪ d i z </v>
      </c>
    </row>
    <row r="7134">
      <c r="A7134" s="1" t="s">
        <v>7136</v>
      </c>
      <c r="B7134" s="1" t="s">
        <v>6138</v>
      </c>
      <c r="C7134" s="2">
        <f>IFERROR(__xludf.DUMMYFUNCTION("IFERROR(VLOOKUP(A7134, IMPORTRANGE(""https://docs.google.com/spreadsheets/d/1AVX9GT0dgogEBStecCXMMQ29tWz3gBrtNB8yIromXbY/edit?gid=741673867"", ""out1g!A:B""), 2, FALSE), 0)"),52.0)</f>
        <v>52</v>
      </c>
      <c r="D7134" s="2" t="str">
        <f>IFERROR(__xludf.DUMMYFUNCTION("IFERROR(VLOOKUP(A7134, IMPORTRANGE(""https://docs.google.com/spreadsheets/d/1-3Vjw2Cyy-mry5gbC8ypIR3YVGFfEpyFESummAta6sg/edit"", ""Sheet1!B:D""), 2, FALSE), ""Not Found"")"),"wərθɪŋ")</f>
        <v>wərθɪŋ</v>
      </c>
      <c r="E7134" s="2" t="str">
        <f>IFERROR(__xludf.DUMMYFUNCTION("IFERROR(VLOOKUP(A7134, IMPORTRANGE(""https://docs.google.com/spreadsheets/d/1-3Vjw2Cyy-mry5gbC8ypIR3YVGFfEpyFESummAta6sg/edit"", ""Sheet1!B:D""), 3, FALSE), ""Not Found"")"),"w ə r θ ɪ ŋ ")</f>
        <v>w ə r θ ɪ ŋ </v>
      </c>
    </row>
    <row r="7135">
      <c r="A7135" s="1" t="s">
        <v>7137</v>
      </c>
      <c r="B7135" s="1" t="s">
        <v>6138</v>
      </c>
      <c r="C7135" s="2">
        <f>IFERROR(__xludf.DUMMYFUNCTION("IFERROR(VLOOKUP(A7135, IMPORTRANGE(""https://docs.google.com/spreadsheets/d/1AVX9GT0dgogEBStecCXMMQ29tWz3gBrtNB8yIromXbY/edit?gid=741673867"", ""out1g!A:B""), 2, FALSE), 0)"),57.0)</f>
        <v>57</v>
      </c>
      <c r="D7135" s="2" t="str">
        <f>IFERROR(__xludf.DUMMYFUNCTION("IFERROR(VLOOKUP(A7135, IMPORTRANGE(""https://docs.google.com/spreadsheets/d/1-3Vjw2Cyy-mry5gbC8ypIR3YVGFfEpyFESummAta6sg/edit"", ""Sheet1!B:D""), 2, FALSE), ""Not Found"")"),"səril")</f>
        <v>səril</v>
      </c>
      <c r="E7135" s="2" t="str">
        <f>IFERROR(__xludf.DUMMYFUNCTION("IFERROR(VLOOKUP(A7135, IMPORTRANGE(""https://docs.google.com/spreadsheets/d/1-3Vjw2Cyy-mry5gbC8ypIR3YVGFfEpyFESummAta6sg/edit"", ""Sheet1!B:D""), 3, FALSE), ""Not Found"")"),"s ə r i l ")</f>
        <v>s ə r i l </v>
      </c>
    </row>
    <row r="7136">
      <c r="A7136" s="1" t="s">
        <v>7138</v>
      </c>
      <c r="B7136" s="1" t="s">
        <v>6138</v>
      </c>
      <c r="C7136" s="2">
        <f>IFERROR(__xludf.DUMMYFUNCTION("IFERROR(VLOOKUP(A7136, IMPORTRANGE(""https://docs.google.com/spreadsheets/d/1AVX9GT0dgogEBStecCXMMQ29tWz3gBrtNB8yIromXbY/edit?gid=741673867"", ""out1g!A:B""), 2, FALSE), 0)"),137.0)</f>
        <v>137</v>
      </c>
      <c r="D7136" s="2" t="str">
        <f>IFERROR(__xludf.DUMMYFUNCTION("IFERROR(VLOOKUP(A7136, IMPORTRANGE(""https://docs.google.com/spreadsheets/d/1-3Vjw2Cyy-mry5gbC8ypIR3YVGFfEpyFESummAta6sg/edit"", ""Sheet1!B:D""), 2, FALSE), ""Not Found"")"),"spesɪz")</f>
        <v>spesɪz</v>
      </c>
      <c r="E7136" s="2" t="str">
        <f>IFERROR(__xludf.DUMMYFUNCTION("IFERROR(VLOOKUP(A7136, IMPORTRANGE(""https://docs.google.com/spreadsheets/d/1-3Vjw2Cyy-mry5gbC8ypIR3YVGFfEpyFESummAta6sg/edit"", ""Sheet1!B:D""), 3, FALSE), ""Not Found"")"),"s p e s ɪ z ")</f>
        <v>s p e s ɪ z </v>
      </c>
    </row>
    <row r="7137">
      <c r="A7137" s="1" t="s">
        <v>7139</v>
      </c>
      <c r="B7137" s="1" t="s">
        <v>6138</v>
      </c>
      <c r="C7137" s="2">
        <f>IFERROR(__xludf.DUMMYFUNCTION("IFERROR(VLOOKUP(A7137, IMPORTRANGE(""https://docs.google.com/spreadsheets/d/1AVX9GT0dgogEBStecCXMMQ29tWz3gBrtNB8yIromXbY/edit?gid=741673867"", ""out1g!A:B""), 2, FALSE), 0)"),50.0)</f>
        <v>50</v>
      </c>
      <c r="D7137" s="2" t="str">
        <f>IFERROR(__xludf.DUMMYFUNCTION("IFERROR(VLOOKUP(A7137, IMPORTRANGE(""https://docs.google.com/spreadsheets/d/1-3Vjw2Cyy-mry5gbC8ypIR3YVGFfEpyFESummAta6sg/edit"", ""Sheet1!B:D""), 2, FALSE), ""Not Found"")"),"wɑʧərz")</f>
        <v>wɑʧərz</v>
      </c>
      <c r="E7137" s="2" t="str">
        <f>IFERROR(__xludf.DUMMYFUNCTION("IFERROR(VLOOKUP(A7137, IMPORTRANGE(""https://docs.google.com/spreadsheets/d/1-3Vjw2Cyy-mry5gbC8ypIR3YVGFfEpyFESummAta6sg/edit"", ""Sheet1!B:D""), 3, FALSE), ""Not Found"")"),"w ɑ ʧ ə r z ")</f>
        <v>w ɑ ʧ ə r z </v>
      </c>
    </row>
    <row r="7138">
      <c r="A7138" s="1" t="s">
        <v>7140</v>
      </c>
      <c r="B7138" s="1" t="s">
        <v>6138</v>
      </c>
      <c r="C7138" s="2">
        <f>IFERROR(__xludf.DUMMYFUNCTION("IFERROR(VLOOKUP(A7138, IMPORTRANGE(""https://docs.google.com/spreadsheets/d/1AVX9GT0dgogEBStecCXMMQ29tWz3gBrtNB8yIromXbY/edit?gid=741673867"", ""out1g!A:B""), 2, FALSE), 0)"),377.0)</f>
        <v>377</v>
      </c>
      <c r="D7138" s="2" t="str">
        <f>IFERROR(__xludf.DUMMYFUNCTION("IFERROR(VLOOKUP(A7138, IMPORTRANGE(""https://docs.google.com/spreadsheets/d/1-3Vjw2Cyy-mry5gbC8ypIR3YVGFfEpyFESummAta6sg/edit"", ""Sheet1!B:D""), 2, FALSE), ""Not Found"")"),"kələrd")</f>
        <v>kələrd</v>
      </c>
      <c r="E7138" s="2" t="str">
        <f>IFERROR(__xludf.DUMMYFUNCTION("IFERROR(VLOOKUP(A7138, IMPORTRANGE(""https://docs.google.com/spreadsheets/d/1-3Vjw2Cyy-mry5gbC8ypIR3YVGFfEpyFESummAta6sg/edit"", ""Sheet1!B:D""), 3, FALSE), ""Not Found"")"),"k ə l ə r d ")</f>
        <v>k ə l ə r d </v>
      </c>
    </row>
    <row r="7139">
      <c r="A7139" s="1" t="s">
        <v>7141</v>
      </c>
      <c r="B7139" s="1" t="s">
        <v>6138</v>
      </c>
      <c r="C7139" s="2">
        <f>IFERROR(__xludf.DUMMYFUNCTION("IFERROR(VLOOKUP(A7139, IMPORTRANGE(""https://docs.google.com/spreadsheets/d/1AVX9GT0dgogEBStecCXMMQ29tWz3gBrtNB8yIromXbY/edit?gid=741673867"", ""out1g!A:B""), 2, FALSE), 0)"),639.0)</f>
        <v>639</v>
      </c>
      <c r="D7139" s="2" t="str">
        <f>IFERROR(__xludf.DUMMYFUNCTION("IFERROR(VLOOKUP(A7139, IMPORTRANGE(""https://docs.google.com/spreadsheets/d/1-3Vjw2Cyy-mry5gbC8ypIR3YVGFfEpyFESummAta6sg/edit"", ""Sheet1!B:D""), 2, FALSE), ""Not Found"")"),"fɪlɪp")</f>
        <v>fɪlɪp</v>
      </c>
      <c r="E7139" s="2" t="str">
        <f>IFERROR(__xludf.DUMMYFUNCTION("IFERROR(VLOOKUP(A7139, IMPORTRANGE(""https://docs.google.com/spreadsheets/d/1-3Vjw2Cyy-mry5gbC8ypIR3YVGFfEpyFESummAta6sg/edit"", ""Sheet1!B:D""), 3, FALSE), ""Not Found"")"),"f ɪ l ɪ p ")</f>
        <v>f ɪ l ɪ p </v>
      </c>
    </row>
    <row r="7140">
      <c r="A7140" s="1" t="s">
        <v>7142</v>
      </c>
      <c r="B7140" s="1" t="s">
        <v>6138</v>
      </c>
      <c r="C7140" s="2">
        <f>IFERROR(__xludf.DUMMYFUNCTION("IFERROR(VLOOKUP(A7140, IMPORTRANGE(""https://docs.google.com/spreadsheets/d/1AVX9GT0dgogEBStecCXMMQ29tWz3gBrtNB8yIromXbY/edit?gid=741673867"", ""out1g!A:B""), 2, FALSE), 0)"),56.0)</f>
        <v>56</v>
      </c>
      <c r="D7140" s="2" t="str">
        <f>IFERROR(__xludf.DUMMYFUNCTION("IFERROR(VLOOKUP(A7140, IMPORTRANGE(""https://docs.google.com/spreadsheets/d/1-3Vjw2Cyy-mry5gbC8ypIR3YVGFfEpyFESummAta6sg/edit"", ""Sheet1!B:D""), 2, FALSE), ""Not Found"")"),"enəs")</f>
        <v>enəs</v>
      </c>
      <c r="E7140" s="2" t="str">
        <f>IFERROR(__xludf.DUMMYFUNCTION("IFERROR(VLOOKUP(A7140, IMPORTRANGE(""https://docs.google.com/spreadsheets/d/1-3Vjw2Cyy-mry5gbC8ypIR3YVGFfEpyFESummAta6sg/edit"", ""Sheet1!B:D""), 3, FALSE), ""Not Found"")"),"e n ə s ")</f>
        <v>e n ə s </v>
      </c>
    </row>
    <row r="7141">
      <c r="A7141" s="1" t="s">
        <v>7143</v>
      </c>
      <c r="B7141" s="1" t="s">
        <v>6138</v>
      </c>
      <c r="C7141" s="2">
        <f>IFERROR(__xludf.DUMMYFUNCTION("IFERROR(VLOOKUP(A7141, IMPORTRANGE(""https://docs.google.com/spreadsheets/d/1AVX9GT0dgogEBStecCXMMQ29tWz3gBrtNB8yIromXbY/edit?gid=741673867"", ""out1g!A:B""), 2, FALSE), 0)"),61.0)</f>
        <v>61</v>
      </c>
      <c r="D7141" s="2" t="str">
        <f>IFERROR(__xludf.DUMMYFUNCTION("IFERROR(VLOOKUP(A7141, IMPORTRANGE(""https://docs.google.com/spreadsheets/d/1-3Vjw2Cyy-mry5gbC8ypIR3YVGFfEpyFESummAta6sg/edit"", ""Sheet1!B:D""), 2, FALSE), ""Not Found"")"),"pɪmps")</f>
        <v>pɪmps</v>
      </c>
      <c r="E7141" s="2" t="str">
        <f>IFERROR(__xludf.DUMMYFUNCTION("IFERROR(VLOOKUP(A7141, IMPORTRANGE(""https://docs.google.com/spreadsheets/d/1-3Vjw2Cyy-mry5gbC8ypIR3YVGFfEpyFESummAta6sg/edit"", ""Sheet1!B:D""), 3, FALSE), ""Not Found"")"),"p ɪ m p s ")</f>
        <v>p ɪ m p s </v>
      </c>
    </row>
    <row r="7142">
      <c r="A7142" s="1" t="s">
        <v>7144</v>
      </c>
      <c r="B7142" s="1" t="s">
        <v>6138</v>
      </c>
      <c r="C7142" s="2">
        <f>IFERROR(__xludf.DUMMYFUNCTION("IFERROR(VLOOKUP(A7142, IMPORTRANGE(""https://docs.google.com/spreadsheets/d/1AVX9GT0dgogEBStecCXMMQ29tWz3gBrtNB8yIromXbY/edit?gid=741673867"", ""out1g!A:B""), 2, FALSE), 0)"),95.0)</f>
        <v>95</v>
      </c>
      <c r="D7142" s="2" t="str">
        <f>IFERROR(__xludf.DUMMYFUNCTION("IFERROR(VLOOKUP(A7142, IMPORTRANGE(""https://docs.google.com/spreadsheets/d/1-3Vjw2Cyy-mry5gbC8ypIR3YVGFfEpyFESummAta6sg/edit"", ""Sheet1!B:D""), 2, FALSE), ""Not Found"")"),"nepəlz")</f>
        <v>nepəlz</v>
      </c>
      <c r="E7142" s="2" t="str">
        <f>IFERROR(__xludf.DUMMYFUNCTION("IFERROR(VLOOKUP(A7142, IMPORTRANGE(""https://docs.google.com/spreadsheets/d/1-3Vjw2Cyy-mry5gbC8ypIR3YVGFfEpyFESummAta6sg/edit"", ""Sheet1!B:D""), 3, FALSE), ""Not Found"")"),"n e p ə l z ")</f>
        <v>n e p ə l z </v>
      </c>
    </row>
    <row r="7143">
      <c r="A7143" s="1" t="s">
        <v>7145</v>
      </c>
      <c r="B7143" s="1" t="s">
        <v>6138</v>
      </c>
      <c r="C7143" s="2">
        <f>IFERROR(__xludf.DUMMYFUNCTION("IFERROR(VLOOKUP(A7143, IMPORTRANGE(""https://docs.google.com/spreadsheets/d/1AVX9GT0dgogEBStecCXMMQ29tWz3gBrtNB8yIromXbY/edit?gid=741673867"", ""out1g!A:B""), 2, FALSE), 0)"),100.0)</f>
        <v>100</v>
      </c>
      <c r="D7143" s="2" t="str">
        <f>IFERROR(__xludf.DUMMYFUNCTION("IFERROR(VLOOKUP(A7143, IMPORTRANGE(""https://docs.google.com/spreadsheets/d/1-3Vjw2Cyy-mry5gbC8ypIR3YVGFfEpyFESummAta6sg/edit"", ""Sheet1!B:D""), 2, FALSE), ""Not Found"")"),"dɑrts")</f>
        <v>dɑrts</v>
      </c>
      <c r="E7143" s="2" t="str">
        <f>IFERROR(__xludf.DUMMYFUNCTION("IFERROR(VLOOKUP(A7143, IMPORTRANGE(""https://docs.google.com/spreadsheets/d/1-3Vjw2Cyy-mry5gbC8ypIR3YVGFfEpyFESummAta6sg/edit"", ""Sheet1!B:D""), 3, FALSE), ""Not Found"")"),"d ɑ r t s ")</f>
        <v>d ɑ r t s </v>
      </c>
    </row>
    <row r="7144">
      <c r="A7144" s="1" t="s">
        <v>7146</v>
      </c>
      <c r="B7144" s="1" t="s">
        <v>6138</v>
      </c>
      <c r="C7144" s="2">
        <f>IFERROR(__xludf.DUMMYFUNCTION("IFERROR(VLOOKUP(A7144, IMPORTRANGE(""https://docs.google.com/spreadsheets/d/1AVX9GT0dgogEBStecCXMMQ29tWz3gBrtNB8yIromXbY/edit?gid=741673867"", ""out1g!A:B""), 2, FALSE), 0)"),379.0)</f>
        <v>379</v>
      </c>
      <c r="D7144" s="2" t="str">
        <f>IFERROR(__xludf.DUMMYFUNCTION("IFERROR(VLOOKUP(A7144, IMPORTRANGE(""https://docs.google.com/spreadsheets/d/1-3Vjw2Cyy-mry5gbC8ypIR3YVGFfEpyFESummAta6sg/edit"", ""Sheet1!B:D""), 2, FALSE), ""Not Found"")"),"ʃɛpərd")</f>
        <v>ʃɛpərd</v>
      </c>
      <c r="E7144" s="2" t="str">
        <f>IFERROR(__xludf.DUMMYFUNCTION("IFERROR(VLOOKUP(A7144, IMPORTRANGE(""https://docs.google.com/spreadsheets/d/1-3Vjw2Cyy-mry5gbC8ypIR3YVGFfEpyFESummAta6sg/edit"", ""Sheet1!B:D""), 3, FALSE), ""Not Found"")"),"ʃ ɛ p ə r d ")</f>
        <v>ʃ ɛ p ə r d </v>
      </c>
    </row>
    <row r="7145">
      <c r="A7145" s="1" t="s">
        <v>7147</v>
      </c>
      <c r="B7145" s="1" t="s">
        <v>6138</v>
      </c>
      <c r="C7145" s="2">
        <f>IFERROR(__xludf.DUMMYFUNCTION("IFERROR(VLOOKUP(A7145, IMPORTRANGE(""https://docs.google.com/spreadsheets/d/1AVX9GT0dgogEBStecCXMMQ29tWz3gBrtNB8yIromXbY/edit?gid=741673867"", ""out1g!A:B""), 2, FALSE), 0)"),1179.0)</f>
        <v>1179</v>
      </c>
      <c r="D7145" s="2" t="str">
        <f>IFERROR(__xludf.DUMMYFUNCTION("IFERROR(VLOOKUP(A7145, IMPORTRANGE(""https://docs.google.com/spreadsheets/d/1-3Vjw2Cyy-mry5gbC8ypIR3YVGFfEpyFESummAta6sg/edit"", ""Sheet1!B:D""), 2, FALSE), ""Not Found"")"),"freʒər")</f>
        <v>freʒər</v>
      </c>
      <c r="E7145" s="2" t="str">
        <f>IFERROR(__xludf.DUMMYFUNCTION("IFERROR(VLOOKUP(A7145, IMPORTRANGE(""https://docs.google.com/spreadsheets/d/1-3Vjw2Cyy-mry5gbC8ypIR3YVGFfEpyFESummAta6sg/edit"", ""Sheet1!B:D""), 3, FALSE), ""Not Found"")"),"f r e ʒ ə r ")</f>
        <v>f r e ʒ ə r </v>
      </c>
    </row>
    <row r="7146">
      <c r="A7146" s="1" t="s">
        <v>7148</v>
      </c>
      <c r="B7146" s="1" t="s">
        <v>6138</v>
      </c>
      <c r="C7146" s="2">
        <f>IFERROR(__xludf.DUMMYFUNCTION("IFERROR(VLOOKUP(A7146, IMPORTRANGE(""https://docs.google.com/spreadsheets/d/1AVX9GT0dgogEBStecCXMMQ29tWz3gBrtNB8yIromXbY/edit?gid=741673867"", ""out1g!A:B""), 2, FALSE), 0)"),1912.0)</f>
        <v>1912</v>
      </c>
      <c r="D7146" s="2" t="str">
        <f>IFERROR(__xludf.DUMMYFUNCTION("IFERROR(VLOOKUP(A7146, IMPORTRANGE(""https://docs.google.com/spreadsheets/d/1-3Vjw2Cyy-mry5gbC8ypIR3YVGFfEpyFESummAta6sg/edit"", ""Sheet1!B:D""), 2, FALSE), ""Not Found"")"),"skru")</f>
        <v>skru</v>
      </c>
      <c r="E7146" s="2" t="str">
        <f>IFERROR(__xludf.DUMMYFUNCTION("IFERROR(VLOOKUP(A7146, IMPORTRANGE(""https://docs.google.com/spreadsheets/d/1-3Vjw2Cyy-mry5gbC8ypIR3YVGFfEpyFESummAta6sg/edit"", ""Sheet1!B:D""), 3, FALSE), ""Not Found"")"),"s k r u ")</f>
        <v>s k r u </v>
      </c>
    </row>
    <row r="7147">
      <c r="A7147" s="1" t="s">
        <v>7149</v>
      </c>
      <c r="B7147" s="1" t="s">
        <v>6138</v>
      </c>
      <c r="C7147" s="2">
        <f>IFERROR(__xludf.DUMMYFUNCTION("IFERROR(VLOOKUP(A7147, IMPORTRANGE(""https://docs.google.com/spreadsheets/d/1AVX9GT0dgogEBStecCXMMQ29tWz3gBrtNB8yIromXbY/edit?gid=741673867"", ""out1g!A:B""), 2, FALSE), 0)"),1271.0)</f>
        <v>1271</v>
      </c>
      <c r="D7147" s="2" t="str">
        <f>IFERROR(__xludf.DUMMYFUNCTION("IFERROR(VLOOKUP(A7147, IMPORTRANGE(""https://docs.google.com/spreadsheets/d/1-3Vjw2Cyy-mry5gbC8ypIR3YVGFfEpyFESummAta6sg/edit"", ""Sheet1!B:D""), 2, FALSE), ""Not Found"")"),"pjʊr")</f>
        <v>pjʊr</v>
      </c>
      <c r="E7147" s="2" t="str">
        <f>IFERROR(__xludf.DUMMYFUNCTION("IFERROR(VLOOKUP(A7147, IMPORTRANGE(""https://docs.google.com/spreadsheets/d/1-3Vjw2Cyy-mry5gbC8ypIR3YVGFfEpyFESummAta6sg/edit"", ""Sheet1!B:D""), 3, FALSE), ""Not Found"")"),"p j ʊ r ")</f>
        <v>p j ʊ r </v>
      </c>
    </row>
    <row r="7148">
      <c r="A7148" s="1" t="s">
        <v>7150</v>
      </c>
      <c r="B7148" s="1" t="s">
        <v>6138</v>
      </c>
      <c r="C7148" s="2">
        <f>IFERROR(__xludf.DUMMYFUNCTION("IFERROR(VLOOKUP(A7148, IMPORTRANGE(""https://docs.google.com/spreadsheets/d/1AVX9GT0dgogEBStecCXMMQ29tWz3gBrtNB8yIromXbY/edit?gid=741673867"", ""out1g!A:B""), 2, FALSE), 0)"),164.0)</f>
        <v>164</v>
      </c>
      <c r="D7148" s="2" t="str">
        <f>IFERROR(__xludf.DUMMYFUNCTION("IFERROR(VLOOKUP(A7148, IMPORTRANGE(""https://docs.google.com/spreadsheets/d/1-3Vjw2Cyy-mry5gbC8ypIR3YVGFfEpyFESummAta6sg/edit"", ""Sheet1!B:D""), 2, FALSE), ""Not Found"")"),"stræpt")</f>
        <v>stræpt</v>
      </c>
      <c r="E7148" s="2" t="str">
        <f>IFERROR(__xludf.DUMMYFUNCTION("IFERROR(VLOOKUP(A7148, IMPORTRANGE(""https://docs.google.com/spreadsheets/d/1-3Vjw2Cyy-mry5gbC8ypIR3YVGFfEpyFESummAta6sg/edit"", ""Sheet1!B:D""), 3, FALSE), ""Not Found"")"),"s t r æ p t ")</f>
        <v>s t r æ p t </v>
      </c>
    </row>
    <row r="7149">
      <c r="A7149" s="1" t="s">
        <v>7151</v>
      </c>
      <c r="B7149" s="1" t="s">
        <v>6138</v>
      </c>
      <c r="C7149" s="2">
        <f>IFERROR(__xludf.DUMMYFUNCTION("IFERROR(VLOOKUP(A7149, IMPORTRANGE(""https://docs.google.com/spreadsheets/d/1AVX9GT0dgogEBStecCXMMQ29tWz3gBrtNB8yIromXbY/edit?gid=741673867"", ""out1g!A:B""), 2, FALSE), 0)"),81.0)</f>
        <v>81</v>
      </c>
      <c r="D7149" s="2" t="str">
        <f>IFERROR(__xludf.DUMMYFUNCTION("IFERROR(VLOOKUP(A7149, IMPORTRANGE(""https://docs.google.com/spreadsheets/d/1-3Vjw2Cyy-mry5gbC8ypIR3YVGFfEpyFESummAta6sg/edit"", ""Sheet1!B:D""), 2, FALSE), ""Not Found"")"),"jərnɪŋ")</f>
        <v>jərnɪŋ</v>
      </c>
      <c r="E7149" s="2" t="str">
        <f>IFERROR(__xludf.DUMMYFUNCTION("IFERROR(VLOOKUP(A7149, IMPORTRANGE(""https://docs.google.com/spreadsheets/d/1-3Vjw2Cyy-mry5gbC8ypIR3YVGFfEpyFESummAta6sg/edit"", ""Sheet1!B:D""), 3, FALSE), ""Not Found"")"),"j ə r n ɪ ŋ ")</f>
        <v>j ə r n ɪ ŋ </v>
      </c>
    </row>
    <row r="7150">
      <c r="A7150" s="1" t="s">
        <v>7152</v>
      </c>
      <c r="B7150" s="1" t="s">
        <v>6138</v>
      </c>
      <c r="C7150" s="2">
        <f>IFERROR(__xludf.DUMMYFUNCTION("IFERROR(VLOOKUP(A7150, IMPORTRANGE(""https://docs.google.com/spreadsheets/d/1AVX9GT0dgogEBStecCXMMQ29tWz3gBrtNB8yIromXbY/edit?gid=741673867"", ""out1g!A:B""), 2, FALSE), 0)"),178.0)</f>
        <v>178</v>
      </c>
      <c r="D7150" s="2" t="str">
        <f>IFERROR(__xludf.DUMMYFUNCTION("IFERROR(VLOOKUP(A7150, IMPORTRANGE(""https://docs.google.com/spreadsheets/d/1-3Vjw2Cyy-mry5gbC8ypIR3YVGFfEpyFESummAta6sg/edit"", ""Sheet1!B:D""), 2, FALSE), ""Not Found"")"),"pitərz")</f>
        <v>pitərz</v>
      </c>
      <c r="E7150" s="2" t="str">
        <f>IFERROR(__xludf.DUMMYFUNCTION("IFERROR(VLOOKUP(A7150, IMPORTRANGE(""https://docs.google.com/spreadsheets/d/1-3Vjw2Cyy-mry5gbC8ypIR3YVGFfEpyFESummAta6sg/edit"", ""Sheet1!B:D""), 3, FALSE), ""Not Found"")"),"p i t ə r z ")</f>
        <v>p i t ə r z </v>
      </c>
    </row>
    <row r="7151">
      <c r="A7151" s="1" t="s">
        <v>7153</v>
      </c>
      <c r="B7151" s="1" t="s">
        <v>6138</v>
      </c>
      <c r="C7151" s="2">
        <f>IFERROR(__xludf.DUMMYFUNCTION("IFERROR(VLOOKUP(A7151, IMPORTRANGE(""https://docs.google.com/spreadsheets/d/1AVX9GT0dgogEBStecCXMMQ29tWz3gBrtNB8yIromXbY/edit?gid=741673867"", ""out1g!A:B""), 2, FALSE), 0)"),60.0)</f>
        <v>60</v>
      </c>
      <c r="D7151" s="2" t="str">
        <f>IFERROR(__xludf.DUMMYFUNCTION("IFERROR(VLOOKUP(A7151, IMPORTRANGE(""https://docs.google.com/spreadsheets/d/1-3Vjw2Cyy-mry5gbC8ypIR3YVGFfEpyFESummAta6sg/edit"", ""Sheet1!B:D""), 2, FALSE), ""Not Found"")"),"jæŋkt")</f>
        <v>jæŋkt</v>
      </c>
      <c r="E7151" s="2" t="str">
        <f>IFERROR(__xludf.DUMMYFUNCTION("IFERROR(VLOOKUP(A7151, IMPORTRANGE(""https://docs.google.com/spreadsheets/d/1-3Vjw2Cyy-mry5gbC8ypIR3YVGFfEpyFESummAta6sg/edit"", ""Sheet1!B:D""), 3, FALSE), ""Not Found"")"),"j æ ŋ k t ")</f>
        <v>j æ ŋ k t </v>
      </c>
    </row>
    <row r="7152">
      <c r="A7152" s="1" t="s">
        <v>7154</v>
      </c>
      <c r="B7152" s="1" t="s">
        <v>6138</v>
      </c>
      <c r="C7152" s="2">
        <f>IFERROR(__xludf.DUMMYFUNCTION("IFERROR(VLOOKUP(A7152, IMPORTRANGE(""https://docs.google.com/spreadsheets/d/1AVX9GT0dgogEBStecCXMMQ29tWz3gBrtNB8yIromXbY/edit?gid=741673867"", ""out1g!A:B""), 2, FALSE), 0)"),49.0)</f>
        <v>49</v>
      </c>
      <c r="D7152" s="2" t="str">
        <f>IFERROR(__xludf.DUMMYFUNCTION("IFERROR(VLOOKUP(A7152, IMPORTRANGE(""https://docs.google.com/spreadsheets/d/1-3Vjw2Cyy-mry5gbC8ypIR3YVGFfEpyFESummAta6sg/edit"", ""Sheet1!B:D""), 2, FALSE), ""Not Found"")"),"bɔrdoʊ")</f>
        <v>bɔrdoʊ</v>
      </c>
      <c r="E7152" s="2" t="str">
        <f>IFERROR(__xludf.DUMMYFUNCTION("IFERROR(VLOOKUP(A7152, IMPORTRANGE(""https://docs.google.com/spreadsheets/d/1-3Vjw2Cyy-mry5gbC8ypIR3YVGFfEpyFESummAta6sg/edit"", ""Sheet1!B:D""), 3, FALSE), ""Not Found"")"),"b ɔ r d o ʊ ")</f>
        <v>b ɔ r d o ʊ </v>
      </c>
    </row>
    <row r="7153">
      <c r="A7153" s="1" t="s">
        <v>7155</v>
      </c>
      <c r="B7153" s="1" t="s">
        <v>6138</v>
      </c>
      <c r="C7153" s="2">
        <f>IFERROR(__xludf.DUMMYFUNCTION("IFERROR(VLOOKUP(A7153, IMPORTRANGE(""https://docs.google.com/spreadsheets/d/1AVX9GT0dgogEBStecCXMMQ29tWz3gBrtNB8yIromXbY/edit?gid=741673867"", ""out1g!A:B""), 2, FALSE), 0)"),19.0)</f>
        <v>19</v>
      </c>
      <c r="D7153" s="2" t="str">
        <f>IFERROR(__xludf.DUMMYFUNCTION("IFERROR(VLOOKUP(A7153, IMPORTRANGE(""https://docs.google.com/spreadsheets/d/1-3Vjw2Cyy-mry5gbC8ypIR3YVGFfEpyFESummAta6sg/edit"", ""Sheet1!B:D""), 2, FALSE), ""Not Found"")"),"nægz")</f>
        <v>nægz</v>
      </c>
      <c r="E7153" s="2" t="str">
        <f>IFERROR(__xludf.DUMMYFUNCTION("IFERROR(VLOOKUP(A7153, IMPORTRANGE(""https://docs.google.com/spreadsheets/d/1-3Vjw2Cyy-mry5gbC8ypIR3YVGFfEpyFESummAta6sg/edit"", ""Sheet1!B:D""), 3, FALSE), ""Not Found"")"),"n æ g z ")</f>
        <v>n æ g z </v>
      </c>
    </row>
    <row r="7154">
      <c r="A7154" s="1" t="s">
        <v>7156</v>
      </c>
      <c r="B7154" s="1" t="s">
        <v>6138</v>
      </c>
      <c r="C7154" s="2">
        <f>IFERROR(__xludf.DUMMYFUNCTION("IFERROR(VLOOKUP(A7154, IMPORTRANGE(""https://docs.google.com/spreadsheets/d/1AVX9GT0dgogEBStecCXMMQ29tWz3gBrtNB8yIromXbY/edit?gid=741673867"", ""out1g!A:B""), 2, FALSE), 0)"),3821.0)</f>
        <v>3821</v>
      </c>
      <c r="D7154" s="2" t="str">
        <f>IFERROR(__xludf.DUMMYFUNCTION("IFERROR(VLOOKUP(A7154, IMPORTRANGE(""https://docs.google.com/spreadsheets/d/1-3Vjw2Cyy-mry5gbC8ypIR3YVGFfEpyFESummAta6sg/edit"", ""Sheet1!B:D""), 2, FALSE), ""Not Found"")"),"ɛriə")</f>
        <v>ɛriə</v>
      </c>
      <c r="E7154" s="2" t="str">
        <f>IFERROR(__xludf.DUMMYFUNCTION("IFERROR(VLOOKUP(A7154, IMPORTRANGE(""https://docs.google.com/spreadsheets/d/1-3Vjw2Cyy-mry5gbC8ypIR3YVGFfEpyFESummAta6sg/edit"", ""Sheet1!B:D""), 3, FALSE), ""Not Found"")"),"ɛ r i ə ")</f>
        <v>ɛ r i ə </v>
      </c>
    </row>
    <row r="7155">
      <c r="A7155" s="1" t="s">
        <v>7157</v>
      </c>
      <c r="B7155" s="1" t="s">
        <v>6138</v>
      </c>
      <c r="C7155" s="2">
        <f>IFERROR(__xludf.DUMMYFUNCTION("IFERROR(VLOOKUP(A7155, IMPORTRANGE(""https://docs.google.com/spreadsheets/d/1AVX9GT0dgogEBStecCXMMQ29tWz3gBrtNB8yIromXbY/edit?gid=741673867"", ""out1g!A:B""), 2, FALSE), 0)"),141.0)</f>
        <v>141</v>
      </c>
      <c r="D7155" s="2" t="str">
        <f>IFERROR(__xludf.DUMMYFUNCTION("IFERROR(VLOOKUP(A7155, IMPORTRANGE(""https://docs.google.com/spreadsheets/d/1-3Vjw2Cyy-mry5gbC8ypIR3YVGFfEpyFESummAta6sg/edit"", ""Sheet1!B:D""), 2, FALSE), ""Not Found"")"),"poʊsts")</f>
        <v>poʊsts</v>
      </c>
      <c r="E7155" s="2" t="str">
        <f>IFERROR(__xludf.DUMMYFUNCTION("IFERROR(VLOOKUP(A7155, IMPORTRANGE(""https://docs.google.com/spreadsheets/d/1-3Vjw2Cyy-mry5gbC8ypIR3YVGFfEpyFESummAta6sg/edit"", ""Sheet1!B:D""), 3, FALSE), ""Not Found"")"),"p o ʊ s t s ")</f>
        <v>p o ʊ s t s </v>
      </c>
    </row>
    <row r="7156">
      <c r="A7156" s="1" t="s">
        <v>7158</v>
      </c>
      <c r="B7156" s="1" t="s">
        <v>6138</v>
      </c>
      <c r="C7156" s="2">
        <f>IFERROR(__xludf.DUMMYFUNCTION("IFERROR(VLOOKUP(A7156, IMPORTRANGE(""https://docs.google.com/spreadsheets/d/1AVX9GT0dgogEBStecCXMMQ29tWz3gBrtNB8yIromXbY/edit?gid=741673867"", ""out1g!A:B""), 2, FALSE), 0)"),108.0)</f>
        <v>108</v>
      </c>
      <c r="D7156" s="2" t="str">
        <f>IFERROR(__xludf.DUMMYFUNCTION("IFERROR(VLOOKUP(A7156, IMPORTRANGE(""https://docs.google.com/spreadsheets/d/1-3Vjw2Cyy-mry5gbC8ypIR3YVGFfEpyFESummAta6sg/edit"", ""Sheet1!B:D""), 2, FALSE), ""Not Found"")"),"ʧɑpɪŋ")</f>
        <v>ʧɑpɪŋ</v>
      </c>
      <c r="E7156" s="2" t="str">
        <f>IFERROR(__xludf.DUMMYFUNCTION("IFERROR(VLOOKUP(A7156, IMPORTRANGE(""https://docs.google.com/spreadsheets/d/1-3Vjw2Cyy-mry5gbC8ypIR3YVGFfEpyFESummAta6sg/edit"", ""Sheet1!B:D""), 3, FALSE), ""Not Found"")"),"ʧ ɑ p ɪ ŋ ")</f>
        <v>ʧ ɑ p ɪ ŋ </v>
      </c>
    </row>
    <row r="7157">
      <c r="A7157" s="1" t="s">
        <v>7159</v>
      </c>
      <c r="B7157" s="1" t="s">
        <v>6138</v>
      </c>
      <c r="C7157" s="2">
        <f>IFERROR(__xludf.DUMMYFUNCTION("IFERROR(VLOOKUP(A7157, IMPORTRANGE(""https://docs.google.com/spreadsheets/d/1AVX9GT0dgogEBStecCXMMQ29tWz3gBrtNB8yIromXbY/edit?gid=741673867"", ""out1g!A:B""), 2, FALSE), 0)"),190.0)</f>
        <v>190</v>
      </c>
      <c r="D7157" s="2" t="str">
        <f>IFERROR(__xludf.DUMMYFUNCTION("IFERROR(VLOOKUP(A7157, IMPORTRANGE(""https://docs.google.com/spreadsheets/d/1-3Vjw2Cyy-mry5gbC8ypIR3YVGFfEpyFESummAta6sg/edit"", ""Sheet1!B:D""), 2, FALSE), ""Not Found"")"),"bəmpi")</f>
        <v>bəmpi</v>
      </c>
      <c r="E7157" s="2" t="str">
        <f>IFERROR(__xludf.DUMMYFUNCTION("IFERROR(VLOOKUP(A7157, IMPORTRANGE(""https://docs.google.com/spreadsheets/d/1-3Vjw2Cyy-mry5gbC8ypIR3YVGFfEpyFESummAta6sg/edit"", ""Sheet1!B:D""), 3, FALSE), ""Not Found"")"),"b ə m p i ")</f>
        <v>b ə m p i </v>
      </c>
    </row>
    <row r="7158">
      <c r="A7158" s="1" t="s">
        <v>7160</v>
      </c>
      <c r="B7158" s="1" t="s">
        <v>6138</v>
      </c>
      <c r="C7158" s="2">
        <f>IFERROR(__xludf.DUMMYFUNCTION("IFERROR(VLOOKUP(A7158, IMPORTRANGE(""https://docs.google.com/spreadsheets/d/1AVX9GT0dgogEBStecCXMMQ29tWz3gBrtNB8yIromXbY/edit?gid=741673867"", ""out1g!A:B""), 2, FALSE), 0)"),135.0)</f>
        <v>135</v>
      </c>
      <c r="D7158" s="2" t="str">
        <f>IFERROR(__xludf.DUMMYFUNCTION("IFERROR(VLOOKUP(A7158, IMPORTRANGE(""https://docs.google.com/spreadsheets/d/1-3Vjw2Cyy-mry5gbC8ypIR3YVGFfEpyFESummAta6sg/edit"", ""Sheet1!B:D""), 2, FALSE), ""Not Found"")"),"fɔr")</f>
        <v>fɔr</v>
      </c>
      <c r="E7158" s="2" t="str">
        <f>IFERROR(__xludf.DUMMYFUNCTION("IFERROR(VLOOKUP(A7158, IMPORTRANGE(""https://docs.google.com/spreadsheets/d/1-3Vjw2Cyy-mry5gbC8ypIR3YVGFfEpyFESummAta6sg/edit"", ""Sheet1!B:D""), 3, FALSE), ""Not Found"")"),"f ɔ r ")</f>
        <v>f ɔ r </v>
      </c>
    </row>
    <row r="7159">
      <c r="A7159" s="1" t="s">
        <v>7161</v>
      </c>
      <c r="B7159" s="1" t="s">
        <v>6138</v>
      </c>
      <c r="C7159" s="2">
        <f>IFERROR(__xludf.DUMMYFUNCTION("IFERROR(VLOOKUP(A7159, IMPORTRANGE(""https://docs.google.com/spreadsheets/d/1AVX9GT0dgogEBStecCXMMQ29tWz3gBrtNB8yIromXbY/edit?gid=741673867"", ""out1g!A:B""), 2, FALSE), 0)"),130.0)</f>
        <v>130</v>
      </c>
      <c r="D7159" s="2" t="str">
        <f>IFERROR(__xludf.DUMMYFUNCTION("IFERROR(VLOOKUP(A7159, IMPORTRANGE(""https://docs.google.com/spreadsheets/d/1-3Vjw2Cyy-mry5gbC8ypIR3YVGFfEpyFESummAta6sg/edit"", ""Sheet1!B:D""), 2, FALSE), ""Not Found"")"),"flemɪŋ")</f>
        <v>flemɪŋ</v>
      </c>
      <c r="E7159" s="2" t="str">
        <f>IFERROR(__xludf.DUMMYFUNCTION("IFERROR(VLOOKUP(A7159, IMPORTRANGE(""https://docs.google.com/spreadsheets/d/1-3Vjw2Cyy-mry5gbC8ypIR3YVGFfEpyFESummAta6sg/edit"", ""Sheet1!B:D""), 3, FALSE), ""Not Found"")"),"f l e m ɪ ŋ ")</f>
        <v>f l e m ɪ ŋ </v>
      </c>
    </row>
    <row r="7160">
      <c r="A7160" s="1" t="s">
        <v>7162</v>
      </c>
      <c r="B7160" s="1" t="s">
        <v>6138</v>
      </c>
      <c r="C7160" s="2">
        <f>IFERROR(__xludf.DUMMYFUNCTION("IFERROR(VLOOKUP(A7160, IMPORTRANGE(""https://docs.google.com/spreadsheets/d/1AVX9GT0dgogEBStecCXMMQ29tWz3gBrtNB8yIromXbY/edit?gid=741673867"", ""out1g!A:B""), 2, FALSE), 0)"),60.0)</f>
        <v>60</v>
      </c>
      <c r="D7160" s="2" t="str">
        <f>IFERROR(__xludf.DUMMYFUNCTION("IFERROR(VLOOKUP(A7160, IMPORTRANGE(""https://docs.google.com/spreadsheets/d/1-3Vjw2Cyy-mry5gbC8ypIR3YVGFfEpyFESummAta6sg/edit"", ""Sheet1!B:D""), 2, FALSE), ""Not Found"")"),"səlfər")</f>
        <v>səlfər</v>
      </c>
      <c r="E7160" s="2" t="str">
        <f>IFERROR(__xludf.DUMMYFUNCTION("IFERROR(VLOOKUP(A7160, IMPORTRANGE(""https://docs.google.com/spreadsheets/d/1-3Vjw2Cyy-mry5gbC8ypIR3YVGFfEpyFESummAta6sg/edit"", ""Sheet1!B:D""), 3, FALSE), ""Not Found"")"),"s ə l f ə r ")</f>
        <v>s ə l f ə r </v>
      </c>
    </row>
    <row r="7161">
      <c r="A7161" s="1" t="s">
        <v>7163</v>
      </c>
      <c r="B7161" s="1" t="s">
        <v>6138</v>
      </c>
      <c r="C7161" s="2">
        <f>IFERROR(__xludf.DUMMYFUNCTION("IFERROR(VLOOKUP(A7161, IMPORTRANGE(""https://docs.google.com/spreadsheets/d/1AVX9GT0dgogEBStecCXMMQ29tWz3gBrtNB8yIromXbY/edit?gid=741673867"", ""out1g!A:B""), 2, FALSE), 0)"),2082.0)</f>
        <v>2082</v>
      </c>
      <c r="D7161" s="2" t="str">
        <f>IFERROR(__xludf.DUMMYFUNCTION("IFERROR(VLOOKUP(A7161, IMPORTRANGE(""https://docs.google.com/spreadsheets/d/1-3Vjw2Cyy-mry5gbC8ypIR3YVGFfEpyFESummAta6sg/edit"", ""Sheet1!B:D""), 2, FALSE), ""Not Found"")"),"θru")</f>
        <v>θru</v>
      </c>
      <c r="E7161" s="2" t="str">
        <f>IFERROR(__xludf.DUMMYFUNCTION("IFERROR(VLOOKUP(A7161, IMPORTRANGE(""https://docs.google.com/spreadsheets/d/1-3Vjw2Cyy-mry5gbC8ypIR3YVGFfEpyFESummAta6sg/edit"", ""Sheet1!B:D""), 3, FALSE), ""Not Found"")"),"θ r u ")</f>
        <v>θ r u </v>
      </c>
    </row>
    <row r="7162">
      <c r="A7162" s="1" t="s">
        <v>7164</v>
      </c>
      <c r="B7162" s="1" t="s">
        <v>6138</v>
      </c>
      <c r="C7162" s="2">
        <f>IFERROR(__xludf.DUMMYFUNCTION("IFERROR(VLOOKUP(A7162, IMPORTRANGE(""https://docs.google.com/spreadsheets/d/1AVX9GT0dgogEBStecCXMMQ29tWz3gBrtNB8yIromXbY/edit?gid=741673867"", ""out1g!A:B""), 2, FALSE), 0)"),120.0)</f>
        <v>120</v>
      </c>
      <c r="D7162" s="2" t="str">
        <f>IFERROR(__xludf.DUMMYFUNCTION("IFERROR(VLOOKUP(A7162, IMPORTRANGE(""https://docs.google.com/spreadsheets/d/1-3Vjw2Cyy-mry5gbC8ypIR3YVGFfEpyFESummAta6sg/edit"", ""Sheet1!B:D""), 2, FALSE), ""Not Found"")"),"duəl")</f>
        <v>duəl</v>
      </c>
      <c r="E7162" s="2" t="str">
        <f>IFERROR(__xludf.DUMMYFUNCTION("IFERROR(VLOOKUP(A7162, IMPORTRANGE(""https://docs.google.com/spreadsheets/d/1-3Vjw2Cyy-mry5gbC8ypIR3YVGFfEpyFESummAta6sg/edit"", ""Sheet1!B:D""), 3, FALSE), ""Not Found"")"),"d u ə l ")</f>
        <v>d u ə l </v>
      </c>
    </row>
    <row r="7163">
      <c r="A7163" s="1" t="s">
        <v>7165</v>
      </c>
      <c r="B7163" s="1" t="s">
        <v>6138</v>
      </c>
      <c r="C7163" s="2">
        <f>IFERROR(__xludf.DUMMYFUNCTION("IFERROR(VLOOKUP(A7163, IMPORTRANGE(""https://docs.google.com/spreadsheets/d/1AVX9GT0dgogEBStecCXMMQ29tWz3gBrtNB8yIromXbY/edit?gid=741673867"", ""out1g!A:B""), 2, FALSE), 0)"),540.0)</f>
        <v>540</v>
      </c>
      <c r="D7163" s="2" t="str">
        <f>IFERROR(__xludf.DUMMYFUNCTION("IFERROR(VLOOKUP(A7163, IMPORTRANGE(""https://docs.google.com/spreadsheets/d/1-3Vjw2Cyy-mry5gbC8ypIR3YVGFfEpyFESummAta6sg/edit"", ""Sheet1!B:D""), 2, FALSE), ""Not Found"")"),"kæpʧər")</f>
        <v>kæpʧər</v>
      </c>
      <c r="E7163" s="2" t="str">
        <f>IFERROR(__xludf.DUMMYFUNCTION("IFERROR(VLOOKUP(A7163, IMPORTRANGE(""https://docs.google.com/spreadsheets/d/1-3Vjw2Cyy-mry5gbC8ypIR3YVGFfEpyFESummAta6sg/edit"", ""Sheet1!B:D""), 3, FALSE), ""Not Found"")"),"k æ p ʧ ə r ")</f>
        <v>k æ p ʧ ə r </v>
      </c>
    </row>
    <row r="7164">
      <c r="A7164" s="1" t="s">
        <v>7166</v>
      </c>
      <c r="B7164" s="1" t="s">
        <v>6138</v>
      </c>
      <c r="C7164" s="2">
        <f>IFERROR(__xludf.DUMMYFUNCTION("IFERROR(VLOOKUP(A7164, IMPORTRANGE(""https://docs.google.com/spreadsheets/d/1AVX9GT0dgogEBStecCXMMQ29tWz3gBrtNB8yIromXbY/edit?gid=741673867"", ""out1g!A:B""), 2, FALSE), 0)"),48.0)</f>
        <v>48</v>
      </c>
      <c r="D7164" s="2" t="str">
        <f>IFERROR(__xludf.DUMMYFUNCTION("IFERROR(VLOOKUP(A7164, IMPORTRANGE(""https://docs.google.com/spreadsheets/d/1-3Vjw2Cyy-mry5gbC8ypIR3YVGFfEpyFESummAta6sg/edit"", ""Sheet1!B:D""), 2, FALSE), ""Not Found"")"),"swɪg")</f>
        <v>swɪg</v>
      </c>
      <c r="E7164" s="2" t="str">
        <f>IFERROR(__xludf.DUMMYFUNCTION("IFERROR(VLOOKUP(A7164, IMPORTRANGE(""https://docs.google.com/spreadsheets/d/1-3Vjw2Cyy-mry5gbC8ypIR3YVGFfEpyFESummAta6sg/edit"", ""Sheet1!B:D""), 3, FALSE), ""Not Found"")"),"s w ɪ g ")</f>
        <v>s w ɪ g </v>
      </c>
    </row>
    <row r="7165">
      <c r="A7165" s="1" t="s">
        <v>7167</v>
      </c>
      <c r="B7165" s="1" t="s">
        <v>6138</v>
      </c>
      <c r="C7165" s="2">
        <f>IFERROR(__xludf.DUMMYFUNCTION("IFERROR(VLOOKUP(A7165, IMPORTRANGE(""https://docs.google.com/spreadsheets/d/1AVX9GT0dgogEBStecCXMMQ29tWz3gBrtNB8yIromXbY/edit?gid=741673867"", ""out1g!A:B""), 2, FALSE), 0)"),113.0)</f>
        <v>113</v>
      </c>
      <c r="D7165" s="2" t="str">
        <f>IFERROR(__xludf.DUMMYFUNCTION("IFERROR(VLOOKUP(A7165, IMPORTRANGE(""https://docs.google.com/spreadsheets/d/1-3Vjw2Cyy-mry5gbC8ypIR3YVGFfEpyFESummAta6sg/edit"", ""Sheet1!B:D""), 2, FALSE), ""Not Found"")"),"blɪŋkɪŋ")</f>
        <v>blɪŋkɪŋ</v>
      </c>
      <c r="E7165" s="2" t="str">
        <f>IFERROR(__xludf.DUMMYFUNCTION("IFERROR(VLOOKUP(A7165, IMPORTRANGE(""https://docs.google.com/spreadsheets/d/1-3Vjw2Cyy-mry5gbC8ypIR3YVGFfEpyFESummAta6sg/edit"", ""Sheet1!B:D""), 3, FALSE), ""Not Found"")"),"b l ɪ ŋ k ɪ ŋ ")</f>
        <v>b l ɪ ŋ k ɪ ŋ </v>
      </c>
    </row>
    <row r="7166">
      <c r="A7166" s="1" t="s">
        <v>7168</v>
      </c>
      <c r="B7166" s="1" t="s">
        <v>6138</v>
      </c>
      <c r="C7166" s="2">
        <f>IFERROR(__xludf.DUMMYFUNCTION("IFERROR(VLOOKUP(A7166, IMPORTRANGE(""https://docs.google.com/spreadsheets/d/1AVX9GT0dgogEBStecCXMMQ29tWz3gBrtNB8yIromXbY/edit?gid=741673867"", ""out1g!A:B""), 2, FALSE), 0)"),127.0)</f>
        <v>127</v>
      </c>
      <c r="D7166" s="2" t="str">
        <f>IFERROR(__xludf.DUMMYFUNCTION("IFERROR(VLOOKUP(A7166, IMPORTRANGE(""https://docs.google.com/spreadsheets/d/1-3Vjw2Cyy-mry5gbC8ypIR3YVGFfEpyFESummAta6sg/edit"", ""Sheet1!B:D""), 2, FALSE), ""Not Found"")"),"bɛkər")</f>
        <v>bɛkər</v>
      </c>
      <c r="E7166" s="2" t="str">
        <f>IFERROR(__xludf.DUMMYFUNCTION("IFERROR(VLOOKUP(A7166, IMPORTRANGE(""https://docs.google.com/spreadsheets/d/1-3Vjw2Cyy-mry5gbC8ypIR3YVGFfEpyFESummAta6sg/edit"", ""Sheet1!B:D""), 3, FALSE), ""Not Found"")"),"b ɛ k ə r ")</f>
        <v>b ɛ k ə r </v>
      </c>
    </row>
    <row r="7167">
      <c r="A7167" s="1" t="s">
        <v>7169</v>
      </c>
      <c r="B7167" s="1" t="s">
        <v>6138</v>
      </c>
      <c r="C7167" s="2">
        <f>IFERROR(__xludf.DUMMYFUNCTION("IFERROR(VLOOKUP(A7167, IMPORTRANGE(""https://docs.google.com/spreadsheets/d/1AVX9GT0dgogEBStecCXMMQ29tWz3gBrtNB8yIromXbY/edit?gid=741673867"", ""out1g!A:B""), 2, FALSE), 0)"),104.0)</f>
        <v>104</v>
      </c>
      <c r="D7167" s="2" t="str">
        <f>IFERROR(__xludf.DUMMYFUNCTION("IFERROR(VLOOKUP(A7167, IMPORTRANGE(""https://docs.google.com/spreadsheets/d/1-3Vjw2Cyy-mry5gbC8ypIR3YVGFfEpyFESummAta6sg/edit"", ""Sheet1!B:D""), 2, FALSE), ""Not Found"")"),"stɑrlɪŋ")</f>
        <v>stɑrlɪŋ</v>
      </c>
      <c r="E7167" s="2" t="str">
        <f>IFERROR(__xludf.DUMMYFUNCTION("IFERROR(VLOOKUP(A7167, IMPORTRANGE(""https://docs.google.com/spreadsheets/d/1-3Vjw2Cyy-mry5gbC8ypIR3YVGFfEpyFESummAta6sg/edit"", ""Sheet1!B:D""), 3, FALSE), ""Not Found"")"),"s t ɑ r l ɪ ŋ ")</f>
        <v>s t ɑ r l ɪ ŋ </v>
      </c>
    </row>
    <row r="7168">
      <c r="A7168" s="1" t="s">
        <v>7170</v>
      </c>
      <c r="B7168" s="1" t="s">
        <v>6138</v>
      </c>
      <c r="C7168" s="2">
        <f>IFERROR(__xludf.DUMMYFUNCTION("IFERROR(VLOOKUP(A7168, IMPORTRANGE(""https://docs.google.com/spreadsheets/d/1AVX9GT0dgogEBStecCXMMQ29tWz3gBrtNB8yIromXbY/edit?gid=741673867"", ""out1g!A:B""), 2, FALSE), 0)"),4549.0)</f>
        <v>4549</v>
      </c>
      <c r="D7168" s="2" t="str">
        <f>IFERROR(__xludf.DUMMYFUNCTION("IFERROR(VLOOKUP(A7168, IMPORTRANGE(""https://docs.google.com/spreadsheets/d/1-3Vjw2Cyy-mry5gbC8ypIR3YVGFfEpyFESummAta6sg/edit"", ""Sheet1!B:D""), 2, FALSE), ""Not Found"")"),"mɪdəl")</f>
        <v>mɪdəl</v>
      </c>
      <c r="E7168" s="2" t="str">
        <f>IFERROR(__xludf.DUMMYFUNCTION("IFERROR(VLOOKUP(A7168, IMPORTRANGE(""https://docs.google.com/spreadsheets/d/1-3Vjw2Cyy-mry5gbC8ypIR3YVGFfEpyFESummAta6sg/edit"", ""Sheet1!B:D""), 3, FALSE), ""Not Found"")"),"m ɪ d ə l ")</f>
        <v>m ɪ d ə l </v>
      </c>
    </row>
    <row r="7169">
      <c r="A7169" s="1" t="s">
        <v>7171</v>
      </c>
      <c r="B7169" s="1" t="s">
        <v>6138</v>
      </c>
      <c r="C7169" s="2">
        <f>IFERROR(__xludf.DUMMYFUNCTION("IFERROR(VLOOKUP(A7169, IMPORTRANGE(""https://docs.google.com/spreadsheets/d/1AVX9GT0dgogEBStecCXMMQ29tWz3gBrtNB8yIromXbY/edit?gid=741673867"", ""out1g!A:B""), 2, FALSE), 0)"),412.0)</f>
        <v>412</v>
      </c>
      <c r="D7169" s="2" t="str">
        <f>IFERROR(__xludf.DUMMYFUNCTION("IFERROR(VLOOKUP(A7169, IMPORTRANGE(""https://docs.google.com/spreadsheets/d/1-3Vjw2Cyy-mry5gbC8ypIR3YVGFfEpyFESummAta6sg/edit"", ""Sheet1!B:D""), 2, FALSE), ""Not Found"")"),"nidɪŋ")</f>
        <v>nidɪŋ</v>
      </c>
      <c r="E7169" s="2" t="str">
        <f>IFERROR(__xludf.DUMMYFUNCTION("IFERROR(VLOOKUP(A7169, IMPORTRANGE(""https://docs.google.com/spreadsheets/d/1-3Vjw2Cyy-mry5gbC8ypIR3YVGFfEpyFESummAta6sg/edit"", ""Sheet1!B:D""), 3, FALSE), ""Not Found"")"),"n i d ɪ ŋ ")</f>
        <v>n i d ɪ ŋ </v>
      </c>
    </row>
    <row r="7170">
      <c r="A7170" s="1" t="s">
        <v>7172</v>
      </c>
      <c r="B7170" s="1" t="s">
        <v>6138</v>
      </c>
      <c r="C7170" s="2">
        <f>IFERROR(__xludf.DUMMYFUNCTION("IFERROR(VLOOKUP(A7170, IMPORTRANGE(""https://docs.google.com/spreadsheets/d/1AVX9GT0dgogEBStecCXMMQ29tWz3gBrtNB8yIromXbY/edit?gid=741673867"", ""out1g!A:B""), 2, FALSE), 0)"),152.0)</f>
        <v>152</v>
      </c>
      <c r="D7170" s="2" t="str">
        <f>IFERROR(__xludf.DUMMYFUNCTION("IFERROR(VLOOKUP(A7170, IMPORTRANGE(""https://docs.google.com/spreadsheets/d/1-3Vjw2Cyy-mry5gbC8ypIR3YVGFfEpyFESummAta6sg/edit"", ""Sheet1!B:D""), 2, FALSE), ""Not Found"")"),"kjub")</f>
        <v>kjub</v>
      </c>
      <c r="E7170" s="2" t="str">
        <f>IFERROR(__xludf.DUMMYFUNCTION("IFERROR(VLOOKUP(A7170, IMPORTRANGE(""https://docs.google.com/spreadsheets/d/1-3Vjw2Cyy-mry5gbC8ypIR3YVGFfEpyFESummAta6sg/edit"", ""Sheet1!B:D""), 3, FALSE), ""Not Found"")"),"k j u b ")</f>
        <v>k j u b </v>
      </c>
    </row>
    <row r="7171">
      <c r="A7171" s="1" t="s">
        <v>7173</v>
      </c>
      <c r="B7171" s="1" t="s">
        <v>6138</v>
      </c>
      <c r="C7171" s="2">
        <f>IFERROR(__xludf.DUMMYFUNCTION("IFERROR(VLOOKUP(A7171, IMPORTRANGE(""https://docs.google.com/spreadsheets/d/1AVX9GT0dgogEBStecCXMMQ29tWz3gBrtNB8yIromXbY/edit?gid=741673867"", ""out1g!A:B""), 2, FALSE), 0)"),57.0)</f>
        <v>57</v>
      </c>
      <c r="D7171" s="2" t="str">
        <f>IFERROR(__xludf.DUMMYFUNCTION("IFERROR(VLOOKUP(A7171, IMPORTRANGE(""https://docs.google.com/spreadsheets/d/1-3Vjw2Cyy-mry5gbC8ypIR3YVGFfEpyFESummAta6sg/edit"", ""Sheet1!B:D""), 2, FALSE), ""Not Found"")"),"ʃɑrpən")</f>
        <v>ʃɑrpən</v>
      </c>
      <c r="E7171" s="2" t="str">
        <f>IFERROR(__xludf.DUMMYFUNCTION("IFERROR(VLOOKUP(A7171, IMPORTRANGE(""https://docs.google.com/spreadsheets/d/1-3Vjw2Cyy-mry5gbC8ypIR3YVGFfEpyFESummAta6sg/edit"", ""Sheet1!B:D""), 3, FALSE), ""Not Found"")"),"ʃ ɑ r p ə n ")</f>
        <v>ʃ ɑ r p ə n </v>
      </c>
    </row>
    <row r="7172">
      <c r="A7172" s="1" t="s">
        <v>7174</v>
      </c>
      <c r="B7172" s="1" t="s">
        <v>6138</v>
      </c>
      <c r="C7172" s="2">
        <f>IFERROR(__xludf.DUMMYFUNCTION("IFERROR(VLOOKUP(A7172, IMPORTRANGE(""https://docs.google.com/spreadsheets/d/1AVX9GT0dgogEBStecCXMMQ29tWz3gBrtNB8yIromXbY/edit?gid=741673867"", ""out1g!A:B""), 2, FALSE), 0)"),657.0)</f>
        <v>657</v>
      </c>
      <c r="D7172" s="2" t="str">
        <f>IFERROR(__xludf.DUMMYFUNCTION("IFERROR(VLOOKUP(A7172, IMPORTRANGE(""https://docs.google.com/spreadsheets/d/1-3Vjw2Cyy-mry5gbC8ypIR3YVGFfEpyFESummAta6sg/edit"", ""Sheet1!B:D""), 2, FALSE), ""Not Found"")"),"rəsti")</f>
        <v>rəsti</v>
      </c>
      <c r="E7172" s="2" t="str">
        <f>IFERROR(__xludf.DUMMYFUNCTION("IFERROR(VLOOKUP(A7172, IMPORTRANGE(""https://docs.google.com/spreadsheets/d/1-3Vjw2Cyy-mry5gbC8ypIR3YVGFfEpyFESummAta6sg/edit"", ""Sheet1!B:D""), 3, FALSE), ""Not Found"")"),"r ə s t i ")</f>
        <v>r ə s t i </v>
      </c>
    </row>
    <row r="7173">
      <c r="A7173" s="1" t="s">
        <v>7175</v>
      </c>
      <c r="B7173" s="1" t="s">
        <v>6138</v>
      </c>
      <c r="C7173" s="2">
        <f>IFERROR(__xludf.DUMMYFUNCTION("IFERROR(VLOOKUP(A7173, IMPORTRANGE(""https://docs.google.com/spreadsheets/d/1AVX9GT0dgogEBStecCXMMQ29tWz3gBrtNB8yIromXbY/edit?gid=741673867"", ""out1g!A:B""), 2, FALSE), 0)"),47.0)</f>
        <v>47</v>
      </c>
      <c r="D7173" s="2" t="str">
        <f>IFERROR(__xludf.DUMMYFUNCTION("IFERROR(VLOOKUP(A7173, IMPORTRANGE(""https://docs.google.com/spreadsheets/d/1-3Vjw2Cyy-mry5gbC8ypIR3YVGFfEpyFESummAta6sg/edit"", ""Sheet1!B:D""), 2, FALSE), ""Not Found"")"),"blæsts")</f>
        <v>blæsts</v>
      </c>
      <c r="E7173" s="2" t="str">
        <f>IFERROR(__xludf.DUMMYFUNCTION("IFERROR(VLOOKUP(A7173, IMPORTRANGE(""https://docs.google.com/spreadsheets/d/1-3Vjw2Cyy-mry5gbC8ypIR3YVGFfEpyFESummAta6sg/edit"", ""Sheet1!B:D""), 3, FALSE), ""Not Found"")"),"b l æ s t s ")</f>
        <v>b l æ s t s </v>
      </c>
    </row>
    <row r="7174">
      <c r="A7174" s="1" t="s">
        <v>7176</v>
      </c>
      <c r="B7174" s="1" t="s">
        <v>6138</v>
      </c>
      <c r="C7174" s="2">
        <f>IFERROR(__xludf.DUMMYFUNCTION("IFERROR(VLOOKUP(A7174, IMPORTRANGE(""https://docs.google.com/spreadsheets/d/1AVX9GT0dgogEBStecCXMMQ29tWz3gBrtNB8yIromXbY/edit?gid=741673867"", ""out1g!A:B""), 2, FALSE), 0)"),53.0)</f>
        <v>53</v>
      </c>
      <c r="D7174" s="2" t="str">
        <f>IFERROR(__xludf.DUMMYFUNCTION("IFERROR(VLOOKUP(A7174, IMPORTRANGE(""https://docs.google.com/spreadsheets/d/1-3Vjw2Cyy-mry5gbC8ypIR3YVGFfEpyFESummAta6sg/edit"", ""Sheet1!B:D""), 2, FALSE), ""Not Found"")"),"drɪld")</f>
        <v>drɪld</v>
      </c>
      <c r="E7174" s="2" t="str">
        <f>IFERROR(__xludf.DUMMYFUNCTION("IFERROR(VLOOKUP(A7174, IMPORTRANGE(""https://docs.google.com/spreadsheets/d/1-3Vjw2Cyy-mry5gbC8ypIR3YVGFfEpyFESummAta6sg/edit"", ""Sheet1!B:D""), 3, FALSE), ""Not Found"")"),"d r ɪ l d ")</f>
        <v>d r ɪ l d </v>
      </c>
    </row>
    <row r="7175">
      <c r="A7175" s="1" t="s">
        <v>7177</v>
      </c>
      <c r="B7175" s="1" t="s">
        <v>6138</v>
      </c>
      <c r="C7175" s="2">
        <f>IFERROR(__xludf.DUMMYFUNCTION("IFERROR(VLOOKUP(A7175, IMPORTRANGE(""https://docs.google.com/spreadsheets/d/1AVX9GT0dgogEBStecCXMMQ29tWz3gBrtNB8yIromXbY/edit?gid=741673867"", ""out1g!A:B""), 2, FALSE), 0)"),289.0)</f>
        <v>289</v>
      </c>
      <c r="D7175" s="2" t="str">
        <f>IFERROR(__xludf.DUMMYFUNCTION("IFERROR(VLOOKUP(A7175, IMPORTRANGE(""https://docs.google.com/spreadsheets/d/1-3Vjw2Cyy-mry5gbC8ypIR3YVGFfEpyFESummAta6sg/edit"", ""Sheet1!B:D""), 2, FALSE), ""Not Found"")"),"liθəl")</f>
        <v>liθəl</v>
      </c>
      <c r="E7175" s="2" t="str">
        <f>IFERROR(__xludf.DUMMYFUNCTION("IFERROR(VLOOKUP(A7175, IMPORTRANGE(""https://docs.google.com/spreadsheets/d/1-3Vjw2Cyy-mry5gbC8ypIR3YVGFfEpyFESummAta6sg/edit"", ""Sheet1!B:D""), 3, FALSE), ""Not Found"")"),"l i θ ə l ")</f>
        <v>l i θ ə l </v>
      </c>
    </row>
    <row r="7176">
      <c r="A7176" s="1" t="s">
        <v>7178</v>
      </c>
      <c r="B7176" s="1" t="s">
        <v>6138</v>
      </c>
      <c r="C7176" s="2">
        <f>IFERROR(__xludf.DUMMYFUNCTION("IFERROR(VLOOKUP(A7176, IMPORTRANGE(""https://docs.google.com/spreadsheets/d/1AVX9GT0dgogEBStecCXMMQ29tWz3gBrtNB8yIromXbY/edit?gid=741673867"", ""out1g!A:B""), 2, FALSE), 0)"),418.0)</f>
        <v>418</v>
      </c>
      <c r="D7176" s="2" t="str">
        <f>IFERROR(__xludf.DUMMYFUNCTION("IFERROR(VLOOKUP(A7176, IMPORTRANGE(""https://docs.google.com/spreadsheets/d/1-3Vjw2Cyy-mry5gbC8ypIR3YVGFfEpyFESummAta6sg/edit"", ""Sheet1!B:D""), 2, FALSE), ""Not Found"")"),"lɑrʤər")</f>
        <v>lɑrʤər</v>
      </c>
      <c r="E7176" s="2" t="str">
        <f>IFERROR(__xludf.DUMMYFUNCTION("IFERROR(VLOOKUP(A7176, IMPORTRANGE(""https://docs.google.com/spreadsheets/d/1-3Vjw2Cyy-mry5gbC8ypIR3YVGFfEpyFESummAta6sg/edit"", ""Sheet1!B:D""), 3, FALSE), ""Not Found"")"),"l ɑ r ʤ ə r ")</f>
        <v>l ɑ r ʤ ə r </v>
      </c>
    </row>
    <row r="7177">
      <c r="A7177" s="1" t="s">
        <v>7179</v>
      </c>
      <c r="B7177" s="1" t="s">
        <v>6138</v>
      </c>
      <c r="C7177" s="2">
        <f>IFERROR(__xludf.DUMMYFUNCTION("IFERROR(VLOOKUP(A7177, IMPORTRANGE(""https://docs.google.com/spreadsheets/d/1AVX9GT0dgogEBStecCXMMQ29tWz3gBrtNB8yIromXbY/edit?gid=741673867"", ""out1g!A:B""), 2, FALSE), 0)"),491.0)</f>
        <v>491</v>
      </c>
      <c r="D7177" s="2" t="str">
        <f>IFERROR(__xludf.DUMMYFUNCTION("IFERROR(VLOOKUP(A7177, IMPORTRANGE(""https://docs.google.com/spreadsheets/d/1-3Vjw2Cyy-mry5gbC8ypIR3YVGFfEpyFESummAta6sg/edit"", ""Sheet1!B:D""), 2, FALSE), ""Not Found"")"),"taɪərz")</f>
        <v>taɪərz</v>
      </c>
      <c r="E7177" s="2" t="str">
        <f>IFERROR(__xludf.DUMMYFUNCTION("IFERROR(VLOOKUP(A7177, IMPORTRANGE(""https://docs.google.com/spreadsheets/d/1-3Vjw2Cyy-mry5gbC8ypIR3YVGFfEpyFESummAta6sg/edit"", ""Sheet1!B:D""), 3, FALSE), ""Not Found"")"),"t a ɪ ə r z ")</f>
        <v>t a ɪ ə r z </v>
      </c>
    </row>
    <row r="7178">
      <c r="A7178" s="1" t="s">
        <v>7180</v>
      </c>
      <c r="B7178" s="1" t="s">
        <v>6138</v>
      </c>
      <c r="C7178" s="2">
        <f>IFERROR(__xludf.DUMMYFUNCTION("IFERROR(VLOOKUP(A7178, IMPORTRANGE(""https://docs.google.com/spreadsheets/d/1AVX9GT0dgogEBStecCXMMQ29tWz3gBrtNB8yIromXbY/edit?gid=741673867"", ""out1g!A:B""), 2, FALSE), 0)"),48.0)</f>
        <v>48</v>
      </c>
      <c r="D7178" s="2" t="str">
        <f>IFERROR(__xludf.DUMMYFUNCTION("IFERROR(VLOOKUP(A7178, IMPORTRANGE(""https://docs.google.com/spreadsheets/d/1-3Vjw2Cyy-mry5gbC8ypIR3YVGFfEpyFESummAta6sg/edit"", ""Sheet1!B:D""), 2, FALSE), ""Not Found"")"),"saɪloʊ")</f>
        <v>saɪloʊ</v>
      </c>
      <c r="E7178" s="2" t="str">
        <f>IFERROR(__xludf.DUMMYFUNCTION("IFERROR(VLOOKUP(A7178, IMPORTRANGE(""https://docs.google.com/spreadsheets/d/1-3Vjw2Cyy-mry5gbC8ypIR3YVGFfEpyFESummAta6sg/edit"", ""Sheet1!B:D""), 3, FALSE), ""Not Found"")"),"s a ɪ l o ʊ ")</f>
        <v>s a ɪ l o ʊ </v>
      </c>
    </row>
    <row r="7179">
      <c r="A7179" s="1" t="s">
        <v>7181</v>
      </c>
      <c r="B7179" s="1" t="s">
        <v>6138</v>
      </c>
      <c r="C7179" s="2">
        <f>IFERROR(__xludf.DUMMYFUNCTION("IFERROR(VLOOKUP(A7179, IMPORTRANGE(""https://docs.google.com/spreadsheets/d/1AVX9GT0dgogEBStecCXMMQ29tWz3gBrtNB8yIromXbY/edit?gid=741673867"", ""out1g!A:B""), 2, FALSE), 0)"),59.0)</f>
        <v>59</v>
      </c>
      <c r="D7179" s="2" t="str">
        <f>IFERROR(__xludf.DUMMYFUNCTION("IFERROR(VLOOKUP(A7179, IMPORTRANGE(""https://docs.google.com/spreadsheets/d/1-3Vjw2Cyy-mry5gbC8ypIR3YVGFfEpyFESummAta6sg/edit"", ""Sheet1!B:D""), 2, FALSE), ""Not Found"")"),"klɪpɪŋ")</f>
        <v>klɪpɪŋ</v>
      </c>
      <c r="E7179" s="2" t="str">
        <f>IFERROR(__xludf.DUMMYFUNCTION("IFERROR(VLOOKUP(A7179, IMPORTRANGE(""https://docs.google.com/spreadsheets/d/1-3Vjw2Cyy-mry5gbC8ypIR3YVGFfEpyFESummAta6sg/edit"", ""Sheet1!B:D""), 3, FALSE), ""Not Found"")"),"k l ɪ p ɪ ŋ ")</f>
        <v>k l ɪ p ɪ ŋ </v>
      </c>
    </row>
    <row r="7180">
      <c r="A7180" s="1" t="s">
        <v>7182</v>
      </c>
      <c r="B7180" s="1" t="s">
        <v>6138</v>
      </c>
      <c r="C7180" s="2">
        <f>IFERROR(__xludf.DUMMYFUNCTION("IFERROR(VLOOKUP(A7180, IMPORTRANGE(""https://docs.google.com/spreadsheets/d/1AVX9GT0dgogEBStecCXMMQ29tWz3gBrtNB8yIromXbY/edit?gid=741673867"", ""out1g!A:B""), 2, FALSE), 0)"),59.0)</f>
        <v>59</v>
      </c>
      <c r="D7180" s="2" t="str">
        <f>IFERROR(__xludf.DUMMYFUNCTION("IFERROR(VLOOKUP(A7180, IMPORTRANGE(""https://docs.google.com/spreadsheets/d/1-3Vjw2Cyy-mry5gbC8ypIR3YVGFfEpyFESummAta6sg/edit"", ""Sheet1!B:D""), 2, FALSE), ""Not Found"")"),"doʊnərz")</f>
        <v>doʊnərz</v>
      </c>
      <c r="E7180" s="2" t="str">
        <f>IFERROR(__xludf.DUMMYFUNCTION("IFERROR(VLOOKUP(A7180, IMPORTRANGE(""https://docs.google.com/spreadsheets/d/1-3Vjw2Cyy-mry5gbC8ypIR3YVGFfEpyFESummAta6sg/edit"", ""Sheet1!B:D""), 3, FALSE), ""Not Found"")"),"d o ʊ n ə r z ")</f>
        <v>d o ʊ n ə r z </v>
      </c>
    </row>
    <row r="7181">
      <c r="A7181" s="1" t="s">
        <v>7183</v>
      </c>
      <c r="B7181" s="1" t="s">
        <v>6138</v>
      </c>
      <c r="C7181" s="2">
        <f>IFERROR(__xludf.DUMMYFUNCTION("IFERROR(VLOOKUP(A7181, IMPORTRANGE(""https://docs.google.com/spreadsheets/d/1AVX9GT0dgogEBStecCXMMQ29tWz3gBrtNB8yIromXbY/edit?gid=741673867"", ""out1g!A:B""), 2, FALSE), 0)"),913.0)</f>
        <v>913</v>
      </c>
      <c r="D7181" s="2" t="str">
        <f>IFERROR(__xludf.DUMMYFUNCTION("IFERROR(VLOOKUP(A7181, IMPORTRANGE(""https://docs.google.com/spreadsheets/d/1-3Vjw2Cyy-mry5gbC8ypIR3YVGFfEpyFESummAta6sg/edit"", ""Sheet1!B:D""), 2, FALSE), ""Not Found"")"),"ʤænɪt")</f>
        <v>ʤænɪt</v>
      </c>
      <c r="E7181" s="2" t="str">
        <f>IFERROR(__xludf.DUMMYFUNCTION("IFERROR(VLOOKUP(A7181, IMPORTRANGE(""https://docs.google.com/spreadsheets/d/1-3Vjw2Cyy-mry5gbC8ypIR3YVGFfEpyFESummAta6sg/edit"", ""Sheet1!B:D""), 3, FALSE), ""Not Found"")"),"ʤ æ n ɪ t ")</f>
        <v>ʤ æ n ɪ t </v>
      </c>
    </row>
    <row r="7182">
      <c r="A7182" s="1" t="s">
        <v>7184</v>
      </c>
      <c r="B7182" s="1" t="s">
        <v>6138</v>
      </c>
      <c r="C7182" s="2">
        <f>IFERROR(__xludf.DUMMYFUNCTION("IFERROR(VLOOKUP(A7182, IMPORTRANGE(""https://docs.google.com/spreadsheets/d/1AVX9GT0dgogEBStecCXMMQ29tWz3gBrtNB8yIromXbY/edit?gid=741673867"", ""out1g!A:B""), 2, FALSE), 0)"),470.0)</f>
        <v>470</v>
      </c>
      <c r="D7182" s="2" t="str">
        <f>IFERROR(__xludf.DUMMYFUNCTION("IFERROR(VLOOKUP(A7182, IMPORTRANGE(""https://docs.google.com/spreadsheets/d/1-3Vjw2Cyy-mry5gbC8ypIR3YVGFfEpyFESummAta6sg/edit"", ""Sheet1!B:D""), 2, FALSE), ""Not Found"")"),"ɑrts")</f>
        <v>ɑrts</v>
      </c>
      <c r="E7182" s="2" t="str">
        <f>IFERROR(__xludf.DUMMYFUNCTION("IFERROR(VLOOKUP(A7182, IMPORTRANGE(""https://docs.google.com/spreadsheets/d/1-3Vjw2Cyy-mry5gbC8ypIR3YVGFfEpyFESummAta6sg/edit"", ""Sheet1!B:D""), 3, FALSE), ""Not Found"")"),"ɑ r t s ")</f>
        <v>ɑ r t s </v>
      </c>
    </row>
    <row r="7183">
      <c r="A7183" s="1" t="s">
        <v>7185</v>
      </c>
      <c r="B7183" s="1" t="s">
        <v>6138</v>
      </c>
      <c r="C7183" s="2">
        <f>IFERROR(__xludf.DUMMYFUNCTION("IFERROR(VLOOKUP(A7183, IMPORTRANGE(""https://docs.google.com/spreadsheets/d/1AVX9GT0dgogEBStecCXMMQ29tWz3gBrtNB8yIromXbY/edit?gid=741673867"", ""out1g!A:B""), 2, FALSE), 0)"),115.0)</f>
        <v>115</v>
      </c>
      <c r="D7183" s="2" t="str">
        <f>IFERROR(__xludf.DUMMYFUNCTION("IFERROR(VLOOKUP(A7183, IMPORTRANGE(""https://docs.google.com/spreadsheets/d/1-3Vjw2Cyy-mry5gbC8ypIR3YVGFfEpyFESummAta6sg/edit"", ""Sheet1!B:D""), 2, FALSE), ""Not Found"")"),"dæʃɪŋ")</f>
        <v>dæʃɪŋ</v>
      </c>
      <c r="E7183" s="2" t="str">
        <f>IFERROR(__xludf.DUMMYFUNCTION("IFERROR(VLOOKUP(A7183, IMPORTRANGE(""https://docs.google.com/spreadsheets/d/1-3Vjw2Cyy-mry5gbC8ypIR3YVGFfEpyFESummAta6sg/edit"", ""Sheet1!B:D""), 3, FALSE), ""Not Found"")"),"d æ ʃ ɪ ŋ ")</f>
        <v>d æ ʃ ɪ ŋ </v>
      </c>
    </row>
    <row r="7184">
      <c r="A7184" s="1" t="s">
        <v>7186</v>
      </c>
      <c r="B7184" s="1" t="s">
        <v>6138</v>
      </c>
      <c r="C7184" s="2">
        <f>IFERROR(__xludf.DUMMYFUNCTION("IFERROR(VLOOKUP(A7184, IMPORTRANGE(""https://docs.google.com/spreadsheets/d/1AVX9GT0dgogEBStecCXMMQ29tWz3gBrtNB8yIromXbY/edit?gid=741673867"", ""out1g!A:B""), 2, FALSE), 0)"),228.0)</f>
        <v>228</v>
      </c>
      <c r="D7184" s="2" t="str">
        <f>IFERROR(__xludf.DUMMYFUNCTION("IFERROR(VLOOKUP(A7184, IMPORTRANGE(""https://docs.google.com/spreadsheets/d/1-3Vjw2Cyy-mry5gbC8ypIR3YVGFfEpyFESummAta6sg/edit"", ""Sheet1!B:D""), 2, FALSE), ""Not Found"")"),"bɑrtən")</f>
        <v>bɑrtən</v>
      </c>
      <c r="E7184" s="2" t="str">
        <f>IFERROR(__xludf.DUMMYFUNCTION("IFERROR(VLOOKUP(A7184, IMPORTRANGE(""https://docs.google.com/spreadsheets/d/1-3Vjw2Cyy-mry5gbC8ypIR3YVGFfEpyFESummAta6sg/edit"", ""Sheet1!B:D""), 3, FALSE), ""Not Found"")"),"b ɑ r t ə n ")</f>
        <v>b ɑ r t ə n </v>
      </c>
    </row>
    <row r="7185">
      <c r="A7185" s="1" t="s">
        <v>7187</v>
      </c>
      <c r="B7185" s="1" t="s">
        <v>6138</v>
      </c>
      <c r="C7185" s="2">
        <f>IFERROR(__xludf.DUMMYFUNCTION("IFERROR(VLOOKUP(A7185, IMPORTRANGE(""https://docs.google.com/spreadsheets/d/1AVX9GT0dgogEBStecCXMMQ29tWz3gBrtNB8yIromXbY/edit?gid=741673867"", ""out1g!A:B""), 2, FALSE), 0)"),184.0)</f>
        <v>184</v>
      </c>
      <c r="D7185" s="2" t="str">
        <f>IFERROR(__xludf.DUMMYFUNCTION("IFERROR(VLOOKUP(A7185, IMPORTRANGE(""https://docs.google.com/spreadsheets/d/1-3Vjw2Cyy-mry5gbC8ypIR3YVGFfEpyFESummAta6sg/edit"", ""Sheet1!B:D""), 2, FALSE), ""Not Found"")"),"wɔrmər")</f>
        <v>wɔrmər</v>
      </c>
      <c r="E7185" s="2" t="str">
        <f>IFERROR(__xludf.DUMMYFUNCTION("IFERROR(VLOOKUP(A7185, IMPORTRANGE(""https://docs.google.com/spreadsheets/d/1-3Vjw2Cyy-mry5gbC8ypIR3YVGFfEpyFESummAta6sg/edit"", ""Sheet1!B:D""), 3, FALSE), ""Not Found"")"),"w ɔ r m ə r ")</f>
        <v>w ɔ r m ə r </v>
      </c>
    </row>
    <row r="7186">
      <c r="A7186" s="1" t="s">
        <v>7188</v>
      </c>
      <c r="B7186" s="1" t="s">
        <v>6138</v>
      </c>
      <c r="C7186" s="2">
        <f>IFERROR(__xludf.DUMMYFUNCTION("IFERROR(VLOOKUP(A7186, IMPORTRANGE(""https://docs.google.com/spreadsheets/d/1AVX9GT0dgogEBStecCXMMQ29tWz3gBrtNB8yIromXbY/edit?gid=741673867"", ""out1g!A:B""), 2, FALSE), 0)"),130.0)</f>
        <v>130</v>
      </c>
      <c r="D7186" s="2" t="str">
        <f>IFERROR(__xludf.DUMMYFUNCTION("IFERROR(VLOOKUP(A7186, IMPORTRANGE(""https://docs.google.com/spreadsheets/d/1-3Vjw2Cyy-mry5gbC8ypIR3YVGFfEpyFESummAta6sg/edit"", ""Sheet1!B:D""), 2, FALSE), ""Not Found"")"),"maɪndɪŋ")</f>
        <v>maɪndɪŋ</v>
      </c>
      <c r="E7186" s="2" t="str">
        <f>IFERROR(__xludf.DUMMYFUNCTION("IFERROR(VLOOKUP(A7186, IMPORTRANGE(""https://docs.google.com/spreadsheets/d/1-3Vjw2Cyy-mry5gbC8ypIR3YVGFfEpyFESummAta6sg/edit"", ""Sheet1!B:D""), 3, FALSE), ""Not Found"")"),"m a ɪ n d ɪ ŋ ")</f>
        <v>m a ɪ n d ɪ ŋ </v>
      </c>
    </row>
    <row r="7187">
      <c r="A7187" s="1" t="s">
        <v>7189</v>
      </c>
      <c r="B7187" s="1" t="s">
        <v>6138</v>
      </c>
      <c r="C7187" s="2">
        <f>IFERROR(__xludf.DUMMYFUNCTION("IFERROR(VLOOKUP(A7187, IMPORTRANGE(""https://docs.google.com/spreadsheets/d/1AVX9GT0dgogEBStecCXMMQ29tWz3gBrtNB8yIromXbY/edit?gid=741673867"", ""out1g!A:B""), 2, FALSE), 0)"),61.0)</f>
        <v>61</v>
      </c>
      <c r="D7187" s="2" t="str">
        <f>IFERROR(__xludf.DUMMYFUNCTION("IFERROR(VLOOKUP(A7187, IMPORTRANGE(""https://docs.google.com/spreadsheets/d/1-3Vjw2Cyy-mry5gbC8ypIR3YVGFfEpyFESummAta6sg/edit"", ""Sheet1!B:D""), 2, FALSE), ""Not Found"")"),"spɪts")</f>
        <v>spɪts</v>
      </c>
      <c r="E7187" s="2" t="str">
        <f>IFERROR(__xludf.DUMMYFUNCTION("IFERROR(VLOOKUP(A7187, IMPORTRANGE(""https://docs.google.com/spreadsheets/d/1-3Vjw2Cyy-mry5gbC8ypIR3YVGFfEpyFESummAta6sg/edit"", ""Sheet1!B:D""), 3, FALSE), ""Not Found"")"),"s p ɪ t s ")</f>
        <v>s p ɪ t s </v>
      </c>
    </row>
    <row r="7188">
      <c r="A7188" s="1" t="s">
        <v>7190</v>
      </c>
      <c r="B7188" s="1" t="s">
        <v>6138</v>
      </c>
      <c r="C7188" s="2">
        <f>IFERROR(__xludf.DUMMYFUNCTION("IFERROR(VLOOKUP(A7188, IMPORTRANGE(""https://docs.google.com/spreadsheets/d/1AVX9GT0dgogEBStecCXMMQ29tWz3gBrtNB8yIromXbY/edit?gid=741673867"", ""out1g!A:B""), 2, FALSE), 0)"),63.0)</f>
        <v>63</v>
      </c>
      <c r="D7188" s="2" t="str">
        <f>IFERROR(__xludf.DUMMYFUNCTION("IFERROR(VLOOKUP(A7188, IMPORTRANGE(""https://docs.google.com/spreadsheets/d/1-3Vjw2Cyy-mry5gbC8ypIR3YVGFfEpyFESummAta6sg/edit"", ""Sheet1!B:D""), 2, FALSE), ""Not Found"")"),"juzərz")</f>
        <v>juzərz</v>
      </c>
      <c r="E7188" s="2" t="str">
        <f>IFERROR(__xludf.DUMMYFUNCTION("IFERROR(VLOOKUP(A7188, IMPORTRANGE(""https://docs.google.com/spreadsheets/d/1-3Vjw2Cyy-mry5gbC8ypIR3YVGFfEpyFESummAta6sg/edit"", ""Sheet1!B:D""), 3, FALSE), ""Not Found"")"),"j u z ə r z ")</f>
        <v>j u z ə r z </v>
      </c>
    </row>
    <row r="7189">
      <c r="A7189" s="1" t="s">
        <v>7191</v>
      </c>
      <c r="B7189" s="1" t="s">
        <v>6138</v>
      </c>
      <c r="C7189" s="2">
        <f>IFERROR(__xludf.DUMMYFUNCTION("IFERROR(VLOOKUP(A7189, IMPORTRANGE(""https://docs.google.com/spreadsheets/d/1AVX9GT0dgogEBStecCXMMQ29tWz3gBrtNB8yIromXbY/edit?gid=741673867"", ""out1g!A:B""), 2, FALSE), 0)"),1530.0)</f>
        <v>1530</v>
      </c>
      <c r="D7189" s="2" t="str">
        <f>IFERROR(__xludf.DUMMYFUNCTION("IFERROR(VLOOKUP(A7189, IMPORTRANGE(""https://docs.google.com/spreadsheets/d/1-3Vjw2Cyy-mry5gbC8ypIR3YVGFfEpyFESummAta6sg/edit"", ""Sheet1!B:D""), 2, FALSE), ""Not Found"")"),"ʃɑpɪŋ")</f>
        <v>ʃɑpɪŋ</v>
      </c>
      <c r="E7189" s="2" t="str">
        <f>IFERROR(__xludf.DUMMYFUNCTION("IFERROR(VLOOKUP(A7189, IMPORTRANGE(""https://docs.google.com/spreadsheets/d/1-3Vjw2Cyy-mry5gbC8ypIR3YVGFfEpyFESummAta6sg/edit"", ""Sheet1!B:D""), 3, FALSE), ""Not Found"")"),"ʃ ɑ p ɪ ŋ ")</f>
        <v>ʃ ɑ p ɪ ŋ </v>
      </c>
    </row>
    <row r="7190">
      <c r="A7190" s="1" t="s">
        <v>7192</v>
      </c>
      <c r="B7190" s="1" t="s">
        <v>6138</v>
      </c>
      <c r="C7190" s="2">
        <f>IFERROR(__xludf.DUMMYFUNCTION("IFERROR(VLOOKUP(A7190, IMPORTRANGE(""https://docs.google.com/spreadsheets/d/1AVX9GT0dgogEBStecCXMMQ29tWz3gBrtNB8yIromXbY/edit?gid=741673867"", ""out1g!A:B""), 2, FALSE), 0)"),123.0)</f>
        <v>123</v>
      </c>
      <c r="D7190" s="2" t="str">
        <f>IFERROR(__xludf.DUMMYFUNCTION("IFERROR(VLOOKUP(A7190, IMPORTRANGE(""https://docs.google.com/spreadsheets/d/1-3Vjw2Cyy-mry5gbC8ypIR3YVGFfEpyFESummAta6sg/edit"", ""Sheet1!B:D""), 2, FALSE), ""Not Found"")"),"dɛrz")</f>
        <v>dɛrz</v>
      </c>
      <c r="E7190" s="2" t="str">
        <f>IFERROR(__xludf.DUMMYFUNCTION("IFERROR(VLOOKUP(A7190, IMPORTRANGE(""https://docs.google.com/spreadsheets/d/1-3Vjw2Cyy-mry5gbC8ypIR3YVGFfEpyFESummAta6sg/edit"", ""Sheet1!B:D""), 3, FALSE), ""Not Found"")"),"d ɛ r z ")</f>
        <v>d ɛ r z </v>
      </c>
    </row>
    <row r="7191">
      <c r="A7191" s="1" t="s">
        <v>7193</v>
      </c>
      <c r="B7191" s="1" t="s">
        <v>6138</v>
      </c>
      <c r="C7191" s="2">
        <f>IFERROR(__xludf.DUMMYFUNCTION("IFERROR(VLOOKUP(A7191, IMPORTRANGE(""https://docs.google.com/spreadsheets/d/1AVX9GT0dgogEBStecCXMMQ29tWz3gBrtNB8yIromXbY/edit?gid=741673867"", ""out1g!A:B""), 2, FALSE), 0)"),79.0)</f>
        <v>79</v>
      </c>
      <c r="D7191" s="2" t="str">
        <f>IFERROR(__xludf.DUMMYFUNCTION("IFERROR(VLOOKUP(A7191, IMPORTRANGE(""https://docs.google.com/spreadsheets/d/1-3Vjw2Cyy-mry5gbC8ypIR3YVGFfEpyFESummAta6sg/edit"", ""Sheet1!B:D""), 2, FALSE), ""Not Found"")"),"ʃrəŋk")</f>
        <v>ʃrəŋk</v>
      </c>
      <c r="E7191" s="2" t="str">
        <f>IFERROR(__xludf.DUMMYFUNCTION("IFERROR(VLOOKUP(A7191, IMPORTRANGE(""https://docs.google.com/spreadsheets/d/1-3Vjw2Cyy-mry5gbC8ypIR3YVGFfEpyFESummAta6sg/edit"", ""Sheet1!B:D""), 3, FALSE), ""Not Found"")"),"ʃ r ə ŋ k ")</f>
        <v>ʃ r ə ŋ k </v>
      </c>
    </row>
    <row r="7192">
      <c r="A7192" s="1" t="s">
        <v>7194</v>
      </c>
      <c r="B7192" s="1" t="s">
        <v>6138</v>
      </c>
      <c r="C7192" s="2">
        <f>IFERROR(__xludf.DUMMYFUNCTION("IFERROR(VLOOKUP(A7192, IMPORTRANGE(""https://docs.google.com/spreadsheets/d/1AVX9GT0dgogEBStecCXMMQ29tWz3gBrtNB8yIromXbY/edit?gid=741673867"", ""out1g!A:B""), 2, FALSE), 0)"),953.0)</f>
        <v>953</v>
      </c>
      <c r="D7192" s="2" t="str">
        <f>IFERROR(__xludf.DUMMYFUNCTION("IFERROR(VLOOKUP(A7192, IMPORTRANGE(""https://docs.google.com/spreadsheets/d/1-3Vjw2Cyy-mry5gbC8ypIR3YVGFfEpyFESummAta6sg/edit"", ""Sheet1!B:D""), 2, FALSE), ""Not Found"")"),"əraɪv")</f>
        <v>əraɪv</v>
      </c>
      <c r="E7192" s="2" t="str">
        <f>IFERROR(__xludf.DUMMYFUNCTION("IFERROR(VLOOKUP(A7192, IMPORTRANGE(""https://docs.google.com/spreadsheets/d/1-3Vjw2Cyy-mry5gbC8ypIR3YVGFfEpyFESummAta6sg/edit"", ""Sheet1!B:D""), 3, FALSE), ""Not Found"")"),"ə r a ɪ v ")</f>
        <v>ə r a ɪ v </v>
      </c>
    </row>
    <row r="7193">
      <c r="A7193" s="1" t="s">
        <v>7195</v>
      </c>
      <c r="B7193" s="1" t="s">
        <v>6138</v>
      </c>
      <c r="C7193" s="2">
        <f>IFERROR(__xludf.DUMMYFUNCTION("IFERROR(VLOOKUP(A7193, IMPORTRANGE(""https://docs.google.com/spreadsheets/d/1AVX9GT0dgogEBStecCXMMQ29tWz3gBrtNB8yIromXbY/edit?gid=741673867"", ""out1g!A:B""), 2, FALSE), 0)"),1000.0)</f>
        <v>1000</v>
      </c>
      <c r="D7193" s="2" t="str">
        <f>IFERROR(__xludf.DUMMYFUNCTION("IFERROR(VLOOKUP(A7193, IMPORTRANGE(""https://docs.google.com/spreadsheets/d/1-3Vjw2Cyy-mry5gbC8ypIR3YVGFfEpyFESummAta6sg/edit"", ""Sheet1!B:D""), 2, FALSE), ""Not Found"")"),"skrɪpt")</f>
        <v>skrɪpt</v>
      </c>
      <c r="E7193" s="2" t="str">
        <f>IFERROR(__xludf.DUMMYFUNCTION("IFERROR(VLOOKUP(A7193, IMPORTRANGE(""https://docs.google.com/spreadsheets/d/1-3Vjw2Cyy-mry5gbC8ypIR3YVGFfEpyFESummAta6sg/edit"", ""Sheet1!B:D""), 3, FALSE), ""Not Found"")"),"s k r ɪ p t ")</f>
        <v>s k r ɪ p t </v>
      </c>
    </row>
    <row r="7194">
      <c r="A7194" s="1" t="s">
        <v>7196</v>
      </c>
      <c r="B7194" s="1" t="s">
        <v>6138</v>
      </c>
      <c r="C7194" s="2">
        <f>IFERROR(__xludf.DUMMYFUNCTION("IFERROR(VLOOKUP(A7194, IMPORTRANGE(""https://docs.google.com/spreadsheets/d/1AVX9GT0dgogEBStecCXMMQ29tWz3gBrtNB8yIromXbY/edit?gid=741673867"", ""out1g!A:B""), 2, FALSE), 0)"),5327.0)</f>
        <v>5327</v>
      </c>
      <c r="D7194" s="2" t="str">
        <f>IFERROR(__xludf.DUMMYFUNCTION("IFERROR(VLOOKUP(A7194, IMPORTRANGE(""https://docs.google.com/spreadsheets/d/1-3Vjw2Cyy-mry5gbC8ypIR3YVGFfEpyFESummAta6sg/edit"", ""Sheet1!B:D""), 2, FALSE), ""Not Found"")"),"sɛvən")</f>
        <v>sɛvən</v>
      </c>
      <c r="E7194" s="2" t="str">
        <f>IFERROR(__xludf.DUMMYFUNCTION("IFERROR(VLOOKUP(A7194, IMPORTRANGE(""https://docs.google.com/spreadsheets/d/1-3Vjw2Cyy-mry5gbC8ypIR3YVGFfEpyFESummAta6sg/edit"", ""Sheet1!B:D""), 3, FALSE), ""Not Found"")"),"s ɛ v ə n ")</f>
        <v>s ɛ v ə n </v>
      </c>
    </row>
    <row r="7195">
      <c r="A7195" s="1" t="s">
        <v>7197</v>
      </c>
      <c r="B7195" s="1" t="s">
        <v>6138</v>
      </c>
      <c r="C7195" s="2">
        <f>IFERROR(__xludf.DUMMYFUNCTION("IFERROR(VLOOKUP(A7195, IMPORTRANGE(""https://docs.google.com/spreadsheets/d/1AVX9GT0dgogEBStecCXMMQ29tWz3gBrtNB8yIromXbY/edit?gid=741673867"", ""out1g!A:B""), 2, FALSE), 0)"),156.0)</f>
        <v>156</v>
      </c>
      <c r="D7195" s="2" t="str">
        <f>IFERROR(__xludf.DUMMYFUNCTION("IFERROR(VLOOKUP(A7195, IMPORTRANGE(""https://docs.google.com/spreadsheets/d/1-3Vjw2Cyy-mry5gbC8ypIR3YVGFfEpyFESummAta6sg/edit"", ""Sheet1!B:D""), 2, FALSE), ""Not Found"")"),"sloʊɪŋ")</f>
        <v>sloʊɪŋ</v>
      </c>
      <c r="E7195" s="2" t="str">
        <f>IFERROR(__xludf.DUMMYFUNCTION("IFERROR(VLOOKUP(A7195, IMPORTRANGE(""https://docs.google.com/spreadsheets/d/1-3Vjw2Cyy-mry5gbC8ypIR3YVGFfEpyFESummAta6sg/edit"", ""Sheet1!B:D""), 3, FALSE), ""Not Found"")"),"s l o ʊ ɪ ŋ ")</f>
        <v>s l o ʊ ɪ ŋ </v>
      </c>
    </row>
    <row r="7196">
      <c r="A7196" s="1" t="s">
        <v>7198</v>
      </c>
      <c r="B7196" s="1" t="s">
        <v>6138</v>
      </c>
      <c r="C7196" s="2">
        <f>IFERROR(__xludf.DUMMYFUNCTION("IFERROR(VLOOKUP(A7196, IMPORTRANGE(""https://docs.google.com/spreadsheets/d/1AVX9GT0dgogEBStecCXMMQ29tWz3gBrtNB8yIromXbY/edit?gid=741673867"", ""out1g!A:B""), 2, FALSE), 0)"),288.0)</f>
        <v>288</v>
      </c>
      <c r="D7196" s="2" t="str">
        <f>IFERROR(__xludf.DUMMYFUNCTION("IFERROR(VLOOKUP(A7196, IMPORTRANGE(""https://docs.google.com/spreadsheets/d/1-3Vjw2Cyy-mry5gbC8ypIR3YVGFfEpyFESummAta6sg/edit"", ""Sheet1!B:D""), 2, FALSE), ""Not Found"")"),"sikɪŋ")</f>
        <v>sikɪŋ</v>
      </c>
      <c r="E7196" s="2" t="str">
        <f>IFERROR(__xludf.DUMMYFUNCTION("IFERROR(VLOOKUP(A7196, IMPORTRANGE(""https://docs.google.com/spreadsheets/d/1-3Vjw2Cyy-mry5gbC8ypIR3YVGFfEpyFESummAta6sg/edit"", ""Sheet1!B:D""), 3, FALSE), ""Not Found"")"),"s i k ɪ ŋ ")</f>
        <v>s i k ɪ ŋ </v>
      </c>
    </row>
    <row r="7197">
      <c r="A7197" s="1" t="s">
        <v>7199</v>
      </c>
      <c r="B7197" s="1" t="s">
        <v>6138</v>
      </c>
      <c r="C7197" s="2">
        <f>IFERROR(__xludf.DUMMYFUNCTION("IFERROR(VLOOKUP(A7197, IMPORTRANGE(""https://docs.google.com/spreadsheets/d/1AVX9GT0dgogEBStecCXMMQ29tWz3gBrtNB8yIromXbY/edit?gid=741673867"", ""out1g!A:B""), 2, FALSE), 0)"),459.0)</f>
        <v>459</v>
      </c>
      <c r="D7197" s="2" t="str">
        <f>IFERROR(__xludf.DUMMYFUNCTION("IFERROR(VLOOKUP(A7197, IMPORTRANGE(""https://docs.google.com/spreadsheets/d/1-3Vjw2Cyy-mry5gbC8ypIR3YVGFfEpyFESummAta6sg/edit"", ""Sheet1!B:D""), 2, FALSE), ""Not Found"")"),"hɑpər")</f>
        <v>hɑpər</v>
      </c>
      <c r="E7197" s="2" t="str">
        <f>IFERROR(__xludf.DUMMYFUNCTION("IFERROR(VLOOKUP(A7197, IMPORTRANGE(""https://docs.google.com/spreadsheets/d/1-3Vjw2Cyy-mry5gbC8ypIR3YVGFfEpyFESummAta6sg/edit"", ""Sheet1!B:D""), 3, FALSE), ""Not Found"")"),"h ɑ p ə r ")</f>
        <v>h ɑ p ə r </v>
      </c>
    </row>
    <row r="7198">
      <c r="A7198" s="1" t="s">
        <v>7200</v>
      </c>
      <c r="B7198" s="1" t="s">
        <v>6138</v>
      </c>
      <c r="C7198" s="2">
        <f>IFERROR(__xludf.DUMMYFUNCTION("IFERROR(VLOOKUP(A7198, IMPORTRANGE(""https://docs.google.com/spreadsheets/d/1AVX9GT0dgogEBStecCXMMQ29tWz3gBrtNB8yIromXbY/edit?gid=741673867"", ""out1g!A:B""), 2, FALSE), 0)"),3222.0)</f>
        <v>3222</v>
      </c>
      <c r="D7198" s="2" t="str">
        <f>IFERROR(__xludf.DUMMYFUNCTION("IFERROR(VLOOKUP(A7198, IMPORTRANGE(""https://docs.google.com/spreadsheets/d/1-3Vjw2Cyy-mry5gbC8ypIR3YVGFfEpyFESummAta6sg/edit"", ""Sheet1!B:D""), 2, FALSE), ""Not Found"")"),"rɑbərt")</f>
        <v>rɑbərt</v>
      </c>
      <c r="E7198" s="2" t="str">
        <f>IFERROR(__xludf.DUMMYFUNCTION("IFERROR(VLOOKUP(A7198, IMPORTRANGE(""https://docs.google.com/spreadsheets/d/1-3Vjw2Cyy-mry5gbC8ypIR3YVGFfEpyFESummAta6sg/edit"", ""Sheet1!B:D""), 3, FALSE), ""Not Found"")"),"r ɑ b ə r t ")</f>
        <v>r ɑ b ə r t </v>
      </c>
    </row>
    <row r="7199">
      <c r="A7199" s="1" t="s">
        <v>7201</v>
      </c>
      <c r="B7199" s="1" t="s">
        <v>6138</v>
      </c>
      <c r="C7199" s="2">
        <f>IFERROR(__xludf.DUMMYFUNCTION("IFERROR(VLOOKUP(A7199, IMPORTRANGE(""https://docs.google.com/spreadsheets/d/1AVX9GT0dgogEBStecCXMMQ29tWz3gBrtNB8yIromXbY/edit?gid=741673867"", ""out1g!A:B""), 2, FALSE), 0)"),7071.0)</f>
        <v>7071</v>
      </c>
      <c r="D7199" s="2" t="str">
        <f>IFERROR(__xludf.DUMMYFUNCTION("IFERROR(VLOOKUP(A7199, IMPORTRANGE(""https://docs.google.com/spreadsheets/d/1-3Vjw2Cyy-mry5gbC8ypIR3YVGFfEpyFESummAta6sg/edit"", ""Sheet1!B:D""), 2, FALSE), ""Not Found"")"),"tekən")</f>
        <v>tekən</v>
      </c>
      <c r="E7199" s="2" t="str">
        <f>IFERROR(__xludf.DUMMYFUNCTION("IFERROR(VLOOKUP(A7199, IMPORTRANGE(""https://docs.google.com/spreadsheets/d/1-3Vjw2Cyy-mry5gbC8ypIR3YVGFfEpyFESummAta6sg/edit"", ""Sheet1!B:D""), 3, FALSE), ""Not Found"")"),"t e k ə n ")</f>
        <v>t e k ə n </v>
      </c>
    </row>
    <row r="7200">
      <c r="A7200" s="1" t="s">
        <v>7202</v>
      </c>
      <c r="B7200" s="1" t="s">
        <v>6138</v>
      </c>
      <c r="C7200" s="2">
        <f>IFERROR(__xludf.DUMMYFUNCTION("IFERROR(VLOOKUP(A7200, IMPORTRANGE(""https://docs.google.com/spreadsheets/d/1AVX9GT0dgogEBStecCXMMQ29tWz3gBrtNB8yIromXbY/edit?gid=741673867"", ""out1g!A:B""), 2, FALSE), 0)"),137.0)</f>
        <v>137</v>
      </c>
      <c r="D7200" s="2" t="str">
        <f>IFERROR(__xludf.DUMMYFUNCTION("IFERROR(VLOOKUP(A7200, IMPORTRANGE(""https://docs.google.com/spreadsheets/d/1-3Vjw2Cyy-mry5gbC8ypIR3YVGFfEpyFESummAta6sg/edit"", ""Sheet1!B:D""), 2, FALSE), ""Not Found"")"),"faɪndɪŋz")</f>
        <v>faɪndɪŋz</v>
      </c>
      <c r="E7200" s="2" t="str">
        <f>IFERROR(__xludf.DUMMYFUNCTION("IFERROR(VLOOKUP(A7200, IMPORTRANGE(""https://docs.google.com/spreadsheets/d/1-3Vjw2Cyy-mry5gbC8ypIR3YVGFfEpyFESummAta6sg/edit"", ""Sheet1!B:D""), 3, FALSE), ""Not Found"")"),"f a ɪ n d ɪ ŋ z ")</f>
        <v>f a ɪ n d ɪ ŋ z </v>
      </c>
    </row>
    <row r="7201">
      <c r="A7201" s="1" t="s">
        <v>7203</v>
      </c>
      <c r="B7201" s="1" t="s">
        <v>6138</v>
      </c>
      <c r="C7201" s="2">
        <f>IFERROR(__xludf.DUMMYFUNCTION("IFERROR(VLOOKUP(A7201, IMPORTRANGE(""https://docs.google.com/spreadsheets/d/1AVX9GT0dgogEBStecCXMMQ29tWz3gBrtNB8yIromXbY/edit?gid=741673867"", ""out1g!A:B""), 2, FALSE), 0)"),94.0)</f>
        <v>94</v>
      </c>
      <c r="D7201" s="2" t="str">
        <f>IFERROR(__xludf.DUMMYFUNCTION("IFERROR(VLOOKUP(A7201, IMPORTRANGE(""https://docs.google.com/spreadsheets/d/1-3Vjw2Cyy-mry5gbC8ypIR3YVGFfEpyFESummAta6sg/edit"", ""Sheet1!B:D""), 2, FALSE), ""Not Found"")"),"ədu")</f>
        <v>ədu</v>
      </c>
      <c r="E7201" s="2" t="str">
        <f>IFERROR(__xludf.DUMMYFUNCTION("IFERROR(VLOOKUP(A7201, IMPORTRANGE(""https://docs.google.com/spreadsheets/d/1-3Vjw2Cyy-mry5gbC8ypIR3YVGFfEpyFESummAta6sg/edit"", ""Sheet1!B:D""), 3, FALSE), ""Not Found"")"),"ə d u ")</f>
        <v>ə d u </v>
      </c>
    </row>
    <row r="7202">
      <c r="A7202" s="1" t="s">
        <v>7204</v>
      </c>
      <c r="B7202" s="1" t="s">
        <v>6138</v>
      </c>
      <c r="C7202" s="2">
        <f>IFERROR(__xludf.DUMMYFUNCTION("IFERROR(VLOOKUP(A7202, IMPORTRANGE(""https://docs.google.com/spreadsheets/d/1AVX9GT0dgogEBStecCXMMQ29tWz3gBrtNB8yIromXbY/edit?gid=741673867"", ""out1g!A:B""), 2, FALSE), 0)"),1064.0)</f>
        <v>1064</v>
      </c>
      <c r="D7202" s="2" t="str">
        <f>IFERROR(__xludf.DUMMYFUNCTION("IFERROR(VLOOKUP(A7202, IMPORTRANGE(""https://docs.google.com/spreadsheets/d/1-3Vjw2Cyy-mry5gbC8ypIR3YVGFfEpyFESummAta6sg/edit"", ""Sheet1!B:D""), 2, FALSE), ""Not Found"")"),"prɛzəns")</f>
        <v>prɛzəns</v>
      </c>
      <c r="E7202" s="2" t="str">
        <f>IFERROR(__xludf.DUMMYFUNCTION("IFERROR(VLOOKUP(A7202, IMPORTRANGE(""https://docs.google.com/spreadsheets/d/1-3Vjw2Cyy-mry5gbC8ypIR3YVGFfEpyFESummAta6sg/edit"", ""Sheet1!B:D""), 3, FALSE), ""Not Found"")"),"p r ɛ z ə n s ")</f>
        <v>p r ɛ z ə n s </v>
      </c>
    </row>
    <row r="7203">
      <c r="A7203" s="1" t="s">
        <v>7205</v>
      </c>
      <c r="B7203" s="1" t="s">
        <v>6138</v>
      </c>
      <c r="C7203" s="2">
        <f>IFERROR(__xludf.DUMMYFUNCTION("IFERROR(VLOOKUP(A7203, IMPORTRANGE(""https://docs.google.com/spreadsheets/d/1AVX9GT0dgogEBStecCXMMQ29tWz3gBrtNB8yIromXbY/edit?gid=741673867"", ""out1g!A:B""), 2, FALSE), 0)"),49.0)</f>
        <v>49</v>
      </c>
      <c r="D7203" s="2" t="str">
        <f>IFERROR(__xludf.DUMMYFUNCTION("IFERROR(VLOOKUP(A7203, IMPORTRANGE(""https://docs.google.com/spreadsheets/d/1-3Vjw2Cyy-mry5gbC8ypIR3YVGFfEpyFESummAta6sg/edit"", ""Sheet1!B:D""), 2, FALSE), ""Not Found"")"),"dɛdər")</f>
        <v>dɛdər</v>
      </c>
      <c r="E7203" s="2" t="str">
        <f>IFERROR(__xludf.DUMMYFUNCTION("IFERROR(VLOOKUP(A7203, IMPORTRANGE(""https://docs.google.com/spreadsheets/d/1-3Vjw2Cyy-mry5gbC8ypIR3YVGFfEpyFESummAta6sg/edit"", ""Sheet1!B:D""), 3, FALSE), ""Not Found"")"),"d ɛ d ə r ")</f>
        <v>d ɛ d ə r </v>
      </c>
    </row>
    <row r="7204">
      <c r="A7204" s="1" t="s">
        <v>7206</v>
      </c>
      <c r="B7204" s="1" t="s">
        <v>6138</v>
      </c>
      <c r="C7204" s="2">
        <f>IFERROR(__xludf.DUMMYFUNCTION("IFERROR(VLOOKUP(A7204, IMPORTRANGE(""https://docs.google.com/spreadsheets/d/1AVX9GT0dgogEBStecCXMMQ29tWz3gBrtNB8yIromXbY/edit?gid=741673867"", ""out1g!A:B""), 2, FALSE), 0)"),62.0)</f>
        <v>62</v>
      </c>
      <c r="D7204" s="2" t="str">
        <f>IFERROR(__xludf.DUMMYFUNCTION("IFERROR(VLOOKUP(A7204, IMPORTRANGE(""https://docs.google.com/spreadsheets/d/1-3Vjw2Cyy-mry5gbC8ypIR3YVGFfEpyFESummAta6sg/edit"", ""Sheet1!B:D""), 2, FALSE), ""Not Found"")"),"seləm")</f>
        <v>seləm</v>
      </c>
      <c r="E7204" s="2" t="str">
        <f>IFERROR(__xludf.DUMMYFUNCTION("IFERROR(VLOOKUP(A7204, IMPORTRANGE(""https://docs.google.com/spreadsheets/d/1-3Vjw2Cyy-mry5gbC8ypIR3YVGFfEpyFESummAta6sg/edit"", ""Sheet1!B:D""), 3, FALSE), ""Not Found"")"),"s e l ə m ")</f>
        <v>s e l ə m </v>
      </c>
    </row>
    <row r="7205">
      <c r="A7205" s="1" t="s">
        <v>7207</v>
      </c>
      <c r="B7205" s="1" t="s">
        <v>6138</v>
      </c>
      <c r="C7205" s="2">
        <f>IFERROR(__xludf.DUMMYFUNCTION("IFERROR(VLOOKUP(A7205, IMPORTRANGE(""https://docs.google.com/spreadsheets/d/1AVX9GT0dgogEBStecCXMMQ29tWz3gBrtNB8yIromXbY/edit?gid=741673867"", ""out1g!A:B""), 2, FALSE), 0)"),486.0)</f>
        <v>486</v>
      </c>
      <c r="D7205" s="2" t="str">
        <f>IFERROR(__xludf.DUMMYFUNCTION("IFERROR(VLOOKUP(A7205, IMPORTRANGE(""https://docs.google.com/spreadsheets/d/1-3Vjw2Cyy-mry5gbC8ypIR3YVGFfEpyFESummAta6sg/edit"", ""Sheet1!B:D""), 2, FALSE), ""Not Found"")"),"bɛrɪŋ")</f>
        <v>bɛrɪŋ</v>
      </c>
      <c r="E7205" s="2" t="str">
        <f>IFERROR(__xludf.DUMMYFUNCTION("IFERROR(VLOOKUP(A7205, IMPORTRANGE(""https://docs.google.com/spreadsheets/d/1-3Vjw2Cyy-mry5gbC8ypIR3YVGFfEpyFESummAta6sg/edit"", ""Sheet1!B:D""), 3, FALSE), ""Not Found"")"),"b ɛ r ɪ ŋ ")</f>
        <v>b ɛ r ɪ ŋ </v>
      </c>
    </row>
    <row r="7206">
      <c r="A7206" s="1" t="s">
        <v>7208</v>
      </c>
      <c r="B7206" s="1" t="s">
        <v>6138</v>
      </c>
      <c r="C7206" s="2">
        <f>IFERROR(__xludf.DUMMYFUNCTION("IFERROR(VLOOKUP(A7206, IMPORTRANGE(""https://docs.google.com/spreadsheets/d/1AVX9GT0dgogEBStecCXMMQ29tWz3gBrtNB8yIromXbY/edit?gid=741673867"", ""out1g!A:B""), 2, FALSE), 0)"),52.0)</f>
        <v>52</v>
      </c>
      <c r="D7206" s="2" t="str">
        <f>IFERROR(__xludf.DUMMYFUNCTION("IFERROR(VLOOKUP(A7206, IMPORTRANGE(""https://docs.google.com/spreadsheets/d/1-3Vjw2Cyy-mry5gbC8ypIR3YVGFfEpyFESummAta6sg/edit"", ""Sheet1!B:D""), 2, FALSE), ""Not Found"")"),"dɪŋki")</f>
        <v>dɪŋki</v>
      </c>
      <c r="E7206" s="2" t="str">
        <f>IFERROR(__xludf.DUMMYFUNCTION("IFERROR(VLOOKUP(A7206, IMPORTRANGE(""https://docs.google.com/spreadsheets/d/1-3Vjw2Cyy-mry5gbC8ypIR3YVGFfEpyFESummAta6sg/edit"", ""Sheet1!B:D""), 3, FALSE), ""Not Found"")"),"d ɪ ŋ k i ")</f>
        <v>d ɪ ŋ k i </v>
      </c>
    </row>
    <row r="7207">
      <c r="A7207" s="1" t="s">
        <v>7209</v>
      </c>
      <c r="B7207" s="1" t="s">
        <v>6138</v>
      </c>
      <c r="C7207" s="2">
        <f>IFERROR(__xludf.DUMMYFUNCTION("IFERROR(VLOOKUP(A7207, IMPORTRANGE(""https://docs.google.com/spreadsheets/d/1AVX9GT0dgogEBStecCXMMQ29tWz3gBrtNB8yIromXbY/edit?gid=741673867"", ""out1g!A:B""), 2, FALSE), 0)"),36913.0)</f>
        <v>36913</v>
      </c>
      <c r="D7207" s="2" t="str">
        <f>IFERROR(__xludf.DUMMYFUNCTION("IFERROR(VLOOKUP(A7207, IMPORTRANGE(""https://docs.google.com/spreadsheets/d/1-3Vjw2Cyy-mry5gbC8ypIR3YVGFfEpyFESummAta6sg/edit"", ""Sheet1!B:D""), 2, FALSE), ""Not Found"")"),"nu")</f>
        <v>nu</v>
      </c>
      <c r="E7207" s="2" t="str">
        <f>IFERROR(__xludf.DUMMYFUNCTION("IFERROR(VLOOKUP(A7207, IMPORTRANGE(""https://docs.google.com/spreadsheets/d/1-3Vjw2Cyy-mry5gbC8ypIR3YVGFfEpyFESummAta6sg/edit"", ""Sheet1!B:D""), 3, FALSE), ""Not Found"")"),"n u ")</f>
        <v>n u </v>
      </c>
    </row>
    <row r="7208">
      <c r="A7208" s="1" t="s">
        <v>7210</v>
      </c>
      <c r="B7208" s="1" t="s">
        <v>6138</v>
      </c>
      <c r="C7208" s="2">
        <f>IFERROR(__xludf.DUMMYFUNCTION("IFERROR(VLOOKUP(A7208, IMPORTRANGE(""https://docs.google.com/spreadsheets/d/1AVX9GT0dgogEBStecCXMMQ29tWz3gBrtNB8yIromXbY/edit?gid=741673867"", ""out1g!A:B""), 2, FALSE), 0)"),1527.0)</f>
        <v>1527</v>
      </c>
      <c r="D7208" s="2" t="str">
        <f>IFERROR(__xludf.DUMMYFUNCTION("IFERROR(VLOOKUP(A7208, IMPORTRANGE(""https://docs.google.com/spreadsheets/d/1-3Vjw2Cyy-mry5gbC8ypIR3YVGFfEpyFESummAta6sg/edit"", ""Sheet1!B:D""), 2, FALSE), ""Not Found"")"),"ænsərz")</f>
        <v>ænsərz</v>
      </c>
      <c r="E7208" s="2" t="str">
        <f>IFERROR(__xludf.DUMMYFUNCTION("IFERROR(VLOOKUP(A7208, IMPORTRANGE(""https://docs.google.com/spreadsheets/d/1-3Vjw2Cyy-mry5gbC8ypIR3YVGFfEpyFESummAta6sg/edit"", ""Sheet1!B:D""), 3, FALSE), ""Not Found"")"),"æ n s ə r z ")</f>
        <v>æ n s ə r z </v>
      </c>
    </row>
    <row r="7209">
      <c r="A7209" s="1" t="s">
        <v>7211</v>
      </c>
      <c r="B7209" s="1" t="s">
        <v>6138</v>
      </c>
      <c r="C7209" s="2">
        <f>IFERROR(__xludf.DUMMYFUNCTION("IFERROR(VLOOKUP(A7209, IMPORTRANGE(""https://docs.google.com/spreadsheets/d/1AVX9GT0dgogEBStecCXMMQ29tWz3gBrtNB8yIromXbY/edit?gid=741673867"", ""out1g!A:B""), 2, FALSE), 0)"),286.0)</f>
        <v>286</v>
      </c>
      <c r="D7209" s="2" t="str">
        <f>IFERROR(__xludf.DUMMYFUNCTION("IFERROR(VLOOKUP(A7209, IMPORTRANGE(""https://docs.google.com/spreadsheets/d/1-3Vjw2Cyy-mry5gbC8ypIR3YVGFfEpyFESummAta6sg/edit"", ""Sheet1!B:D""), 2, FALSE), ""Not Found"")"),"ɪntɛnt")</f>
        <v>ɪntɛnt</v>
      </c>
      <c r="E7209" s="2" t="str">
        <f>IFERROR(__xludf.DUMMYFUNCTION("IFERROR(VLOOKUP(A7209, IMPORTRANGE(""https://docs.google.com/spreadsheets/d/1-3Vjw2Cyy-mry5gbC8ypIR3YVGFfEpyFESummAta6sg/edit"", ""Sheet1!B:D""), 3, FALSE), ""Not Found"")"),"ɪ n t ɛ n t ")</f>
        <v>ɪ n t ɛ n t </v>
      </c>
    </row>
    <row r="7210">
      <c r="A7210" s="1" t="s">
        <v>7212</v>
      </c>
      <c r="B7210" s="1" t="s">
        <v>6138</v>
      </c>
      <c r="C7210" s="2">
        <f>IFERROR(__xludf.DUMMYFUNCTION("IFERROR(VLOOKUP(A7210, IMPORTRANGE(""https://docs.google.com/spreadsheets/d/1AVX9GT0dgogEBStecCXMMQ29tWz3gBrtNB8yIromXbY/edit?gid=741673867"", ""out1g!A:B""), 2, FALSE), 0)"),61.0)</f>
        <v>61</v>
      </c>
      <c r="D7210" s="2" t="str">
        <f>IFERROR(__xludf.DUMMYFUNCTION("IFERROR(VLOOKUP(A7210, IMPORTRANGE(""https://docs.google.com/spreadsheets/d/1-3Vjw2Cyy-mry5gbC8ypIR3YVGFfEpyFESummAta6sg/edit"", ""Sheet1!B:D""), 2, FALSE), ""Not Found"")"),"dəsk")</f>
        <v>dəsk</v>
      </c>
      <c r="E7210" s="2" t="str">
        <f>IFERROR(__xludf.DUMMYFUNCTION("IFERROR(VLOOKUP(A7210, IMPORTRANGE(""https://docs.google.com/spreadsheets/d/1-3Vjw2Cyy-mry5gbC8ypIR3YVGFfEpyFESummAta6sg/edit"", ""Sheet1!B:D""), 3, FALSE), ""Not Found"")"),"d ə s k ")</f>
        <v>d ə s k </v>
      </c>
    </row>
    <row r="7211">
      <c r="A7211" s="1" t="s">
        <v>7213</v>
      </c>
      <c r="B7211" s="1" t="s">
        <v>6138</v>
      </c>
      <c r="C7211" s="2">
        <f>IFERROR(__xludf.DUMMYFUNCTION("IFERROR(VLOOKUP(A7211, IMPORTRANGE(""https://docs.google.com/spreadsheets/d/1AVX9GT0dgogEBStecCXMMQ29tWz3gBrtNB8yIromXbY/edit?gid=741673867"", ""out1g!A:B""), 2, FALSE), 0)"),253.0)</f>
        <v>253</v>
      </c>
      <c r="D7211" s="2" t="str">
        <f>IFERROR(__xludf.DUMMYFUNCTION("IFERROR(VLOOKUP(A7211, IMPORTRANGE(""https://docs.google.com/spreadsheets/d/1-3Vjw2Cyy-mry5gbC8ypIR3YVGFfEpyFESummAta6sg/edit"", ""Sheet1!B:D""), 2, FALSE), ""Not Found"")"),"ɪnʃʊr")</f>
        <v>ɪnʃʊr</v>
      </c>
      <c r="E7211" s="2" t="str">
        <f>IFERROR(__xludf.DUMMYFUNCTION("IFERROR(VLOOKUP(A7211, IMPORTRANGE(""https://docs.google.com/spreadsheets/d/1-3Vjw2Cyy-mry5gbC8ypIR3YVGFfEpyFESummAta6sg/edit"", ""Sheet1!B:D""), 3, FALSE), ""Not Found"")"),"ɪ n ʃ ʊ r ")</f>
        <v>ɪ n ʃ ʊ r </v>
      </c>
    </row>
    <row r="7212">
      <c r="A7212" s="1" t="s">
        <v>7214</v>
      </c>
      <c r="B7212" s="1" t="s">
        <v>6138</v>
      </c>
      <c r="C7212" s="2">
        <f>IFERROR(__xludf.DUMMYFUNCTION("IFERROR(VLOOKUP(A7212, IMPORTRANGE(""https://docs.google.com/spreadsheets/d/1AVX9GT0dgogEBStecCXMMQ29tWz3gBrtNB8yIromXbY/edit?gid=741673867"", ""out1g!A:B""), 2, FALSE), 0)"),144.0)</f>
        <v>144</v>
      </c>
      <c r="D7212" s="2" t="str">
        <f>IFERROR(__xludf.DUMMYFUNCTION("IFERROR(VLOOKUP(A7212, IMPORTRANGE(""https://docs.google.com/spreadsheets/d/1-3Vjw2Cyy-mry5gbC8ypIR3YVGFfEpyFESummAta6sg/edit"", ""Sheet1!B:D""), 2, FALSE), ""Not Found"")"),"ɪklɪps")</f>
        <v>ɪklɪps</v>
      </c>
      <c r="E7212" s="2" t="str">
        <f>IFERROR(__xludf.DUMMYFUNCTION("IFERROR(VLOOKUP(A7212, IMPORTRANGE(""https://docs.google.com/spreadsheets/d/1-3Vjw2Cyy-mry5gbC8ypIR3YVGFfEpyFESummAta6sg/edit"", ""Sheet1!B:D""), 3, FALSE), ""Not Found"")"),"ɪ k l ɪ p s ")</f>
        <v>ɪ k l ɪ p s </v>
      </c>
    </row>
    <row r="7213">
      <c r="A7213" s="1" t="s">
        <v>7215</v>
      </c>
      <c r="B7213" s="1" t="s">
        <v>6138</v>
      </c>
      <c r="C7213" s="2">
        <f>IFERROR(__xludf.DUMMYFUNCTION("IFERROR(VLOOKUP(A7213, IMPORTRANGE(""https://docs.google.com/spreadsheets/d/1AVX9GT0dgogEBStecCXMMQ29tWz3gBrtNB8yIromXbY/edit?gid=741673867"", ""out1g!A:B""), 2, FALSE), 0)"),734.0)</f>
        <v>734</v>
      </c>
      <c r="D7213" s="2" t="str">
        <f>IFERROR(__xludf.DUMMYFUNCTION("IFERROR(VLOOKUP(A7213, IMPORTRANGE(""https://docs.google.com/spreadsheets/d/1-3Vjw2Cyy-mry5gbC8ypIR3YVGFfEpyFESummAta6sg/edit"", ""Sheet1!B:D""), 2, FALSE), ""Not Found"")"),"jel")</f>
        <v>jel</v>
      </c>
      <c r="E7213" s="2" t="str">
        <f>IFERROR(__xludf.DUMMYFUNCTION("IFERROR(VLOOKUP(A7213, IMPORTRANGE(""https://docs.google.com/spreadsheets/d/1-3Vjw2Cyy-mry5gbC8ypIR3YVGFfEpyFESummAta6sg/edit"", ""Sheet1!B:D""), 3, FALSE), ""Not Found"")"),"j e l ")</f>
        <v>j e l </v>
      </c>
    </row>
    <row r="7214">
      <c r="A7214" s="1" t="s">
        <v>7216</v>
      </c>
      <c r="B7214" s="1" t="s">
        <v>6138</v>
      </c>
      <c r="C7214" s="2">
        <f>IFERROR(__xludf.DUMMYFUNCTION("IFERROR(VLOOKUP(A7214, IMPORTRANGE(""https://docs.google.com/spreadsheets/d/1AVX9GT0dgogEBStecCXMMQ29tWz3gBrtNB8yIromXbY/edit?gid=741673867"", ""out1g!A:B""), 2, FALSE), 0)"),74.0)</f>
        <v>74</v>
      </c>
      <c r="D7214" s="2" t="str">
        <f>IFERROR(__xludf.DUMMYFUNCTION("IFERROR(VLOOKUP(A7214, IMPORTRANGE(""https://docs.google.com/spreadsheets/d/1-3Vjw2Cyy-mry5gbC8ypIR3YVGFfEpyFESummAta6sg/edit"", ""Sheet1!B:D""), 2, FALSE), ""Not Found"")"),"vælvz")</f>
        <v>vælvz</v>
      </c>
      <c r="E7214" s="2" t="str">
        <f>IFERROR(__xludf.DUMMYFUNCTION("IFERROR(VLOOKUP(A7214, IMPORTRANGE(""https://docs.google.com/spreadsheets/d/1-3Vjw2Cyy-mry5gbC8ypIR3YVGFfEpyFESummAta6sg/edit"", ""Sheet1!B:D""), 3, FALSE), ""Not Found"")"),"v æ l v z ")</f>
        <v>v æ l v z </v>
      </c>
    </row>
    <row r="7215">
      <c r="A7215" s="1" t="s">
        <v>7217</v>
      </c>
      <c r="B7215" s="1" t="s">
        <v>6138</v>
      </c>
      <c r="C7215" s="2">
        <f>IFERROR(__xludf.DUMMYFUNCTION("IFERROR(VLOOKUP(A7215, IMPORTRANGE(""https://docs.google.com/spreadsheets/d/1AVX9GT0dgogEBStecCXMMQ29tWz3gBrtNB8yIromXbY/edit?gid=741673867"", ""out1g!A:B""), 2, FALSE), 0)"),111.0)</f>
        <v>111</v>
      </c>
      <c r="D7215" s="2" t="str">
        <f>IFERROR(__xludf.DUMMYFUNCTION("IFERROR(VLOOKUP(A7215, IMPORTRANGE(""https://docs.google.com/spreadsheets/d/1-3Vjw2Cyy-mry5gbC8ypIR3YVGFfEpyFESummAta6sg/edit"", ""Sheet1!B:D""), 2, FALSE), ""Not Found"")"),"bɔr")</f>
        <v>bɔr</v>
      </c>
      <c r="E7215" s="2" t="str">
        <f>IFERROR(__xludf.DUMMYFUNCTION("IFERROR(VLOOKUP(A7215, IMPORTRANGE(""https://docs.google.com/spreadsheets/d/1-3Vjw2Cyy-mry5gbC8ypIR3YVGFfEpyFESummAta6sg/edit"", ""Sheet1!B:D""), 3, FALSE), ""Not Found"")"),"b ɔ r ")</f>
        <v>b ɔ r </v>
      </c>
    </row>
    <row r="7216">
      <c r="A7216" s="1" t="s">
        <v>7218</v>
      </c>
      <c r="B7216" s="1" t="s">
        <v>6138</v>
      </c>
      <c r="C7216" s="2">
        <f>IFERROR(__xludf.DUMMYFUNCTION("IFERROR(VLOOKUP(A7216, IMPORTRANGE(""https://docs.google.com/spreadsheets/d/1AVX9GT0dgogEBStecCXMMQ29tWz3gBrtNB8yIromXbY/edit?gid=741673867"", ""out1g!A:B""), 2, FALSE), 0)"),29.0)</f>
        <v>29</v>
      </c>
      <c r="D7216" s="2" t="str">
        <f>IFERROR(__xludf.DUMMYFUNCTION("IFERROR(VLOOKUP(A7216, IMPORTRANGE(""https://docs.google.com/spreadsheets/d/1-3Vjw2Cyy-mry5gbC8ypIR3YVGFfEpyFESummAta6sg/edit"", ""Sheet1!B:D""), 2, FALSE), ""Not Found"")"),"ripoʊz")</f>
        <v>ripoʊz</v>
      </c>
      <c r="E7216" s="2" t="str">
        <f>IFERROR(__xludf.DUMMYFUNCTION("IFERROR(VLOOKUP(A7216, IMPORTRANGE(""https://docs.google.com/spreadsheets/d/1-3Vjw2Cyy-mry5gbC8ypIR3YVGFfEpyFESummAta6sg/edit"", ""Sheet1!B:D""), 3, FALSE), ""Not Found"")"),"r i p o ʊ z ")</f>
        <v>r i p o ʊ z </v>
      </c>
    </row>
    <row r="7217">
      <c r="A7217" s="1" t="s">
        <v>7219</v>
      </c>
      <c r="B7217" s="1" t="s">
        <v>6138</v>
      </c>
      <c r="C7217" s="2">
        <f>IFERROR(__xludf.DUMMYFUNCTION("IFERROR(VLOOKUP(A7217, IMPORTRANGE(""https://docs.google.com/spreadsheets/d/1AVX9GT0dgogEBStecCXMMQ29tWz3gBrtNB8yIromXbY/edit?gid=741673867"", ""out1g!A:B""), 2, FALSE), 0)"),57.0)</f>
        <v>57</v>
      </c>
      <c r="D7217" s="2" t="str">
        <f>IFERROR(__xludf.DUMMYFUNCTION("IFERROR(VLOOKUP(A7217, IMPORTRANGE(""https://docs.google.com/spreadsheets/d/1-3Vjw2Cyy-mry5gbC8ypIR3YVGFfEpyFESummAta6sg/edit"", ""Sheet1!B:D""), 2, FALSE), ""Not Found"")"),"flæsk")</f>
        <v>flæsk</v>
      </c>
      <c r="E7217" s="2" t="str">
        <f>IFERROR(__xludf.DUMMYFUNCTION("IFERROR(VLOOKUP(A7217, IMPORTRANGE(""https://docs.google.com/spreadsheets/d/1-3Vjw2Cyy-mry5gbC8ypIR3YVGFfEpyFESummAta6sg/edit"", ""Sheet1!B:D""), 3, FALSE), ""Not Found"")"),"f l æ s k ")</f>
        <v>f l æ s k </v>
      </c>
    </row>
    <row r="7218">
      <c r="A7218" s="1" t="s">
        <v>7220</v>
      </c>
      <c r="B7218" s="1" t="s">
        <v>6138</v>
      </c>
      <c r="C7218" s="2">
        <f>IFERROR(__xludf.DUMMYFUNCTION("IFERROR(VLOOKUP(A7218, IMPORTRANGE(""https://docs.google.com/spreadsheets/d/1AVX9GT0dgogEBStecCXMMQ29tWz3gBrtNB8yIromXbY/edit?gid=741673867"", ""out1g!A:B""), 2, FALSE), 0)"),85.0)</f>
        <v>85</v>
      </c>
      <c r="D7218" s="2" t="str">
        <f>IFERROR(__xludf.DUMMYFUNCTION("IFERROR(VLOOKUP(A7218, IMPORTRANGE(""https://docs.google.com/spreadsheets/d/1-3Vjw2Cyy-mry5gbC8ypIR3YVGFfEpyFESummAta6sg/edit"", ""Sheet1!B:D""), 2, FALSE), ""Not Found"")"),"θrɛdz")</f>
        <v>θrɛdz</v>
      </c>
      <c r="E7218" s="2" t="str">
        <f>IFERROR(__xludf.DUMMYFUNCTION("IFERROR(VLOOKUP(A7218, IMPORTRANGE(""https://docs.google.com/spreadsheets/d/1-3Vjw2Cyy-mry5gbC8ypIR3YVGFfEpyFESummAta6sg/edit"", ""Sheet1!B:D""), 3, FALSE), ""Not Found"")"),"θ r ɛ d z ")</f>
        <v>θ r ɛ d z </v>
      </c>
    </row>
    <row r="7219">
      <c r="A7219" s="1" t="s">
        <v>7221</v>
      </c>
      <c r="B7219" s="1" t="s">
        <v>6138</v>
      </c>
      <c r="C7219" s="2">
        <f>IFERROR(__xludf.DUMMYFUNCTION("IFERROR(VLOOKUP(A7219, IMPORTRANGE(""https://docs.google.com/spreadsheets/d/1AVX9GT0dgogEBStecCXMMQ29tWz3gBrtNB8yIromXbY/edit?gid=741673867"", ""out1g!A:B""), 2, FALSE), 0)"),117.0)</f>
        <v>117</v>
      </c>
      <c r="D7219" s="2" t="str">
        <f>IFERROR(__xludf.DUMMYFUNCTION("IFERROR(VLOOKUP(A7219, IMPORTRANGE(""https://docs.google.com/spreadsheets/d/1-3Vjw2Cyy-mry5gbC8ypIR3YVGFfEpyFESummAta6sg/edit"", ""Sheet1!B:D""), 2, FALSE), ""Not Found"")"),"frezɪz")</f>
        <v>frezɪz</v>
      </c>
      <c r="E7219" s="2" t="str">
        <f>IFERROR(__xludf.DUMMYFUNCTION("IFERROR(VLOOKUP(A7219, IMPORTRANGE(""https://docs.google.com/spreadsheets/d/1-3Vjw2Cyy-mry5gbC8ypIR3YVGFfEpyFESummAta6sg/edit"", ""Sheet1!B:D""), 3, FALSE), ""Not Found"")"),"f r e z ɪ z ")</f>
        <v>f r e z ɪ z </v>
      </c>
    </row>
    <row r="7220">
      <c r="A7220" s="1" t="s">
        <v>7222</v>
      </c>
      <c r="B7220" s="1" t="s">
        <v>6138</v>
      </c>
      <c r="C7220" s="2">
        <f>IFERROR(__xludf.DUMMYFUNCTION("IFERROR(VLOOKUP(A7220, IMPORTRANGE(""https://docs.google.com/spreadsheets/d/1AVX9GT0dgogEBStecCXMMQ29tWz3gBrtNB8yIromXbY/edit?gid=741673867"", ""out1g!A:B""), 2, FALSE), 0)"),65.0)</f>
        <v>65</v>
      </c>
      <c r="D7220" s="2" t="str">
        <f>IFERROR(__xludf.DUMMYFUNCTION("IFERROR(VLOOKUP(A7220, IMPORTRANGE(""https://docs.google.com/spreadsheets/d/1-3Vjw2Cyy-mry5gbC8ypIR3YVGFfEpyFESummAta6sg/edit"", ""Sheet1!B:D""), 2, FALSE), ""Not Found"")"),"ʧɛrɪʃt")</f>
        <v>ʧɛrɪʃt</v>
      </c>
      <c r="E7220" s="2" t="str">
        <f>IFERROR(__xludf.DUMMYFUNCTION("IFERROR(VLOOKUP(A7220, IMPORTRANGE(""https://docs.google.com/spreadsheets/d/1-3Vjw2Cyy-mry5gbC8ypIR3YVGFfEpyFESummAta6sg/edit"", ""Sheet1!B:D""), 3, FALSE), ""Not Found"")"),"ʧ ɛ r ɪ ʃ t ")</f>
        <v>ʧ ɛ r ɪ ʃ t </v>
      </c>
    </row>
    <row r="7221">
      <c r="A7221" s="1" t="s">
        <v>7223</v>
      </c>
      <c r="B7221" s="1" t="s">
        <v>6138</v>
      </c>
      <c r="C7221" s="2">
        <f>IFERROR(__xludf.DUMMYFUNCTION("IFERROR(VLOOKUP(A7221, IMPORTRANGE(""https://docs.google.com/spreadsheets/d/1AVX9GT0dgogEBStecCXMMQ29tWz3gBrtNB8yIromXbY/edit?gid=741673867"", ""out1g!A:B""), 2, FALSE), 0)"),2329.0)</f>
        <v>2329</v>
      </c>
      <c r="D7221" s="2" t="str">
        <f>IFERROR(__xludf.DUMMYFUNCTION("IFERROR(VLOOKUP(A7221, IMPORTRANGE(""https://docs.google.com/spreadsheets/d/1-3Vjw2Cyy-mry5gbC8ypIR3YVGFfEpyFESummAta6sg/edit"", ""Sheet1!B:D""), 2, FALSE), ""Not Found"")"),"dɪskəs")</f>
        <v>dɪskəs</v>
      </c>
      <c r="E7221" s="2" t="str">
        <f>IFERROR(__xludf.DUMMYFUNCTION("IFERROR(VLOOKUP(A7221, IMPORTRANGE(""https://docs.google.com/spreadsheets/d/1-3Vjw2Cyy-mry5gbC8ypIR3YVGFfEpyFESummAta6sg/edit"", ""Sheet1!B:D""), 3, FALSE), ""Not Found"")"),"d ɪ s k ə s ")</f>
        <v>d ɪ s k ə s </v>
      </c>
    </row>
    <row r="7222">
      <c r="A7222" s="1" t="s">
        <v>7224</v>
      </c>
      <c r="B7222" s="1" t="s">
        <v>6138</v>
      </c>
      <c r="C7222" s="2">
        <f>IFERROR(__xludf.DUMMYFUNCTION("IFERROR(VLOOKUP(A7222, IMPORTRANGE(""https://docs.google.com/spreadsheets/d/1AVX9GT0dgogEBStecCXMMQ29tWz3gBrtNB8yIromXbY/edit?gid=741673867"", ""out1g!A:B""), 2, FALSE), 0)"),55.0)</f>
        <v>55</v>
      </c>
      <c r="D7222" s="2" t="str">
        <f>IFERROR(__xludf.DUMMYFUNCTION("IFERROR(VLOOKUP(A7222, IMPORTRANGE(""https://docs.google.com/spreadsheets/d/1-3Vjw2Cyy-mry5gbC8ypIR3YVGFfEpyFESummAta6sg/edit"", ""Sheet1!B:D""), 2, FALSE), ""Not Found"")"),"lɔfəli")</f>
        <v>lɔfəli</v>
      </c>
      <c r="E7222" s="2" t="str">
        <f>IFERROR(__xludf.DUMMYFUNCTION("IFERROR(VLOOKUP(A7222, IMPORTRANGE(""https://docs.google.com/spreadsheets/d/1-3Vjw2Cyy-mry5gbC8ypIR3YVGFfEpyFESummAta6sg/edit"", ""Sheet1!B:D""), 3, FALSE), ""Not Found"")"),"l ɔ f ə l i ")</f>
        <v>l ɔ f ə l i </v>
      </c>
    </row>
    <row r="7223">
      <c r="A7223" s="1" t="s">
        <v>7225</v>
      </c>
      <c r="B7223" s="1" t="s">
        <v>6138</v>
      </c>
      <c r="C7223" s="2">
        <f>IFERROR(__xludf.DUMMYFUNCTION("IFERROR(VLOOKUP(A7223, IMPORTRANGE(""https://docs.google.com/spreadsheets/d/1AVX9GT0dgogEBStecCXMMQ29tWz3gBrtNB8yIromXbY/edit?gid=741673867"", ""out1g!A:B""), 2, FALSE), 0)"),108.0)</f>
        <v>108</v>
      </c>
      <c r="D7223" s="2" t="str">
        <f>IFERROR(__xludf.DUMMYFUNCTION("IFERROR(VLOOKUP(A7223, IMPORTRANGE(""https://docs.google.com/spreadsheets/d/1-3Vjw2Cyy-mry5gbC8ypIR3YVGFfEpyFESummAta6sg/edit"", ""Sheet1!B:D""), 2, FALSE), ""Not Found"")"),"hækər")</f>
        <v>hækər</v>
      </c>
      <c r="E7223" s="2" t="str">
        <f>IFERROR(__xludf.DUMMYFUNCTION("IFERROR(VLOOKUP(A7223, IMPORTRANGE(""https://docs.google.com/spreadsheets/d/1-3Vjw2Cyy-mry5gbC8ypIR3YVGFfEpyFESummAta6sg/edit"", ""Sheet1!B:D""), 3, FALSE), ""Not Found"")"),"h æ k ə r ")</f>
        <v>h æ k ə r </v>
      </c>
    </row>
    <row r="7224">
      <c r="A7224" s="1" t="s">
        <v>7226</v>
      </c>
      <c r="B7224" s="1" t="s">
        <v>6138</v>
      </c>
      <c r="C7224" s="2">
        <f>IFERROR(__xludf.DUMMYFUNCTION("IFERROR(VLOOKUP(A7224, IMPORTRANGE(""https://docs.google.com/spreadsheets/d/1AVX9GT0dgogEBStecCXMMQ29tWz3gBrtNB8yIromXbY/edit?gid=741673867"", ""out1g!A:B""), 2, FALSE), 0)"),202.0)</f>
        <v>202</v>
      </c>
      <c r="D7224" s="2" t="str">
        <f>IFERROR(__xludf.DUMMYFUNCTION("IFERROR(VLOOKUP(A7224, IMPORTRANGE(""https://docs.google.com/spreadsheets/d/1-3Vjw2Cyy-mry5gbC8ypIR3YVGFfEpyFESummAta6sg/edit"", ""Sheet1!B:D""), 2, FALSE), ""Not Found"")"),"kɔrni")</f>
        <v>kɔrni</v>
      </c>
      <c r="E7224" s="2" t="str">
        <f>IFERROR(__xludf.DUMMYFUNCTION("IFERROR(VLOOKUP(A7224, IMPORTRANGE(""https://docs.google.com/spreadsheets/d/1-3Vjw2Cyy-mry5gbC8ypIR3YVGFfEpyFESummAta6sg/edit"", ""Sheet1!B:D""), 3, FALSE), ""Not Found"")"),"k ɔ r n i ")</f>
        <v>k ɔ r n i </v>
      </c>
    </row>
    <row r="7225">
      <c r="A7225" s="1" t="s">
        <v>7227</v>
      </c>
      <c r="B7225" s="1" t="s">
        <v>6138</v>
      </c>
      <c r="C7225" s="2">
        <f>IFERROR(__xludf.DUMMYFUNCTION("IFERROR(VLOOKUP(A7225, IMPORTRANGE(""https://docs.google.com/spreadsheets/d/1AVX9GT0dgogEBStecCXMMQ29tWz3gBrtNB8yIromXbY/edit?gid=741673867"", ""out1g!A:B""), 2, FALSE), 0)"),1321.0)</f>
        <v>1321</v>
      </c>
      <c r="D7225" s="2" t="str">
        <f>IFERROR(__xludf.DUMMYFUNCTION("IFERROR(VLOOKUP(A7225, IMPORTRANGE(""https://docs.google.com/spreadsheets/d/1-3Vjw2Cyy-mry5gbC8ypIR3YVGFfEpyFESummAta6sg/edit"", ""Sheet1!B:D""), 2, FALSE), ""Not Found"")"),"mɑrʃəl")</f>
        <v>mɑrʃəl</v>
      </c>
      <c r="E7225" s="2" t="str">
        <f>IFERROR(__xludf.DUMMYFUNCTION("IFERROR(VLOOKUP(A7225, IMPORTRANGE(""https://docs.google.com/spreadsheets/d/1-3Vjw2Cyy-mry5gbC8ypIR3YVGFfEpyFESummAta6sg/edit"", ""Sheet1!B:D""), 3, FALSE), ""Not Found"")"),"m ɑ r ʃ ə l ")</f>
        <v>m ɑ r ʃ ə l </v>
      </c>
    </row>
    <row r="7226">
      <c r="A7226" s="1" t="s">
        <v>7228</v>
      </c>
      <c r="B7226" s="1" t="s">
        <v>6138</v>
      </c>
      <c r="C7226" s="2">
        <f>IFERROR(__xludf.DUMMYFUNCTION("IFERROR(VLOOKUP(A7226, IMPORTRANGE(""https://docs.google.com/spreadsheets/d/1AVX9GT0dgogEBStecCXMMQ29tWz3gBrtNB8yIromXbY/edit?gid=741673867"", ""out1g!A:B""), 2, FALSE), 0)"),61.0)</f>
        <v>61</v>
      </c>
      <c r="D7226" s="2" t="str">
        <f>IFERROR(__xludf.DUMMYFUNCTION("IFERROR(VLOOKUP(A7226, IMPORTRANGE(""https://docs.google.com/spreadsheets/d/1-3Vjw2Cyy-mry5gbC8ypIR3YVGFfEpyFESummAta6sg/edit"", ""Sheet1!B:D""), 2, FALSE), ""Not Found"")"),"dɑkət")</f>
        <v>dɑkət</v>
      </c>
      <c r="E7226" s="2" t="str">
        <f>IFERROR(__xludf.DUMMYFUNCTION("IFERROR(VLOOKUP(A7226, IMPORTRANGE(""https://docs.google.com/spreadsheets/d/1-3Vjw2Cyy-mry5gbC8ypIR3YVGFfEpyFESummAta6sg/edit"", ""Sheet1!B:D""), 3, FALSE), ""Not Found"")"),"d ɑ k ə t ")</f>
        <v>d ɑ k ə t </v>
      </c>
    </row>
    <row r="7227">
      <c r="A7227" s="1" t="s">
        <v>7229</v>
      </c>
      <c r="B7227" s="1" t="s">
        <v>6138</v>
      </c>
      <c r="C7227" s="2">
        <f>IFERROR(__xludf.DUMMYFUNCTION("IFERROR(VLOOKUP(A7227, IMPORTRANGE(""https://docs.google.com/spreadsheets/d/1AVX9GT0dgogEBStecCXMMQ29tWz3gBrtNB8yIromXbY/edit?gid=741673867"", ""out1g!A:B""), 2, FALSE), 0)"),59.0)</f>
        <v>59</v>
      </c>
      <c r="D7227" s="2" t="str">
        <f>IFERROR(__xludf.DUMMYFUNCTION("IFERROR(VLOOKUP(A7227, IMPORTRANGE(""https://docs.google.com/spreadsheets/d/1-3Vjw2Cyy-mry5gbC8ypIR3YVGFfEpyFESummAta6sg/edit"", ""Sheet1!B:D""), 2, FALSE), ""Not Found"")"),"gɪvər")</f>
        <v>gɪvər</v>
      </c>
      <c r="E7227" s="2" t="str">
        <f>IFERROR(__xludf.DUMMYFUNCTION("IFERROR(VLOOKUP(A7227, IMPORTRANGE(""https://docs.google.com/spreadsheets/d/1-3Vjw2Cyy-mry5gbC8ypIR3YVGFfEpyFESummAta6sg/edit"", ""Sheet1!B:D""), 3, FALSE), ""Not Found"")"),"g ɪ v ə r ")</f>
        <v>g ɪ v ə r </v>
      </c>
    </row>
    <row r="7228">
      <c r="A7228" s="1" t="s">
        <v>7230</v>
      </c>
      <c r="B7228" s="1" t="s">
        <v>6138</v>
      </c>
      <c r="C7228" s="2">
        <f>IFERROR(__xludf.DUMMYFUNCTION("IFERROR(VLOOKUP(A7228, IMPORTRANGE(""https://docs.google.com/spreadsheets/d/1AVX9GT0dgogEBStecCXMMQ29tWz3gBrtNB8yIromXbY/edit?gid=741673867"", ""out1g!A:B""), 2, FALSE), 0)"),800.0)</f>
        <v>800</v>
      </c>
      <c r="D7228" s="2" t="str">
        <f>IFERROR(__xludf.DUMMYFUNCTION("IFERROR(VLOOKUP(A7228, IMPORTRANGE(""https://docs.google.com/spreadsheets/d/1-3Vjw2Cyy-mry5gbC8ypIR3YVGFfEpyFESummAta6sg/edit"", ""Sheet1!B:D""), 2, FALSE), ""Not Found"")"),"strɪp")</f>
        <v>strɪp</v>
      </c>
      <c r="E7228" s="2" t="str">
        <f>IFERROR(__xludf.DUMMYFUNCTION("IFERROR(VLOOKUP(A7228, IMPORTRANGE(""https://docs.google.com/spreadsheets/d/1-3Vjw2Cyy-mry5gbC8ypIR3YVGFfEpyFESummAta6sg/edit"", ""Sheet1!B:D""), 3, FALSE), ""Not Found"")"),"s t r ɪ p ")</f>
        <v>s t r ɪ p </v>
      </c>
    </row>
    <row r="7229">
      <c r="A7229" s="1" t="s">
        <v>7231</v>
      </c>
      <c r="B7229" s="1" t="s">
        <v>6138</v>
      </c>
      <c r="C7229" s="2">
        <f>IFERROR(__xludf.DUMMYFUNCTION("IFERROR(VLOOKUP(A7229, IMPORTRANGE(""https://docs.google.com/spreadsheets/d/1AVX9GT0dgogEBStecCXMMQ29tWz3gBrtNB8yIromXbY/edit?gid=741673867"", ""out1g!A:B""), 2, FALSE), 0)"),4534.0)</f>
        <v>4534</v>
      </c>
      <c r="D7229" s="2" t="str">
        <f>IFERROR(__xludf.DUMMYFUNCTION("IFERROR(VLOOKUP(A7229, IMPORTRANGE(""https://docs.google.com/spreadsheets/d/1-3Vjw2Cyy-mry5gbC8ypIR3YVGFfEpyFESummAta6sg/edit"", ""Sheet1!B:D""), 2, FALSE), ""Not Found"")"),"səpraɪz")</f>
        <v>səpraɪz</v>
      </c>
      <c r="E7229" s="2" t="str">
        <f>IFERROR(__xludf.DUMMYFUNCTION("IFERROR(VLOOKUP(A7229, IMPORTRANGE(""https://docs.google.com/spreadsheets/d/1-3Vjw2Cyy-mry5gbC8ypIR3YVGFfEpyFESummAta6sg/edit"", ""Sheet1!B:D""), 3, FALSE), ""Not Found"")"),"s ə p r a ɪ z ")</f>
        <v>s ə p r a ɪ z </v>
      </c>
    </row>
    <row r="7230">
      <c r="A7230" s="1" t="s">
        <v>7232</v>
      </c>
      <c r="B7230" s="1" t="s">
        <v>6138</v>
      </c>
      <c r="C7230" s="2">
        <f>IFERROR(__xludf.DUMMYFUNCTION("IFERROR(VLOOKUP(A7230, IMPORTRANGE(""https://docs.google.com/spreadsheets/d/1AVX9GT0dgogEBStecCXMMQ29tWz3gBrtNB8yIromXbY/edit?gid=741673867"", ""out1g!A:B""), 2, FALSE), 0)"),271.0)</f>
        <v>271</v>
      </c>
      <c r="D7230" s="2" t="str">
        <f>IFERROR(__xludf.DUMMYFUNCTION("IFERROR(VLOOKUP(A7230, IMPORTRANGE(""https://docs.google.com/spreadsheets/d/1-3Vjw2Cyy-mry5gbC8ypIR3YVGFfEpyFESummAta6sg/edit"", ""Sheet1!B:D""), 2, FALSE), ""Not Found"")"),"ɑrtəri")</f>
        <v>ɑrtəri</v>
      </c>
      <c r="E7230" s="2" t="str">
        <f>IFERROR(__xludf.DUMMYFUNCTION("IFERROR(VLOOKUP(A7230, IMPORTRANGE(""https://docs.google.com/spreadsheets/d/1-3Vjw2Cyy-mry5gbC8ypIR3YVGFfEpyFESummAta6sg/edit"", ""Sheet1!B:D""), 3, FALSE), ""Not Found"")"),"ɑ r t ə r i ")</f>
        <v>ɑ r t ə r i </v>
      </c>
    </row>
    <row r="7231">
      <c r="A7231" s="1" t="s">
        <v>7233</v>
      </c>
      <c r="B7231" s="1" t="s">
        <v>6138</v>
      </c>
      <c r="C7231" s="2">
        <f>IFERROR(__xludf.DUMMYFUNCTION("IFERROR(VLOOKUP(A7231, IMPORTRANGE(""https://docs.google.com/spreadsheets/d/1AVX9GT0dgogEBStecCXMMQ29tWz3gBrtNB8yIromXbY/edit?gid=741673867"", ""out1g!A:B""), 2, FALSE), 0)"),83.0)</f>
        <v>83</v>
      </c>
      <c r="D7231" s="2" t="str">
        <f>IFERROR(__xludf.DUMMYFUNCTION("IFERROR(VLOOKUP(A7231, IMPORTRANGE(""https://docs.google.com/spreadsheets/d/1-3Vjw2Cyy-mry5gbC8ypIR3YVGFfEpyFESummAta6sg/edit"", ""Sheet1!B:D""), 2, FALSE), ""Not Found"")"),"krəʧɪz")</f>
        <v>krəʧɪz</v>
      </c>
      <c r="E7231" s="2" t="str">
        <f>IFERROR(__xludf.DUMMYFUNCTION("IFERROR(VLOOKUP(A7231, IMPORTRANGE(""https://docs.google.com/spreadsheets/d/1-3Vjw2Cyy-mry5gbC8ypIR3YVGFfEpyFESummAta6sg/edit"", ""Sheet1!B:D""), 3, FALSE), ""Not Found"")"),"k r ə ʧ ɪ z ")</f>
        <v>k r ə ʧ ɪ z </v>
      </c>
    </row>
    <row r="7232">
      <c r="A7232" s="1" t="s">
        <v>7234</v>
      </c>
      <c r="B7232" s="1" t="s">
        <v>6138</v>
      </c>
      <c r="C7232" s="2">
        <f>IFERROR(__xludf.DUMMYFUNCTION("IFERROR(VLOOKUP(A7232, IMPORTRANGE(""https://docs.google.com/spreadsheets/d/1AVX9GT0dgogEBStecCXMMQ29tWz3gBrtNB8yIromXbY/edit?gid=741673867"", ""out1g!A:B""), 2, FALSE), 0)"),50.0)</f>
        <v>50</v>
      </c>
      <c r="D7232" s="2" t="str">
        <f>IFERROR(__xludf.DUMMYFUNCTION("IFERROR(VLOOKUP(A7232, IMPORTRANGE(""https://docs.google.com/spreadsheets/d/1-3Vjw2Cyy-mry5gbC8ypIR3YVGFfEpyFESummAta6sg/edit"", ""Sheet1!B:D""), 2, FALSE), ""Not Found"")"),"krɔft")</f>
        <v>krɔft</v>
      </c>
      <c r="E7232" s="2" t="str">
        <f>IFERROR(__xludf.DUMMYFUNCTION("IFERROR(VLOOKUP(A7232, IMPORTRANGE(""https://docs.google.com/spreadsheets/d/1-3Vjw2Cyy-mry5gbC8ypIR3YVGFfEpyFESummAta6sg/edit"", ""Sheet1!B:D""), 3, FALSE), ""Not Found"")"),"k r ɔ f t ")</f>
        <v>k r ɔ f t </v>
      </c>
    </row>
    <row r="7233">
      <c r="A7233" s="1" t="s">
        <v>7235</v>
      </c>
      <c r="B7233" s="1" t="s">
        <v>6138</v>
      </c>
      <c r="C7233" s="2">
        <f>IFERROR(__xludf.DUMMYFUNCTION("IFERROR(VLOOKUP(A7233, IMPORTRANGE(""https://docs.google.com/spreadsheets/d/1AVX9GT0dgogEBStecCXMMQ29tWz3gBrtNB8yIromXbY/edit?gid=741673867"", ""out1g!A:B""), 2, FALSE), 0)"),84.0)</f>
        <v>84</v>
      </c>
      <c r="D7233" s="2" t="str">
        <f>IFERROR(__xludf.DUMMYFUNCTION("IFERROR(VLOOKUP(A7233, IMPORTRANGE(""https://docs.google.com/spreadsheets/d/1-3Vjw2Cyy-mry5gbC8ypIR3YVGFfEpyFESummAta6sg/edit"", ""Sheet1!B:D""), 2, FALSE), ""Not Found"")"),"ɔr")</f>
        <v>ɔr</v>
      </c>
      <c r="E7233" s="2" t="str">
        <f>IFERROR(__xludf.DUMMYFUNCTION("IFERROR(VLOOKUP(A7233, IMPORTRANGE(""https://docs.google.com/spreadsheets/d/1-3Vjw2Cyy-mry5gbC8ypIR3YVGFfEpyFESummAta6sg/edit"", ""Sheet1!B:D""), 3, FALSE), ""Not Found"")"),"ɔ r ")</f>
        <v>ɔ r </v>
      </c>
    </row>
    <row r="7234">
      <c r="A7234" s="1" t="s">
        <v>7236</v>
      </c>
      <c r="B7234" s="1" t="s">
        <v>6138</v>
      </c>
      <c r="C7234" s="2">
        <f>IFERROR(__xludf.DUMMYFUNCTION("IFERROR(VLOOKUP(A7234, IMPORTRANGE(""https://docs.google.com/spreadsheets/d/1AVX9GT0dgogEBStecCXMMQ29tWz3gBrtNB8yIromXbY/edit?gid=741673867"", ""out1g!A:B""), 2, FALSE), 0)"),46.0)</f>
        <v>46</v>
      </c>
      <c r="D7234" s="2" t="str">
        <f>IFERROR(__xludf.DUMMYFUNCTION("IFERROR(VLOOKUP(A7234, IMPORTRANGE(""https://docs.google.com/spreadsheets/d/1-3Vjw2Cyy-mry5gbC8ypIR3YVGFfEpyFESummAta6sg/edit"", ""Sheet1!B:D""), 2, FALSE), ""Not Found"")"),"stəŋk")</f>
        <v>stəŋk</v>
      </c>
      <c r="E7234" s="2" t="str">
        <f>IFERROR(__xludf.DUMMYFUNCTION("IFERROR(VLOOKUP(A7234, IMPORTRANGE(""https://docs.google.com/spreadsheets/d/1-3Vjw2Cyy-mry5gbC8ypIR3YVGFfEpyFESummAta6sg/edit"", ""Sheet1!B:D""), 3, FALSE), ""Not Found"")"),"s t ə ŋ k ")</f>
        <v>s t ə ŋ k </v>
      </c>
    </row>
    <row r="7235">
      <c r="A7235" s="1" t="s">
        <v>7237</v>
      </c>
      <c r="B7235" s="1" t="s">
        <v>6138</v>
      </c>
      <c r="C7235" s="2">
        <f>IFERROR(__xludf.DUMMYFUNCTION("IFERROR(VLOOKUP(A7235, IMPORTRANGE(""https://docs.google.com/spreadsheets/d/1AVX9GT0dgogEBStecCXMMQ29tWz3gBrtNB8yIromXbY/edit?gid=741673867"", ""out1g!A:B""), 2, FALSE), 0)"),129.0)</f>
        <v>129</v>
      </c>
      <c r="D7235" s="2" t="str">
        <f>IFERROR(__xludf.DUMMYFUNCTION("IFERROR(VLOOKUP(A7235, IMPORTRANGE(""https://docs.google.com/spreadsheets/d/1-3Vjw2Cyy-mry5gbC8ypIR3YVGFfEpyFESummAta6sg/edit"", ""Sheet1!B:D""), 2, FALSE), ""Not Found"")"),"tɛmpt")</f>
        <v>tɛmpt</v>
      </c>
      <c r="E7235" s="2" t="str">
        <f>IFERROR(__xludf.DUMMYFUNCTION("IFERROR(VLOOKUP(A7235, IMPORTRANGE(""https://docs.google.com/spreadsheets/d/1-3Vjw2Cyy-mry5gbC8ypIR3YVGFfEpyFESummAta6sg/edit"", ""Sheet1!B:D""), 3, FALSE), ""Not Found"")"),"t ɛ m p t ")</f>
        <v>t ɛ m p t </v>
      </c>
    </row>
    <row r="7236">
      <c r="A7236" s="1" t="s">
        <v>7238</v>
      </c>
      <c r="B7236" s="1" t="s">
        <v>6138</v>
      </c>
      <c r="C7236" s="2">
        <f>IFERROR(__xludf.DUMMYFUNCTION("IFERROR(VLOOKUP(A7236, IMPORTRANGE(""https://docs.google.com/spreadsheets/d/1AVX9GT0dgogEBStecCXMMQ29tWz3gBrtNB8yIromXbY/edit?gid=741673867"", ""out1g!A:B""), 2, FALSE), 0)"),1013.0)</f>
        <v>1013</v>
      </c>
      <c r="D7236" s="2" t="str">
        <f>IFERROR(__xludf.DUMMYFUNCTION("IFERROR(VLOOKUP(A7236, IMPORTRANGE(""https://docs.google.com/spreadsheets/d/1-3Vjw2Cyy-mry5gbC8ypIR3YVGFfEpyFESummAta6sg/edit"", ""Sheet1!B:D""), 2, FALSE), ""Not Found"")"),"ʃɔr")</f>
        <v>ʃɔr</v>
      </c>
      <c r="E7236" s="2" t="str">
        <f>IFERROR(__xludf.DUMMYFUNCTION("IFERROR(VLOOKUP(A7236, IMPORTRANGE(""https://docs.google.com/spreadsheets/d/1-3Vjw2Cyy-mry5gbC8ypIR3YVGFfEpyFESummAta6sg/edit"", ""Sheet1!B:D""), 3, FALSE), ""Not Found"")"),"ʃ ɔ r ")</f>
        <v>ʃ ɔ r </v>
      </c>
    </row>
    <row r="7237">
      <c r="A7237" s="1" t="s">
        <v>7239</v>
      </c>
      <c r="B7237" s="1" t="s">
        <v>6138</v>
      </c>
      <c r="C7237" s="2">
        <f>IFERROR(__xludf.DUMMYFUNCTION("IFERROR(VLOOKUP(A7237, IMPORTRANGE(""https://docs.google.com/spreadsheets/d/1AVX9GT0dgogEBStecCXMMQ29tWz3gBrtNB8yIromXbY/edit?gid=741673867"", ""out1g!A:B""), 2, FALSE), 0)"),394.0)</f>
        <v>394</v>
      </c>
      <c r="D7237" s="2" t="str">
        <f>IFERROR(__xludf.DUMMYFUNCTION("IFERROR(VLOOKUP(A7237, IMPORTRANGE(""https://docs.google.com/spreadsheets/d/1-3Vjw2Cyy-mry5gbC8ypIR3YVGFfEpyFESummAta6sg/edit"", ""Sheet1!B:D""), 2, FALSE), ""Not Found"")"),"ədɔr")</f>
        <v>ədɔr</v>
      </c>
      <c r="E7237" s="2" t="str">
        <f>IFERROR(__xludf.DUMMYFUNCTION("IFERROR(VLOOKUP(A7237, IMPORTRANGE(""https://docs.google.com/spreadsheets/d/1-3Vjw2Cyy-mry5gbC8ypIR3YVGFfEpyFESummAta6sg/edit"", ""Sheet1!B:D""), 3, FALSE), ""Not Found"")"),"ə d ɔ r ")</f>
        <v>ə d ɔ r </v>
      </c>
    </row>
    <row r="7238">
      <c r="A7238" s="1" t="s">
        <v>7240</v>
      </c>
      <c r="B7238" s="1" t="s">
        <v>6138</v>
      </c>
      <c r="C7238" s="2">
        <f>IFERROR(__xludf.DUMMYFUNCTION("IFERROR(VLOOKUP(A7238, IMPORTRANGE(""https://docs.google.com/spreadsheets/d/1AVX9GT0dgogEBStecCXMMQ29tWz3gBrtNB8yIromXbY/edit?gid=741673867"", ""out1g!A:B""), 2, FALSE), 0)"),89.0)</f>
        <v>89</v>
      </c>
      <c r="D7238" s="2" t="str">
        <f>IFERROR(__xludf.DUMMYFUNCTION("IFERROR(VLOOKUP(A7238, IMPORTRANGE(""https://docs.google.com/spreadsheets/d/1-3Vjw2Cyy-mry5gbC8ypIR3YVGFfEpyFESummAta6sg/edit"", ""Sheet1!B:D""), 2, FALSE), ""Not Found"")"),"hɑndoʊ")</f>
        <v>hɑndoʊ</v>
      </c>
      <c r="E7238" s="2" t="str">
        <f>IFERROR(__xludf.DUMMYFUNCTION("IFERROR(VLOOKUP(A7238, IMPORTRANGE(""https://docs.google.com/spreadsheets/d/1-3Vjw2Cyy-mry5gbC8ypIR3YVGFfEpyFESummAta6sg/edit"", ""Sheet1!B:D""), 3, FALSE), ""Not Found"")"),"h ɑ n d o ʊ ")</f>
        <v>h ɑ n d o ʊ </v>
      </c>
    </row>
    <row r="7239">
      <c r="A7239" s="1" t="s">
        <v>7241</v>
      </c>
      <c r="B7239" s="1" t="s">
        <v>6138</v>
      </c>
      <c r="C7239" s="2">
        <f>IFERROR(__xludf.DUMMYFUNCTION("IFERROR(VLOOKUP(A7239, IMPORTRANGE(""https://docs.google.com/spreadsheets/d/1AVX9GT0dgogEBStecCXMMQ29tWz3gBrtNB8yIromXbY/edit?gid=741673867"", ""out1g!A:B""), 2, FALSE), 0)"),2887.0)</f>
        <v>2887</v>
      </c>
      <c r="D7239" s="2" t="str">
        <f>IFERROR(__xludf.DUMMYFUNCTION("IFERROR(VLOOKUP(A7239, IMPORTRANGE(""https://docs.google.com/spreadsheets/d/1-3Vjw2Cyy-mry5gbC8ypIR3YVGFfEpyFESummAta6sg/edit"", ""Sheet1!B:D""), 2, FALSE), ""Not Found"")"),"hɛvən")</f>
        <v>hɛvən</v>
      </c>
      <c r="E7239" s="2" t="str">
        <f>IFERROR(__xludf.DUMMYFUNCTION("IFERROR(VLOOKUP(A7239, IMPORTRANGE(""https://docs.google.com/spreadsheets/d/1-3Vjw2Cyy-mry5gbC8ypIR3YVGFfEpyFESummAta6sg/edit"", ""Sheet1!B:D""), 3, FALSE), ""Not Found"")"),"h ɛ v ə n ")</f>
        <v>h ɛ v ə n </v>
      </c>
    </row>
    <row r="7240">
      <c r="A7240" s="1" t="s">
        <v>7242</v>
      </c>
      <c r="B7240" s="1" t="s">
        <v>6138</v>
      </c>
      <c r="C7240" s="2">
        <f>IFERROR(__xludf.DUMMYFUNCTION("IFERROR(VLOOKUP(A7240, IMPORTRANGE(""https://docs.google.com/spreadsheets/d/1AVX9GT0dgogEBStecCXMMQ29tWz3gBrtNB8yIromXbY/edit?gid=741673867"", ""out1g!A:B""), 2, FALSE), 0)"),147.0)</f>
        <v>147</v>
      </c>
      <c r="D7240" s="2" t="str">
        <f>IFERROR(__xludf.DUMMYFUNCTION("IFERROR(VLOOKUP(A7240, IMPORTRANGE(""https://docs.google.com/spreadsheets/d/1-3Vjw2Cyy-mry5gbC8ypIR3YVGFfEpyFESummAta6sg/edit"", ""Sheet1!B:D""), 2, FALSE), ""Not Found"")"),"ræpɪŋ")</f>
        <v>ræpɪŋ</v>
      </c>
      <c r="E7240" s="2" t="str">
        <f>IFERROR(__xludf.DUMMYFUNCTION("IFERROR(VLOOKUP(A7240, IMPORTRANGE(""https://docs.google.com/spreadsheets/d/1-3Vjw2Cyy-mry5gbC8ypIR3YVGFfEpyFESummAta6sg/edit"", ""Sheet1!B:D""), 3, FALSE), ""Not Found"")"),"r æ p ɪ ŋ ")</f>
        <v>r æ p ɪ ŋ </v>
      </c>
    </row>
    <row r="7241">
      <c r="A7241" s="1" t="s">
        <v>7243</v>
      </c>
      <c r="B7241" s="1" t="s">
        <v>6138</v>
      </c>
      <c r="C7241" s="2">
        <f>IFERROR(__xludf.DUMMYFUNCTION("IFERROR(VLOOKUP(A7241, IMPORTRANGE(""https://docs.google.com/spreadsheets/d/1AVX9GT0dgogEBStecCXMMQ29tWz3gBrtNB8yIromXbY/edit?gid=741673867"", ""out1g!A:B""), 2, FALSE), 0)"),812.0)</f>
        <v>812</v>
      </c>
      <c r="D7241" s="2" t="str">
        <f>IFERROR(__xludf.DUMMYFUNCTION("IFERROR(VLOOKUP(A7241, IMPORTRANGE(""https://docs.google.com/spreadsheets/d/1-3Vjw2Cyy-mry5gbC8ypIR3YVGFfEpyFESummAta6sg/edit"", ""Sheet1!B:D""), 2, FALSE), ""Not Found"")"),"ɛndɪŋ")</f>
        <v>ɛndɪŋ</v>
      </c>
      <c r="E7241" s="2" t="str">
        <f>IFERROR(__xludf.DUMMYFUNCTION("IFERROR(VLOOKUP(A7241, IMPORTRANGE(""https://docs.google.com/spreadsheets/d/1-3Vjw2Cyy-mry5gbC8ypIR3YVGFfEpyFESummAta6sg/edit"", ""Sheet1!B:D""), 3, FALSE), ""Not Found"")"),"ɛ n d ɪ ŋ ")</f>
        <v>ɛ n d ɪ ŋ </v>
      </c>
    </row>
    <row r="7242">
      <c r="A7242" s="1" t="s">
        <v>7244</v>
      </c>
      <c r="B7242" s="1" t="s">
        <v>6138</v>
      </c>
      <c r="C7242" s="2">
        <f>IFERROR(__xludf.DUMMYFUNCTION("IFERROR(VLOOKUP(A7242, IMPORTRANGE(""https://docs.google.com/spreadsheets/d/1AVX9GT0dgogEBStecCXMMQ29tWz3gBrtNB8yIromXbY/edit?gid=741673867"", ""out1g!A:B""), 2, FALSE), 0)"),144.0)</f>
        <v>144</v>
      </c>
      <c r="D7242" s="2" t="str">
        <f>IFERROR(__xludf.DUMMYFUNCTION("IFERROR(VLOOKUP(A7242, IMPORTRANGE(""https://docs.google.com/spreadsheets/d/1-3Vjw2Cyy-mry5gbC8ypIR3YVGFfEpyFESummAta6sg/edit"", ""Sheet1!B:D""), 2, FALSE), ""Not Found"")"),"blæŋks")</f>
        <v>blæŋks</v>
      </c>
      <c r="E7242" s="2" t="str">
        <f>IFERROR(__xludf.DUMMYFUNCTION("IFERROR(VLOOKUP(A7242, IMPORTRANGE(""https://docs.google.com/spreadsheets/d/1-3Vjw2Cyy-mry5gbC8ypIR3YVGFfEpyFESummAta6sg/edit"", ""Sheet1!B:D""), 3, FALSE), ""Not Found"")"),"b l æ ŋ k s ")</f>
        <v>b l æ ŋ k s </v>
      </c>
    </row>
    <row r="7243">
      <c r="A7243" s="1" t="s">
        <v>7245</v>
      </c>
      <c r="B7243" s="1" t="s">
        <v>6138</v>
      </c>
      <c r="C7243" s="2">
        <f>IFERROR(__xludf.DUMMYFUNCTION("IFERROR(VLOOKUP(A7243, IMPORTRANGE(""https://docs.google.com/spreadsheets/d/1AVX9GT0dgogEBStecCXMMQ29tWz3gBrtNB8yIromXbY/edit?gid=741673867"", ""out1g!A:B""), 2, FALSE), 0)"),177.0)</f>
        <v>177</v>
      </c>
      <c r="D7243" s="2" t="str">
        <f>IFERROR(__xludf.DUMMYFUNCTION("IFERROR(VLOOKUP(A7243, IMPORTRANGE(""https://docs.google.com/spreadsheets/d/1-3Vjw2Cyy-mry5gbC8ypIR3YVGFfEpyFESummAta6sg/edit"", ""Sheet1!B:D""), 2, FALSE), ""Not Found"")"),"bəmps")</f>
        <v>bəmps</v>
      </c>
      <c r="E7243" s="2" t="str">
        <f>IFERROR(__xludf.DUMMYFUNCTION("IFERROR(VLOOKUP(A7243, IMPORTRANGE(""https://docs.google.com/spreadsheets/d/1-3Vjw2Cyy-mry5gbC8ypIR3YVGFfEpyFESummAta6sg/edit"", ""Sheet1!B:D""), 3, FALSE), ""Not Found"")"),"b ə m p s ")</f>
        <v>b ə m p s </v>
      </c>
    </row>
    <row r="7244">
      <c r="A7244" s="1" t="s">
        <v>7246</v>
      </c>
      <c r="B7244" s="1" t="s">
        <v>6138</v>
      </c>
      <c r="C7244" s="2">
        <f>IFERROR(__xludf.DUMMYFUNCTION("IFERROR(VLOOKUP(A7244, IMPORTRANGE(""https://docs.google.com/spreadsheets/d/1AVX9GT0dgogEBStecCXMMQ29tWz3gBrtNB8yIromXbY/edit?gid=741673867"", ""out1g!A:B""), 2, FALSE), 0)"),106.0)</f>
        <v>106</v>
      </c>
      <c r="D7244" s="2" t="str">
        <f>IFERROR(__xludf.DUMMYFUNCTION("IFERROR(VLOOKUP(A7244, IMPORTRANGE(""https://docs.google.com/spreadsheets/d/1-3Vjw2Cyy-mry5gbC8ypIR3YVGFfEpyFESummAta6sg/edit"", ""Sheet1!B:D""), 2, FALSE), ""Not Found"")"),"foʊldɪŋ")</f>
        <v>foʊldɪŋ</v>
      </c>
      <c r="E7244" s="2" t="str">
        <f>IFERROR(__xludf.DUMMYFUNCTION("IFERROR(VLOOKUP(A7244, IMPORTRANGE(""https://docs.google.com/spreadsheets/d/1-3Vjw2Cyy-mry5gbC8ypIR3YVGFfEpyFESummAta6sg/edit"", ""Sheet1!B:D""), 3, FALSE), ""Not Found"")"),"f o ʊ l d ɪ ŋ ")</f>
        <v>f o ʊ l d ɪ ŋ </v>
      </c>
    </row>
    <row r="7245">
      <c r="A7245" s="1" t="s">
        <v>7247</v>
      </c>
      <c r="B7245" s="1" t="s">
        <v>6138</v>
      </c>
      <c r="C7245" s="2">
        <f>IFERROR(__xludf.DUMMYFUNCTION("IFERROR(VLOOKUP(A7245, IMPORTRANGE(""https://docs.google.com/spreadsheets/d/1AVX9GT0dgogEBStecCXMMQ29tWz3gBrtNB8yIromXbY/edit?gid=741673867"", ""out1g!A:B""), 2, FALSE), 0)"),159.0)</f>
        <v>159</v>
      </c>
      <c r="D7245" s="2" t="str">
        <f>IFERROR(__xludf.DUMMYFUNCTION("IFERROR(VLOOKUP(A7245, IMPORTRANGE(""https://docs.google.com/spreadsheets/d/1-3Vjw2Cyy-mry5gbC8ypIR3YVGFfEpyFESummAta6sg/edit"", ""Sheet1!B:D""), 2, FALSE), ""Not Found"")"),"pəmpt")</f>
        <v>pəmpt</v>
      </c>
      <c r="E7245" s="2" t="str">
        <f>IFERROR(__xludf.DUMMYFUNCTION("IFERROR(VLOOKUP(A7245, IMPORTRANGE(""https://docs.google.com/spreadsheets/d/1-3Vjw2Cyy-mry5gbC8ypIR3YVGFfEpyFESummAta6sg/edit"", ""Sheet1!B:D""), 3, FALSE), ""Not Found"")"),"p ə m p t ")</f>
        <v>p ə m p t </v>
      </c>
    </row>
    <row r="7246">
      <c r="A7246" s="1" t="s">
        <v>7248</v>
      </c>
      <c r="B7246" s="1" t="s">
        <v>6138</v>
      </c>
      <c r="C7246" s="2">
        <f>IFERROR(__xludf.DUMMYFUNCTION("IFERROR(VLOOKUP(A7246, IMPORTRANGE(""https://docs.google.com/spreadsheets/d/1AVX9GT0dgogEBStecCXMMQ29tWz3gBrtNB8yIromXbY/edit?gid=741673867"", ""out1g!A:B""), 2, FALSE), 0)"),56.0)</f>
        <v>56</v>
      </c>
      <c r="D7246" s="2" t="str">
        <f>IFERROR(__xludf.DUMMYFUNCTION("IFERROR(VLOOKUP(A7246, IMPORTRANGE(""https://docs.google.com/spreadsheets/d/1-3Vjw2Cyy-mry5gbC8ypIR3YVGFfEpyFESummAta6sg/edit"", ""Sheet1!B:D""), 2, FALSE), ""Not Found"")"),"snizɪŋ")</f>
        <v>snizɪŋ</v>
      </c>
      <c r="E7246" s="2" t="str">
        <f>IFERROR(__xludf.DUMMYFUNCTION("IFERROR(VLOOKUP(A7246, IMPORTRANGE(""https://docs.google.com/spreadsheets/d/1-3Vjw2Cyy-mry5gbC8ypIR3YVGFfEpyFESummAta6sg/edit"", ""Sheet1!B:D""), 3, FALSE), ""Not Found"")"),"s n i z ɪ ŋ ")</f>
        <v>s n i z ɪ ŋ </v>
      </c>
    </row>
    <row r="7247">
      <c r="A7247" s="1" t="s">
        <v>7249</v>
      </c>
      <c r="B7247" s="1" t="s">
        <v>6138</v>
      </c>
      <c r="C7247" s="2">
        <f>IFERROR(__xludf.DUMMYFUNCTION("IFERROR(VLOOKUP(A7247, IMPORTRANGE(""https://docs.google.com/spreadsheets/d/1AVX9GT0dgogEBStecCXMMQ29tWz3gBrtNB8yIromXbY/edit?gid=741673867"", ""out1g!A:B""), 2, FALSE), 0)"),27.0)</f>
        <v>27</v>
      </c>
      <c r="D7247" s="2" t="str">
        <f>IFERROR(__xludf.DUMMYFUNCTION("IFERROR(VLOOKUP(A7247, IMPORTRANGE(""https://docs.google.com/spreadsheets/d/1-3Vjw2Cyy-mry5gbC8ypIR3YVGFfEpyFESummAta6sg/edit"", ""Sheet1!B:D""), 2, FALSE), ""Not Found"")"),"dukəl")</f>
        <v>dukəl</v>
      </c>
      <c r="E7247" s="2" t="str">
        <f>IFERROR(__xludf.DUMMYFUNCTION("IFERROR(VLOOKUP(A7247, IMPORTRANGE(""https://docs.google.com/spreadsheets/d/1-3Vjw2Cyy-mry5gbC8ypIR3YVGFfEpyFESummAta6sg/edit"", ""Sheet1!B:D""), 3, FALSE), ""Not Found"")"),"d u k ə l ")</f>
        <v>d u k ə l </v>
      </c>
    </row>
    <row r="7248">
      <c r="A7248" s="1" t="s">
        <v>7250</v>
      </c>
      <c r="B7248" s="1" t="s">
        <v>6138</v>
      </c>
      <c r="C7248" s="2">
        <f>IFERROR(__xludf.DUMMYFUNCTION("IFERROR(VLOOKUP(A7248, IMPORTRANGE(""https://docs.google.com/spreadsheets/d/1AVX9GT0dgogEBStecCXMMQ29tWz3gBrtNB8yIromXbY/edit?gid=741673867"", ""out1g!A:B""), 2, FALSE), 0)"),13045.0)</f>
        <v>13045</v>
      </c>
      <c r="D7248" s="2" t="str">
        <f>IFERROR(__xludf.DUMMYFUNCTION("IFERROR(VLOOKUP(A7248, IMPORTRANGE(""https://docs.google.com/spreadsheets/d/1-3Vjw2Cyy-mry5gbC8ypIR3YVGFfEpyFESummAta6sg/edit"", ""Sheet1!B:D""), 2, FALSE), ""Not Found"")"),"fɔr")</f>
        <v>fɔr</v>
      </c>
      <c r="E7248" s="2" t="str">
        <f>IFERROR(__xludf.DUMMYFUNCTION("IFERROR(VLOOKUP(A7248, IMPORTRANGE(""https://docs.google.com/spreadsheets/d/1-3Vjw2Cyy-mry5gbC8ypIR3YVGFfEpyFESummAta6sg/edit"", ""Sheet1!B:D""), 3, FALSE), ""Not Found"")"),"f ɔ r ")</f>
        <v>f ɔ r </v>
      </c>
    </row>
    <row r="7249">
      <c r="A7249" s="1" t="s">
        <v>7251</v>
      </c>
      <c r="B7249" s="1" t="s">
        <v>6138</v>
      </c>
      <c r="C7249" s="2">
        <f>IFERROR(__xludf.DUMMYFUNCTION("IFERROR(VLOOKUP(A7249, IMPORTRANGE(""https://docs.google.com/spreadsheets/d/1AVX9GT0dgogEBStecCXMMQ29tWz3gBrtNB8yIromXbY/edit?gid=741673867"", ""out1g!A:B""), 2, FALSE), 0)"),121.0)</f>
        <v>121</v>
      </c>
      <c r="D7249" s="2" t="str">
        <f>IFERROR(__xludf.DUMMYFUNCTION("IFERROR(VLOOKUP(A7249, IMPORTRANGE(""https://docs.google.com/spreadsheets/d/1-3Vjw2Cyy-mry5gbC8ypIR3YVGFfEpyFESummAta6sg/edit"", ""Sheet1!B:D""), 2, FALSE), ""Not Found"")"),"frɔsti")</f>
        <v>frɔsti</v>
      </c>
      <c r="E7249" s="2" t="str">
        <f>IFERROR(__xludf.DUMMYFUNCTION("IFERROR(VLOOKUP(A7249, IMPORTRANGE(""https://docs.google.com/spreadsheets/d/1-3Vjw2Cyy-mry5gbC8ypIR3YVGFfEpyFESummAta6sg/edit"", ""Sheet1!B:D""), 3, FALSE), ""Not Found"")"),"f r ɔ s t i ")</f>
        <v>f r ɔ s t i </v>
      </c>
    </row>
    <row r="7250">
      <c r="A7250" s="1" t="s">
        <v>7252</v>
      </c>
      <c r="B7250" s="1" t="s">
        <v>6138</v>
      </c>
      <c r="C7250" s="2">
        <f>IFERROR(__xludf.DUMMYFUNCTION("IFERROR(VLOOKUP(A7250, IMPORTRANGE(""https://docs.google.com/spreadsheets/d/1AVX9GT0dgogEBStecCXMMQ29tWz3gBrtNB8yIromXbY/edit?gid=741673867"", ""out1g!A:B""), 2, FALSE), 0)"),69.0)</f>
        <v>69</v>
      </c>
      <c r="D7250" s="2" t="str">
        <f>IFERROR(__xludf.DUMMYFUNCTION("IFERROR(VLOOKUP(A7250, IMPORTRANGE(""https://docs.google.com/spreadsheets/d/1-3Vjw2Cyy-mry5gbC8ypIR3YVGFfEpyFESummAta6sg/edit"", ""Sheet1!B:D""), 2, FALSE), ""Not Found"")"),"hævək")</f>
        <v>hævək</v>
      </c>
      <c r="E7250" s="2" t="str">
        <f>IFERROR(__xludf.DUMMYFUNCTION("IFERROR(VLOOKUP(A7250, IMPORTRANGE(""https://docs.google.com/spreadsheets/d/1-3Vjw2Cyy-mry5gbC8ypIR3YVGFfEpyFESummAta6sg/edit"", ""Sheet1!B:D""), 3, FALSE), ""Not Found"")"),"h æ v ə k ")</f>
        <v>h æ v ə k </v>
      </c>
    </row>
    <row r="7251">
      <c r="A7251" s="1" t="s">
        <v>7253</v>
      </c>
      <c r="B7251" s="1" t="s">
        <v>6138</v>
      </c>
      <c r="C7251" s="2">
        <f>IFERROR(__xludf.DUMMYFUNCTION("IFERROR(VLOOKUP(A7251, IMPORTRANGE(""https://docs.google.com/spreadsheets/d/1AVX9GT0dgogEBStecCXMMQ29tWz3gBrtNB8yIromXbY/edit?gid=741673867"", ""out1g!A:B""), 2, FALSE), 0)"),596.0)</f>
        <v>596</v>
      </c>
      <c r="D7251" s="2" t="str">
        <f>IFERROR(__xludf.DUMMYFUNCTION("IFERROR(VLOOKUP(A7251, IMPORTRANGE(""https://docs.google.com/spreadsheets/d/1-3Vjw2Cyy-mry5gbC8ypIR3YVGFfEpyFESummAta6sg/edit"", ""Sheet1!B:D""), 2, FALSE), ""Not Found"")"),"ʧɑpər")</f>
        <v>ʧɑpər</v>
      </c>
      <c r="E7251" s="2" t="str">
        <f>IFERROR(__xludf.DUMMYFUNCTION("IFERROR(VLOOKUP(A7251, IMPORTRANGE(""https://docs.google.com/spreadsheets/d/1-3Vjw2Cyy-mry5gbC8ypIR3YVGFfEpyFESummAta6sg/edit"", ""Sheet1!B:D""), 3, FALSE), ""Not Found"")"),"ʧ ɑ p ə r ")</f>
        <v>ʧ ɑ p ə r </v>
      </c>
    </row>
    <row r="7252">
      <c r="A7252" s="1" t="s">
        <v>7254</v>
      </c>
      <c r="B7252" s="1" t="s">
        <v>6138</v>
      </c>
      <c r="C7252" s="2">
        <f>IFERROR(__xludf.DUMMYFUNCTION("IFERROR(VLOOKUP(A7252, IMPORTRANGE(""https://docs.google.com/spreadsheets/d/1AVX9GT0dgogEBStecCXMMQ29tWz3gBrtNB8yIromXbY/edit?gid=741673867"", ""out1g!A:B""), 2, FALSE), 0)"),522.0)</f>
        <v>522</v>
      </c>
      <c r="D7252" s="2" t="str">
        <f>IFERROR(__xludf.DUMMYFUNCTION("IFERROR(VLOOKUP(A7252, IMPORTRANGE(""https://docs.google.com/spreadsheets/d/1-3Vjw2Cyy-mry5gbC8ypIR3YVGFfEpyFESummAta6sg/edit"", ""Sheet1!B:D""), 2, FALSE), ""Not Found"")"),"rændəm")</f>
        <v>rændəm</v>
      </c>
      <c r="E7252" s="2" t="str">
        <f>IFERROR(__xludf.DUMMYFUNCTION("IFERROR(VLOOKUP(A7252, IMPORTRANGE(""https://docs.google.com/spreadsheets/d/1-3Vjw2Cyy-mry5gbC8ypIR3YVGFfEpyFESummAta6sg/edit"", ""Sheet1!B:D""), 3, FALSE), ""Not Found"")"),"r æ n d ə m ")</f>
        <v>r æ n d ə m </v>
      </c>
    </row>
    <row r="7253">
      <c r="A7253" s="1" t="s">
        <v>7255</v>
      </c>
      <c r="B7253" s="1" t="s">
        <v>6138</v>
      </c>
      <c r="C7253" s="2">
        <f>IFERROR(__xludf.DUMMYFUNCTION("IFERROR(VLOOKUP(A7253, IMPORTRANGE(""https://docs.google.com/spreadsheets/d/1AVX9GT0dgogEBStecCXMMQ29tWz3gBrtNB8yIromXbY/edit?gid=741673867"", ""out1g!A:B""), 2, FALSE), 0)"),709.0)</f>
        <v>709</v>
      </c>
      <c r="D7253" s="2" t="str">
        <f>IFERROR(__xludf.DUMMYFUNCTION("IFERROR(VLOOKUP(A7253, IMPORTRANGE(""https://docs.google.com/spreadsheets/d/1-3Vjw2Cyy-mry5gbC8ypIR3YVGFfEpyFESummAta6sg/edit"", ""Sheet1!B:D""), 2, FALSE), ""Not Found"")"),"mesən")</f>
        <v>mesən</v>
      </c>
      <c r="E7253" s="2" t="str">
        <f>IFERROR(__xludf.DUMMYFUNCTION("IFERROR(VLOOKUP(A7253, IMPORTRANGE(""https://docs.google.com/spreadsheets/d/1-3Vjw2Cyy-mry5gbC8ypIR3YVGFfEpyFESummAta6sg/edit"", ""Sheet1!B:D""), 3, FALSE), ""Not Found"")"),"m e s ə n ")</f>
        <v>m e s ə n </v>
      </c>
    </row>
    <row r="7254">
      <c r="A7254" s="1" t="s">
        <v>7256</v>
      </c>
      <c r="B7254" s="1" t="s">
        <v>6138</v>
      </c>
      <c r="C7254" s="2">
        <f>IFERROR(__xludf.DUMMYFUNCTION("IFERROR(VLOOKUP(A7254, IMPORTRANGE(""https://docs.google.com/spreadsheets/d/1AVX9GT0dgogEBStecCXMMQ29tWz3gBrtNB8yIromXbY/edit?gid=741673867"", ""out1g!A:B""), 2, FALSE), 0)"),68.0)</f>
        <v>68</v>
      </c>
      <c r="D7254" s="2" t="str">
        <f>IFERROR(__xludf.DUMMYFUNCTION("IFERROR(VLOOKUP(A7254, IMPORTRANGE(""https://docs.google.com/spreadsheets/d/1-3Vjw2Cyy-mry5gbC8ypIR3YVGFfEpyFESummAta6sg/edit"", ""Sheet1!B:D""), 2, FALSE), ""Not Found"")"),"kɪdi")</f>
        <v>kɪdi</v>
      </c>
      <c r="E7254" s="2" t="str">
        <f>IFERROR(__xludf.DUMMYFUNCTION("IFERROR(VLOOKUP(A7254, IMPORTRANGE(""https://docs.google.com/spreadsheets/d/1-3Vjw2Cyy-mry5gbC8ypIR3YVGFfEpyFESummAta6sg/edit"", ""Sheet1!B:D""), 3, FALSE), ""Not Found"")"),"k ɪ d i ")</f>
        <v>k ɪ d i </v>
      </c>
    </row>
    <row r="7255">
      <c r="A7255" s="1" t="s">
        <v>7257</v>
      </c>
      <c r="B7255" s="1" t="s">
        <v>6138</v>
      </c>
      <c r="C7255" s="2">
        <f>IFERROR(__xludf.DUMMYFUNCTION("IFERROR(VLOOKUP(A7255, IMPORTRANGE(""https://docs.google.com/spreadsheets/d/1AVX9GT0dgogEBStecCXMMQ29tWz3gBrtNB8yIromXbY/edit?gid=741673867"", ""out1g!A:B""), 2, FALSE), 0)"),87.0)</f>
        <v>87</v>
      </c>
      <c r="D7255" s="2" t="str">
        <f>IFERROR(__xludf.DUMMYFUNCTION("IFERROR(VLOOKUP(A7255, IMPORTRANGE(""https://docs.google.com/spreadsheets/d/1-3Vjw2Cyy-mry5gbC8ypIR3YVGFfEpyFESummAta6sg/edit"", ""Sheet1!B:D""), 2, FALSE), ""Not Found"")"),"bɑndɪʤ")</f>
        <v>bɑndɪʤ</v>
      </c>
      <c r="E7255" s="2" t="str">
        <f>IFERROR(__xludf.DUMMYFUNCTION("IFERROR(VLOOKUP(A7255, IMPORTRANGE(""https://docs.google.com/spreadsheets/d/1-3Vjw2Cyy-mry5gbC8ypIR3YVGFfEpyFESummAta6sg/edit"", ""Sheet1!B:D""), 3, FALSE), ""Not Found"")"),"b ɑ n d ɪ ʤ ")</f>
        <v>b ɑ n d ɪ ʤ </v>
      </c>
    </row>
    <row r="7256">
      <c r="A7256" s="1" t="s">
        <v>7258</v>
      </c>
      <c r="B7256" s="1" t="s">
        <v>6138</v>
      </c>
      <c r="C7256" s="2">
        <f>IFERROR(__xludf.DUMMYFUNCTION("IFERROR(VLOOKUP(A7256, IMPORTRANGE(""https://docs.google.com/spreadsheets/d/1AVX9GT0dgogEBStecCXMMQ29tWz3gBrtNB8yIromXbY/edit?gid=741673867"", ""out1g!A:B""), 2, FALSE), 0)"),91.0)</f>
        <v>91</v>
      </c>
      <c r="D7256" s="2" t="str">
        <f>IFERROR(__xludf.DUMMYFUNCTION("IFERROR(VLOOKUP(A7256, IMPORTRANGE(""https://docs.google.com/spreadsheets/d/1-3Vjw2Cyy-mry5gbC8ypIR3YVGFfEpyFESummAta6sg/edit"", ""Sheet1!B:D""), 2, FALSE), ""Not Found"")"),"poʊzɪz")</f>
        <v>poʊzɪz</v>
      </c>
      <c r="E7256" s="2" t="str">
        <f>IFERROR(__xludf.DUMMYFUNCTION("IFERROR(VLOOKUP(A7256, IMPORTRANGE(""https://docs.google.com/spreadsheets/d/1-3Vjw2Cyy-mry5gbC8ypIR3YVGFfEpyFESummAta6sg/edit"", ""Sheet1!B:D""), 3, FALSE), ""Not Found"")"),"p o ʊ z ɪ z ")</f>
        <v>p o ʊ z ɪ z </v>
      </c>
    </row>
    <row r="7257">
      <c r="A7257" s="1" t="s">
        <v>7259</v>
      </c>
      <c r="B7257" s="1" t="s">
        <v>6138</v>
      </c>
      <c r="C7257" s="2">
        <f>IFERROR(__xludf.DUMMYFUNCTION("IFERROR(VLOOKUP(A7257, IMPORTRANGE(""https://docs.google.com/spreadsheets/d/1AVX9GT0dgogEBStecCXMMQ29tWz3gBrtNB8yIromXbY/edit?gid=741673867"", ""out1g!A:B""), 2, FALSE), 0)"),206.0)</f>
        <v>206</v>
      </c>
      <c r="D7257" s="2" t="str">
        <f>IFERROR(__xludf.DUMMYFUNCTION("IFERROR(VLOOKUP(A7257, IMPORTRANGE(""https://docs.google.com/spreadsheets/d/1-3Vjw2Cyy-mry5gbC8ypIR3YVGFfEpyFESummAta6sg/edit"", ""Sheet1!B:D""), 2, FALSE), ""Not Found"")"),"vjuz")</f>
        <v>vjuz</v>
      </c>
      <c r="E7257" s="2" t="str">
        <f>IFERROR(__xludf.DUMMYFUNCTION("IFERROR(VLOOKUP(A7257, IMPORTRANGE(""https://docs.google.com/spreadsheets/d/1-3Vjw2Cyy-mry5gbC8ypIR3YVGFfEpyFESummAta6sg/edit"", ""Sheet1!B:D""), 3, FALSE), ""Not Found"")"),"v j u z ")</f>
        <v>v j u z </v>
      </c>
    </row>
    <row r="7258">
      <c r="A7258" s="1" t="s">
        <v>7260</v>
      </c>
      <c r="B7258" s="1" t="s">
        <v>6138</v>
      </c>
      <c r="C7258" s="2">
        <f>IFERROR(__xludf.DUMMYFUNCTION("IFERROR(VLOOKUP(A7258, IMPORTRANGE(""https://docs.google.com/spreadsheets/d/1AVX9GT0dgogEBStecCXMMQ29tWz3gBrtNB8yIromXbY/edit?gid=741673867"", ""out1g!A:B""), 2, FALSE), 0)"),14.0)</f>
        <v>14</v>
      </c>
      <c r="D7258" s="2" t="str">
        <f>IFERROR(__xludf.DUMMYFUNCTION("IFERROR(VLOOKUP(A7258, IMPORTRANGE(""https://docs.google.com/spreadsheets/d/1-3Vjw2Cyy-mry5gbC8ypIR3YVGFfEpyFESummAta6sg/edit"", ""Sheet1!B:D""), 2, FALSE), ""Not Found"")"),"wərdɪŋ")</f>
        <v>wərdɪŋ</v>
      </c>
      <c r="E7258" s="2" t="str">
        <f>IFERROR(__xludf.DUMMYFUNCTION("IFERROR(VLOOKUP(A7258, IMPORTRANGE(""https://docs.google.com/spreadsheets/d/1-3Vjw2Cyy-mry5gbC8ypIR3YVGFfEpyFESummAta6sg/edit"", ""Sheet1!B:D""), 3, FALSE), ""Not Found"")"),"w ə r d ɪ ŋ ")</f>
        <v>w ə r d ɪ ŋ </v>
      </c>
    </row>
    <row r="7259">
      <c r="A7259" s="1" t="s">
        <v>7261</v>
      </c>
      <c r="B7259" s="1" t="s">
        <v>6138</v>
      </c>
      <c r="C7259" s="2">
        <f>IFERROR(__xludf.DUMMYFUNCTION("IFERROR(VLOOKUP(A7259, IMPORTRANGE(""https://docs.google.com/spreadsheets/d/1AVX9GT0dgogEBStecCXMMQ29tWz3gBrtNB8yIromXbY/edit?gid=741673867"", ""out1g!A:B""), 2, FALSE), 0)"),1440.0)</f>
        <v>1440</v>
      </c>
      <c r="D7259" s="2" t="str">
        <f>IFERROR(__xludf.DUMMYFUNCTION("IFERROR(VLOOKUP(A7259, IMPORTRANGE(""https://docs.google.com/spreadsheets/d/1-3Vjw2Cyy-mry5gbC8ypIR3YVGFfEpyFESummAta6sg/edit"", ""Sheet1!B:D""), 2, FALSE), ""Not Found"")"),"mæk")</f>
        <v>mæk</v>
      </c>
      <c r="E7259" s="2" t="str">
        <f>IFERROR(__xludf.DUMMYFUNCTION("IFERROR(VLOOKUP(A7259, IMPORTRANGE(""https://docs.google.com/spreadsheets/d/1-3Vjw2Cyy-mry5gbC8ypIR3YVGFfEpyFESummAta6sg/edit"", ""Sheet1!B:D""), 3, FALSE), ""Not Found"")"),"m æ k ")</f>
        <v>m æ k </v>
      </c>
    </row>
    <row r="7260">
      <c r="A7260" s="1" t="s">
        <v>7262</v>
      </c>
      <c r="B7260" s="1" t="s">
        <v>6138</v>
      </c>
      <c r="C7260" s="2">
        <f>IFERROR(__xludf.DUMMYFUNCTION("IFERROR(VLOOKUP(A7260, IMPORTRANGE(""https://docs.google.com/spreadsheets/d/1AVX9GT0dgogEBStecCXMMQ29tWz3gBrtNB8yIromXbY/edit?gid=741673867"", ""out1g!A:B""), 2, FALSE), 0)"),3467.0)</f>
        <v>3467</v>
      </c>
      <c r="D7260" s="2" t="str">
        <f>IFERROR(__xludf.DUMMYFUNCTION("IFERROR(VLOOKUP(A7260, IMPORTRANGE(""https://docs.google.com/spreadsheets/d/1-3Vjw2Cyy-mry5gbC8ypIR3YVGFfEpyFESummAta6sg/edit"", ""Sheet1!B:D""), 2, FALSE), ""Not Found"")"),"pʊtɪŋ")</f>
        <v>pʊtɪŋ</v>
      </c>
      <c r="E7260" s="2" t="str">
        <f>IFERROR(__xludf.DUMMYFUNCTION("IFERROR(VLOOKUP(A7260, IMPORTRANGE(""https://docs.google.com/spreadsheets/d/1-3Vjw2Cyy-mry5gbC8ypIR3YVGFfEpyFESummAta6sg/edit"", ""Sheet1!B:D""), 3, FALSE), ""Not Found"")"),"p ʊ t ɪ ŋ ")</f>
        <v>p ʊ t ɪ ŋ </v>
      </c>
    </row>
    <row r="7261">
      <c r="A7261" s="1" t="s">
        <v>7263</v>
      </c>
      <c r="B7261" s="1" t="s">
        <v>6138</v>
      </c>
      <c r="C7261" s="2">
        <f>IFERROR(__xludf.DUMMYFUNCTION("IFERROR(VLOOKUP(A7261, IMPORTRANGE(""https://docs.google.com/spreadsheets/d/1AVX9GT0dgogEBStecCXMMQ29tWz3gBrtNB8yIromXbY/edit?gid=741673867"", ""out1g!A:B""), 2, FALSE), 0)"),82.0)</f>
        <v>82</v>
      </c>
      <c r="D7261" s="2" t="str">
        <f>IFERROR(__xludf.DUMMYFUNCTION("IFERROR(VLOOKUP(A7261, IMPORTRANGE(""https://docs.google.com/spreadsheets/d/1-3Vjw2Cyy-mry5gbC8ypIR3YVGFfEpyFESummAta6sg/edit"", ""Sheet1!B:D""), 2, FALSE), ""Not Found"")"),"tɪpɪŋ")</f>
        <v>tɪpɪŋ</v>
      </c>
      <c r="E7261" s="2" t="str">
        <f>IFERROR(__xludf.DUMMYFUNCTION("IFERROR(VLOOKUP(A7261, IMPORTRANGE(""https://docs.google.com/spreadsheets/d/1-3Vjw2Cyy-mry5gbC8ypIR3YVGFfEpyFESummAta6sg/edit"", ""Sheet1!B:D""), 3, FALSE), ""Not Found"")"),"t ɪ p ɪ ŋ ")</f>
        <v>t ɪ p ɪ ŋ </v>
      </c>
    </row>
    <row r="7262">
      <c r="A7262" s="1" t="s">
        <v>7264</v>
      </c>
      <c r="B7262" s="1" t="s">
        <v>6138</v>
      </c>
      <c r="C7262" s="2">
        <f>IFERROR(__xludf.DUMMYFUNCTION("IFERROR(VLOOKUP(A7262, IMPORTRANGE(""https://docs.google.com/spreadsheets/d/1AVX9GT0dgogEBStecCXMMQ29tWz3gBrtNB8yIromXbY/edit?gid=741673867"", ""out1g!A:B""), 2, FALSE), 0)"),585.0)</f>
        <v>585</v>
      </c>
      <c r="D7262" s="2" t="str">
        <f>IFERROR(__xludf.DUMMYFUNCTION("IFERROR(VLOOKUP(A7262, IMPORTRANGE(""https://docs.google.com/spreadsheets/d/1-3Vjw2Cyy-mry5gbC8ypIR3YVGFfEpyFESummAta6sg/edit"", ""Sheet1!B:D""), 2, FALSE), ""Not Found"")"),"sɛndz")</f>
        <v>sɛndz</v>
      </c>
      <c r="E7262" s="2" t="str">
        <f>IFERROR(__xludf.DUMMYFUNCTION("IFERROR(VLOOKUP(A7262, IMPORTRANGE(""https://docs.google.com/spreadsheets/d/1-3Vjw2Cyy-mry5gbC8ypIR3YVGFfEpyFESummAta6sg/edit"", ""Sheet1!B:D""), 3, FALSE), ""Not Found"")"),"s ɛ n d z ")</f>
        <v>s ɛ n d z </v>
      </c>
    </row>
    <row r="7263">
      <c r="A7263" s="1" t="s">
        <v>7265</v>
      </c>
      <c r="B7263" s="1" t="s">
        <v>6138</v>
      </c>
      <c r="C7263" s="2">
        <f>IFERROR(__xludf.DUMMYFUNCTION("IFERROR(VLOOKUP(A7263, IMPORTRANGE(""https://docs.google.com/spreadsheets/d/1AVX9GT0dgogEBStecCXMMQ29tWz3gBrtNB8yIromXbY/edit?gid=741673867"", ""out1g!A:B""), 2, FALSE), 0)"),266.0)</f>
        <v>266</v>
      </c>
      <c r="D7263" s="2" t="str">
        <f>IFERROR(__xludf.DUMMYFUNCTION("IFERROR(VLOOKUP(A7263, IMPORTRANGE(""https://docs.google.com/spreadsheets/d/1-3Vjw2Cyy-mry5gbC8ypIR3YVGFfEpyFESummAta6sg/edit"", ""Sheet1!B:D""), 2, FALSE), ""Not Found"")"),"əfɛnd")</f>
        <v>əfɛnd</v>
      </c>
      <c r="E7263" s="2" t="str">
        <f>IFERROR(__xludf.DUMMYFUNCTION("IFERROR(VLOOKUP(A7263, IMPORTRANGE(""https://docs.google.com/spreadsheets/d/1-3Vjw2Cyy-mry5gbC8ypIR3YVGFfEpyFESummAta6sg/edit"", ""Sheet1!B:D""), 3, FALSE), ""Not Found"")"),"ə f ɛ n d ")</f>
        <v>ə f ɛ n d </v>
      </c>
    </row>
    <row r="7264">
      <c r="A7264" s="1" t="s">
        <v>7266</v>
      </c>
      <c r="B7264" s="1" t="s">
        <v>6138</v>
      </c>
      <c r="C7264" s="2">
        <f>IFERROR(__xludf.DUMMYFUNCTION("IFERROR(VLOOKUP(A7264, IMPORTRANGE(""https://docs.google.com/spreadsheets/d/1AVX9GT0dgogEBStecCXMMQ29tWz3gBrtNB8yIromXbY/edit?gid=741673867"", ""out1g!A:B""), 2, FALSE), 0)"),190.0)</f>
        <v>190</v>
      </c>
      <c r="D7264" s="2" t="str">
        <f>IFERROR(__xludf.DUMMYFUNCTION("IFERROR(VLOOKUP(A7264, IMPORTRANGE(""https://docs.google.com/spreadsheets/d/1-3Vjw2Cyy-mry5gbC8ypIR3YVGFfEpyFESummAta6sg/edit"", ""Sheet1!B:D""), 2, FALSE), ""Not Found"")"),"træktər")</f>
        <v>træktər</v>
      </c>
      <c r="E7264" s="2" t="str">
        <f>IFERROR(__xludf.DUMMYFUNCTION("IFERROR(VLOOKUP(A7264, IMPORTRANGE(""https://docs.google.com/spreadsheets/d/1-3Vjw2Cyy-mry5gbC8ypIR3YVGFfEpyFESummAta6sg/edit"", ""Sheet1!B:D""), 3, FALSE), ""Not Found"")"),"t r æ k t ə r ")</f>
        <v>t r æ k t ə r </v>
      </c>
    </row>
    <row r="7265">
      <c r="A7265" s="1" t="s">
        <v>7267</v>
      </c>
      <c r="B7265" s="1" t="s">
        <v>6138</v>
      </c>
      <c r="C7265" s="2">
        <f>IFERROR(__xludf.DUMMYFUNCTION("IFERROR(VLOOKUP(A7265, IMPORTRANGE(""https://docs.google.com/spreadsheets/d/1AVX9GT0dgogEBStecCXMMQ29tWz3gBrtNB8yIromXbY/edit?gid=741673867"", ""out1g!A:B""), 2, FALSE), 0)"),5081.0)</f>
        <v>5081</v>
      </c>
      <c r="D7265" s="2" t="str">
        <f>IFERROR(__xludf.DUMMYFUNCTION("IFERROR(VLOOKUP(A7265, IMPORTRANGE(""https://docs.google.com/spreadsheets/d/1-3Vjw2Cyy-mry5gbC8ypIR3YVGFfEpyFESummAta6sg/edit"", ""Sheet1!B:D""), 2, FALSE), ""Not Found"")"),"wɑʧɪŋ")</f>
        <v>wɑʧɪŋ</v>
      </c>
      <c r="E7265" s="2" t="str">
        <f>IFERROR(__xludf.DUMMYFUNCTION("IFERROR(VLOOKUP(A7265, IMPORTRANGE(""https://docs.google.com/spreadsheets/d/1-3Vjw2Cyy-mry5gbC8ypIR3YVGFfEpyFESummAta6sg/edit"", ""Sheet1!B:D""), 3, FALSE), ""Not Found"")"),"w ɑ ʧ ɪ ŋ ")</f>
        <v>w ɑ ʧ ɪ ŋ </v>
      </c>
    </row>
    <row r="7266">
      <c r="A7266" s="1" t="s">
        <v>7268</v>
      </c>
      <c r="B7266" s="1" t="s">
        <v>6138</v>
      </c>
      <c r="C7266" s="2">
        <f>IFERROR(__xludf.DUMMYFUNCTION("IFERROR(VLOOKUP(A7266, IMPORTRANGE(""https://docs.google.com/spreadsheets/d/1AVX9GT0dgogEBStecCXMMQ29tWz3gBrtNB8yIromXbY/edit?gid=741673867"", ""out1g!A:B""), 2, FALSE), 0)"),71.0)</f>
        <v>71</v>
      </c>
      <c r="D7266" s="2" t="str">
        <f>IFERROR(__xludf.DUMMYFUNCTION("IFERROR(VLOOKUP(A7266, IMPORTRANGE(""https://docs.google.com/spreadsheets/d/1-3Vjw2Cyy-mry5gbC8ypIR3YVGFfEpyFESummAta6sg/edit"", ""Sheet1!B:D""), 2, FALSE), ""Not Found"")"),"hæmək")</f>
        <v>hæmək</v>
      </c>
      <c r="E7266" s="2" t="str">
        <f>IFERROR(__xludf.DUMMYFUNCTION("IFERROR(VLOOKUP(A7266, IMPORTRANGE(""https://docs.google.com/spreadsheets/d/1-3Vjw2Cyy-mry5gbC8ypIR3YVGFfEpyFESummAta6sg/edit"", ""Sheet1!B:D""), 3, FALSE), ""Not Found"")"),"h æ m ə k ")</f>
        <v>h æ m ə k </v>
      </c>
    </row>
    <row r="7267">
      <c r="A7267" s="1" t="s">
        <v>7269</v>
      </c>
      <c r="B7267" s="1" t="s">
        <v>6138</v>
      </c>
      <c r="C7267" s="2">
        <f>IFERROR(__xludf.DUMMYFUNCTION("IFERROR(VLOOKUP(A7267, IMPORTRANGE(""https://docs.google.com/spreadsheets/d/1AVX9GT0dgogEBStecCXMMQ29tWz3gBrtNB8yIromXbY/edit?gid=741673867"", ""out1g!A:B""), 2, FALSE), 0)"),148.0)</f>
        <v>148</v>
      </c>
      <c r="D7267" s="2" t="str">
        <f>IFERROR(__xludf.DUMMYFUNCTION("IFERROR(VLOOKUP(A7267, IMPORTRANGE(""https://docs.google.com/spreadsheets/d/1-3Vjw2Cyy-mry5gbC8ypIR3YVGFfEpyFESummAta6sg/edit"", ""Sheet1!B:D""), 2, FALSE), ""Not Found"")"),"nudəl")</f>
        <v>nudəl</v>
      </c>
      <c r="E7267" s="2" t="str">
        <f>IFERROR(__xludf.DUMMYFUNCTION("IFERROR(VLOOKUP(A7267, IMPORTRANGE(""https://docs.google.com/spreadsheets/d/1-3Vjw2Cyy-mry5gbC8ypIR3YVGFfEpyFESummAta6sg/edit"", ""Sheet1!B:D""), 3, FALSE), ""Not Found"")"),"n u d ə l ")</f>
        <v>n u d ə l </v>
      </c>
    </row>
    <row r="7268">
      <c r="A7268" s="1" t="s">
        <v>7270</v>
      </c>
      <c r="B7268" s="1" t="s">
        <v>6138</v>
      </c>
      <c r="C7268" s="2">
        <f>IFERROR(__xludf.DUMMYFUNCTION("IFERROR(VLOOKUP(A7268, IMPORTRANGE(""https://docs.google.com/spreadsheets/d/1AVX9GT0dgogEBStecCXMMQ29tWz3gBrtNB8yIromXbY/edit?gid=741673867"", ""out1g!A:B""), 2, FALSE), 0)"),60.0)</f>
        <v>60</v>
      </c>
      <c r="D7268" s="2" t="str">
        <f>IFERROR(__xludf.DUMMYFUNCTION("IFERROR(VLOOKUP(A7268, IMPORTRANGE(""https://docs.google.com/spreadsheets/d/1-3Vjw2Cyy-mry5gbC8ypIR3YVGFfEpyFESummAta6sg/edit"", ""Sheet1!B:D""), 2, FALSE), ""Not Found"")"),"ɪrɛkt")</f>
        <v>ɪrɛkt</v>
      </c>
      <c r="E7268" s="2" t="str">
        <f>IFERROR(__xludf.DUMMYFUNCTION("IFERROR(VLOOKUP(A7268, IMPORTRANGE(""https://docs.google.com/spreadsheets/d/1-3Vjw2Cyy-mry5gbC8ypIR3YVGFfEpyFESummAta6sg/edit"", ""Sheet1!B:D""), 3, FALSE), ""Not Found"")"),"ɪ r ɛ k t ")</f>
        <v>ɪ r ɛ k t </v>
      </c>
    </row>
    <row r="7269">
      <c r="A7269" s="1" t="s">
        <v>7271</v>
      </c>
      <c r="B7269" s="1" t="s">
        <v>6138</v>
      </c>
      <c r="C7269" s="2">
        <f>IFERROR(__xludf.DUMMYFUNCTION("IFERROR(VLOOKUP(A7269, IMPORTRANGE(""https://docs.google.com/spreadsheets/d/1AVX9GT0dgogEBStecCXMMQ29tWz3gBrtNB8yIromXbY/edit?gid=741673867"", ""out1g!A:B""), 2, FALSE), 0)"),140.0)</f>
        <v>140</v>
      </c>
      <c r="D7269" s="2" t="str">
        <f>IFERROR(__xludf.DUMMYFUNCTION("IFERROR(VLOOKUP(A7269, IMPORTRANGE(""https://docs.google.com/spreadsheets/d/1-3Vjw2Cyy-mry5gbC8ypIR3YVGFfEpyFESummAta6sg/edit"", ""Sheet1!B:D""), 2, FALSE), ""Not Found"")"),"litərz")</f>
        <v>litərz</v>
      </c>
      <c r="E7269" s="2" t="str">
        <f>IFERROR(__xludf.DUMMYFUNCTION("IFERROR(VLOOKUP(A7269, IMPORTRANGE(""https://docs.google.com/spreadsheets/d/1-3Vjw2Cyy-mry5gbC8ypIR3YVGFfEpyFESummAta6sg/edit"", ""Sheet1!B:D""), 3, FALSE), ""Not Found"")"),"l i t ə r z ")</f>
        <v>l i t ə r z </v>
      </c>
    </row>
    <row r="7270">
      <c r="A7270" s="1" t="s">
        <v>7272</v>
      </c>
      <c r="B7270" s="1" t="s">
        <v>6138</v>
      </c>
      <c r="C7270" s="2">
        <f>IFERROR(__xludf.DUMMYFUNCTION("IFERROR(VLOOKUP(A7270, IMPORTRANGE(""https://docs.google.com/spreadsheets/d/1AVX9GT0dgogEBStecCXMMQ29tWz3gBrtNB8yIromXbY/edit?gid=741673867"", ""out1g!A:B""), 2, FALSE), 0)"),91.0)</f>
        <v>91</v>
      </c>
      <c r="D7270" s="2" t="str">
        <f>IFERROR(__xludf.DUMMYFUNCTION("IFERROR(VLOOKUP(A7270, IMPORTRANGE(""https://docs.google.com/spreadsheets/d/1-3Vjw2Cyy-mry5gbC8ypIR3YVGFfEpyFESummAta6sg/edit"", ""Sheet1!B:D""), 2, FALSE), ""Not Found"")"),"ʧɛdər")</f>
        <v>ʧɛdər</v>
      </c>
      <c r="E7270" s="2" t="str">
        <f>IFERROR(__xludf.DUMMYFUNCTION("IFERROR(VLOOKUP(A7270, IMPORTRANGE(""https://docs.google.com/spreadsheets/d/1-3Vjw2Cyy-mry5gbC8ypIR3YVGFfEpyFESummAta6sg/edit"", ""Sheet1!B:D""), 3, FALSE), ""Not Found"")"),"ʧ ɛ d ə r ")</f>
        <v>ʧ ɛ d ə r </v>
      </c>
    </row>
    <row r="7271">
      <c r="A7271" s="1" t="s">
        <v>7273</v>
      </c>
      <c r="B7271" s="1" t="s">
        <v>6138</v>
      </c>
      <c r="C7271" s="2">
        <f>IFERROR(__xludf.DUMMYFUNCTION("IFERROR(VLOOKUP(A7271, IMPORTRANGE(""https://docs.google.com/spreadsheets/d/1AVX9GT0dgogEBStecCXMMQ29tWz3gBrtNB8yIromXbY/edit?gid=741673867"", ""out1g!A:B""), 2, FALSE), 0)"),2449.0)</f>
        <v>2449</v>
      </c>
      <c r="D7271" s="2" t="str">
        <f>IFERROR(__xludf.DUMMYFUNCTION("IFERROR(VLOOKUP(A7271, IMPORTRANGE(""https://docs.google.com/spreadsheets/d/1-3Vjw2Cyy-mry5gbC8ypIR3YVGFfEpyFESummAta6sg/edit"", ""Sheet1!B:D""), 2, FALSE), ""Not Found"")"),"kɑrdz")</f>
        <v>kɑrdz</v>
      </c>
      <c r="E7271" s="2" t="str">
        <f>IFERROR(__xludf.DUMMYFUNCTION("IFERROR(VLOOKUP(A7271, IMPORTRANGE(""https://docs.google.com/spreadsheets/d/1-3Vjw2Cyy-mry5gbC8ypIR3YVGFfEpyFESummAta6sg/edit"", ""Sheet1!B:D""), 3, FALSE), ""Not Found"")"),"k ɑ r d z ")</f>
        <v>k ɑ r d z </v>
      </c>
    </row>
    <row r="7272">
      <c r="A7272" s="1" t="s">
        <v>7274</v>
      </c>
      <c r="B7272" s="1" t="s">
        <v>6138</v>
      </c>
      <c r="C7272" s="2">
        <f>IFERROR(__xludf.DUMMYFUNCTION("IFERROR(VLOOKUP(A7272, IMPORTRANGE(""https://docs.google.com/spreadsheets/d/1AVX9GT0dgogEBStecCXMMQ29tWz3gBrtNB8yIromXbY/edit?gid=741673867"", ""out1g!A:B""), 2, FALSE), 0)"),155.0)</f>
        <v>155</v>
      </c>
      <c r="D7272" s="2" t="str">
        <f>IFERROR(__xludf.DUMMYFUNCTION("IFERROR(VLOOKUP(A7272, IMPORTRANGE(""https://docs.google.com/spreadsheets/d/1-3Vjw2Cyy-mry5gbC8ypIR3YVGFfEpyFESummAta6sg/edit"", ""Sheet1!B:D""), 2, FALSE), ""Not Found"")"),"pɛzənts")</f>
        <v>pɛzənts</v>
      </c>
      <c r="E7272" s="2" t="str">
        <f>IFERROR(__xludf.DUMMYFUNCTION("IFERROR(VLOOKUP(A7272, IMPORTRANGE(""https://docs.google.com/spreadsheets/d/1-3Vjw2Cyy-mry5gbC8ypIR3YVGFfEpyFESummAta6sg/edit"", ""Sheet1!B:D""), 3, FALSE), ""Not Found"")"),"p ɛ z ə n t s ")</f>
        <v>p ɛ z ə n t s </v>
      </c>
    </row>
    <row r="7273">
      <c r="A7273" s="1" t="s">
        <v>7275</v>
      </c>
      <c r="B7273" s="1" t="s">
        <v>6138</v>
      </c>
      <c r="C7273" s="2">
        <f>IFERROR(__xludf.DUMMYFUNCTION("IFERROR(VLOOKUP(A7273, IMPORTRANGE(""https://docs.google.com/spreadsheets/d/1AVX9GT0dgogEBStecCXMMQ29tWz3gBrtNB8yIromXbY/edit?gid=741673867"", ""out1g!A:B""), 2, FALSE), 0)"),161.0)</f>
        <v>161</v>
      </c>
      <c r="D7273" s="2" t="str">
        <f>IFERROR(__xludf.DUMMYFUNCTION("IFERROR(VLOOKUP(A7273, IMPORTRANGE(""https://docs.google.com/spreadsheets/d/1-3Vjw2Cyy-mry5gbC8ypIR3YVGFfEpyFESummAta6sg/edit"", ""Sheet1!B:D""), 2, FALSE), ""Not Found"")"),"maɪnɪŋ")</f>
        <v>maɪnɪŋ</v>
      </c>
      <c r="E7273" s="2" t="str">
        <f>IFERROR(__xludf.DUMMYFUNCTION("IFERROR(VLOOKUP(A7273, IMPORTRANGE(""https://docs.google.com/spreadsheets/d/1-3Vjw2Cyy-mry5gbC8ypIR3YVGFfEpyFESummAta6sg/edit"", ""Sheet1!B:D""), 3, FALSE), ""Not Found"")"),"m a ɪ n ɪ ŋ ")</f>
        <v>m a ɪ n ɪ ŋ </v>
      </c>
    </row>
    <row r="7274">
      <c r="A7274" s="1" t="s">
        <v>7276</v>
      </c>
      <c r="B7274" s="1" t="s">
        <v>6138</v>
      </c>
      <c r="C7274" s="2">
        <f>IFERROR(__xludf.DUMMYFUNCTION("IFERROR(VLOOKUP(A7274, IMPORTRANGE(""https://docs.google.com/spreadsheets/d/1AVX9GT0dgogEBStecCXMMQ29tWz3gBrtNB8yIromXbY/edit?gid=741673867"", ""out1g!A:B""), 2, FALSE), 0)"),864.0)</f>
        <v>864</v>
      </c>
      <c r="D7274" s="2" t="str">
        <f>IFERROR(__xludf.DUMMYFUNCTION("IFERROR(VLOOKUP(A7274, IMPORTRANGE(""https://docs.google.com/spreadsheets/d/1-3Vjw2Cyy-mry5gbC8ypIR3YVGFfEpyFESummAta6sg/edit"", ""Sheet1!B:D""), 2, FALSE), ""Not Found"")"),"nɪgə")</f>
        <v>nɪgə</v>
      </c>
      <c r="E7274" s="2" t="str">
        <f>IFERROR(__xludf.DUMMYFUNCTION("IFERROR(VLOOKUP(A7274, IMPORTRANGE(""https://docs.google.com/spreadsheets/d/1-3Vjw2Cyy-mry5gbC8ypIR3YVGFfEpyFESummAta6sg/edit"", ""Sheet1!B:D""), 3, FALSE), ""Not Found"")"),"n ɪ g ə ")</f>
        <v>n ɪ g ə </v>
      </c>
    </row>
    <row r="7275">
      <c r="A7275" s="1" t="s">
        <v>7277</v>
      </c>
      <c r="B7275" s="1" t="s">
        <v>6138</v>
      </c>
      <c r="C7275" s="2">
        <f>IFERROR(__xludf.DUMMYFUNCTION("IFERROR(VLOOKUP(A7275, IMPORTRANGE(""https://docs.google.com/spreadsheets/d/1AVX9GT0dgogEBStecCXMMQ29tWz3gBrtNB8yIromXbY/edit?gid=741673867"", ""out1g!A:B""), 2, FALSE), 0)"),636.0)</f>
        <v>636</v>
      </c>
      <c r="D7275" s="2" t="str">
        <f>IFERROR(__xludf.DUMMYFUNCTION("IFERROR(VLOOKUP(A7275, IMPORTRANGE(""https://docs.google.com/spreadsheets/d/1-3Vjw2Cyy-mry5gbC8ypIR3YVGFfEpyFESummAta6sg/edit"", ""Sheet1!B:D""), 2, FALSE), ""Not Found"")"),"ʧɔɪsɪz")</f>
        <v>ʧɔɪsɪz</v>
      </c>
      <c r="E7275" s="2" t="str">
        <f>IFERROR(__xludf.DUMMYFUNCTION("IFERROR(VLOOKUP(A7275, IMPORTRANGE(""https://docs.google.com/spreadsheets/d/1-3Vjw2Cyy-mry5gbC8ypIR3YVGFfEpyFESummAta6sg/edit"", ""Sheet1!B:D""), 3, FALSE), ""Not Found"")"),"ʧ ɔ ɪ s ɪ z ")</f>
        <v>ʧ ɔ ɪ s ɪ z </v>
      </c>
    </row>
    <row r="7276">
      <c r="A7276" s="1" t="s">
        <v>7278</v>
      </c>
      <c r="B7276" s="1" t="s">
        <v>6138</v>
      </c>
      <c r="C7276" s="2">
        <f>IFERROR(__xludf.DUMMYFUNCTION("IFERROR(VLOOKUP(A7276, IMPORTRANGE(""https://docs.google.com/spreadsheets/d/1AVX9GT0dgogEBStecCXMMQ29tWz3gBrtNB8yIromXbY/edit?gid=741673867"", ""out1g!A:B""), 2, FALSE), 0)"),283.0)</f>
        <v>283</v>
      </c>
      <c r="D7276" s="2" t="str">
        <f>IFERROR(__xludf.DUMMYFUNCTION("IFERROR(VLOOKUP(A7276, IMPORTRANGE(""https://docs.google.com/spreadsheets/d/1-3Vjw2Cyy-mry5gbC8ypIR3YVGFfEpyFESummAta6sg/edit"", ""Sheet1!B:D""), 2, FALSE), ""Not Found"")"),"fɪlɪs")</f>
        <v>fɪlɪs</v>
      </c>
      <c r="E7276" s="2" t="str">
        <f>IFERROR(__xludf.DUMMYFUNCTION("IFERROR(VLOOKUP(A7276, IMPORTRANGE(""https://docs.google.com/spreadsheets/d/1-3Vjw2Cyy-mry5gbC8ypIR3YVGFfEpyFESummAta6sg/edit"", ""Sheet1!B:D""), 3, FALSE), ""Not Found"")"),"f ɪ l ɪ s ")</f>
        <v>f ɪ l ɪ s </v>
      </c>
    </row>
    <row r="7277">
      <c r="A7277" s="1" t="s">
        <v>7279</v>
      </c>
      <c r="B7277" s="1" t="s">
        <v>6138</v>
      </c>
      <c r="C7277" s="2">
        <f>IFERROR(__xludf.DUMMYFUNCTION("IFERROR(VLOOKUP(A7277, IMPORTRANGE(""https://docs.google.com/spreadsheets/d/1AVX9GT0dgogEBStecCXMMQ29tWz3gBrtNB8yIromXbY/edit?gid=741673867"", ""out1g!A:B""), 2, FALSE), 0)"),179.0)</f>
        <v>179</v>
      </c>
      <c r="D7277" s="2" t="str">
        <f>IFERROR(__xludf.DUMMYFUNCTION("IFERROR(VLOOKUP(A7277, IMPORTRANGE(""https://docs.google.com/spreadsheets/d/1-3Vjw2Cyy-mry5gbC8ypIR3YVGFfEpyFESummAta6sg/edit"", ""Sheet1!B:D""), 2, FALSE), ""Not Found"")"),"skræm")</f>
        <v>skræm</v>
      </c>
      <c r="E7277" s="2" t="str">
        <f>IFERROR(__xludf.DUMMYFUNCTION("IFERROR(VLOOKUP(A7277, IMPORTRANGE(""https://docs.google.com/spreadsheets/d/1-3Vjw2Cyy-mry5gbC8ypIR3YVGFfEpyFESummAta6sg/edit"", ""Sheet1!B:D""), 3, FALSE), ""Not Found"")"),"s k r æ m ")</f>
        <v>s k r æ m </v>
      </c>
    </row>
    <row r="7278">
      <c r="A7278" s="1" t="s">
        <v>7280</v>
      </c>
      <c r="B7278" s="1" t="s">
        <v>6138</v>
      </c>
      <c r="C7278" s="2">
        <f>IFERROR(__xludf.DUMMYFUNCTION("IFERROR(VLOOKUP(A7278, IMPORTRANGE(""https://docs.google.com/spreadsheets/d/1AVX9GT0dgogEBStecCXMMQ29tWz3gBrtNB8yIromXbY/edit?gid=741673867"", ""out1g!A:B""), 2, FALSE), 0)"),79.0)</f>
        <v>79</v>
      </c>
      <c r="D7278" s="2" t="str">
        <f>IFERROR(__xludf.DUMMYFUNCTION("IFERROR(VLOOKUP(A7278, IMPORTRANGE(""https://docs.google.com/spreadsheets/d/1-3Vjw2Cyy-mry5gbC8ypIR3YVGFfEpyFESummAta6sg/edit"", ""Sheet1!B:D""), 2, FALSE), ""Not Found"")"),"baɪkər")</f>
        <v>baɪkər</v>
      </c>
      <c r="E7278" s="2" t="str">
        <f>IFERROR(__xludf.DUMMYFUNCTION("IFERROR(VLOOKUP(A7278, IMPORTRANGE(""https://docs.google.com/spreadsheets/d/1-3Vjw2Cyy-mry5gbC8ypIR3YVGFfEpyFESummAta6sg/edit"", ""Sheet1!B:D""), 3, FALSE), ""Not Found"")"),"b a ɪ k ə r ")</f>
        <v>b a ɪ k ə r </v>
      </c>
    </row>
    <row r="7279">
      <c r="A7279" s="1" t="s">
        <v>7281</v>
      </c>
      <c r="B7279" s="1" t="s">
        <v>6138</v>
      </c>
      <c r="C7279" s="2">
        <f>IFERROR(__xludf.DUMMYFUNCTION("IFERROR(VLOOKUP(A7279, IMPORTRANGE(""https://docs.google.com/spreadsheets/d/1AVX9GT0dgogEBStecCXMMQ29tWz3gBrtNB8yIromXbY/edit?gid=741673867"", ""out1g!A:B""), 2, FALSE), 0)"),234.0)</f>
        <v>234</v>
      </c>
      <c r="D7279" s="2" t="str">
        <f>IFERROR(__xludf.DUMMYFUNCTION("IFERROR(VLOOKUP(A7279, IMPORTRANGE(""https://docs.google.com/spreadsheets/d/1-3Vjw2Cyy-mry5gbC8ypIR3YVGFfEpyFESummAta6sg/edit"", ""Sheet1!B:D""), 2, FALSE), ""Not Found"")"),"flaɪts")</f>
        <v>flaɪts</v>
      </c>
      <c r="E7279" s="2" t="str">
        <f>IFERROR(__xludf.DUMMYFUNCTION("IFERROR(VLOOKUP(A7279, IMPORTRANGE(""https://docs.google.com/spreadsheets/d/1-3Vjw2Cyy-mry5gbC8ypIR3YVGFfEpyFESummAta6sg/edit"", ""Sheet1!B:D""), 3, FALSE), ""Not Found"")"),"f l a ɪ t s ")</f>
        <v>f l a ɪ t s </v>
      </c>
    </row>
    <row r="7280">
      <c r="A7280" s="1" t="s">
        <v>7282</v>
      </c>
      <c r="B7280" s="1" t="s">
        <v>6138</v>
      </c>
      <c r="C7280" s="2">
        <f>IFERROR(__xludf.DUMMYFUNCTION("IFERROR(VLOOKUP(A7280, IMPORTRANGE(""https://docs.google.com/spreadsheets/d/1AVX9GT0dgogEBStecCXMMQ29tWz3gBrtNB8yIromXbY/edit?gid=741673867"", ""out1g!A:B""), 2, FALSE), 0)"),1314.0)</f>
        <v>1314</v>
      </c>
      <c r="D7280" s="2" t="str">
        <f>IFERROR(__xludf.DUMMYFUNCTION("IFERROR(VLOOKUP(A7280, IMPORTRANGE(""https://docs.google.com/spreadsheets/d/1-3Vjw2Cyy-mry5gbC8ypIR3YVGFfEpyFESummAta6sg/edit"", ""Sheet1!B:D""), 2, FALSE), ""Not Found"")"),"laɪkli")</f>
        <v>laɪkli</v>
      </c>
      <c r="E7280" s="2" t="str">
        <f>IFERROR(__xludf.DUMMYFUNCTION("IFERROR(VLOOKUP(A7280, IMPORTRANGE(""https://docs.google.com/spreadsheets/d/1-3Vjw2Cyy-mry5gbC8ypIR3YVGFfEpyFESummAta6sg/edit"", ""Sheet1!B:D""), 3, FALSE), ""Not Found"")"),"l a ɪ k l i ")</f>
        <v>l a ɪ k l i </v>
      </c>
    </row>
    <row r="7281">
      <c r="A7281" s="1" t="s">
        <v>7283</v>
      </c>
      <c r="B7281" s="1" t="s">
        <v>6138</v>
      </c>
      <c r="C7281" s="2">
        <f>IFERROR(__xludf.DUMMYFUNCTION("IFERROR(VLOOKUP(A7281, IMPORTRANGE(""https://docs.google.com/spreadsheets/d/1AVX9GT0dgogEBStecCXMMQ29tWz3gBrtNB8yIromXbY/edit?gid=741673867"", ""out1g!A:B""), 2, FALSE), 0)"),76.0)</f>
        <v>76</v>
      </c>
      <c r="D7281" s="2" t="str">
        <f>IFERROR(__xludf.DUMMYFUNCTION("IFERROR(VLOOKUP(A7281, IMPORTRANGE(""https://docs.google.com/spreadsheets/d/1-3Vjw2Cyy-mry5gbC8ypIR3YVGFfEpyFESummAta6sg/edit"", ""Sheet1!B:D""), 2, FALSE), ""Not Found"")"),"stæmpt")</f>
        <v>stæmpt</v>
      </c>
      <c r="E7281" s="2" t="str">
        <f>IFERROR(__xludf.DUMMYFUNCTION("IFERROR(VLOOKUP(A7281, IMPORTRANGE(""https://docs.google.com/spreadsheets/d/1-3Vjw2Cyy-mry5gbC8ypIR3YVGFfEpyFESummAta6sg/edit"", ""Sheet1!B:D""), 3, FALSE), ""Not Found"")"),"s t æ m p t ")</f>
        <v>s t æ m p t </v>
      </c>
    </row>
    <row r="7282">
      <c r="A7282" s="1" t="s">
        <v>7284</v>
      </c>
      <c r="B7282" s="1" t="s">
        <v>6138</v>
      </c>
      <c r="C7282" s="2">
        <f>IFERROR(__xludf.DUMMYFUNCTION("IFERROR(VLOOKUP(A7282, IMPORTRANGE(""https://docs.google.com/spreadsheets/d/1AVX9GT0dgogEBStecCXMMQ29tWz3gBrtNB8yIromXbY/edit?gid=741673867"", ""out1g!A:B""), 2, FALSE), 0)"),57.0)</f>
        <v>57</v>
      </c>
      <c r="D7282" s="2" t="str">
        <f>IFERROR(__xludf.DUMMYFUNCTION("IFERROR(VLOOKUP(A7282, IMPORTRANGE(""https://docs.google.com/spreadsheets/d/1-3Vjw2Cyy-mry5gbC8ypIR3YVGFfEpyFESummAta6sg/edit"", ""Sheet1!B:D""), 2, FALSE), ""Not Found"")"),"duəl")</f>
        <v>duəl</v>
      </c>
      <c r="E7282" s="2" t="str">
        <f>IFERROR(__xludf.DUMMYFUNCTION("IFERROR(VLOOKUP(A7282, IMPORTRANGE(""https://docs.google.com/spreadsheets/d/1-3Vjw2Cyy-mry5gbC8ypIR3YVGFfEpyFESummAta6sg/edit"", ""Sheet1!B:D""), 3, FALSE), ""Not Found"")"),"d u ə l ")</f>
        <v>d u ə l </v>
      </c>
    </row>
    <row r="7283">
      <c r="A7283" s="1" t="s">
        <v>7285</v>
      </c>
      <c r="B7283" s="1" t="s">
        <v>6138</v>
      </c>
      <c r="C7283" s="2">
        <f>IFERROR(__xludf.DUMMYFUNCTION("IFERROR(VLOOKUP(A7283, IMPORTRANGE(""https://docs.google.com/spreadsheets/d/1AVX9GT0dgogEBStecCXMMQ29tWz3gBrtNB8yIromXbY/edit?gid=741673867"", ""out1g!A:B""), 2, FALSE), 0)"),317.0)</f>
        <v>317</v>
      </c>
      <c r="D7283" s="2" t="str">
        <f>IFERROR(__xludf.DUMMYFUNCTION("IFERROR(VLOOKUP(A7283, IMPORTRANGE(""https://docs.google.com/spreadsheets/d/1-3Vjw2Cyy-mry5gbC8ypIR3YVGFfEpyFESummAta6sg/edit"", ""Sheet1!B:D""), 2, FALSE), ""Not Found"")"),"klaʊnz")</f>
        <v>klaʊnz</v>
      </c>
      <c r="E7283" s="2" t="str">
        <f>IFERROR(__xludf.DUMMYFUNCTION("IFERROR(VLOOKUP(A7283, IMPORTRANGE(""https://docs.google.com/spreadsheets/d/1-3Vjw2Cyy-mry5gbC8ypIR3YVGFfEpyFESummAta6sg/edit"", ""Sheet1!B:D""), 3, FALSE), ""Not Found"")"),"k l a ʊ n z ")</f>
        <v>k l a ʊ n z </v>
      </c>
    </row>
    <row r="7284">
      <c r="A7284" s="1" t="s">
        <v>7286</v>
      </c>
      <c r="B7284" s="1" t="s">
        <v>6138</v>
      </c>
      <c r="C7284" s="2">
        <f>IFERROR(__xludf.DUMMYFUNCTION("IFERROR(VLOOKUP(A7284, IMPORTRANGE(""https://docs.google.com/spreadsheets/d/1AVX9GT0dgogEBStecCXMMQ29tWz3gBrtNB8yIromXbY/edit?gid=741673867"", ""out1g!A:B""), 2, FALSE), 0)"),199.0)</f>
        <v>199</v>
      </c>
      <c r="D7284" s="2" t="str">
        <f>IFERROR(__xludf.DUMMYFUNCTION("IFERROR(VLOOKUP(A7284, IMPORTRANGE(""https://docs.google.com/spreadsheets/d/1-3Vjw2Cyy-mry5gbC8ypIR3YVGFfEpyFESummAta6sg/edit"", ""Sheet1!B:D""), 2, FALSE), ""Not Found"")"),"hʊkərz")</f>
        <v>hʊkərz</v>
      </c>
      <c r="E7284" s="2" t="str">
        <f>IFERROR(__xludf.DUMMYFUNCTION("IFERROR(VLOOKUP(A7284, IMPORTRANGE(""https://docs.google.com/spreadsheets/d/1-3Vjw2Cyy-mry5gbC8ypIR3YVGFfEpyFESummAta6sg/edit"", ""Sheet1!B:D""), 3, FALSE), ""Not Found"")"),"h ʊ k ə r z ")</f>
        <v>h ʊ k ə r z </v>
      </c>
    </row>
    <row r="7285">
      <c r="A7285" s="1" t="s">
        <v>7287</v>
      </c>
      <c r="B7285" s="1" t="s">
        <v>6138</v>
      </c>
      <c r="C7285" s="2">
        <f>IFERROR(__xludf.DUMMYFUNCTION("IFERROR(VLOOKUP(A7285, IMPORTRANGE(""https://docs.google.com/spreadsheets/d/1AVX9GT0dgogEBStecCXMMQ29tWz3gBrtNB8yIromXbY/edit?gid=741673867"", ""out1g!A:B""), 2, FALSE), 0)"),37573.0)</f>
        <v>37573</v>
      </c>
      <c r="D7285" s="2" t="str">
        <f>IFERROR(__xludf.DUMMYFUNCTION("IFERROR(VLOOKUP(A7285, IMPORTRANGE(""https://docs.google.com/spreadsheets/d/1-3Vjw2Cyy-mry5gbC8ypIR3YVGFfEpyFESummAta6sg/edit"", ""Sheet1!B:D""), 2, FALSE), ""Not Found"")"),"əraʊnd")</f>
        <v>əraʊnd</v>
      </c>
      <c r="E7285" s="2" t="str">
        <f>IFERROR(__xludf.DUMMYFUNCTION("IFERROR(VLOOKUP(A7285, IMPORTRANGE(""https://docs.google.com/spreadsheets/d/1-3Vjw2Cyy-mry5gbC8ypIR3YVGFfEpyFESummAta6sg/edit"", ""Sheet1!B:D""), 3, FALSE), ""Not Found"")"),"ə r a ʊ n d ")</f>
        <v>ə r a ʊ n d </v>
      </c>
    </row>
    <row r="7286">
      <c r="A7286" s="1" t="s">
        <v>7288</v>
      </c>
      <c r="B7286" s="1" t="s">
        <v>6138</v>
      </c>
      <c r="C7286" s="2">
        <f>IFERROR(__xludf.DUMMYFUNCTION("IFERROR(VLOOKUP(A7286, IMPORTRANGE(""https://docs.google.com/spreadsheets/d/1AVX9GT0dgogEBStecCXMMQ29tWz3gBrtNB8yIromXbY/edit?gid=741673867"", ""out1g!A:B""), 2, FALSE), 0)"),206.0)</f>
        <v>206</v>
      </c>
      <c r="D7286" s="2" t="str">
        <f>IFERROR(__xludf.DUMMYFUNCTION("IFERROR(VLOOKUP(A7286, IMPORTRANGE(""https://docs.google.com/spreadsheets/d/1-3Vjw2Cyy-mry5gbC8ypIR3YVGFfEpyFESummAta6sg/edit"", ""Sheet1!B:D""), 2, FALSE), ""Not Found"")"),"aʊns")</f>
        <v>aʊns</v>
      </c>
      <c r="E7286" s="2" t="str">
        <f>IFERROR(__xludf.DUMMYFUNCTION("IFERROR(VLOOKUP(A7286, IMPORTRANGE(""https://docs.google.com/spreadsheets/d/1-3Vjw2Cyy-mry5gbC8ypIR3YVGFfEpyFESummAta6sg/edit"", ""Sheet1!B:D""), 3, FALSE), ""Not Found"")"),"a ʊ n s ")</f>
        <v>a ʊ n s </v>
      </c>
    </row>
    <row r="7287">
      <c r="A7287" s="1" t="s">
        <v>7289</v>
      </c>
      <c r="B7287" s="1" t="s">
        <v>6138</v>
      </c>
      <c r="C7287" s="2">
        <f>IFERROR(__xludf.DUMMYFUNCTION("IFERROR(VLOOKUP(A7287, IMPORTRANGE(""https://docs.google.com/spreadsheets/d/1AVX9GT0dgogEBStecCXMMQ29tWz3gBrtNB8yIromXbY/edit?gid=741673867"", ""out1g!A:B""), 2, FALSE), 0)"),72.0)</f>
        <v>72</v>
      </c>
      <c r="D7287" s="2" t="str">
        <f>IFERROR(__xludf.DUMMYFUNCTION("IFERROR(VLOOKUP(A7287, IMPORTRANGE(""https://docs.google.com/spreadsheets/d/1-3Vjw2Cyy-mry5gbC8ypIR3YVGFfEpyFESummAta6sg/edit"", ""Sheet1!B:D""), 2, FALSE), ""Not Found"")"),"mɛlənz")</f>
        <v>mɛlənz</v>
      </c>
      <c r="E7287" s="2" t="str">
        <f>IFERROR(__xludf.DUMMYFUNCTION("IFERROR(VLOOKUP(A7287, IMPORTRANGE(""https://docs.google.com/spreadsheets/d/1-3Vjw2Cyy-mry5gbC8ypIR3YVGFfEpyFESummAta6sg/edit"", ""Sheet1!B:D""), 3, FALSE), ""Not Found"")"),"m ɛ l ə n z ")</f>
        <v>m ɛ l ə n z </v>
      </c>
    </row>
    <row r="7288">
      <c r="A7288" s="1" t="s">
        <v>7290</v>
      </c>
      <c r="B7288" s="1" t="s">
        <v>6138</v>
      </c>
      <c r="C7288" s="2">
        <f>IFERROR(__xludf.DUMMYFUNCTION("IFERROR(VLOOKUP(A7288, IMPORTRANGE(""https://docs.google.com/spreadsheets/d/1AVX9GT0dgogEBStecCXMMQ29tWz3gBrtNB8yIromXbY/edit?gid=741673867"", ""out1g!A:B""), 2, FALSE), 0)"),375.0)</f>
        <v>375</v>
      </c>
      <c r="D7288" s="2" t="str">
        <f>IFERROR(__xludf.DUMMYFUNCTION("IFERROR(VLOOKUP(A7288, IMPORTRANGE(""https://docs.google.com/spreadsheets/d/1-3Vjw2Cyy-mry5gbC8ypIR3YVGFfEpyFESummAta6sg/edit"", ""Sheet1!B:D""), 2, FALSE), ""Not Found"")"),"ʃɑrks")</f>
        <v>ʃɑrks</v>
      </c>
      <c r="E7288" s="2" t="str">
        <f>IFERROR(__xludf.DUMMYFUNCTION("IFERROR(VLOOKUP(A7288, IMPORTRANGE(""https://docs.google.com/spreadsheets/d/1-3Vjw2Cyy-mry5gbC8ypIR3YVGFfEpyFESummAta6sg/edit"", ""Sheet1!B:D""), 3, FALSE), ""Not Found"")"),"ʃ ɑ r k s ")</f>
        <v>ʃ ɑ r k s </v>
      </c>
    </row>
    <row r="7289">
      <c r="A7289" s="1" t="s">
        <v>7291</v>
      </c>
      <c r="B7289" s="1" t="s">
        <v>6138</v>
      </c>
      <c r="C7289" s="2">
        <f>IFERROR(__xludf.DUMMYFUNCTION("IFERROR(VLOOKUP(A7289, IMPORTRANGE(""https://docs.google.com/spreadsheets/d/1AVX9GT0dgogEBStecCXMMQ29tWz3gBrtNB8yIromXbY/edit?gid=741673867"", ""out1g!A:B""), 2, FALSE), 0)"),144.0)</f>
        <v>144</v>
      </c>
      <c r="D7289" s="2" t="str">
        <f>IFERROR(__xludf.DUMMYFUNCTION("IFERROR(VLOOKUP(A7289, IMPORTRANGE(""https://docs.google.com/spreadsheets/d/1-3Vjw2Cyy-mry5gbC8ypIR3YVGFfEpyFESummAta6sg/edit"", ""Sheet1!B:D""), 2, FALSE), ""Not Found"")"),"ʤəmboʊ")</f>
        <v>ʤəmboʊ</v>
      </c>
      <c r="E7289" s="2" t="str">
        <f>IFERROR(__xludf.DUMMYFUNCTION("IFERROR(VLOOKUP(A7289, IMPORTRANGE(""https://docs.google.com/spreadsheets/d/1-3Vjw2Cyy-mry5gbC8ypIR3YVGFfEpyFESummAta6sg/edit"", ""Sheet1!B:D""), 3, FALSE), ""Not Found"")"),"ʤ ə m b o ʊ ")</f>
        <v>ʤ ə m b o ʊ </v>
      </c>
    </row>
    <row r="7290">
      <c r="A7290" s="1" t="s">
        <v>7292</v>
      </c>
      <c r="B7290" s="1" t="s">
        <v>6138</v>
      </c>
      <c r="C7290" s="2">
        <f>IFERROR(__xludf.DUMMYFUNCTION("IFERROR(VLOOKUP(A7290, IMPORTRANGE(""https://docs.google.com/spreadsheets/d/1AVX9GT0dgogEBStecCXMMQ29tWz3gBrtNB8yIromXbY/edit?gid=741673867"", ""out1g!A:B""), 2, FALSE), 0)"),4827.0)</f>
        <v>4827</v>
      </c>
      <c r="D7290" s="2" t="str">
        <f>IFERROR(__xludf.DUMMYFUNCTION("IFERROR(VLOOKUP(A7290, IMPORTRANGE(""https://docs.google.com/spreadsheets/d/1-3Vjw2Cyy-mry5gbC8ypIR3YVGFfEpyFESummAta6sg/edit"", ""Sheet1!B:D""), 2, FALSE), ""Not Found"")"),"u")</f>
        <v>u</v>
      </c>
      <c r="E7290" s="2" t="str">
        <f>IFERROR(__xludf.DUMMYFUNCTION("IFERROR(VLOOKUP(A7290, IMPORTRANGE(""https://docs.google.com/spreadsheets/d/1-3Vjw2Cyy-mry5gbC8ypIR3YVGFfEpyFESummAta6sg/edit"", ""Sheet1!B:D""), 3, FALSE), ""Not Found"")"),"u ")</f>
        <v>u </v>
      </c>
    </row>
    <row r="7291">
      <c r="A7291" s="1" t="s">
        <v>7293</v>
      </c>
      <c r="B7291" s="1" t="s">
        <v>6138</v>
      </c>
      <c r="C7291" s="2">
        <f>IFERROR(__xludf.DUMMYFUNCTION("IFERROR(VLOOKUP(A7291, IMPORTRANGE(""https://docs.google.com/spreadsheets/d/1AVX9GT0dgogEBStecCXMMQ29tWz3gBrtNB8yIromXbY/edit?gid=741673867"", ""out1g!A:B""), 2, FALSE), 0)"),76.0)</f>
        <v>76</v>
      </c>
      <c r="D7291" s="2" t="str">
        <f>IFERROR(__xludf.DUMMYFUNCTION("IFERROR(VLOOKUP(A7291, IMPORTRANGE(""https://docs.google.com/spreadsheets/d/1-3Vjw2Cyy-mry5gbC8ypIR3YVGFfEpyFESummAta6sg/edit"", ""Sheet1!B:D""), 2, FALSE), ""Not Found"")"),"smɑrts")</f>
        <v>smɑrts</v>
      </c>
      <c r="E7291" s="2" t="str">
        <f>IFERROR(__xludf.DUMMYFUNCTION("IFERROR(VLOOKUP(A7291, IMPORTRANGE(""https://docs.google.com/spreadsheets/d/1-3Vjw2Cyy-mry5gbC8ypIR3YVGFfEpyFESummAta6sg/edit"", ""Sheet1!B:D""), 3, FALSE), ""Not Found"")"),"s m ɑ r t s ")</f>
        <v>s m ɑ r t s </v>
      </c>
    </row>
    <row r="7292">
      <c r="A7292" s="1" t="s">
        <v>7294</v>
      </c>
      <c r="B7292" s="1" t="s">
        <v>6138</v>
      </c>
      <c r="C7292" s="2">
        <f>IFERROR(__xludf.DUMMYFUNCTION("IFERROR(VLOOKUP(A7292, IMPORTRANGE(""https://docs.google.com/spreadsheets/d/1AVX9GT0dgogEBStecCXMMQ29tWz3gBrtNB8yIromXbY/edit?gid=741673867"", ""out1g!A:B""), 2, FALSE), 0)"),508.0)</f>
        <v>508</v>
      </c>
      <c r="D7292" s="2" t="str">
        <f>IFERROR(__xludf.DUMMYFUNCTION("IFERROR(VLOOKUP(A7292, IMPORTRANGE(""https://docs.google.com/spreadsheets/d/1-3Vjw2Cyy-mry5gbC8ypIR3YVGFfEpyFESummAta6sg/edit"", ""Sheet1!B:D""), 2, FALSE), ""Not Found"")"),"mæsɪv")</f>
        <v>mæsɪv</v>
      </c>
      <c r="E7292" s="2" t="str">
        <f>IFERROR(__xludf.DUMMYFUNCTION("IFERROR(VLOOKUP(A7292, IMPORTRANGE(""https://docs.google.com/spreadsheets/d/1-3Vjw2Cyy-mry5gbC8ypIR3YVGFfEpyFESummAta6sg/edit"", ""Sheet1!B:D""), 3, FALSE), ""Not Found"")"),"m æ s ɪ v ")</f>
        <v>m æ s ɪ v </v>
      </c>
    </row>
    <row r="7293">
      <c r="A7293" s="1" t="s">
        <v>7295</v>
      </c>
      <c r="B7293" s="1" t="s">
        <v>6138</v>
      </c>
      <c r="C7293" s="2">
        <f>IFERROR(__xludf.DUMMYFUNCTION("IFERROR(VLOOKUP(A7293, IMPORTRANGE(""https://docs.google.com/spreadsheets/d/1AVX9GT0dgogEBStecCXMMQ29tWz3gBrtNB8yIromXbY/edit?gid=741673867"", ""out1g!A:B""), 2, FALSE), 0)"),316.0)</f>
        <v>316</v>
      </c>
      <c r="D7293" s="2" t="str">
        <f>IFERROR(__xludf.DUMMYFUNCTION("IFERROR(VLOOKUP(A7293, IMPORTRANGE(""https://docs.google.com/spreadsheets/d/1-3Vjw2Cyy-mry5gbC8ypIR3YVGFfEpyFESummAta6sg/edit"", ""Sheet1!B:D""), 2, FALSE), ""Not Found"")"),"hɔrnz")</f>
        <v>hɔrnz</v>
      </c>
      <c r="E7293" s="2" t="str">
        <f>IFERROR(__xludf.DUMMYFUNCTION("IFERROR(VLOOKUP(A7293, IMPORTRANGE(""https://docs.google.com/spreadsheets/d/1-3Vjw2Cyy-mry5gbC8ypIR3YVGFfEpyFESummAta6sg/edit"", ""Sheet1!B:D""), 3, FALSE), ""Not Found"")"),"h ɔ r n z ")</f>
        <v>h ɔ r n z </v>
      </c>
    </row>
    <row r="7294">
      <c r="A7294" s="1" t="s">
        <v>7296</v>
      </c>
      <c r="B7294" s="1" t="s">
        <v>6138</v>
      </c>
      <c r="C7294" s="2">
        <f>IFERROR(__xludf.DUMMYFUNCTION("IFERROR(VLOOKUP(A7294, IMPORTRANGE(""https://docs.google.com/spreadsheets/d/1AVX9GT0dgogEBStecCXMMQ29tWz3gBrtNB8yIromXbY/edit?gid=741673867"", ""out1g!A:B""), 2, FALSE), 0)"),197.0)</f>
        <v>197</v>
      </c>
      <c r="D7294" s="2" t="str">
        <f>IFERROR(__xludf.DUMMYFUNCTION("IFERROR(VLOOKUP(A7294, IMPORTRANGE(""https://docs.google.com/spreadsheets/d/1-3Vjw2Cyy-mry5gbC8ypIR3YVGFfEpyFESummAta6sg/edit"", ""Sheet1!B:D""), 2, FALSE), ""Not Found"")"),"pəmps")</f>
        <v>pəmps</v>
      </c>
      <c r="E7294" s="2" t="str">
        <f>IFERROR(__xludf.DUMMYFUNCTION("IFERROR(VLOOKUP(A7294, IMPORTRANGE(""https://docs.google.com/spreadsheets/d/1-3Vjw2Cyy-mry5gbC8ypIR3YVGFfEpyFESummAta6sg/edit"", ""Sheet1!B:D""), 3, FALSE), ""Not Found"")"),"p ə m p s ")</f>
        <v>p ə m p s </v>
      </c>
    </row>
    <row r="7295">
      <c r="A7295" s="1" t="s">
        <v>7297</v>
      </c>
      <c r="B7295" s="1" t="s">
        <v>6138</v>
      </c>
      <c r="C7295" s="2">
        <f>IFERROR(__xludf.DUMMYFUNCTION("IFERROR(VLOOKUP(A7295, IMPORTRANGE(""https://docs.google.com/spreadsheets/d/1AVX9GT0dgogEBStecCXMMQ29tWz3gBrtNB8yIromXbY/edit?gid=741673867"", ""out1g!A:B""), 2, FALSE), 0)"),438.0)</f>
        <v>438</v>
      </c>
      <c r="D7295" s="2" t="str">
        <f>IFERROR(__xludf.DUMMYFUNCTION("IFERROR(VLOOKUP(A7295, IMPORTRANGE(""https://docs.google.com/spreadsheets/d/1-3Vjw2Cyy-mry5gbC8ypIR3YVGFfEpyFESummAta6sg/edit"", ""Sheet1!B:D""), 2, FALSE), ""Not Found"")"),"ɛvənz")</f>
        <v>ɛvənz</v>
      </c>
      <c r="E7295" s="2" t="str">
        <f>IFERROR(__xludf.DUMMYFUNCTION("IFERROR(VLOOKUP(A7295, IMPORTRANGE(""https://docs.google.com/spreadsheets/d/1-3Vjw2Cyy-mry5gbC8ypIR3YVGFfEpyFESummAta6sg/edit"", ""Sheet1!B:D""), 3, FALSE), ""Not Found"")"),"ɛ v ə n z ")</f>
        <v>ɛ v ə n z </v>
      </c>
    </row>
    <row r="7296">
      <c r="A7296" s="1" t="s">
        <v>7298</v>
      </c>
      <c r="B7296" s="1" t="s">
        <v>6138</v>
      </c>
      <c r="C7296" s="2">
        <f>IFERROR(__xludf.DUMMYFUNCTION("IFERROR(VLOOKUP(A7296, IMPORTRANGE(""https://docs.google.com/spreadsheets/d/1AVX9GT0dgogEBStecCXMMQ29tWz3gBrtNB8yIromXbY/edit?gid=741673867"", ""out1g!A:B""), 2, FALSE), 0)"),135.0)</f>
        <v>135</v>
      </c>
      <c r="D7296" s="2" t="str">
        <f>IFERROR(__xludf.DUMMYFUNCTION("IFERROR(VLOOKUP(A7296, IMPORTRANGE(""https://docs.google.com/spreadsheets/d/1-3Vjw2Cyy-mry5gbC8ypIR3YVGFfEpyFESummAta6sg/edit"", ""Sheet1!B:D""), 2, FALSE), ""Not Found"")"),"haɪkɪŋ")</f>
        <v>haɪkɪŋ</v>
      </c>
      <c r="E7296" s="2" t="str">
        <f>IFERROR(__xludf.DUMMYFUNCTION("IFERROR(VLOOKUP(A7296, IMPORTRANGE(""https://docs.google.com/spreadsheets/d/1-3Vjw2Cyy-mry5gbC8ypIR3YVGFfEpyFESummAta6sg/edit"", ""Sheet1!B:D""), 3, FALSE), ""Not Found"")"),"h a ɪ k ɪ ŋ ")</f>
        <v>h a ɪ k ɪ ŋ </v>
      </c>
    </row>
    <row r="7297">
      <c r="A7297" s="1" t="s">
        <v>7299</v>
      </c>
      <c r="B7297" s="1" t="s">
        <v>6138</v>
      </c>
      <c r="C7297" s="2">
        <f>IFERROR(__xludf.DUMMYFUNCTION("IFERROR(VLOOKUP(A7297, IMPORTRANGE(""https://docs.google.com/spreadsheets/d/1AVX9GT0dgogEBStecCXMMQ29tWz3gBrtNB8yIromXbY/edit?gid=741673867"", ""out1g!A:B""), 2, FALSE), 0)"),179.0)</f>
        <v>179</v>
      </c>
      <c r="D7297" s="2" t="str">
        <f>IFERROR(__xludf.DUMMYFUNCTION("IFERROR(VLOOKUP(A7297, IMPORTRANGE(""https://docs.google.com/spreadsheets/d/1-3Vjw2Cyy-mry5gbC8ypIR3YVGFfEpyFESummAta6sg/edit"", ""Sheet1!B:D""), 2, FALSE), ""Not Found"")"),"mɪstik")</f>
        <v>mɪstik</v>
      </c>
      <c r="E7297" s="2" t="str">
        <f>IFERROR(__xludf.DUMMYFUNCTION("IFERROR(VLOOKUP(A7297, IMPORTRANGE(""https://docs.google.com/spreadsheets/d/1-3Vjw2Cyy-mry5gbC8ypIR3YVGFfEpyFESummAta6sg/edit"", ""Sheet1!B:D""), 3, FALSE), ""Not Found"")"),"m ɪ s t i k ")</f>
        <v>m ɪ s t i k </v>
      </c>
    </row>
    <row r="7298">
      <c r="A7298" s="1" t="s">
        <v>7300</v>
      </c>
      <c r="B7298" s="1" t="s">
        <v>6138</v>
      </c>
      <c r="C7298" s="2">
        <f>IFERROR(__xludf.DUMMYFUNCTION("IFERROR(VLOOKUP(A7298, IMPORTRANGE(""https://docs.google.com/spreadsheets/d/1AVX9GT0dgogEBStecCXMMQ29tWz3gBrtNB8yIromXbY/edit?gid=741673867"", ""out1g!A:B""), 2, FALSE), 0)"),58.0)</f>
        <v>58</v>
      </c>
      <c r="D7298" s="2" t="str">
        <f>IFERROR(__xludf.DUMMYFUNCTION("IFERROR(VLOOKUP(A7298, IMPORTRANGE(""https://docs.google.com/spreadsheets/d/1-3Vjw2Cyy-mry5gbC8ypIR3YVGFfEpyFESummAta6sg/edit"", ""Sheet1!B:D""), 2, FALSE), ""Not Found"")"),"kəroʊnə")</f>
        <v>kəroʊnə</v>
      </c>
      <c r="E7298" s="2" t="str">
        <f>IFERROR(__xludf.DUMMYFUNCTION("IFERROR(VLOOKUP(A7298, IMPORTRANGE(""https://docs.google.com/spreadsheets/d/1-3Vjw2Cyy-mry5gbC8ypIR3YVGFfEpyFESummAta6sg/edit"", ""Sheet1!B:D""), 3, FALSE), ""Not Found"")"),"k ə r o ʊ n ə ")</f>
        <v>k ə r o ʊ n ə </v>
      </c>
    </row>
    <row r="7299">
      <c r="A7299" s="1" t="s">
        <v>7301</v>
      </c>
      <c r="B7299" s="1" t="s">
        <v>6138</v>
      </c>
      <c r="C7299" s="2">
        <f>IFERROR(__xludf.DUMMYFUNCTION("IFERROR(VLOOKUP(A7299, IMPORTRANGE(""https://docs.google.com/spreadsheets/d/1AVX9GT0dgogEBStecCXMMQ29tWz3gBrtNB8yIromXbY/edit?gid=741673867"", ""out1g!A:B""), 2, FALSE), 0)"),678.0)</f>
        <v>678</v>
      </c>
      <c r="D7299" s="2" t="str">
        <f>IFERROR(__xludf.DUMMYFUNCTION("IFERROR(VLOOKUP(A7299, IMPORTRANGE(""https://docs.google.com/spreadsheets/d/1-3Vjw2Cyy-mry5gbC8ypIR3YVGFfEpyFESummAta6sg/edit"", ""Sheet1!B:D""), 2, FALSE), ""Not Found"")"),"sɛʃən")</f>
        <v>sɛʃən</v>
      </c>
      <c r="E7299" s="2" t="str">
        <f>IFERROR(__xludf.DUMMYFUNCTION("IFERROR(VLOOKUP(A7299, IMPORTRANGE(""https://docs.google.com/spreadsheets/d/1-3Vjw2Cyy-mry5gbC8ypIR3YVGFfEpyFESummAta6sg/edit"", ""Sheet1!B:D""), 3, FALSE), ""Not Found"")"),"s ɛ ʃ ə n ")</f>
        <v>s ɛ ʃ ə n </v>
      </c>
    </row>
    <row r="7300">
      <c r="A7300" s="1" t="s">
        <v>7302</v>
      </c>
      <c r="B7300" s="1" t="s">
        <v>6138</v>
      </c>
      <c r="C7300" s="2">
        <f>IFERROR(__xludf.DUMMYFUNCTION("IFERROR(VLOOKUP(A7300, IMPORTRANGE(""https://docs.google.com/spreadsheets/d/1AVX9GT0dgogEBStecCXMMQ29tWz3gBrtNB8yIromXbY/edit?gid=741673867"", ""out1g!A:B""), 2, FALSE), 0)"),96.0)</f>
        <v>96</v>
      </c>
      <c r="D7300" s="2" t="str">
        <f>IFERROR(__xludf.DUMMYFUNCTION("IFERROR(VLOOKUP(A7300, IMPORTRANGE(""https://docs.google.com/spreadsheets/d/1-3Vjw2Cyy-mry5gbC8ypIR3YVGFfEpyFESummAta6sg/edit"", ""Sheet1!B:D""), 2, FALSE), ""Not Found"")"),"tunɪŋ")</f>
        <v>tunɪŋ</v>
      </c>
      <c r="E7300" s="2" t="str">
        <f>IFERROR(__xludf.DUMMYFUNCTION("IFERROR(VLOOKUP(A7300, IMPORTRANGE(""https://docs.google.com/spreadsheets/d/1-3Vjw2Cyy-mry5gbC8ypIR3YVGFfEpyFESummAta6sg/edit"", ""Sheet1!B:D""), 3, FALSE), ""Not Found"")"),"t u n ɪ ŋ ")</f>
        <v>t u n ɪ ŋ </v>
      </c>
    </row>
    <row r="7301">
      <c r="A7301" s="1" t="s">
        <v>7303</v>
      </c>
      <c r="B7301" s="1" t="s">
        <v>6138</v>
      </c>
      <c r="C7301" s="2">
        <f>IFERROR(__xludf.DUMMYFUNCTION("IFERROR(VLOOKUP(A7301, IMPORTRANGE(""https://docs.google.com/spreadsheets/d/1AVX9GT0dgogEBStecCXMMQ29tWz3gBrtNB8yIromXbY/edit?gid=741673867"", ""out1g!A:B""), 2, FALSE), 0)"),128.0)</f>
        <v>128</v>
      </c>
      <c r="D7301" s="2" t="str">
        <f>IFERROR(__xludf.DUMMYFUNCTION("IFERROR(VLOOKUP(A7301, IMPORTRANGE(""https://docs.google.com/spreadsheets/d/1-3Vjw2Cyy-mry5gbC8ypIR3YVGFfEpyFESummAta6sg/edit"", ""Sheet1!B:D""), 2, FALSE), ""Not Found"")"),"ʃemən")</f>
        <v>ʃemən</v>
      </c>
      <c r="E7301" s="2" t="str">
        <f>IFERROR(__xludf.DUMMYFUNCTION("IFERROR(VLOOKUP(A7301, IMPORTRANGE(""https://docs.google.com/spreadsheets/d/1-3Vjw2Cyy-mry5gbC8ypIR3YVGFfEpyFESummAta6sg/edit"", ""Sheet1!B:D""), 3, FALSE), ""Not Found"")"),"ʃ e m ə n ")</f>
        <v>ʃ e m ə n </v>
      </c>
    </row>
    <row r="7302">
      <c r="A7302" s="1" t="s">
        <v>7304</v>
      </c>
      <c r="B7302" s="1" t="s">
        <v>6138</v>
      </c>
      <c r="C7302" s="2">
        <f>IFERROR(__xludf.DUMMYFUNCTION("IFERROR(VLOOKUP(A7302, IMPORTRANGE(""https://docs.google.com/spreadsheets/d/1AVX9GT0dgogEBStecCXMMQ29tWz3gBrtNB8yIromXbY/edit?gid=741673867"", ""out1g!A:B""), 2, FALSE), 0)"),366.0)</f>
        <v>366</v>
      </c>
      <c r="D7302" s="2" t="str">
        <f>IFERROR(__xludf.DUMMYFUNCTION("IFERROR(VLOOKUP(A7302, IMPORTRANGE(""https://docs.google.com/spreadsheets/d/1-3Vjw2Cyy-mry5gbC8ypIR3YVGFfEpyFESummAta6sg/edit"", ""Sheet1!B:D""), 2, FALSE), ""Not Found"")"),"təkər")</f>
        <v>təkər</v>
      </c>
      <c r="E7302" s="2" t="str">
        <f>IFERROR(__xludf.DUMMYFUNCTION("IFERROR(VLOOKUP(A7302, IMPORTRANGE(""https://docs.google.com/spreadsheets/d/1-3Vjw2Cyy-mry5gbC8ypIR3YVGFfEpyFESummAta6sg/edit"", ""Sheet1!B:D""), 3, FALSE), ""Not Found"")"),"t ə k ə r ")</f>
        <v>t ə k ə r </v>
      </c>
    </row>
    <row r="7303">
      <c r="A7303" s="1" t="s">
        <v>7305</v>
      </c>
      <c r="B7303" s="1" t="s">
        <v>6138</v>
      </c>
      <c r="C7303" s="2">
        <f>IFERROR(__xludf.DUMMYFUNCTION("IFERROR(VLOOKUP(A7303, IMPORTRANGE(""https://docs.google.com/spreadsheets/d/1AVX9GT0dgogEBStecCXMMQ29tWz3gBrtNB8yIromXbY/edit?gid=741673867"", ""out1g!A:B""), 2, FALSE), 0)"),161.0)</f>
        <v>161</v>
      </c>
      <c r="D7303" s="2" t="str">
        <f>IFERROR(__xludf.DUMMYFUNCTION("IFERROR(VLOOKUP(A7303, IMPORTRANGE(""https://docs.google.com/spreadsheets/d/1-3Vjw2Cyy-mry5gbC8ypIR3YVGFfEpyFESummAta6sg/edit"", ""Sheet1!B:D""), 2, FALSE), ""Not Found"")"),"kɑrvər")</f>
        <v>kɑrvər</v>
      </c>
      <c r="E7303" s="2" t="str">
        <f>IFERROR(__xludf.DUMMYFUNCTION("IFERROR(VLOOKUP(A7303, IMPORTRANGE(""https://docs.google.com/spreadsheets/d/1-3Vjw2Cyy-mry5gbC8ypIR3YVGFfEpyFESummAta6sg/edit"", ""Sheet1!B:D""), 3, FALSE), ""Not Found"")"),"k ɑ r v ə r ")</f>
        <v>k ɑ r v ə r </v>
      </c>
    </row>
    <row r="7304">
      <c r="A7304" s="1" t="s">
        <v>7306</v>
      </c>
      <c r="B7304" s="1" t="s">
        <v>6138</v>
      </c>
      <c r="C7304" s="2">
        <f>IFERROR(__xludf.DUMMYFUNCTION("IFERROR(VLOOKUP(A7304, IMPORTRANGE(""https://docs.google.com/spreadsheets/d/1AVX9GT0dgogEBStecCXMMQ29tWz3gBrtNB8yIromXbY/edit?gid=741673867"", ""out1g!A:B""), 2, FALSE), 0)"),206.0)</f>
        <v>206</v>
      </c>
      <c r="D7304" s="2" t="str">
        <f>IFERROR(__xludf.DUMMYFUNCTION("IFERROR(VLOOKUP(A7304, IMPORTRANGE(""https://docs.google.com/spreadsheets/d/1-3Vjw2Cyy-mry5gbC8ypIR3YVGFfEpyFESummAta6sg/edit"", ""Sheet1!B:D""), 2, FALSE), ""Not Found"")"),"nɔrmə")</f>
        <v>nɔrmə</v>
      </c>
      <c r="E7304" s="2" t="str">
        <f>IFERROR(__xludf.DUMMYFUNCTION("IFERROR(VLOOKUP(A7304, IMPORTRANGE(""https://docs.google.com/spreadsheets/d/1-3Vjw2Cyy-mry5gbC8ypIR3YVGFfEpyFESummAta6sg/edit"", ""Sheet1!B:D""), 3, FALSE), ""Not Found"")"),"n ɔ r m ə ")</f>
        <v>n ɔ r m ə </v>
      </c>
    </row>
    <row r="7305">
      <c r="A7305" s="1" t="s">
        <v>7307</v>
      </c>
      <c r="B7305" s="1" t="s">
        <v>6138</v>
      </c>
      <c r="C7305" s="2">
        <f>IFERROR(__xludf.DUMMYFUNCTION("IFERROR(VLOOKUP(A7305, IMPORTRANGE(""https://docs.google.com/spreadsheets/d/1AVX9GT0dgogEBStecCXMMQ29tWz3gBrtNB8yIromXbY/edit?gid=741673867"", ""out1g!A:B""), 2, FALSE), 0)"),104.0)</f>
        <v>104</v>
      </c>
      <c r="D7305" s="2" t="str">
        <f>IFERROR(__xludf.DUMMYFUNCTION("IFERROR(VLOOKUP(A7305, IMPORTRANGE(""https://docs.google.com/spreadsheets/d/1-3Vjw2Cyy-mry5gbC8ypIR3YVGFfEpyFESummAta6sg/edit"", ""Sheet1!B:D""), 2, FALSE), ""Not Found"")"),"bel")</f>
        <v>bel</v>
      </c>
      <c r="E7305" s="2" t="str">
        <f>IFERROR(__xludf.DUMMYFUNCTION("IFERROR(VLOOKUP(A7305, IMPORTRANGE(""https://docs.google.com/spreadsheets/d/1-3Vjw2Cyy-mry5gbC8ypIR3YVGFfEpyFESummAta6sg/edit"", ""Sheet1!B:D""), 3, FALSE), ""Not Found"")"),"b e l ")</f>
        <v>b e l </v>
      </c>
    </row>
    <row r="7306">
      <c r="A7306" s="1" t="s">
        <v>7308</v>
      </c>
      <c r="B7306" s="1" t="s">
        <v>6138</v>
      </c>
      <c r="C7306" s="2">
        <f>IFERROR(__xludf.DUMMYFUNCTION("IFERROR(VLOOKUP(A7306, IMPORTRANGE(""https://docs.google.com/spreadsheets/d/1AVX9GT0dgogEBStecCXMMQ29tWz3gBrtNB8yIromXbY/edit?gid=741673867"", ""out1g!A:B""), 2, FALSE), 0)"),863.0)</f>
        <v>863</v>
      </c>
      <c r="D7306" s="2" t="str">
        <f>IFERROR(__xludf.DUMMYFUNCTION("IFERROR(VLOOKUP(A7306, IMPORTRANGE(""https://docs.google.com/spreadsheets/d/1-3Vjw2Cyy-mry5gbC8ypIR3YVGFfEpyFESummAta6sg/edit"", ""Sheet1!B:D""), 2, FALSE), ""Not Found"")"),"fɑlən")</f>
        <v>fɑlən</v>
      </c>
      <c r="E7306" s="2" t="str">
        <f>IFERROR(__xludf.DUMMYFUNCTION("IFERROR(VLOOKUP(A7306, IMPORTRANGE(""https://docs.google.com/spreadsheets/d/1-3Vjw2Cyy-mry5gbC8ypIR3YVGFfEpyFESummAta6sg/edit"", ""Sheet1!B:D""), 3, FALSE), ""Not Found"")"),"f ɑ l ə n ")</f>
        <v>f ɑ l ə n </v>
      </c>
    </row>
    <row r="7307">
      <c r="A7307" s="1" t="s">
        <v>7309</v>
      </c>
      <c r="B7307" s="1" t="s">
        <v>6138</v>
      </c>
      <c r="C7307" s="2">
        <f>IFERROR(__xludf.DUMMYFUNCTION("IFERROR(VLOOKUP(A7307, IMPORTRANGE(""https://docs.google.com/spreadsheets/d/1AVX9GT0dgogEBStecCXMMQ29tWz3gBrtNB8yIromXbY/edit?gid=741673867"", ""out1g!A:B""), 2, FALSE), 0)"),419.0)</f>
        <v>419</v>
      </c>
      <c r="D7307" s="2" t="str">
        <f>IFERROR(__xludf.DUMMYFUNCTION("IFERROR(VLOOKUP(A7307, IMPORTRANGE(""https://docs.google.com/spreadsheets/d/1-3Vjw2Cyy-mry5gbC8ypIR3YVGFfEpyFESummAta6sg/edit"", ""Sheet1!B:D""), 2, FALSE), ""Not Found"")"),"swɛtɪŋ")</f>
        <v>swɛtɪŋ</v>
      </c>
      <c r="E7307" s="2" t="str">
        <f>IFERROR(__xludf.DUMMYFUNCTION("IFERROR(VLOOKUP(A7307, IMPORTRANGE(""https://docs.google.com/spreadsheets/d/1-3Vjw2Cyy-mry5gbC8ypIR3YVGFfEpyFESummAta6sg/edit"", ""Sheet1!B:D""), 3, FALSE), ""Not Found"")"),"s w ɛ t ɪ ŋ ")</f>
        <v>s w ɛ t ɪ ŋ </v>
      </c>
    </row>
    <row r="7308">
      <c r="A7308" s="1" t="s">
        <v>7310</v>
      </c>
      <c r="B7308" s="1" t="s">
        <v>6138</v>
      </c>
      <c r="C7308" s="2">
        <f>IFERROR(__xludf.DUMMYFUNCTION("IFERROR(VLOOKUP(A7308, IMPORTRANGE(""https://docs.google.com/spreadsheets/d/1AVX9GT0dgogEBStecCXMMQ29tWz3gBrtNB8yIromXbY/edit?gid=741673867"", ""out1g!A:B""), 2, FALSE), 0)"),885.0)</f>
        <v>885</v>
      </c>
      <c r="D7308" s="2" t="str">
        <f>IFERROR(__xludf.DUMMYFUNCTION("IFERROR(VLOOKUP(A7308, IMPORTRANGE(""https://docs.google.com/spreadsheets/d/1-3Vjw2Cyy-mry5gbC8ypIR3YVGFfEpyFESummAta6sg/edit"", ""Sheet1!B:D""), 2, FALSE), ""Not Found"")"),"bel")</f>
        <v>bel</v>
      </c>
      <c r="E7308" s="2" t="str">
        <f>IFERROR(__xludf.DUMMYFUNCTION("IFERROR(VLOOKUP(A7308, IMPORTRANGE(""https://docs.google.com/spreadsheets/d/1-3Vjw2Cyy-mry5gbC8ypIR3YVGFfEpyFESummAta6sg/edit"", ""Sheet1!B:D""), 3, FALSE), ""Not Found"")"),"b e l ")</f>
        <v>b e l </v>
      </c>
    </row>
    <row r="7309">
      <c r="A7309" s="1" t="s">
        <v>7311</v>
      </c>
      <c r="B7309" s="1" t="s">
        <v>6138</v>
      </c>
      <c r="C7309" s="2">
        <f>IFERROR(__xludf.DUMMYFUNCTION("IFERROR(VLOOKUP(A7309, IMPORTRANGE(""https://docs.google.com/spreadsheets/d/1AVX9GT0dgogEBStecCXMMQ29tWz3gBrtNB8yIromXbY/edit?gid=741673867"", ""out1g!A:B""), 2, FALSE), 0)"),455.0)</f>
        <v>455</v>
      </c>
      <c r="D7309" s="2" t="str">
        <f>IFERROR(__xludf.DUMMYFUNCTION("IFERROR(VLOOKUP(A7309, IMPORTRANGE(""https://docs.google.com/spreadsheets/d/1-3Vjw2Cyy-mry5gbC8ypIR3YVGFfEpyFESummAta6sg/edit"", ""Sheet1!B:D""), 2, FALSE), ""Not Found"")"),"wæk")</f>
        <v>wæk</v>
      </c>
      <c r="E7309" s="2" t="str">
        <f>IFERROR(__xludf.DUMMYFUNCTION("IFERROR(VLOOKUP(A7309, IMPORTRANGE(""https://docs.google.com/spreadsheets/d/1-3Vjw2Cyy-mry5gbC8ypIR3YVGFfEpyFESummAta6sg/edit"", ""Sheet1!B:D""), 3, FALSE), ""Not Found"")"),"w æ k ")</f>
        <v>w æ k </v>
      </c>
    </row>
    <row r="7310">
      <c r="A7310" s="1" t="s">
        <v>7312</v>
      </c>
      <c r="B7310" s="1" t="s">
        <v>6138</v>
      </c>
      <c r="C7310" s="2">
        <f>IFERROR(__xludf.DUMMYFUNCTION("IFERROR(VLOOKUP(A7310, IMPORTRANGE(""https://docs.google.com/spreadsheets/d/1AVX9GT0dgogEBStecCXMMQ29tWz3gBrtNB8yIromXbY/edit?gid=741673867"", ""out1g!A:B""), 2, FALSE), 0)"),48.0)</f>
        <v>48</v>
      </c>
      <c r="D7310" s="2" t="str">
        <f>IFERROR(__xludf.DUMMYFUNCTION("IFERROR(VLOOKUP(A7310, IMPORTRANGE(""https://docs.google.com/spreadsheets/d/1-3Vjw2Cyy-mry5gbC8ypIR3YVGFfEpyFESummAta6sg/edit"", ""Sheet1!B:D""), 2, FALSE), ""Not Found"")"),"kæbənz")</f>
        <v>kæbənz</v>
      </c>
      <c r="E7310" s="2" t="str">
        <f>IFERROR(__xludf.DUMMYFUNCTION("IFERROR(VLOOKUP(A7310, IMPORTRANGE(""https://docs.google.com/spreadsheets/d/1-3Vjw2Cyy-mry5gbC8ypIR3YVGFfEpyFESummAta6sg/edit"", ""Sheet1!B:D""), 3, FALSE), ""Not Found"")"),"k æ b ə n z ")</f>
        <v>k æ b ə n z </v>
      </c>
    </row>
    <row r="7311">
      <c r="A7311" s="1" t="s">
        <v>7313</v>
      </c>
      <c r="B7311" s="1" t="s">
        <v>6138</v>
      </c>
      <c r="C7311" s="2">
        <f>IFERROR(__xludf.DUMMYFUNCTION("IFERROR(VLOOKUP(A7311, IMPORTRANGE(""https://docs.google.com/spreadsheets/d/1AVX9GT0dgogEBStecCXMMQ29tWz3gBrtNB8yIromXbY/edit?gid=741673867"", ""out1g!A:B""), 2, FALSE), 0)"),54.0)</f>
        <v>54</v>
      </c>
      <c r="D7311" s="2" t="str">
        <f>IFERROR(__xludf.DUMMYFUNCTION("IFERROR(VLOOKUP(A7311, IMPORTRANGE(""https://docs.google.com/spreadsheets/d/1-3Vjw2Cyy-mry5gbC8ypIR3YVGFfEpyFESummAta6sg/edit"", ""Sheet1!B:D""), 2, FALSE), ""Not Found"")"),"ɪnʃʊr")</f>
        <v>ɪnʃʊr</v>
      </c>
      <c r="E7311" s="2" t="str">
        <f>IFERROR(__xludf.DUMMYFUNCTION("IFERROR(VLOOKUP(A7311, IMPORTRANGE(""https://docs.google.com/spreadsheets/d/1-3Vjw2Cyy-mry5gbC8ypIR3YVGFfEpyFESummAta6sg/edit"", ""Sheet1!B:D""), 3, FALSE), ""Not Found"")"),"ɪ n ʃ ʊ r ")</f>
        <v>ɪ n ʃ ʊ r </v>
      </c>
    </row>
    <row r="7312">
      <c r="A7312" s="1" t="s">
        <v>7314</v>
      </c>
      <c r="B7312" s="1" t="s">
        <v>6138</v>
      </c>
      <c r="C7312" s="2">
        <f>IFERROR(__xludf.DUMMYFUNCTION("IFERROR(VLOOKUP(A7312, IMPORTRANGE(""https://docs.google.com/spreadsheets/d/1AVX9GT0dgogEBStecCXMMQ29tWz3gBrtNB8yIromXbY/edit?gid=741673867"", ""out1g!A:B""), 2, FALSE), 0)"),54.0)</f>
        <v>54</v>
      </c>
      <c r="D7312" s="2" t="str">
        <f>IFERROR(__xludf.DUMMYFUNCTION("IFERROR(VLOOKUP(A7312, IMPORTRANGE(""https://docs.google.com/spreadsheets/d/1-3Vjw2Cyy-mry5gbC8ypIR3YVGFfEpyFESummAta6sg/edit"", ""Sheet1!B:D""), 2, FALSE), ""Not Found"")"),"krəsti")</f>
        <v>krəsti</v>
      </c>
      <c r="E7312" s="2" t="str">
        <f>IFERROR(__xludf.DUMMYFUNCTION("IFERROR(VLOOKUP(A7312, IMPORTRANGE(""https://docs.google.com/spreadsheets/d/1-3Vjw2Cyy-mry5gbC8ypIR3YVGFfEpyFESummAta6sg/edit"", ""Sheet1!B:D""), 3, FALSE), ""Not Found"")"),"k r ə s t i ")</f>
        <v>k r ə s t i </v>
      </c>
    </row>
    <row r="7313">
      <c r="A7313" s="1" t="s">
        <v>7315</v>
      </c>
      <c r="B7313" s="1" t="s">
        <v>6138</v>
      </c>
      <c r="C7313" s="2">
        <f>IFERROR(__xludf.DUMMYFUNCTION("IFERROR(VLOOKUP(A7313, IMPORTRANGE(""https://docs.google.com/spreadsheets/d/1AVX9GT0dgogEBStecCXMMQ29tWz3gBrtNB8yIromXbY/edit?gid=741673867"", ""out1g!A:B""), 2, FALSE), 0)"),127.0)</f>
        <v>127</v>
      </c>
      <c r="D7313" s="2" t="str">
        <f>IFERROR(__xludf.DUMMYFUNCTION("IFERROR(VLOOKUP(A7313, IMPORTRANGE(""https://docs.google.com/spreadsheets/d/1-3Vjw2Cyy-mry5gbC8ypIR3YVGFfEpyFESummAta6sg/edit"", ""Sheet1!B:D""), 2, FALSE), ""Not Found"")"),"tɔr")</f>
        <v>tɔr</v>
      </c>
      <c r="E7313" s="2" t="str">
        <f>IFERROR(__xludf.DUMMYFUNCTION("IFERROR(VLOOKUP(A7313, IMPORTRANGE(""https://docs.google.com/spreadsheets/d/1-3Vjw2Cyy-mry5gbC8ypIR3YVGFfEpyFESummAta6sg/edit"", ""Sheet1!B:D""), 3, FALSE), ""Not Found"")"),"t ɔ r ")</f>
        <v>t ɔ r </v>
      </c>
    </row>
    <row r="7314">
      <c r="A7314" s="1" t="s">
        <v>7316</v>
      </c>
      <c r="B7314" s="1" t="s">
        <v>6138</v>
      </c>
      <c r="C7314" s="2">
        <f>IFERROR(__xludf.DUMMYFUNCTION("IFERROR(VLOOKUP(A7314, IMPORTRANGE(""https://docs.google.com/spreadsheets/d/1AVX9GT0dgogEBStecCXMMQ29tWz3gBrtNB8yIromXbY/edit?gid=741673867"", ""out1g!A:B""), 2, FALSE), 0)"),162.0)</f>
        <v>162</v>
      </c>
      <c r="D7314" s="2" t="str">
        <f>IFERROR(__xludf.DUMMYFUNCTION("IFERROR(VLOOKUP(A7314, IMPORTRANGE(""https://docs.google.com/spreadsheets/d/1-3Vjw2Cyy-mry5gbC8ypIR3YVGFfEpyFESummAta6sg/edit"", ""Sheet1!B:D""), 2, FALSE), ""Not Found"")"),"demən")</f>
        <v>demən</v>
      </c>
      <c r="E7314" s="2" t="str">
        <f>IFERROR(__xludf.DUMMYFUNCTION("IFERROR(VLOOKUP(A7314, IMPORTRANGE(""https://docs.google.com/spreadsheets/d/1-3Vjw2Cyy-mry5gbC8ypIR3YVGFfEpyFESummAta6sg/edit"", ""Sheet1!B:D""), 3, FALSE), ""Not Found"")"),"d e m ə n ")</f>
        <v>d e m ə n </v>
      </c>
    </row>
    <row r="7315">
      <c r="A7315" s="1" t="s">
        <v>7317</v>
      </c>
      <c r="B7315" s="1" t="s">
        <v>6138</v>
      </c>
      <c r="C7315" s="2">
        <f>IFERROR(__xludf.DUMMYFUNCTION("IFERROR(VLOOKUP(A7315, IMPORTRANGE(""https://docs.google.com/spreadsheets/d/1AVX9GT0dgogEBStecCXMMQ29tWz3gBrtNB8yIromXbY/edit?gid=741673867"", ""out1g!A:B""), 2, FALSE), 0)"),4562.0)</f>
        <v>4562</v>
      </c>
      <c r="D7315" s="2" t="str">
        <f>IFERROR(__xludf.DUMMYFUNCTION("IFERROR(VLOOKUP(A7315, IMPORTRANGE(""https://docs.google.com/spreadsheets/d/1-3Vjw2Cyy-mry5gbC8ypIR3YVGFfEpyFESummAta6sg/edit"", ""Sheet1!B:D""), 2, FALSE), ""Not Found"")"),"prɛzənt")</f>
        <v>prɛzənt</v>
      </c>
      <c r="E7315" s="2" t="str">
        <f>IFERROR(__xludf.DUMMYFUNCTION("IFERROR(VLOOKUP(A7315, IMPORTRANGE(""https://docs.google.com/spreadsheets/d/1-3Vjw2Cyy-mry5gbC8ypIR3YVGFfEpyFESummAta6sg/edit"", ""Sheet1!B:D""), 3, FALSE), ""Not Found"")"),"p r ɛ z ə n t ")</f>
        <v>p r ɛ z ə n t </v>
      </c>
    </row>
    <row r="7316">
      <c r="A7316" s="1" t="s">
        <v>7318</v>
      </c>
      <c r="B7316" s="1" t="s">
        <v>6138</v>
      </c>
      <c r="C7316" s="2">
        <f>IFERROR(__xludf.DUMMYFUNCTION("IFERROR(VLOOKUP(A7316, IMPORTRANGE(""https://docs.google.com/spreadsheets/d/1AVX9GT0dgogEBStecCXMMQ29tWz3gBrtNB8yIromXbY/edit?gid=741673867"", ""out1g!A:B""), 2, FALSE), 0)"),231.0)</f>
        <v>231</v>
      </c>
      <c r="D7316" s="2" t="str">
        <f>IFERROR(__xludf.DUMMYFUNCTION("IFERROR(VLOOKUP(A7316, IMPORTRANGE(""https://docs.google.com/spreadsheets/d/1-3Vjw2Cyy-mry5gbC8ypIR3YVGFfEpyFESummAta6sg/edit"", ""Sheet1!B:D""), 2, FALSE), ""Not Found"")"),"draɪər")</f>
        <v>draɪər</v>
      </c>
      <c r="E7316" s="2" t="str">
        <f>IFERROR(__xludf.DUMMYFUNCTION("IFERROR(VLOOKUP(A7316, IMPORTRANGE(""https://docs.google.com/spreadsheets/d/1-3Vjw2Cyy-mry5gbC8ypIR3YVGFfEpyFESummAta6sg/edit"", ""Sheet1!B:D""), 3, FALSE), ""Not Found"")"),"d r a ɪ ə r ")</f>
        <v>d r a ɪ ə r </v>
      </c>
    </row>
    <row r="7317">
      <c r="A7317" s="1" t="s">
        <v>7319</v>
      </c>
      <c r="B7317" s="1" t="s">
        <v>6138</v>
      </c>
      <c r="C7317" s="2">
        <f>IFERROR(__xludf.DUMMYFUNCTION("IFERROR(VLOOKUP(A7317, IMPORTRANGE(""https://docs.google.com/spreadsheets/d/1AVX9GT0dgogEBStecCXMMQ29tWz3gBrtNB8yIromXbY/edit?gid=741673867"", ""out1g!A:B""), 2, FALSE), 0)"),190.0)</f>
        <v>190</v>
      </c>
      <c r="D7317" s="2" t="str">
        <f>IFERROR(__xludf.DUMMYFUNCTION("IFERROR(VLOOKUP(A7317, IMPORTRANGE(""https://docs.google.com/spreadsheets/d/1-3Vjw2Cyy-mry5gbC8ypIR3YVGFfEpyFESummAta6sg/edit"", ""Sheet1!B:D""), 2, FALSE), ""Not Found"")"),"mɛnɪs")</f>
        <v>mɛnɪs</v>
      </c>
      <c r="E7317" s="2" t="str">
        <f>IFERROR(__xludf.DUMMYFUNCTION("IFERROR(VLOOKUP(A7317, IMPORTRANGE(""https://docs.google.com/spreadsheets/d/1-3Vjw2Cyy-mry5gbC8ypIR3YVGFfEpyFESummAta6sg/edit"", ""Sheet1!B:D""), 3, FALSE), ""Not Found"")"),"m ɛ n ɪ s ")</f>
        <v>m ɛ n ɪ s </v>
      </c>
    </row>
    <row r="7318">
      <c r="A7318" s="1" t="s">
        <v>7320</v>
      </c>
      <c r="B7318" s="1" t="s">
        <v>6138</v>
      </c>
      <c r="C7318" s="2">
        <f>IFERROR(__xludf.DUMMYFUNCTION("IFERROR(VLOOKUP(A7318, IMPORTRANGE(""https://docs.google.com/spreadsheets/d/1AVX9GT0dgogEBStecCXMMQ29tWz3gBrtNB8yIromXbY/edit?gid=741673867"", ""out1g!A:B""), 2, FALSE), 0)"),98.0)</f>
        <v>98</v>
      </c>
      <c r="D7318" s="2" t="str">
        <f>IFERROR(__xludf.DUMMYFUNCTION("IFERROR(VLOOKUP(A7318, IMPORTRANGE(""https://docs.google.com/spreadsheets/d/1-3Vjw2Cyy-mry5gbC8ypIR3YVGFfEpyFESummAta6sg/edit"", ""Sheet1!B:D""), 2, FALSE), ""Not Found"")"),"oʊesɪs")</f>
        <v>oʊesɪs</v>
      </c>
      <c r="E7318" s="2" t="str">
        <f>IFERROR(__xludf.DUMMYFUNCTION("IFERROR(VLOOKUP(A7318, IMPORTRANGE(""https://docs.google.com/spreadsheets/d/1-3Vjw2Cyy-mry5gbC8ypIR3YVGFfEpyFESummAta6sg/edit"", ""Sheet1!B:D""), 3, FALSE), ""Not Found"")"),"o ʊ e s ɪ s ")</f>
        <v>o ʊ e s ɪ s </v>
      </c>
    </row>
    <row r="7319">
      <c r="A7319" s="1" t="s">
        <v>7321</v>
      </c>
      <c r="B7319" s="1" t="s">
        <v>6138</v>
      </c>
      <c r="C7319" s="2">
        <f>IFERROR(__xludf.DUMMYFUNCTION("IFERROR(VLOOKUP(A7319, IMPORTRANGE(""https://docs.google.com/spreadsheets/d/1AVX9GT0dgogEBStecCXMMQ29tWz3gBrtNB8yIromXbY/edit?gid=741673867"", ""out1g!A:B""), 2, FALSE), 0)"),299.0)</f>
        <v>299</v>
      </c>
      <c r="D7319" s="2" t="str">
        <f>IFERROR(__xludf.DUMMYFUNCTION("IFERROR(VLOOKUP(A7319, IMPORTRANGE(""https://docs.google.com/spreadsheets/d/1-3Vjw2Cyy-mry5gbC8ypIR3YVGFfEpyFESummAta6sg/edit"", ""Sheet1!B:D""), 2, FALSE), ""Not Found"")"),"ɑrʧi")</f>
        <v>ɑrʧi</v>
      </c>
      <c r="E7319" s="2" t="str">
        <f>IFERROR(__xludf.DUMMYFUNCTION("IFERROR(VLOOKUP(A7319, IMPORTRANGE(""https://docs.google.com/spreadsheets/d/1-3Vjw2Cyy-mry5gbC8ypIR3YVGFfEpyFESummAta6sg/edit"", ""Sheet1!B:D""), 3, FALSE), ""Not Found"")"),"ɑ r ʧ i ")</f>
        <v>ɑ r ʧ i </v>
      </c>
    </row>
    <row r="7320">
      <c r="A7320" s="1" t="s">
        <v>7322</v>
      </c>
      <c r="B7320" s="1" t="s">
        <v>6138</v>
      </c>
      <c r="C7320" s="2">
        <f>IFERROR(__xludf.DUMMYFUNCTION("IFERROR(VLOOKUP(A7320, IMPORTRANGE(""https://docs.google.com/spreadsheets/d/1AVX9GT0dgogEBStecCXMMQ29tWz3gBrtNB8yIromXbY/edit?gid=741673867"", ""out1g!A:B""), 2, FALSE), 0)"),51.0)</f>
        <v>51</v>
      </c>
      <c r="D7320" s="2" t="str">
        <f>IFERROR(__xludf.DUMMYFUNCTION("IFERROR(VLOOKUP(A7320, IMPORTRANGE(""https://docs.google.com/spreadsheets/d/1-3Vjw2Cyy-mry5gbC8ypIR3YVGFfEpyFESummAta6sg/edit"", ""Sheet1!B:D""), 2, FALSE), ""Not Found"")"),"menʤər")</f>
        <v>menʤər</v>
      </c>
      <c r="E7320" s="2" t="str">
        <f>IFERROR(__xludf.DUMMYFUNCTION("IFERROR(VLOOKUP(A7320, IMPORTRANGE(""https://docs.google.com/spreadsheets/d/1-3Vjw2Cyy-mry5gbC8ypIR3YVGFfEpyFESummAta6sg/edit"", ""Sheet1!B:D""), 3, FALSE), ""Not Found"")"),"m e n ʤ ə r ")</f>
        <v>m e n ʤ ə r </v>
      </c>
    </row>
    <row r="7321">
      <c r="A7321" s="1" t="s">
        <v>7323</v>
      </c>
      <c r="B7321" s="1" t="s">
        <v>6138</v>
      </c>
      <c r="C7321" s="2">
        <f>IFERROR(__xludf.DUMMYFUNCTION("IFERROR(VLOOKUP(A7321, IMPORTRANGE(""https://docs.google.com/spreadsheets/d/1AVX9GT0dgogEBStecCXMMQ29tWz3gBrtNB8yIromXbY/edit?gid=741673867"", ""out1g!A:B""), 2, FALSE), 0)"),281.0)</f>
        <v>281</v>
      </c>
      <c r="D7321" s="2" t="str">
        <f>IFERROR(__xludf.DUMMYFUNCTION("IFERROR(VLOOKUP(A7321, IMPORTRANGE(""https://docs.google.com/spreadsheets/d/1-3Vjw2Cyy-mry5gbC8ypIR3YVGFfEpyFESummAta6sg/edit"", ""Sheet1!B:D""), 2, FALSE), ""Not Found"")"),"ʧuɪŋ")</f>
        <v>ʧuɪŋ</v>
      </c>
      <c r="E7321" s="2" t="str">
        <f>IFERROR(__xludf.DUMMYFUNCTION("IFERROR(VLOOKUP(A7321, IMPORTRANGE(""https://docs.google.com/spreadsheets/d/1-3Vjw2Cyy-mry5gbC8ypIR3YVGFfEpyFESummAta6sg/edit"", ""Sheet1!B:D""), 3, FALSE), ""Not Found"")"),"ʧ u ɪ ŋ ")</f>
        <v>ʧ u ɪ ŋ </v>
      </c>
    </row>
    <row r="7322">
      <c r="A7322" s="1" t="s">
        <v>7324</v>
      </c>
      <c r="B7322" s="1" t="s">
        <v>6138</v>
      </c>
      <c r="C7322" s="2">
        <f>IFERROR(__xludf.DUMMYFUNCTION("IFERROR(VLOOKUP(A7322, IMPORTRANGE(""https://docs.google.com/spreadsheets/d/1AVX9GT0dgogEBStecCXMMQ29tWz3gBrtNB8yIromXbY/edit?gid=741673867"", ""out1g!A:B""), 2, FALSE), 0)"),108.0)</f>
        <v>108</v>
      </c>
      <c r="D7322" s="2" t="str">
        <f>IFERROR(__xludf.DUMMYFUNCTION("IFERROR(VLOOKUP(A7322, IMPORTRANGE(""https://docs.google.com/spreadsheets/d/1-3Vjw2Cyy-mry5gbC8ypIR3YVGFfEpyFESummAta6sg/edit"", ""Sheet1!B:D""), 2, FALSE), ""Not Found"")"),"sændz")</f>
        <v>sændz</v>
      </c>
      <c r="E7322" s="2" t="str">
        <f>IFERROR(__xludf.DUMMYFUNCTION("IFERROR(VLOOKUP(A7322, IMPORTRANGE(""https://docs.google.com/spreadsheets/d/1-3Vjw2Cyy-mry5gbC8ypIR3YVGFfEpyFESummAta6sg/edit"", ""Sheet1!B:D""), 3, FALSE), ""Not Found"")"),"s æ n d z ")</f>
        <v>s æ n d z </v>
      </c>
    </row>
    <row r="7323">
      <c r="A7323" s="1" t="s">
        <v>7325</v>
      </c>
      <c r="B7323" s="1" t="s">
        <v>6138</v>
      </c>
      <c r="C7323" s="2">
        <f>IFERROR(__xludf.DUMMYFUNCTION("IFERROR(VLOOKUP(A7323, IMPORTRANGE(""https://docs.google.com/spreadsheets/d/1AVX9GT0dgogEBStecCXMMQ29tWz3gBrtNB8yIromXbY/edit?gid=741673867"", ""out1g!A:B""), 2, FALSE), 0)"),723.0)</f>
        <v>723</v>
      </c>
      <c r="D7323" s="2" t="str">
        <f>IFERROR(__xludf.DUMMYFUNCTION("IFERROR(VLOOKUP(A7323, IMPORTRANGE(""https://docs.google.com/spreadsheets/d/1-3Vjw2Cyy-mry5gbC8ypIR3YVGFfEpyFESummAta6sg/edit"", ""Sheet1!B:D""), 2, FALSE), ""Not Found"")"),"kɔtən")</f>
        <v>kɔtən</v>
      </c>
      <c r="E7323" s="2" t="str">
        <f>IFERROR(__xludf.DUMMYFUNCTION("IFERROR(VLOOKUP(A7323, IMPORTRANGE(""https://docs.google.com/spreadsheets/d/1-3Vjw2Cyy-mry5gbC8ypIR3YVGFfEpyFESummAta6sg/edit"", ""Sheet1!B:D""), 3, FALSE), ""Not Found"")"),"k ɔ t ə n ")</f>
        <v>k ɔ t ə n </v>
      </c>
    </row>
    <row r="7324">
      <c r="A7324" s="1" t="s">
        <v>7326</v>
      </c>
      <c r="B7324" s="1" t="s">
        <v>6138</v>
      </c>
      <c r="C7324" s="2">
        <f>IFERROR(__xludf.DUMMYFUNCTION("IFERROR(VLOOKUP(A7324, IMPORTRANGE(""https://docs.google.com/spreadsheets/d/1AVX9GT0dgogEBStecCXMMQ29tWz3gBrtNB8yIromXbY/edit?gid=741673867"", ""out1g!A:B""), 2, FALSE), 0)"),636.0)</f>
        <v>636</v>
      </c>
      <c r="D7324" s="2" t="str">
        <f>IFERROR(__xludf.DUMMYFUNCTION("IFERROR(VLOOKUP(A7324, IMPORTRANGE(""https://docs.google.com/spreadsheets/d/1-3Vjw2Cyy-mry5gbC8ypIR3YVGFfEpyFESummAta6sg/edit"", ""Sheet1!B:D""), 2, FALSE), ""Not Found"")"),"hæmər")</f>
        <v>hæmər</v>
      </c>
      <c r="E7324" s="2" t="str">
        <f>IFERROR(__xludf.DUMMYFUNCTION("IFERROR(VLOOKUP(A7324, IMPORTRANGE(""https://docs.google.com/spreadsheets/d/1-3Vjw2Cyy-mry5gbC8ypIR3YVGFfEpyFESummAta6sg/edit"", ""Sheet1!B:D""), 3, FALSE), ""Not Found"")"),"h æ m ə r ")</f>
        <v>h æ m ə r </v>
      </c>
    </row>
    <row r="7325">
      <c r="A7325" s="1" t="s">
        <v>7327</v>
      </c>
      <c r="B7325" s="1" t="s">
        <v>6138</v>
      </c>
      <c r="C7325" s="2">
        <f>IFERROR(__xludf.DUMMYFUNCTION("IFERROR(VLOOKUP(A7325, IMPORTRANGE(""https://docs.google.com/spreadsheets/d/1AVX9GT0dgogEBStecCXMMQ29tWz3gBrtNB8yIromXbY/edit?gid=741673867"", ""out1g!A:B""), 2, FALSE), 0)"),52.0)</f>
        <v>52</v>
      </c>
      <c r="D7325" s="2" t="str">
        <f>IFERROR(__xludf.DUMMYFUNCTION("IFERROR(VLOOKUP(A7325, IMPORTRANGE(""https://docs.google.com/spreadsheets/d/1-3Vjw2Cyy-mry5gbC8ypIR3YVGFfEpyFESummAta6sg/edit"", ""Sheet1!B:D""), 2, FALSE), ""Not Found"")"),"gɑgə")</f>
        <v>gɑgə</v>
      </c>
      <c r="E7325" s="2" t="str">
        <f>IFERROR(__xludf.DUMMYFUNCTION("IFERROR(VLOOKUP(A7325, IMPORTRANGE(""https://docs.google.com/spreadsheets/d/1-3Vjw2Cyy-mry5gbC8ypIR3YVGFfEpyFESummAta6sg/edit"", ""Sheet1!B:D""), 3, FALSE), ""Not Found"")"),"g ɑ g ə ")</f>
        <v>g ɑ g ə </v>
      </c>
    </row>
    <row r="7326">
      <c r="A7326" s="1" t="s">
        <v>7328</v>
      </c>
      <c r="B7326" s="1" t="s">
        <v>6138</v>
      </c>
      <c r="C7326" s="2">
        <f>IFERROR(__xludf.DUMMYFUNCTION("IFERROR(VLOOKUP(A7326, IMPORTRANGE(""https://docs.google.com/spreadsheets/d/1AVX9GT0dgogEBStecCXMMQ29tWz3gBrtNB8yIromXbY/edit?gid=741673867"", ""out1g!A:B""), 2, FALSE), 0)"),21.0)</f>
        <v>21</v>
      </c>
      <c r="D7326" s="2" t="str">
        <f>IFERROR(__xludf.DUMMYFUNCTION("IFERROR(VLOOKUP(A7326, IMPORTRANGE(""https://docs.google.com/spreadsheets/d/1-3Vjw2Cyy-mry5gbC8ypIR3YVGFfEpyFESummAta6sg/edit"", ""Sheet1!B:D""), 2, FALSE), ""Not Found"")"),"gruvz")</f>
        <v>gruvz</v>
      </c>
      <c r="E7326" s="2" t="str">
        <f>IFERROR(__xludf.DUMMYFUNCTION("IFERROR(VLOOKUP(A7326, IMPORTRANGE(""https://docs.google.com/spreadsheets/d/1-3Vjw2Cyy-mry5gbC8ypIR3YVGFfEpyFESummAta6sg/edit"", ""Sheet1!B:D""), 3, FALSE), ""Not Found"")"),"g r u v z ")</f>
        <v>g r u v z </v>
      </c>
    </row>
    <row r="7327">
      <c r="A7327" s="1" t="s">
        <v>7329</v>
      </c>
      <c r="B7327" s="1" t="s">
        <v>6138</v>
      </c>
      <c r="C7327" s="2">
        <f>IFERROR(__xludf.DUMMYFUNCTION("IFERROR(VLOOKUP(A7327, IMPORTRANGE(""https://docs.google.com/spreadsheets/d/1AVX9GT0dgogEBStecCXMMQ29tWz3gBrtNB8yIromXbY/edit?gid=741673867"", ""out1g!A:B""), 2, FALSE), 0)"),1036.0)</f>
        <v>1036</v>
      </c>
      <c r="D7327" s="2" t="str">
        <f>IFERROR(__xludf.DUMMYFUNCTION("IFERROR(VLOOKUP(A7327, IMPORTRANGE(""https://docs.google.com/spreadsheets/d/1-3Vjw2Cyy-mry5gbC8ypIR3YVGFfEpyFESummAta6sg/edit"", ""Sheet1!B:D""), 2, FALSE), ""Not Found"")"),"lərnɪŋ")</f>
        <v>lərnɪŋ</v>
      </c>
      <c r="E7327" s="2" t="str">
        <f>IFERROR(__xludf.DUMMYFUNCTION("IFERROR(VLOOKUP(A7327, IMPORTRANGE(""https://docs.google.com/spreadsheets/d/1-3Vjw2Cyy-mry5gbC8ypIR3YVGFfEpyFESummAta6sg/edit"", ""Sheet1!B:D""), 3, FALSE), ""Not Found"")"),"l ə r n ɪ ŋ ")</f>
        <v>l ə r n ɪ ŋ </v>
      </c>
    </row>
    <row r="7328">
      <c r="A7328" s="1" t="s">
        <v>7330</v>
      </c>
      <c r="B7328" s="1" t="s">
        <v>6138</v>
      </c>
      <c r="C7328" s="2">
        <f>IFERROR(__xludf.DUMMYFUNCTION("IFERROR(VLOOKUP(A7328, IMPORTRANGE(""https://docs.google.com/spreadsheets/d/1AVX9GT0dgogEBStecCXMMQ29tWz3gBrtNB8yIromXbY/edit?gid=741673867"", ""out1g!A:B""), 2, FALSE), 0)"),113.0)</f>
        <v>113</v>
      </c>
      <c r="D7328" s="2" t="str">
        <f>IFERROR(__xludf.DUMMYFUNCTION("IFERROR(VLOOKUP(A7328, IMPORTRANGE(""https://docs.google.com/spreadsheets/d/1-3Vjw2Cyy-mry5gbC8ypIR3YVGFfEpyFESummAta6sg/edit"", ""Sheet1!B:D""), 2, FALSE), ""Not Found"")"),"bɪlɪŋz")</f>
        <v>bɪlɪŋz</v>
      </c>
      <c r="E7328" s="2" t="str">
        <f>IFERROR(__xludf.DUMMYFUNCTION("IFERROR(VLOOKUP(A7328, IMPORTRANGE(""https://docs.google.com/spreadsheets/d/1-3Vjw2Cyy-mry5gbC8ypIR3YVGFfEpyFESummAta6sg/edit"", ""Sheet1!B:D""), 3, FALSE), ""Not Found"")"),"b ɪ l ɪ ŋ z ")</f>
        <v>b ɪ l ɪ ŋ z </v>
      </c>
    </row>
    <row r="7329">
      <c r="A7329" s="1" t="s">
        <v>7331</v>
      </c>
      <c r="B7329" s="1" t="s">
        <v>6138</v>
      </c>
      <c r="C7329" s="2">
        <f>IFERROR(__xludf.DUMMYFUNCTION("IFERROR(VLOOKUP(A7329, IMPORTRANGE(""https://docs.google.com/spreadsheets/d/1AVX9GT0dgogEBStecCXMMQ29tWz3gBrtNB8yIromXbY/edit?gid=741673867"", ""out1g!A:B""), 2, FALSE), 0)"),915.0)</f>
        <v>915</v>
      </c>
      <c r="D7329" s="2" t="str">
        <f>IFERROR(__xludf.DUMMYFUNCTION("IFERROR(VLOOKUP(A7329, IMPORTRANGE(""https://docs.google.com/spreadsheets/d/1-3Vjw2Cyy-mry5gbC8ypIR3YVGFfEpyFESummAta6sg/edit"", ""Sheet1!B:D""), 2, FALSE), ""Not Found"")"),"dəmpt")</f>
        <v>dəmpt</v>
      </c>
      <c r="E7329" s="2" t="str">
        <f>IFERROR(__xludf.DUMMYFUNCTION("IFERROR(VLOOKUP(A7329, IMPORTRANGE(""https://docs.google.com/spreadsheets/d/1-3Vjw2Cyy-mry5gbC8ypIR3YVGFfEpyFESummAta6sg/edit"", ""Sheet1!B:D""), 3, FALSE), ""Not Found"")"),"d ə m p t ")</f>
        <v>d ə m p t </v>
      </c>
    </row>
    <row r="7330">
      <c r="A7330" s="1" t="s">
        <v>7332</v>
      </c>
      <c r="B7330" s="1" t="s">
        <v>6138</v>
      </c>
      <c r="C7330" s="2">
        <f>IFERROR(__xludf.DUMMYFUNCTION("IFERROR(VLOOKUP(A7330, IMPORTRANGE(""https://docs.google.com/spreadsheets/d/1AVX9GT0dgogEBStecCXMMQ29tWz3gBrtNB8yIromXbY/edit?gid=741673867"", ""out1g!A:B""), 2, FALSE), 0)"),127.0)</f>
        <v>127</v>
      </c>
      <c r="D7330" s="2" t="str">
        <f>IFERROR(__xludf.DUMMYFUNCTION("IFERROR(VLOOKUP(A7330, IMPORTRANGE(""https://docs.google.com/spreadsheets/d/1-3Vjw2Cyy-mry5gbC8ypIR3YVGFfEpyFESummAta6sg/edit"", ""Sheet1!B:D""), 2, FALSE), ""Not Found"")"),"hɑrbər")</f>
        <v>hɑrbər</v>
      </c>
      <c r="E7330" s="2" t="str">
        <f>IFERROR(__xludf.DUMMYFUNCTION("IFERROR(VLOOKUP(A7330, IMPORTRANGE(""https://docs.google.com/spreadsheets/d/1-3Vjw2Cyy-mry5gbC8ypIR3YVGFfEpyFESummAta6sg/edit"", ""Sheet1!B:D""), 3, FALSE), ""Not Found"")"),"h ɑ r b ə r ")</f>
        <v>h ɑ r b ə r </v>
      </c>
    </row>
    <row r="7331">
      <c r="A7331" s="1" t="s">
        <v>7333</v>
      </c>
      <c r="B7331" s="1" t="s">
        <v>6138</v>
      </c>
      <c r="C7331" s="2">
        <f>IFERROR(__xludf.DUMMYFUNCTION("IFERROR(VLOOKUP(A7331, IMPORTRANGE(""https://docs.google.com/spreadsheets/d/1AVX9GT0dgogEBStecCXMMQ29tWz3gBrtNB8yIromXbY/edit?gid=741673867"", ""out1g!A:B""), 2, FALSE), 0)"),2768.0)</f>
        <v>2768</v>
      </c>
      <c r="D7331" s="2" t="str">
        <f>IFERROR(__xludf.DUMMYFUNCTION("IFERROR(VLOOKUP(A7331, IMPORTRANGE(""https://docs.google.com/spreadsheets/d/1-3Vjw2Cyy-mry5gbC8ypIR3YVGFfEpyFESummAta6sg/edit"", ""Sheet1!B:D""), 2, FALSE), ""Not Found"")"),"gɔtən")</f>
        <v>gɔtən</v>
      </c>
      <c r="E7331" s="2" t="str">
        <f>IFERROR(__xludf.DUMMYFUNCTION("IFERROR(VLOOKUP(A7331, IMPORTRANGE(""https://docs.google.com/spreadsheets/d/1-3Vjw2Cyy-mry5gbC8ypIR3YVGFfEpyFESummAta6sg/edit"", ""Sheet1!B:D""), 3, FALSE), ""Not Found"")"),"g ɔ t ə n ")</f>
        <v>g ɔ t ə n </v>
      </c>
    </row>
    <row r="7332">
      <c r="A7332" s="1" t="s">
        <v>7334</v>
      </c>
      <c r="B7332" s="1" t="s">
        <v>6138</v>
      </c>
      <c r="C7332" s="2">
        <f>IFERROR(__xludf.DUMMYFUNCTION("IFERROR(VLOOKUP(A7332, IMPORTRANGE(""https://docs.google.com/spreadsheets/d/1AVX9GT0dgogEBStecCXMMQ29tWz3gBrtNB8yIromXbY/edit?gid=741673867"", ""out1g!A:B""), 2, FALSE), 0)"),144.0)</f>
        <v>144</v>
      </c>
      <c r="D7332" s="2" t="str">
        <f>IFERROR(__xludf.DUMMYFUNCTION("IFERROR(VLOOKUP(A7332, IMPORTRANGE(""https://docs.google.com/spreadsheets/d/1-3Vjw2Cyy-mry5gbC8ypIR3YVGFfEpyFESummAta6sg/edit"", ""Sheet1!B:D""), 2, FALSE), ""Not Found"")"),"braʊniz")</f>
        <v>braʊniz</v>
      </c>
      <c r="E7332" s="2" t="str">
        <f>IFERROR(__xludf.DUMMYFUNCTION("IFERROR(VLOOKUP(A7332, IMPORTRANGE(""https://docs.google.com/spreadsheets/d/1-3Vjw2Cyy-mry5gbC8ypIR3YVGFfEpyFESummAta6sg/edit"", ""Sheet1!B:D""), 3, FALSE), ""Not Found"")"),"b r a ʊ n i z ")</f>
        <v>b r a ʊ n i z </v>
      </c>
    </row>
    <row r="7333">
      <c r="A7333" s="1" t="s">
        <v>7335</v>
      </c>
      <c r="B7333" s="1" t="s">
        <v>6138</v>
      </c>
      <c r="C7333" s="2">
        <f>IFERROR(__xludf.DUMMYFUNCTION("IFERROR(VLOOKUP(A7333, IMPORTRANGE(""https://docs.google.com/spreadsheets/d/1AVX9GT0dgogEBStecCXMMQ29tWz3gBrtNB8yIromXbY/edit?gid=741673867"", ""out1g!A:B""), 2, FALSE), 0)"),62.0)</f>
        <v>62</v>
      </c>
      <c r="D7333" s="2" t="str">
        <f>IFERROR(__xludf.DUMMYFUNCTION("IFERROR(VLOOKUP(A7333, IMPORTRANGE(""https://docs.google.com/spreadsheets/d/1-3Vjw2Cyy-mry5gbC8ypIR3YVGFfEpyFESummAta6sg/edit"", ""Sheet1!B:D""), 2, FALSE), ""Not Found"")"),"gəzɛl")</f>
        <v>gəzɛl</v>
      </c>
      <c r="E7333" s="2" t="str">
        <f>IFERROR(__xludf.DUMMYFUNCTION("IFERROR(VLOOKUP(A7333, IMPORTRANGE(""https://docs.google.com/spreadsheets/d/1-3Vjw2Cyy-mry5gbC8ypIR3YVGFfEpyFESummAta6sg/edit"", ""Sheet1!B:D""), 3, FALSE), ""Not Found"")"),"g ə z ɛ l ")</f>
        <v>g ə z ɛ l </v>
      </c>
    </row>
    <row r="7334">
      <c r="A7334" s="1" t="s">
        <v>7336</v>
      </c>
      <c r="B7334" s="1" t="s">
        <v>6138</v>
      </c>
      <c r="C7334" s="2">
        <f>IFERROR(__xludf.DUMMYFUNCTION("IFERROR(VLOOKUP(A7334, IMPORTRANGE(""https://docs.google.com/spreadsheets/d/1AVX9GT0dgogEBStecCXMMQ29tWz3gBrtNB8yIromXbY/edit?gid=741673867"", ""out1g!A:B""), 2, FALSE), 0)"),391.0)</f>
        <v>391</v>
      </c>
      <c r="D7334" s="2" t="str">
        <f>IFERROR(__xludf.DUMMYFUNCTION("IFERROR(VLOOKUP(A7334, IMPORTRANGE(""https://docs.google.com/spreadsheets/d/1-3Vjw2Cyy-mry5gbC8ypIR3YVGFfEpyFESummAta6sg/edit"", ""Sheet1!B:D""), 2, FALSE), ""Not Found"")"),"kjubə")</f>
        <v>kjubə</v>
      </c>
      <c r="E7334" s="2" t="str">
        <f>IFERROR(__xludf.DUMMYFUNCTION("IFERROR(VLOOKUP(A7334, IMPORTRANGE(""https://docs.google.com/spreadsheets/d/1-3Vjw2Cyy-mry5gbC8ypIR3YVGFfEpyFESummAta6sg/edit"", ""Sheet1!B:D""), 3, FALSE), ""Not Found"")"),"k j u b ə ")</f>
        <v>k j u b ə </v>
      </c>
    </row>
    <row r="7335">
      <c r="A7335" s="1" t="s">
        <v>7337</v>
      </c>
      <c r="B7335" s="1" t="s">
        <v>6138</v>
      </c>
      <c r="C7335" s="2">
        <f>IFERROR(__xludf.DUMMYFUNCTION("IFERROR(VLOOKUP(A7335, IMPORTRANGE(""https://docs.google.com/spreadsheets/d/1AVX9GT0dgogEBStecCXMMQ29tWz3gBrtNB8yIromXbY/edit?gid=741673867"", ""out1g!A:B""), 2, FALSE), 0)"),1451.0)</f>
        <v>1451</v>
      </c>
      <c r="D7335" s="2" t="str">
        <f>IFERROR(__xludf.DUMMYFUNCTION("IFERROR(VLOOKUP(A7335, IMPORTRANGE(""https://docs.google.com/spreadsheets/d/1-3Vjw2Cyy-mry5gbC8ypIR3YVGFfEpyFESummAta6sg/edit"", ""Sheet1!B:D""), 2, FALSE), ""Not Found"")"),"kɛriɪŋ")</f>
        <v>kɛriɪŋ</v>
      </c>
      <c r="E7335" s="2" t="str">
        <f>IFERROR(__xludf.DUMMYFUNCTION("IFERROR(VLOOKUP(A7335, IMPORTRANGE(""https://docs.google.com/spreadsheets/d/1-3Vjw2Cyy-mry5gbC8ypIR3YVGFfEpyFESummAta6sg/edit"", ""Sheet1!B:D""), 3, FALSE), ""Not Found"")"),"k ɛ r i ɪ ŋ ")</f>
        <v>k ɛ r i ɪ ŋ </v>
      </c>
    </row>
    <row r="7336">
      <c r="A7336" s="1" t="s">
        <v>7338</v>
      </c>
      <c r="B7336" s="1" t="s">
        <v>6138</v>
      </c>
      <c r="C7336" s="2">
        <f>IFERROR(__xludf.DUMMYFUNCTION("IFERROR(VLOOKUP(A7336, IMPORTRANGE(""https://docs.google.com/spreadsheets/d/1AVX9GT0dgogEBStecCXMMQ29tWz3gBrtNB8yIromXbY/edit?gid=741673867"", ""out1g!A:B""), 2, FALSE), 0)"),56.0)</f>
        <v>56</v>
      </c>
      <c r="D7336" s="2" t="str">
        <f>IFERROR(__xludf.DUMMYFUNCTION("IFERROR(VLOOKUP(A7336, IMPORTRANGE(""https://docs.google.com/spreadsheets/d/1-3Vjw2Cyy-mry5gbC8ypIR3YVGFfEpyFESummAta6sg/edit"", ""Sheet1!B:D""), 2, FALSE), ""Not Found"")"),"sloʊps")</f>
        <v>sloʊps</v>
      </c>
      <c r="E7336" s="2" t="str">
        <f>IFERROR(__xludf.DUMMYFUNCTION("IFERROR(VLOOKUP(A7336, IMPORTRANGE(""https://docs.google.com/spreadsheets/d/1-3Vjw2Cyy-mry5gbC8ypIR3YVGFfEpyFESummAta6sg/edit"", ""Sheet1!B:D""), 3, FALSE), ""Not Found"")"),"s l o ʊ p s ")</f>
        <v>s l o ʊ p s </v>
      </c>
    </row>
    <row r="7337">
      <c r="A7337" s="1" t="s">
        <v>7339</v>
      </c>
      <c r="B7337" s="1" t="s">
        <v>6138</v>
      </c>
      <c r="C7337" s="2">
        <f>IFERROR(__xludf.DUMMYFUNCTION("IFERROR(VLOOKUP(A7337, IMPORTRANGE(""https://docs.google.com/spreadsheets/d/1AVX9GT0dgogEBStecCXMMQ29tWz3gBrtNB8yIromXbY/edit?gid=741673867"", ""out1g!A:B""), 2, FALSE), 0)"),87.0)</f>
        <v>87</v>
      </c>
      <c r="D7337" s="2" t="str">
        <f>IFERROR(__xludf.DUMMYFUNCTION("IFERROR(VLOOKUP(A7337, IMPORTRANGE(""https://docs.google.com/spreadsheets/d/1-3Vjw2Cyy-mry5gbC8ypIR3YVGFfEpyFESummAta6sg/edit"", ""Sheet1!B:D""), 2, FALSE), ""Not Found"")"),"wæk")</f>
        <v>wæk</v>
      </c>
      <c r="E7337" s="2" t="str">
        <f>IFERROR(__xludf.DUMMYFUNCTION("IFERROR(VLOOKUP(A7337, IMPORTRANGE(""https://docs.google.com/spreadsheets/d/1-3Vjw2Cyy-mry5gbC8ypIR3YVGFfEpyFESummAta6sg/edit"", ""Sheet1!B:D""), 3, FALSE), ""Not Found"")"),"w æ k ")</f>
        <v>w æ k </v>
      </c>
    </row>
    <row r="7338">
      <c r="A7338" s="1" t="s">
        <v>7340</v>
      </c>
      <c r="B7338" s="1" t="s">
        <v>6138</v>
      </c>
      <c r="C7338" s="2">
        <f>IFERROR(__xludf.DUMMYFUNCTION("IFERROR(VLOOKUP(A7338, IMPORTRANGE(""https://docs.google.com/spreadsheets/d/1AVX9GT0dgogEBStecCXMMQ29tWz3gBrtNB8yIromXbY/edit?gid=741673867"", ""out1g!A:B""), 2, FALSE), 0)"),95.0)</f>
        <v>95</v>
      </c>
      <c r="D7338" s="2" t="str">
        <f>IFERROR(__xludf.DUMMYFUNCTION("IFERROR(VLOOKUP(A7338, IMPORTRANGE(""https://docs.google.com/spreadsheets/d/1-3Vjw2Cyy-mry5gbC8ypIR3YVGFfEpyFESummAta6sg/edit"", ""Sheet1!B:D""), 2, FALSE), ""Not Found"")"),"pesoʊz")</f>
        <v>pesoʊz</v>
      </c>
      <c r="E7338" s="2" t="str">
        <f>IFERROR(__xludf.DUMMYFUNCTION("IFERROR(VLOOKUP(A7338, IMPORTRANGE(""https://docs.google.com/spreadsheets/d/1-3Vjw2Cyy-mry5gbC8ypIR3YVGFfEpyFESummAta6sg/edit"", ""Sheet1!B:D""), 3, FALSE), ""Not Found"")"),"p e s o ʊ z ")</f>
        <v>p e s o ʊ z </v>
      </c>
    </row>
    <row r="7339">
      <c r="A7339" s="1" t="s">
        <v>7341</v>
      </c>
      <c r="B7339" s="1" t="s">
        <v>6138</v>
      </c>
      <c r="C7339" s="2">
        <f>IFERROR(__xludf.DUMMYFUNCTION("IFERROR(VLOOKUP(A7339, IMPORTRANGE(""https://docs.google.com/spreadsheets/d/1AVX9GT0dgogEBStecCXMMQ29tWz3gBrtNB8yIromXbY/edit?gid=741673867"", ""out1g!A:B""), 2, FALSE), 0)"),1501.0)</f>
        <v>1501</v>
      </c>
      <c r="D7339" s="2" t="str">
        <f>IFERROR(__xludf.DUMMYFUNCTION("IFERROR(VLOOKUP(A7339, IMPORTRANGE(""https://docs.google.com/spreadsheets/d/1-3Vjw2Cyy-mry5gbC8ypIR3YVGFfEpyFESummAta6sg/edit"", ""Sheet1!B:D""), 2, FALSE), ""Not Found"")"),"pɑrts")</f>
        <v>pɑrts</v>
      </c>
      <c r="E7339" s="2" t="str">
        <f>IFERROR(__xludf.DUMMYFUNCTION("IFERROR(VLOOKUP(A7339, IMPORTRANGE(""https://docs.google.com/spreadsheets/d/1-3Vjw2Cyy-mry5gbC8ypIR3YVGFfEpyFESummAta6sg/edit"", ""Sheet1!B:D""), 3, FALSE), ""Not Found"")"),"p ɑ r t s ")</f>
        <v>p ɑ r t s </v>
      </c>
    </row>
    <row r="7340">
      <c r="A7340" s="1" t="s">
        <v>7342</v>
      </c>
      <c r="B7340" s="1" t="s">
        <v>6138</v>
      </c>
      <c r="C7340" s="2">
        <f>IFERROR(__xludf.DUMMYFUNCTION("IFERROR(VLOOKUP(A7340, IMPORTRANGE(""https://docs.google.com/spreadsheets/d/1AVX9GT0dgogEBStecCXMMQ29tWz3gBrtNB8yIromXbY/edit?gid=741673867"", ""out1g!A:B""), 2, FALSE), 0)"),17336.0)</f>
        <v>17336</v>
      </c>
      <c r="D7340" s="2" t="str">
        <f>IFERROR(__xludf.DUMMYFUNCTION("IFERROR(VLOOKUP(A7340, IMPORTRANGE(""https://docs.google.com/spreadsheets/d/1-3Vjw2Cyy-mry5gbC8ypIR3YVGFfEpyFESummAta6sg/edit"", ""Sheet1!B:D""), 2, FALSE), ""Not Found"")"),"koʊldn")</f>
        <v>koʊldn</v>
      </c>
      <c r="E7340" s="2" t="str">
        <f>IFERROR(__xludf.DUMMYFUNCTION("IFERROR(VLOOKUP(A7340, IMPORTRANGE(""https://docs.google.com/spreadsheets/d/1-3Vjw2Cyy-mry5gbC8ypIR3YVGFfEpyFESummAta6sg/edit"", ""Sheet1!B:D""), 3, FALSE), ""Not Found"")"),"k o ʊ l d n ")</f>
        <v>k o ʊ l d n </v>
      </c>
    </row>
    <row r="7341">
      <c r="A7341" s="1" t="s">
        <v>7343</v>
      </c>
      <c r="B7341" s="1" t="s">
        <v>6138</v>
      </c>
      <c r="C7341" s="2">
        <f>IFERROR(__xludf.DUMMYFUNCTION("IFERROR(VLOOKUP(A7341, IMPORTRANGE(""https://docs.google.com/spreadsheets/d/1AVX9GT0dgogEBStecCXMMQ29tWz3gBrtNB8yIromXbY/edit?gid=741673867"", ""out1g!A:B""), 2, FALSE), 0)"),21.0)</f>
        <v>21</v>
      </c>
      <c r="D7341" s="2" t="str">
        <f>IFERROR(__xludf.DUMMYFUNCTION("IFERROR(VLOOKUP(A7341, IMPORTRANGE(""https://docs.google.com/spreadsheets/d/1-3Vjw2Cyy-mry5gbC8ypIR3YVGFfEpyFESummAta6sg/edit"", ""Sheet1!B:D""), 2, FALSE), ""Not Found"")"),"pestɪd")</f>
        <v>pestɪd</v>
      </c>
      <c r="E7341" s="2" t="str">
        <f>IFERROR(__xludf.DUMMYFUNCTION("IFERROR(VLOOKUP(A7341, IMPORTRANGE(""https://docs.google.com/spreadsheets/d/1-3Vjw2Cyy-mry5gbC8ypIR3YVGFfEpyFESummAta6sg/edit"", ""Sheet1!B:D""), 3, FALSE), ""Not Found"")"),"p e s t ɪ d ")</f>
        <v>p e s t ɪ d </v>
      </c>
    </row>
    <row r="7342">
      <c r="A7342" s="1" t="s">
        <v>7344</v>
      </c>
      <c r="B7342" s="1" t="s">
        <v>6138</v>
      </c>
      <c r="C7342" s="2">
        <f>IFERROR(__xludf.DUMMYFUNCTION("IFERROR(VLOOKUP(A7342, IMPORTRANGE(""https://docs.google.com/spreadsheets/d/1AVX9GT0dgogEBStecCXMMQ29tWz3gBrtNB8yIromXbY/edit?gid=741673867"", ""out1g!A:B""), 2, FALSE), 0)"),86.0)</f>
        <v>86</v>
      </c>
      <c r="D7342" s="2" t="str">
        <f>IFERROR(__xludf.DUMMYFUNCTION("IFERROR(VLOOKUP(A7342, IMPORTRANGE(""https://docs.google.com/spreadsheets/d/1-3Vjw2Cyy-mry5gbC8ypIR3YVGFfEpyFESummAta6sg/edit"", ""Sheet1!B:D""), 2, FALSE), ""Not Found"")"),"snæpɪŋ")</f>
        <v>snæpɪŋ</v>
      </c>
      <c r="E7342" s="2" t="str">
        <f>IFERROR(__xludf.DUMMYFUNCTION("IFERROR(VLOOKUP(A7342, IMPORTRANGE(""https://docs.google.com/spreadsheets/d/1-3Vjw2Cyy-mry5gbC8ypIR3YVGFfEpyFESummAta6sg/edit"", ""Sheet1!B:D""), 3, FALSE), ""Not Found"")"),"s n æ p ɪ ŋ ")</f>
        <v>s n æ p ɪ ŋ </v>
      </c>
    </row>
    <row r="7343">
      <c r="A7343" s="1" t="s">
        <v>7345</v>
      </c>
      <c r="B7343" s="1" t="s">
        <v>6138</v>
      </c>
      <c r="C7343" s="2">
        <f>IFERROR(__xludf.DUMMYFUNCTION("IFERROR(VLOOKUP(A7343, IMPORTRANGE(""https://docs.google.com/spreadsheets/d/1AVX9GT0dgogEBStecCXMMQ29tWz3gBrtNB8yIromXbY/edit?gid=741673867"", ""out1g!A:B""), 2, FALSE), 0)"),67.0)</f>
        <v>67</v>
      </c>
      <c r="D7343" s="2" t="str">
        <f>IFERROR(__xludf.DUMMYFUNCTION("IFERROR(VLOOKUP(A7343, IMPORTRANGE(""https://docs.google.com/spreadsheets/d/1-3Vjw2Cyy-mry5gbC8ypIR3YVGFfEpyFESummAta6sg/edit"", ""Sheet1!B:D""), 2, FALSE), ""Not Found"")"),"skwɔ")</f>
        <v>skwɔ</v>
      </c>
      <c r="E7343" s="2" t="str">
        <f>IFERROR(__xludf.DUMMYFUNCTION("IFERROR(VLOOKUP(A7343, IMPORTRANGE(""https://docs.google.com/spreadsheets/d/1-3Vjw2Cyy-mry5gbC8ypIR3YVGFfEpyFESummAta6sg/edit"", ""Sheet1!B:D""), 3, FALSE), ""Not Found"")"),"s k w ɔ ")</f>
        <v>s k w ɔ </v>
      </c>
    </row>
    <row r="7344">
      <c r="A7344" s="1" t="s">
        <v>7346</v>
      </c>
      <c r="B7344" s="1" t="s">
        <v>6138</v>
      </c>
      <c r="C7344" s="2">
        <f>IFERROR(__xludf.DUMMYFUNCTION("IFERROR(VLOOKUP(A7344, IMPORTRANGE(""https://docs.google.com/spreadsheets/d/1AVX9GT0dgogEBStecCXMMQ29tWz3gBrtNB8yIromXbY/edit?gid=741673867"", ""out1g!A:B""), 2, FALSE), 0)"),57.0)</f>
        <v>57</v>
      </c>
      <c r="D7344" s="2" t="str">
        <f>IFERROR(__xludf.DUMMYFUNCTION("IFERROR(VLOOKUP(A7344, IMPORTRANGE(""https://docs.google.com/spreadsheets/d/1-3Vjw2Cyy-mry5gbC8ypIR3YVGFfEpyFESummAta6sg/edit"", ""Sheet1!B:D""), 2, FALSE), ""Not Found"")"),"krændəl")</f>
        <v>krændəl</v>
      </c>
      <c r="E7344" s="2" t="str">
        <f>IFERROR(__xludf.DUMMYFUNCTION("IFERROR(VLOOKUP(A7344, IMPORTRANGE(""https://docs.google.com/spreadsheets/d/1-3Vjw2Cyy-mry5gbC8ypIR3YVGFfEpyFESummAta6sg/edit"", ""Sheet1!B:D""), 3, FALSE), ""Not Found"")"),"k r æ n d ə l ")</f>
        <v>k r æ n d ə l </v>
      </c>
    </row>
    <row r="7345">
      <c r="A7345" s="1" t="s">
        <v>7347</v>
      </c>
      <c r="B7345" s="1" t="s">
        <v>6138</v>
      </c>
      <c r="C7345" s="2">
        <f>IFERROR(__xludf.DUMMYFUNCTION("IFERROR(VLOOKUP(A7345, IMPORTRANGE(""https://docs.google.com/spreadsheets/d/1AVX9GT0dgogEBStecCXMMQ29tWz3gBrtNB8yIromXbY/edit?gid=741673867"", ""out1g!A:B""), 2, FALSE), 0)"),1087.0)</f>
        <v>1087</v>
      </c>
      <c r="D7345" s="2" t="str">
        <f>IFERROR(__xludf.DUMMYFUNCTION("IFERROR(VLOOKUP(A7345, IMPORTRANGE(""https://docs.google.com/spreadsheets/d/1-3Vjw2Cyy-mry5gbC8ypIR3YVGFfEpyFESummAta6sg/edit"", ""Sheet1!B:D""), 2, FALSE), ""Not Found"")"),"jɛlɪŋ")</f>
        <v>jɛlɪŋ</v>
      </c>
      <c r="E7345" s="2" t="str">
        <f>IFERROR(__xludf.DUMMYFUNCTION("IFERROR(VLOOKUP(A7345, IMPORTRANGE(""https://docs.google.com/spreadsheets/d/1-3Vjw2Cyy-mry5gbC8ypIR3YVGFfEpyFESummAta6sg/edit"", ""Sheet1!B:D""), 3, FALSE), ""Not Found"")"),"j ɛ l ɪ ŋ ")</f>
        <v>j ɛ l ɪ ŋ </v>
      </c>
    </row>
    <row r="7346">
      <c r="A7346" s="1" t="s">
        <v>7348</v>
      </c>
      <c r="B7346" s="1" t="s">
        <v>6138</v>
      </c>
      <c r="C7346" s="2">
        <f>IFERROR(__xludf.DUMMYFUNCTION("IFERROR(VLOOKUP(A7346, IMPORTRANGE(""https://docs.google.com/spreadsheets/d/1AVX9GT0dgogEBStecCXMMQ29tWz3gBrtNB8yIromXbY/edit?gid=741673867"", ""out1g!A:B""), 2, FALSE), 0)"),604.0)</f>
        <v>604</v>
      </c>
      <c r="D7346" s="2" t="str">
        <f>IFERROR(__xludf.DUMMYFUNCTION("IFERROR(VLOOKUP(A7346, IMPORTRANGE(""https://docs.google.com/spreadsheets/d/1-3Vjw2Cyy-mry5gbC8ypIR3YVGFfEpyFESummAta6sg/edit"", ""Sheet1!B:D""), 2, FALSE), ""Not Found"")"),"fɑrmər")</f>
        <v>fɑrmər</v>
      </c>
      <c r="E7346" s="2" t="str">
        <f>IFERROR(__xludf.DUMMYFUNCTION("IFERROR(VLOOKUP(A7346, IMPORTRANGE(""https://docs.google.com/spreadsheets/d/1-3Vjw2Cyy-mry5gbC8ypIR3YVGFfEpyFESummAta6sg/edit"", ""Sheet1!B:D""), 3, FALSE), ""Not Found"")"),"f ɑ r m ə r ")</f>
        <v>f ɑ r m ə r </v>
      </c>
    </row>
    <row r="7347">
      <c r="A7347" s="1" t="s">
        <v>7349</v>
      </c>
      <c r="B7347" s="1" t="s">
        <v>6138</v>
      </c>
      <c r="C7347" s="2">
        <f>IFERROR(__xludf.DUMMYFUNCTION("IFERROR(VLOOKUP(A7347, IMPORTRANGE(""https://docs.google.com/spreadsheets/d/1AVX9GT0dgogEBStecCXMMQ29tWz3gBrtNB8yIromXbY/edit?gid=741673867"", ""out1g!A:B""), 2, FALSE), 0)"),623.0)</f>
        <v>623</v>
      </c>
      <c r="D7347" s="2" t="str">
        <f>IFERROR(__xludf.DUMMYFUNCTION("IFERROR(VLOOKUP(A7347, IMPORTRANGE(""https://docs.google.com/spreadsheets/d/1-3Vjw2Cyy-mry5gbC8ypIR3YVGFfEpyFESummAta6sg/edit"", ""Sheet1!B:D""), 2, FALSE), ""Not Found"")"),"hændi")</f>
        <v>hændi</v>
      </c>
      <c r="E7347" s="2" t="str">
        <f>IFERROR(__xludf.DUMMYFUNCTION("IFERROR(VLOOKUP(A7347, IMPORTRANGE(""https://docs.google.com/spreadsheets/d/1-3Vjw2Cyy-mry5gbC8ypIR3YVGFfEpyFESummAta6sg/edit"", ""Sheet1!B:D""), 3, FALSE), ""Not Found"")"),"h æ n d i ")</f>
        <v>h æ n d i </v>
      </c>
    </row>
    <row r="7348">
      <c r="A7348" s="1" t="s">
        <v>7350</v>
      </c>
      <c r="B7348" s="1" t="s">
        <v>6138</v>
      </c>
      <c r="C7348" s="2">
        <f>IFERROR(__xludf.DUMMYFUNCTION("IFERROR(VLOOKUP(A7348, IMPORTRANGE(""https://docs.google.com/spreadsheets/d/1AVX9GT0dgogEBStecCXMMQ29tWz3gBrtNB8yIromXbY/edit?gid=741673867"", ""out1g!A:B""), 2, FALSE), 0)"),151.0)</f>
        <v>151</v>
      </c>
      <c r="D7348" s="2" t="str">
        <f>IFERROR(__xludf.DUMMYFUNCTION("IFERROR(VLOOKUP(A7348, IMPORTRANGE(""https://docs.google.com/spreadsheets/d/1-3Vjw2Cyy-mry5gbC8ypIR3YVGFfEpyFESummAta6sg/edit"", ""Sheet1!B:D""), 2, FALSE), ""Not Found"")"),"fɪsts")</f>
        <v>fɪsts</v>
      </c>
      <c r="E7348" s="2" t="str">
        <f>IFERROR(__xludf.DUMMYFUNCTION("IFERROR(VLOOKUP(A7348, IMPORTRANGE(""https://docs.google.com/spreadsheets/d/1-3Vjw2Cyy-mry5gbC8ypIR3YVGFfEpyFESummAta6sg/edit"", ""Sheet1!B:D""), 3, FALSE), ""Not Found"")"),"f ɪ s t s ")</f>
        <v>f ɪ s t s </v>
      </c>
    </row>
    <row r="7349">
      <c r="A7349" s="1" t="s">
        <v>7351</v>
      </c>
      <c r="B7349" s="1" t="s">
        <v>6138</v>
      </c>
      <c r="C7349" s="2">
        <f>IFERROR(__xludf.DUMMYFUNCTION("IFERROR(VLOOKUP(A7349, IMPORTRANGE(""https://docs.google.com/spreadsheets/d/1AVX9GT0dgogEBStecCXMMQ29tWz3gBrtNB8yIromXbY/edit?gid=741673867"", ""out1g!A:B""), 2, FALSE), 0)"),189.0)</f>
        <v>189</v>
      </c>
      <c r="D7349" s="2" t="str">
        <f>IFERROR(__xludf.DUMMYFUNCTION("IFERROR(VLOOKUP(A7349, IMPORTRANGE(""https://docs.google.com/spreadsheets/d/1-3Vjw2Cyy-mry5gbC8ypIR3YVGFfEpyFESummAta6sg/edit"", ""Sheet1!B:D""), 2, FALSE), ""Not Found"")"),"stɔkər")</f>
        <v>stɔkər</v>
      </c>
      <c r="E7349" s="2" t="str">
        <f>IFERROR(__xludf.DUMMYFUNCTION("IFERROR(VLOOKUP(A7349, IMPORTRANGE(""https://docs.google.com/spreadsheets/d/1-3Vjw2Cyy-mry5gbC8ypIR3YVGFfEpyFESummAta6sg/edit"", ""Sheet1!B:D""), 3, FALSE), ""Not Found"")"),"s t ɔ k ə r ")</f>
        <v>s t ɔ k ə r </v>
      </c>
    </row>
    <row r="7350">
      <c r="A7350" s="1" t="s">
        <v>7352</v>
      </c>
      <c r="B7350" s="1" t="s">
        <v>6138</v>
      </c>
      <c r="C7350" s="2">
        <f>IFERROR(__xludf.DUMMYFUNCTION("IFERROR(VLOOKUP(A7350, IMPORTRANGE(""https://docs.google.com/spreadsheets/d/1AVX9GT0dgogEBStecCXMMQ29tWz3gBrtNB8yIromXbY/edit?gid=741673867"", ""out1g!A:B""), 2, FALSE), 0)"),112.0)</f>
        <v>112</v>
      </c>
      <c r="D7350" s="2" t="str">
        <f>IFERROR(__xludf.DUMMYFUNCTION("IFERROR(VLOOKUP(A7350, IMPORTRANGE(""https://docs.google.com/spreadsheets/d/1-3Vjw2Cyy-mry5gbC8ypIR3YVGFfEpyFESummAta6sg/edit"", ""Sheet1!B:D""), 2, FALSE), ""Not Found"")"),"wɪpɪŋ")</f>
        <v>wɪpɪŋ</v>
      </c>
      <c r="E7350" s="2" t="str">
        <f>IFERROR(__xludf.DUMMYFUNCTION("IFERROR(VLOOKUP(A7350, IMPORTRANGE(""https://docs.google.com/spreadsheets/d/1-3Vjw2Cyy-mry5gbC8ypIR3YVGFfEpyFESummAta6sg/edit"", ""Sheet1!B:D""), 3, FALSE), ""Not Found"")"),"w ɪ p ɪ ŋ ")</f>
        <v>w ɪ p ɪ ŋ </v>
      </c>
    </row>
    <row r="7351">
      <c r="A7351" s="1" t="s">
        <v>7353</v>
      </c>
      <c r="B7351" s="1" t="s">
        <v>6138</v>
      </c>
      <c r="C7351" s="2">
        <f>IFERROR(__xludf.DUMMYFUNCTION("IFERROR(VLOOKUP(A7351, IMPORTRANGE(""https://docs.google.com/spreadsheets/d/1AVX9GT0dgogEBStecCXMMQ29tWz3gBrtNB8yIromXbY/edit?gid=741673867"", ""out1g!A:B""), 2, FALSE), 0)"),115.0)</f>
        <v>115</v>
      </c>
      <c r="D7351" s="2" t="str">
        <f>IFERROR(__xludf.DUMMYFUNCTION("IFERROR(VLOOKUP(A7351, IMPORTRANGE(""https://docs.google.com/spreadsheets/d/1-3Vjw2Cyy-mry5gbC8ypIR3YVGFfEpyFESummAta6sg/edit"", ""Sheet1!B:D""), 2, FALSE), ""Not Found"")"),"ʃaʊtɪd")</f>
        <v>ʃaʊtɪd</v>
      </c>
      <c r="E7351" s="2" t="str">
        <f>IFERROR(__xludf.DUMMYFUNCTION("IFERROR(VLOOKUP(A7351, IMPORTRANGE(""https://docs.google.com/spreadsheets/d/1-3Vjw2Cyy-mry5gbC8ypIR3YVGFfEpyFESummAta6sg/edit"", ""Sheet1!B:D""), 3, FALSE), ""Not Found"")"),"ʃ a ʊ t ɪ d ")</f>
        <v>ʃ a ʊ t ɪ d </v>
      </c>
    </row>
    <row r="7352">
      <c r="A7352" s="1" t="s">
        <v>7354</v>
      </c>
      <c r="B7352" s="1" t="s">
        <v>6138</v>
      </c>
      <c r="C7352" s="2">
        <f>IFERROR(__xludf.DUMMYFUNCTION("IFERROR(VLOOKUP(A7352, IMPORTRANGE(""https://docs.google.com/spreadsheets/d/1AVX9GT0dgogEBStecCXMMQ29tWz3gBrtNB8yIromXbY/edit?gid=741673867"", ""out1g!A:B""), 2, FALSE), 0)"),104.0)</f>
        <v>104</v>
      </c>
      <c r="D7352" s="2" t="str">
        <f>IFERROR(__xludf.DUMMYFUNCTION("IFERROR(VLOOKUP(A7352, IMPORTRANGE(""https://docs.google.com/spreadsheets/d/1-3Vjw2Cyy-mry5gbC8ypIR3YVGFfEpyFESummAta6sg/edit"", ""Sheet1!B:D""), 2, FALSE), ""Not Found"")"),"plæŋk")</f>
        <v>plæŋk</v>
      </c>
      <c r="E7352" s="2" t="str">
        <f>IFERROR(__xludf.DUMMYFUNCTION("IFERROR(VLOOKUP(A7352, IMPORTRANGE(""https://docs.google.com/spreadsheets/d/1-3Vjw2Cyy-mry5gbC8ypIR3YVGFfEpyFESummAta6sg/edit"", ""Sheet1!B:D""), 3, FALSE), ""Not Found"")"),"p l æ ŋ k ")</f>
        <v>p l æ ŋ k </v>
      </c>
    </row>
    <row r="7353">
      <c r="A7353" s="1" t="s">
        <v>7355</v>
      </c>
      <c r="B7353" s="1" t="s">
        <v>6138</v>
      </c>
      <c r="C7353" s="2">
        <f>IFERROR(__xludf.DUMMYFUNCTION("IFERROR(VLOOKUP(A7353, IMPORTRANGE(""https://docs.google.com/spreadsheets/d/1AVX9GT0dgogEBStecCXMMQ29tWz3gBrtNB8yIromXbY/edit?gid=741673867"", ""out1g!A:B""), 2, FALSE), 0)"),152.0)</f>
        <v>152</v>
      </c>
      <c r="D7353" s="2" t="str">
        <f>IFERROR(__xludf.DUMMYFUNCTION("IFERROR(VLOOKUP(A7353, IMPORTRANGE(""https://docs.google.com/spreadsheets/d/1-3Vjw2Cyy-mry5gbC8ypIR3YVGFfEpyFESummAta6sg/edit"", ""Sheet1!B:D""), 2, FALSE), ""Not Found"")"),"mɑriæn")</f>
        <v>mɑriæn</v>
      </c>
      <c r="E7353" s="2" t="str">
        <f>IFERROR(__xludf.DUMMYFUNCTION("IFERROR(VLOOKUP(A7353, IMPORTRANGE(""https://docs.google.com/spreadsheets/d/1-3Vjw2Cyy-mry5gbC8ypIR3YVGFfEpyFESummAta6sg/edit"", ""Sheet1!B:D""), 3, FALSE), ""Not Found"")"),"m ɑ r i æ n ")</f>
        <v>m ɑ r i æ n </v>
      </c>
    </row>
    <row r="7354">
      <c r="A7354" s="1" t="s">
        <v>7356</v>
      </c>
      <c r="B7354" s="1" t="s">
        <v>6138</v>
      </c>
      <c r="C7354" s="2">
        <f>IFERROR(__xludf.DUMMYFUNCTION("IFERROR(VLOOKUP(A7354, IMPORTRANGE(""https://docs.google.com/spreadsheets/d/1AVX9GT0dgogEBStecCXMMQ29tWz3gBrtNB8yIromXbY/edit?gid=741673867"", ""out1g!A:B""), 2, FALSE), 0)"),83.0)</f>
        <v>83</v>
      </c>
      <c r="D7354" s="2" t="str">
        <f>IFERROR(__xludf.DUMMYFUNCTION("IFERROR(VLOOKUP(A7354, IMPORTRANGE(""https://docs.google.com/spreadsheets/d/1-3Vjw2Cyy-mry5gbC8ypIR3YVGFfEpyFESummAta6sg/edit"", ""Sheet1!B:D""), 2, FALSE), ""Not Found"")"),"glændz")</f>
        <v>glændz</v>
      </c>
      <c r="E7354" s="2" t="str">
        <f>IFERROR(__xludf.DUMMYFUNCTION("IFERROR(VLOOKUP(A7354, IMPORTRANGE(""https://docs.google.com/spreadsheets/d/1-3Vjw2Cyy-mry5gbC8ypIR3YVGFfEpyFESummAta6sg/edit"", ""Sheet1!B:D""), 3, FALSE), ""Not Found"")"),"g l æ n d z ")</f>
        <v>g l æ n d z </v>
      </c>
    </row>
    <row r="7355">
      <c r="A7355" s="1" t="s">
        <v>7357</v>
      </c>
      <c r="B7355" s="1" t="s">
        <v>6138</v>
      </c>
      <c r="C7355" s="2">
        <f>IFERROR(__xludf.DUMMYFUNCTION("IFERROR(VLOOKUP(A7355, IMPORTRANGE(""https://docs.google.com/spreadsheets/d/1AVX9GT0dgogEBStecCXMMQ29tWz3gBrtNB8yIromXbY/edit?gid=741673867"", ""out1g!A:B""), 2, FALSE), 0)"),156.0)</f>
        <v>156</v>
      </c>
      <c r="D7355" s="2" t="str">
        <f>IFERROR(__xludf.DUMMYFUNCTION("IFERROR(VLOOKUP(A7355, IMPORTRANGE(""https://docs.google.com/spreadsheets/d/1-3Vjw2Cyy-mry5gbC8ypIR3YVGFfEpyFESummAta6sg/edit"", ""Sheet1!B:D""), 2, FALSE), ""Not Found"")"),"begəl")</f>
        <v>begəl</v>
      </c>
      <c r="E7355" s="2" t="str">
        <f>IFERROR(__xludf.DUMMYFUNCTION("IFERROR(VLOOKUP(A7355, IMPORTRANGE(""https://docs.google.com/spreadsheets/d/1-3Vjw2Cyy-mry5gbC8ypIR3YVGFfEpyFESummAta6sg/edit"", ""Sheet1!B:D""), 3, FALSE), ""Not Found"")"),"b e g ə l ")</f>
        <v>b e g ə l </v>
      </c>
    </row>
    <row r="7356">
      <c r="A7356" s="1" t="s">
        <v>7358</v>
      </c>
      <c r="B7356" s="1" t="s">
        <v>6138</v>
      </c>
      <c r="C7356" s="2">
        <f>IFERROR(__xludf.DUMMYFUNCTION("IFERROR(VLOOKUP(A7356, IMPORTRANGE(""https://docs.google.com/spreadsheets/d/1AVX9GT0dgogEBStecCXMMQ29tWz3gBrtNB8yIromXbY/edit?gid=741673867"", ""out1g!A:B""), 2, FALSE), 0)"),1164.0)</f>
        <v>1164</v>
      </c>
      <c r="D7356" s="2" t="str">
        <f>IFERROR(__xludf.DUMMYFUNCTION("IFERROR(VLOOKUP(A7356, IMPORTRANGE(""https://docs.google.com/spreadsheets/d/1-3Vjw2Cyy-mry5gbC8ypIR3YVGFfEpyFESummAta6sg/edit"", ""Sheet1!B:D""), 2, FALSE), ""Not Found"")"),"ɑrmd")</f>
        <v>ɑrmd</v>
      </c>
      <c r="E7356" s="2" t="str">
        <f>IFERROR(__xludf.DUMMYFUNCTION("IFERROR(VLOOKUP(A7356, IMPORTRANGE(""https://docs.google.com/spreadsheets/d/1-3Vjw2Cyy-mry5gbC8ypIR3YVGFfEpyFESummAta6sg/edit"", ""Sheet1!B:D""), 3, FALSE), ""Not Found"")"),"ɑ r m d ")</f>
        <v>ɑ r m d </v>
      </c>
    </row>
    <row r="7357">
      <c r="A7357" s="1" t="s">
        <v>7359</v>
      </c>
      <c r="B7357" s="1" t="s">
        <v>6138</v>
      </c>
      <c r="C7357" s="2">
        <f>IFERROR(__xludf.DUMMYFUNCTION("IFERROR(VLOOKUP(A7357, IMPORTRANGE(""https://docs.google.com/spreadsheets/d/1AVX9GT0dgogEBStecCXMMQ29tWz3gBrtNB8yIromXbY/edit?gid=741673867"", ""out1g!A:B""), 2, FALSE), 0)"),144.0)</f>
        <v>144</v>
      </c>
      <c r="D7357" s="2" t="str">
        <f>IFERROR(__xludf.DUMMYFUNCTION("IFERROR(VLOOKUP(A7357, IMPORTRANGE(""https://docs.google.com/spreadsheets/d/1-3Vjw2Cyy-mry5gbC8ypIR3YVGFfEpyFESummAta6sg/edit"", ""Sheet1!B:D""), 2, FALSE), ""Not Found"")"),"mælɪk")</f>
        <v>mælɪk</v>
      </c>
      <c r="E7357" s="2" t="str">
        <f>IFERROR(__xludf.DUMMYFUNCTION("IFERROR(VLOOKUP(A7357, IMPORTRANGE(""https://docs.google.com/spreadsheets/d/1-3Vjw2Cyy-mry5gbC8ypIR3YVGFfEpyFESummAta6sg/edit"", ""Sheet1!B:D""), 3, FALSE), ""Not Found"")"),"m æ l ɪ k ")</f>
        <v>m æ l ɪ k </v>
      </c>
    </row>
    <row r="7358">
      <c r="A7358" s="1" t="s">
        <v>7360</v>
      </c>
      <c r="B7358" s="1" t="s">
        <v>6138</v>
      </c>
      <c r="C7358" s="2">
        <f>IFERROR(__xludf.DUMMYFUNCTION("IFERROR(VLOOKUP(A7358, IMPORTRANGE(""https://docs.google.com/spreadsheets/d/1AVX9GT0dgogEBStecCXMMQ29tWz3gBrtNB8yIromXbY/edit?gid=741673867"", ""out1g!A:B""), 2, FALSE), 0)"),581.0)</f>
        <v>581</v>
      </c>
      <c r="D7358" s="2" t="str">
        <f>IFERROR(__xludf.DUMMYFUNCTION("IFERROR(VLOOKUP(A7358, IMPORTRANGE(""https://docs.google.com/spreadsheets/d/1-3Vjw2Cyy-mry5gbC8ypIR3YVGFfEpyFESummAta6sg/edit"", ""Sheet1!B:D""), 2, FALSE), ""Not Found"")"),"tiʧərz")</f>
        <v>tiʧərz</v>
      </c>
      <c r="E7358" s="2" t="str">
        <f>IFERROR(__xludf.DUMMYFUNCTION("IFERROR(VLOOKUP(A7358, IMPORTRANGE(""https://docs.google.com/spreadsheets/d/1-3Vjw2Cyy-mry5gbC8ypIR3YVGFfEpyFESummAta6sg/edit"", ""Sheet1!B:D""), 3, FALSE), ""Not Found"")"),"t i ʧ ə r z ")</f>
        <v>t i ʧ ə r z </v>
      </c>
    </row>
    <row r="7359">
      <c r="A7359" s="1" t="s">
        <v>7361</v>
      </c>
      <c r="B7359" s="1" t="s">
        <v>6138</v>
      </c>
      <c r="C7359" s="2">
        <f>IFERROR(__xludf.DUMMYFUNCTION("IFERROR(VLOOKUP(A7359, IMPORTRANGE(""https://docs.google.com/spreadsheets/d/1AVX9GT0dgogEBStecCXMMQ29tWz3gBrtNB8yIromXbY/edit?gid=741673867"", ""out1g!A:B""), 2, FALSE), 0)"),152.0)</f>
        <v>152</v>
      </c>
      <c r="D7359" s="2" t="str">
        <f>IFERROR(__xludf.DUMMYFUNCTION("IFERROR(VLOOKUP(A7359, IMPORTRANGE(""https://docs.google.com/spreadsheets/d/1-3Vjw2Cyy-mry5gbC8ypIR3YVGFfEpyFESummAta6sg/edit"", ""Sheet1!B:D""), 2, FALSE), ""Not Found"")"),"hɛrɪŋ")</f>
        <v>hɛrɪŋ</v>
      </c>
      <c r="E7359" s="2" t="str">
        <f>IFERROR(__xludf.DUMMYFUNCTION("IFERROR(VLOOKUP(A7359, IMPORTRANGE(""https://docs.google.com/spreadsheets/d/1-3Vjw2Cyy-mry5gbC8ypIR3YVGFfEpyFESummAta6sg/edit"", ""Sheet1!B:D""), 3, FALSE), ""Not Found"")"),"h ɛ r ɪ ŋ ")</f>
        <v>h ɛ r ɪ ŋ </v>
      </c>
    </row>
    <row r="7360">
      <c r="A7360" s="1" t="s">
        <v>7362</v>
      </c>
      <c r="B7360" s="1" t="s">
        <v>6138</v>
      </c>
      <c r="C7360" s="2">
        <f>IFERROR(__xludf.DUMMYFUNCTION("IFERROR(VLOOKUP(A7360, IMPORTRANGE(""https://docs.google.com/spreadsheets/d/1AVX9GT0dgogEBStecCXMMQ29tWz3gBrtNB8yIromXbY/edit?gid=741673867"", ""out1g!A:B""), 2, FALSE), 0)"),106.0)</f>
        <v>106</v>
      </c>
      <c r="D7360" s="2" t="str">
        <f>IFERROR(__xludf.DUMMYFUNCTION("IFERROR(VLOOKUP(A7360, IMPORTRANGE(""https://docs.google.com/spreadsheets/d/1-3Vjw2Cyy-mry5gbC8ypIR3YVGFfEpyFESummAta6sg/edit"", ""Sheet1!B:D""), 2, FALSE), ""Not Found"")"),"ɛndɪŋz")</f>
        <v>ɛndɪŋz</v>
      </c>
      <c r="E7360" s="2" t="str">
        <f>IFERROR(__xludf.DUMMYFUNCTION("IFERROR(VLOOKUP(A7360, IMPORTRANGE(""https://docs.google.com/spreadsheets/d/1-3Vjw2Cyy-mry5gbC8ypIR3YVGFfEpyFESummAta6sg/edit"", ""Sheet1!B:D""), 3, FALSE), ""Not Found"")"),"ɛ n d ɪ ŋ z ")</f>
        <v>ɛ n d ɪ ŋ z </v>
      </c>
    </row>
    <row r="7361">
      <c r="A7361" s="1" t="s">
        <v>7363</v>
      </c>
      <c r="B7361" s="1" t="s">
        <v>6138</v>
      </c>
      <c r="C7361" s="2">
        <f>IFERROR(__xludf.DUMMYFUNCTION("IFERROR(VLOOKUP(A7361, IMPORTRANGE(""https://docs.google.com/spreadsheets/d/1AVX9GT0dgogEBStecCXMMQ29tWz3gBrtNB8yIromXbY/edit?gid=741673867"", ""out1g!A:B""), 2, FALSE), 0)"),121.0)</f>
        <v>121</v>
      </c>
      <c r="D7361" s="2" t="str">
        <f>IFERROR(__xludf.DUMMYFUNCTION("IFERROR(VLOOKUP(A7361, IMPORTRANGE(""https://docs.google.com/spreadsheets/d/1-3Vjw2Cyy-mry5gbC8ypIR3YVGFfEpyFESummAta6sg/edit"", ""Sheet1!B:D""), 2, FALSE), ""Not Found"")"),"budəst")</f>
        <v>budəst</v>
      </c>
      <c r="E7361" s="2" t="str">
        <f>IFERROR(__xludf.DUMMYFUNCTION("IFERROR(VLOOKUP(A7361, IMPORTRANGE(""https://docs.google.com/spreadsheets/d/1-3Vjw2Cyy-mry5gbC8ypIR3YVGFfEpyFESummAta6sg/edit"", ""Sheet1!B:D""), 3, FALSE), ""Not Found"")"),"b u d ə s t ")</f>
        <v>b u d ə s t </v>
      </c>
    </row>
    <row r="7362">
      <c r="A7362" s="1" t="s">
        <v>7364</v>
      </c>
      <c r="B7362" s="1" t="s">
        <v>6138</v>
      </c>
      <c r="C7362" s="2">
        <f>IFERROR(__xludf.DUMMYFUNCTION("IFERROR(VLOOKUP(A7362, IMPORTRANGE(""https://docs.google.com/spreadsheets/d/1AVX9GT0dgogEBStecCXMMQ29tWz3gBrtNB8yIromXbY/edit?gid=741673867"", ""out1g!A:B""), 2, FALSE), 0)"),69950.0)</f>
        <v>69950</v>
      </c>
      <c r="D7362" s="2" t="str">
        <f>IFERROR(__xludf.DUMMYFUNCTION("IFERROR(VLOOKUP(A7362, IMPORTRANGE(""https://docs.google.com/spreadsheets/d/1-3Vjw2Cyy-mry5gbC8ypIR3YVGFfEpyFESummAta6sg/edit"", ""Sheet1!B:D""), 2, FALSE), ""Not Found"")"),"tu")</f>
        <v>tu</v>
      </c>
      <c r="E7362" s="2" t="str">
        <f>IFERROR(__xludf.DUMMYFUNCTION("IFERROR(VLOOKUP(A7362, IMPORTRANGE(""https://docs.google.com/spreadsheets/d/1-3Vjw2Cyy-mry5gbC8ypIR3YVGFfEpyFESummAta6sg/edit"", ""Sheet1!B:D""), 3, FALSE), ""Not Found"")"),"t u ")</f>
        <v>t u </v>
      </c>
    </row>
    <row r="7363">
      <c r="A7363" s="1" t="s">
        <v>7365</v>
      </c>
      <c r="B7363" s="1" t="s">
        <v>6138</v>
      </c>
      <c r="C7363" s="2">
        <f>IFERROR(__xludf.DUMMYFUNCTION("IFERROR(VLOOKUP(A7363, IMPORTRANGE(""https://docs.google.com/spreadsheets/d/1AVX9GT0dgogEBStecCXMMQ29tWz3gBrtNB8yIromXbY/edit?gid=741673867"", ""out1g!A:B""), 2, FALSE), 0)"),68.0)</f>
        <v>68</v>
      </c>
      <c r="D7363" s="2" t="str">
        <f>IFERROR(__xludf.DUMMYFUNCTION("IFERROR(VLOOKUP(A7363, IMPORTRANGE(""https://docs.google.com/spreadsheets/d/1-3Vjw2Cyy-mry5gbC8ypIR3YVGFfEpyFESummAta6sg/edit"", ""Sheet1!B:D""), 2, FALSE), ""Not Found"")"),"dæŋgəl")</f>
        <v>dæŋgəl</v>
      </c>
      <c r="E7363" s="2" t="str">
        <f>IFERROR(__xludf.DUMMYFUNCTION("IFERROR(VLOOKUP(A7363, IMPORTRANGE(""https://docs.google.com/spreadsheets/d/1-3Vjw2Cyy-mry5gbC8ypIR3YVGFfEpyFESummAta6sg/edit"", ""Sheet1!B:D""), 3, FALSE), ""Not Found"")"),"d æ ŋ g ə l ")</f>
        <v>d æ ŋ g ə l </v>
      </c>
    </row>
    <row r="7364">
      <c r="A7364" s="1" t="s">
        <v>7366</v>
      </c>
      <c r="B7364" s="1" t="s">
        <v>6138</v>
      </c>
      <c r="C7364" s="2">
        <f>IFERROR(__xludf.DUMMYFUNCTION("IFERROR(VLOOKUP(A7364, IMPORTRANGE(""https://docs.google.com/spreadsheets/d/1AVX9GT0dgogEBStecCXMMQ29tWz3gBrtNB8yIromXbY/edit?gid=741673867"", ""out1g!A:B""), 2, FALSE), 0)"),22.0)</f>
        <v>22</v>
      </c>
      <c r="D7364" s="2" t="str">
        <f>IFERROR(__xludf.DUMMYFUNCTION("IFERROR(VLOOKUP(A7364, IMPORTRANGE(""https://docs.google.com/spreadsheets/d/1-3Vjw2Cyy-mry5gbC8ypIR3YVGFfEpyFESummAta6sg/edit"", ""Sheet1!B:D""), 2, FALSE), ""Not Found"")"),"dæmɪŋ")</f>
        <v>dæmɪŋ</v>
      </c>
      <c r="E7364" s="2" t="str">
        <f>IFERROR(__xludf.DUMMYFUNCTION("IFERROR(VLOOKUP(A7364, IMPORTRANGE(""https://docs.google.com/spreadsheets/d/1-3Vjw2Cyy-mry5gbC8ypIR3YVGFfEpyFESummAta6sg/edit"", ""Sheet1!B:D""), 3, FALSE), ""Not Found"")"),"d æ m ɪ ŋ ")</f>
        <v>d æ m ɪ ŋ </v>
      </c>
    </row>
    <row r="7365">
      <c r="A7365" s="1" t="s">
        <v>7367</v>
      </c>
      <c r="B7365" s="1" t="s">
        <v>6138</v>
      </c>
      <c r="C7365" s="2">
        <f>IFERROR(__xludf.DUMMYFUNCTION("IFERROR(VLOOKUP(A7365, IMPORTRANGE(""https://docs.google.com/spreadsheets/d/1AVX9GT0dgogEBStecCXMMQ29tWz3gBrtNB8yIromXbY/edit?gid=741673867"", ""out1g!A:B""), 2, FALSE), 0)"),199.0)</f>
        <v>199</v>
      </c>
      <c r="D7365" s="2" t="str">
        <f>IFERROR(__xludf.DUMMYFUNCTION("IFERROR(VLOOKUP(A7365, IMPORTRANGE(""https://docs.google.com/spreadsheets/d/1-3Vjw2Cyy-mry5gbC8ypIR3YVGFfEpyFESummAta6sg/edit"", ""Sheet1!B:D""), 2, FALSE), ""Not Found"")"),"mɑriən")</f>
        <v>mɑriən</v>
      </c>
      <c r="E7365" s="2" t="str">
        <f>IFERROR(__xludf.DUMMYFUNCTION("IFERROR(VLOOKUP(A7365, IMPORTRANGE(""https://docs.google.com/spreadsheets/d/1-3Vjw2Cyy-mry5gbC8ypIR3YVGFfEpyFESummAta6sg/edit"", ""Sheet1!B:D""), 3, FALSE), ""Not Found"")"),"m ɑ r i ə n ")</f>
        <v>m ɑ r i ə n </v>
      </c>
    </row>
    <row r="7366">
      <c r="A7366" s="1" t="s">
        <v>7368</v>
      </c>
      <c r="B7366" s="1" t="s">
        <v>6138</v>
      </c>
      <c r="C7366" s="2">
        <f>IFERROR(__xludf.DUMMYFUNCTION("IFERROR(VLOOKUP(A7366, IMPORTRANGE(""https://docs.google.com/spreadsheets/d/1AVX9GT0dgogEBStecCXMMQ29tWz3gBrtNB8yIromXbY/edit?gid=741673867"", ""out1g!A:B""), 2, FALSE), 0)"),54.0)</f>
        <v>54</v>
      </c>
      <c r="D7366" s="2" t="str">
        <f>IFERROR(__xludf.DUMMYFUNCTION("IFERROR(VLOOKUP(A7366, IMPORTRANGE(""https://docs.google.com/spreadsheets/d/1-3Vjw2Cyy-mry5gbC8ypIR3YVGFfEpyFESummAta6sg/edit"", ""Sheet1!B:D""), 2, FALSE), ""Not Found"")"),"əðər")</f>
        <v>əðər</v>
      </c>
      <c r="E7366" s="2" t="str">
        <f>IFERROR(__xludf.DUMMYFUNCTION("IFERROR(VLOOKUP(A7366, IMPORTRANGE(""https://docs.google.com/spreadsheets/d/1-3Vjw2Cyy-mry5gbC8ypIR3YVGFfEpyFESummAta6sg/edit"", ""Sheet1!B:D""), 3, FALSE), ""Not Found"")"),"ə ð ə r ")</f>
        <v>ə ð ə r </v>
      </c>
    </row>
    <row r="7367">
      <c r="A7367" s="1" t="s">
        <v>7369</v>
      </c>
      <c r="B7367" s="1" t="s">
        <v>6138</v>
      </c>
      <c r="C7367" s="2">
        <f>IFERROR(__xludf.DUMMYFUNCTION("IFERROR(VLOOKUP(A7367, IMPORTRANGE(""https://docs.google.com/spreadsheets/d/1AVX9GT0dgogEBStecCXMMQ29tWz3gBrtNB8yIromXbY/edit?gid=741673867"", ""out1g!A:B""), 2, FALSE), 0)"),72.0)</f>
        <v>72</v>
      </c>
      <c r="D7367" s="2" t="str">
        <f>IFERROR(__xludf.DUMMYFUNCTION("IFERROR(VLOOKUP(A7367, IMPORTRANGE(""https://docs.google.com/spreadsheets/d/1-3Vjw2Cyy-mry5gbC8ypIR3YVGFfEpyFESummAta6sg/edit"", ""Sheet1!B:D""), 2, FALSE), ""Not Found"")"),"ɪndiə")</f>
        <v>ɪndiə</v>
      </c>
      <c r="E7367" s="2" t="str">
        <f>IFERROR(__xludf.DUMMYFUNCTION("IFERROR(VLOOKUP(A7367, IMPORTRANGE(""https://docs.google.com/spreadsheets/d/1-3Vjw2Cyy-mry5gbC8ypIR3YVGFfEpyFESummAta6sg/edit"", ""Sheet1!B:D""), 3, FALSE), ""Not Found"")"),"ɪ n d i ə ")</f>
        <v>ɪ n d i ə </v>
      </c>
    </row>
    <row r="7368">
      <c r="A7368" s="1" t="s">
        <v>7370</v>
      </c>
      <c r="B7368" s="1" t="s">
        <v>6138</v>
      </c>
      <c r="C7368" s="2">
        <f>IFERROR(__xludf.DUMMYFUNCTION("IFERROR(VLOOKUP(A7368, IMPORTRANGE(""https://docs.google.com/spreadsheets/d/1AVX9GT0dgogEBStecCXMMQ29tWz3gBrtNB8yIromXbY/edit?gid=741673867"", ""out1g!A:B""), 2, FALSE), 0)"),613.0)</f>
        <v>613</v>
      </c>
      <c r="D7368" s="2" t="str">
        <f>IFERROR(__xludf.DUMMYFUNCTION("IFERROR(VLOOKUP(A7368, IMPORTRANGE(""https://docs.google.com/spreadsheets/d/1-3Vjw2Cyy-mry5gbC8ypIR3YVGFfEpyFESummAta6sg/edit"", ""Sheet1!B:D""), 2, FALSE), ""Not Found"")"),"lɛmən")</f>
        <v>lɛmən</v>
      </c>
      <c r="E7368" s="2" t="str">
        <f>IFERROR(__xludf.DUMMYFUNCTION("IFERROR(VLOOKUP(A7368, IMPORTRANGE(""https://docs.google.com/spreadsheets/d/1-3Vjw2Cyy-mry5gbC8ypIR3YVGFfEpyFESummAta6sg/edit"", ""Sheet1!B:D""), 3, FALSE), ""Not Found"")"),"l ɛ m ə n ")</f>
        <v>l ɛ m ə n </v>
      </c>
    </row>
    <row r="7369">
      <c r="A7369" s="1" t="s">
        <v>7371</v>
      </c>
      <c r="B7369" s="1" t="s">
        <v>6138</v>
      </c>
      <c r="C7369" s="2">
        <f>IFERROR(__xludf.DUMMYFUNCTION("IFERROR(VLOOKUP(A7369, IMPORTRANGE(""https://docs.google.com/spreadsheets/d/1AVX9GT0dgogEBStecCXMMQ29tWz3gBrtNB8yIromXbY/edit?gid=741673867"", ""out1g!A:B""), 2, FALSE), 0)"),1121.0)</f>
        <v>1121</v>
      </c>
      <c r="D7369" s="2" t="str">
        <f>IFERROR(__xludf.DUMMYFUNCTION("IFERROR(VLOOKUP(A7369, IMPORTRANGE(""https://docs.google.com/spreadsheets/d/1-3Vjw2Cyy-mry5gbC8ypIR3YVGFfEpyFESummAta6sg/edit"", ""Sheet1!B:D""), 2, FALSE), ""Not Found"")"),"pəŋk")</f>
        <v>pəŋk</v>
      </c>
      <c r="E7369" s="2" t="str">
        <f>IFERROR(__xludf.DUMMYFUNCTION("IFERROR(VLOOKUP(A7369, IMPORTRANGE(""https://docs.google.com/spreadsheets/d/1-3Vjw2Cyy-mry5gbC8ypIR3YVGFfEpyFESummAta6sg/edit"", ""Sheet1!B:D""), 3, FALSE), ""Not Found"")"),"p ə ŋ k ")</f>
        <v>p ə ŋ k </v>
      </c>
    </row>
    <row r="7370">
      <c r="A7370" s="1" t="s">
        <v>7372</v>
      </c>
      <c r="B7370" s="1" t="s">
        <v>6138</v>
      </c>
      <c r="C7370" s="2">
        <f>IFERROR(__xludf.DUMMYFUNCTION("IFERROR(VLOOKUP(A7370, IMPORTRANGE(""https://docs.google.com/spreadsheets/d/1AVX9GT0dgogEBStecCXMMQ29tWz3gBrtNB8yIromXbY/edit?gid=741673867"", ""out1g!A:B""), 2, FALSE), 0)"),320.0)</f>
        <v>320</v>
      </c>
      <c r="D7370" s="2" t="str">
        <f>IFERROR(__xludf.DUMMYFUNCTION("IFERROR(VLOOKUP(A7370, IMPORTRANGE(""https://docs.google.com/spreadsheets/d/1-3Vjw2Cyy-mry5gbC8ypIR3YVGFfEpyFESummAta6sg/edit"", ""Sheet1!B:D""), 2, FALSE), ""Not Found"")"),"wu")</f>
        <v>wu</v>
      </c>
      <c r="E7370" s="2" t="str">
        <f>IFERROR(__xludf.DUMMYFUNCTION("IFERROR(VLOOKUP(A7370, IMPORTRANGE(""https://docs.google.com/spreadsheets/d/1-3Vjw2Cyy-mry5gbC8ypIR3YVGFfEpyFESummAta6sg/edit"", ""Sheet1!B:D""), 3, FALSE), ""Not Found"")"),"w u ")</f>
        <v>w u </v>
      </c>
    </row>
    <row r="7371">
      <c r="A7371" s="1" t="s">
        <v>7373</v>
      </c>
      <c r="B7371" s="1" t="s">
        <v>6138</v>
      </c>
      <c r="C7371" s="2">
        <f>IFERROR(__xludf.DUMMYFUNCTION("IFERROR(VLOOKUP(A7371, IMPORTRANGE(""https://docs.google.com/spreadsheets/d/1AVX9GT0dgogEBStecCXMMQ29tWz3gBrtNB8yIromXbY/edit?gid=741673867"", ""out1g!A:B""), 2, FALSE), 0)"),56.0)</f>
        <v>56</v>
      </c>
      <c r="D7371" s="2" t="str">
        <f>IFERROR(__xludf.DUMMYFUNCTION("IFERROR(VLOOKUP(A7371, IMPORTRANGE(""https://docs.google.com/spreadsheets/d/1-3Vjw2Cyy-mry5gbC8ypIR3YVGFfEpyFESummAta6sg/edit"", ""Sheet1!B:D""), 2, FALSE), ""Not Found"")"),"vɛsts")</f>
        <v>vɛsts</v>
      </c>
      <c r="E7371" s="2" t="str">
        <f>IFERROR(__xludf.DUMMYFUNCTION("IFERROR(VLOOKUP(A7371, IMPORTRANGE(""https://docs.google.com/spreadsheets/d/1-3Vjw2Cyy-mry5gbC8ypIR3YVGFfEpyFESummAta6sg/edit"", ""Sheet1!B:D""), 3, FALSE), ""Not Found"")"),"v ɛ s t s ")</f>
        <v>v ɛ s t s </v>
      </c>
    </row>
    <row r="7372">
      <c r="A7372" s="1" t="s">
        <v>7374</v>
      </c>
      <c r="B7372" s="1" t="s">
        <v>6138</v>
      </c>
      <c r="C7372" s="2">
        <f>IFERROR(__xludf.DUMMYFUNCTION("IFERROR(VLOOKUP(A7372, IMPORTRANGE(""https://docs.google.com/spreadsheets/d/1AVX9GT0dgogEBStecCXMMQ29tWz3gBrtNB8yIromXbY/edit?gid=741673867"", ""out1g!A:B""), 2, FALSE), 0)"),119.0)</f>
        <v>119</v>
      </c>
      <c r="D7372" s="2" t="str">
        <f>IFERROR(__xludf.DUMMYFUNCTION("IFERROR(VLOOKUP(A7372, IMPORTRANGE(""https://docs.google.com/spreadsheets/d/1-3Vjw2Cyy-mry5gbC8ypIR3YVGFfEpyFESummAta6sg/edit"", ""Sheet1!B:D""), 2, FALSE), ""Not Found"")"),"krɪsti")</f>
        <v>krɪsti</v>
      </c>
      <c r="E7372" s="2" t="str">
        <f>IFERROR(__xludf.DUMMYFUNCTION("IFERROR(VLOOKUP(A7372, IMPORTRANGE(""https://docs.google.com/spreadsheets/d/1-3Vjw2Cyy-mry5gbC8ypIR3YVGFfEpyFESummAta6sg/edit"", ""Sheet1!B:D""), 3, FALSE), ""Not Found"")"),"k r ɪ s t i ")</f>
        <v>k r ɪ s t i </v>
      </c>
    </row>
    <row r="7373">
      <c r="A7373" s="1" t="s">
        <v>7375</v>
      </c>
      <c r="B7373" s="1" t="s">
        <v>6138</v>
      </c>
      <c r="C7373" s="2">
        <f>IFERROR(__xludf.DUMMYFUNCTION("IFERROR(VLOOKUP(A7373, IMPORTRANGE(""https://docs.google.com/spreadsheets/d/1AVX9GT0dgogEBStecCXMMQ29tWz3gBrtNB8yIromXbY/edit?gid=741673867"", ""out1g!A:B""), 2, FALSE), 0)"),293.0)</f>
        <v>293</v>
      </c>
      <c r="D7373" s="2" t="str">
        <f>IFERROR(__xludf.DUMMYFUNCTION("IFERROR(VLOOKUP(A7373, IMPORTRANGE(""https://docs.google.com/spreadsheets/d/1-3Vjw2Cyy-mry5gbC8ypIR3YVGFfEpyFESummAta6sg/edit"", ""Sheet1!B:D""), 2, FALSE), ""Not Found"")"),"testɪd")</f>
        <v>testɪd</v>
      </c>
      <c r="E7373" s="2" t="str">
        <f>IFERROR(__xludf.DUMMYFUNCTION("IFERROR(VLOOKUP(A7373, IMPORTRANGE(""https://docs.google.com/spreadsheets/d/1-3Vjw2Cyy-mry5gbC8ypIR3YVGFfEpyFESummAta6sg/edit"", ""Sheet1!B:D""), 3, FALSE), ""Not Found"")"),"t e s t ɪ d ")</f>
        <v>t e s t ɪ d </v>
      </c>
    </row>
    <row r="7374">
      <c r="A7374" s="1" t="s">
        <v>7376</v>
      </c>
      <c r="B7374" s="1" t="s">
        <v>6138</v>
      </c>
      <c r="C7374" s="2">
        <f>IFERROR(__xludf.DUMMYFUNCTION("IFERROR(VLOOKUP(A7374, IMPORTRANGE(""https://docs.google.com/spreadsheets/d/1AVX9GT0dgogEBStecCXMMQ29tWz3gBrtNB8yIromXbY/edit?gid=741673867"", ""out1g!A:B""), 2, FALSE), 0)"),89.0)</f>
        <v>89</v>
      </c>
      <c r="D7374" s="2" t="str">
        <f>IFERROR(__xludf.DUMMYFUNCTION("IFERROR(VLOOKUP(A7374, IMPORTRANGE(""https://docs.google.com/spreadsheets/d/1-3Vjw2Cyy-mry5gbC8ypIR3YVGFfEpyFESummAta6sg/edit"", ""Sheet1!B:D""), 2, FALSE), ""Not Found"")"),"ləmpi")</f>
        <v>ləmpi</v>
      </c>
      <c r="E7374" s="2" t="str">
        <f>IFERROR(__xludf.DUMMYFUNCTION("IFERROR(VLOOKUP(A7374, IMPORTRANGE(""https://docs.google.com/spreadsheets/d/1-3Vjw2Cyy-mry5gbC8ypIR3YVGFfEpyFESummAta6sg/edit"", ""Sheet1!B:D""), 3, FALSE), ""Not Found"")"),"l ə m p i ")</f>
        <v>l ə m p i </v>
      </c>
    </row>
    <row r="7375">
      <c r="A7375" s="1" t="s">
        <v>7377</v>
      </c>
      <c r="B7375" s="1" t="s">
        <v>6138</v>
      </c>
      <c r="C7375" s="2">
        <f>IFERROR(__xludf.DUMMYFUNCTION("IFERROR(VLOOKUP(A7375, IMPORTRANGE(""https://docs.google.com/spreadsheets/d/1AVX9GT0dgogEBStecCXMMQ29tWz3gBrtNB8yIromXbY/edit?gid=741673867"", ""out1g!A:B""), 2, FALSE), 0)"),1226.0)</f>
        <v>1226</v>
      </c>
      <c r="D7375" s="2" t="str">
        <f>IFERROR(__xludf.DUMMYFUNCTION("IFERROR(VLOOKUP(A7375, IMPORTRANGE(""https://docs.google.com/spreadsheets/d/1-3Vjw2Cyy-mry5gbC8ypIR3YVGFfEpyFESummAta6sg/edit"", ""Sheet1!B:D""), 2, FALSE), ""Not Found"")"),"dɪrɛkt")</f>
        <v>dɪrɛkt</v>
      </c>
      <c r="E7375" s="2" t="str">
        <f>IFERROR(__xludf.DUMMYFUNCTION("IFERROR(VLOOKUP(A7375, IMPORTRANGE(""https://docs.google.com/spreadsheets/d/1-3Vjw2Cyy-mry5gbC8ypIR3YVGFfEpyFESummAta6sg/edit"", ""Sheet1!B:D""), 3, FALSE), ""Not Found"")"),"d ɪ r ɛ k t ")</f>
        <v>d ɪ r ɛ k t </v>
      </c>
    </row>
    <row r="7376">
      <c r="A7376" s="1" t="s">
        <v>7378</v>
      </c>
      <c r="B7376" s="1" t="s">
        <v>6138</v>
      </c>
      <c r="C7376" s="2">
        <f>IFERROR(__xludf.DUMMYFUNCTION("IFERROR(VLOOKUP(A7376, IMPORTRANGE(""https://docs.google.com/spreadsheets/d/1AVX9GT0dgogEBStecCXMMQ29tWz3gBrtNB8yIromXbY/edit?gid=741673867"", ""out1g!A:B""), 2, FALSE), 0)"),86.0)</f>
        <v>86</v>
      </c>
      <c r="D7376" s="2" t="str">
        <f>IFERROR(__xludf.DUMMYFUNCTION("IFERROR(VLOOKUP(A7376, IMPORTRANGE(""https://docs.google.com/spreadsheets/d/1-3Vjw2Cyy-mry5gbC8ypIR3YVGFfEpyFESummAta6sg/edit"", ""Sheet1!B:D""), 2, FALSE), ""Not Found"")"),"tresər")</f>
        <v>tresər</v>
      </c>
      <c r="E7376" s="2" t="str">
        <f>IFERROR(__xludf.DUMMYFUNCTION("IFERROR(VLOOKUP(A7376, IMPORTRANGE(""https://docs.google.com/spreadsheets/d/1-3Vjw2Cyy-mry5gbC8ypIR3YVGFfEpyFESummAta6sg/edit"", ""Sheet1!B:D""), 3, FALSE), ""Not Found"")"),"t r e s ə r ")</f>
        <v>t r e s ə r </v>
      </c>
    </row>
    <row r="7377">
      <c r="A7377" s="1" t="s">
        <v>7379</v>
      </c>
      <c r="B7377" s="1" t="s">
        <v>6138</v>
      </c>
      <c r="C7377" s="2">
        <f>IFERROR(__xludf.DUMMYFUNCTION("IFERROR(VLOOKUP(A7377, IMPORTRANGE(""https://docs.google.com/spreadsheets/d/1AVX9GT0dgogEBStecCXMMQ29tWz3gBrtNB8yIromXbY/edit?gid=741673867"", ""out1g!A:B""), 2, FALSE), 0)"),2287.0)</f>
        <v>2287</v>
      </c>
      <c r="D7377" s="2" t="str">
        <f>IFERROR(__xludf.DUMMYFUNCTION("IFERROR(VLOOKUP(A7377, IMPORTRANGE(""https://docs.google.com/spreadsheets/d/1-3Vjw2Cyy-mry5gbC8ypIR3YVGFfEpyFESummAta6sg/edit"", ""Sheet1!B:D""), 2, FALSE), ""Not Found"")"),"gemz")</f>
        <v>gemz</v>
      </c>
      <c r="E7377" s="2" t="str">
        <f>IFERROR(__xludf.DUMMYFUNCTION("IFERROR(VLOOKUP(A7377, IMPORTRANGE(""https://docs.google.com/spreadsheets/d/1-3Vjw2Cyy-mry5gbC8ypIR3YVGFfEpyFESummAta6sg/edit"", ""Sheet1!B:D""), 3, FALSE), ""Not Found"")"),"g e m z ")</f>
        <v>g e m z </v>
      </c>
    </row>
    <row r="7378">
      <c r="A7378" s="1" t="s">
        <v>7380</v>
      </c>
      <c r="B7378" s="1" t="s">
        <v>6138</v>
      </c>
      <c r="C7378" s="2">
        <f>IFERROR(__xludf.DUMMYFUNCTION("IFERROR(VLOOKUP(A7378, IMPORTRANGE(""https://docs.google.com/spreadsheets/d/1AVX9GT0dgogEBStecCXMMQ29tWz3gBrtNB8yIromXbY/edit?gid=741673867"", ""out1g!A:B""), 2, FALSE), 0)"),51.0)</f>
        <v>51</v>
      </c>
      <c r="D7378" s="2" t="str">
        <f>IFERROR(__xludf.DUMMYFUNCTION("IFERROR(VLOOKUP(A7378, IMPORTRANGE(""https://docs.google.com/spreadsheets/d/1-3Vjw2Cyy-mry5gbC8ypIR3YVGFfEpyFESummAta6sg/edit"", ""Sheet1!B:D""), 2, FALSE), ""Not Found"")"),"heʃən")</f>
        <v>heʃən</v>
      </c>
      <c r="E7378" s="2" t="str">
        <f>IFERROR(__xludf.DUMMYFUNCTION("IFERROR(VLOOKUP(A7378, IMPORTRANGE(""https://docs.google.com/spreadsheets/d/1-3Vjw2Cyy-mry5gbC8ypIR3YVGFfEpyFESummAta6sg/edit"", ""Sheet1!B:D""), 3, FALSE), ""Not Found"")"),"h e ʃ ə n ")</f>
        <v>h e ʃ ə n </v>
      </c>
    </row>
    <row r="7379">
      <c r="A7379" s="1" t="s">
        <v>7381</v>
      </c>
      <c r="B7379" s="1" t="s">
        <v>6138</v>
      </c>
      <c r="C7379" s="2">
        <f>IFERROR(__xludf.DUMMYFUNCTION("IFERROR(VLOOKUP(A7379, IMPORTRANGE(""https://docs.google.com/spreadsheets/d/1AVX9GT0dgogEBStecCXMMQ29tWz3gBrtNB8yIromXbY/edit?gid=741673867"", ""out1g!A:B""), 2, FALSE), 0)"),553.0)</f>
        <v>553</v>
      </c>
      <c r="D7379" s="2" t="str">
        <f>IFERROR(__xludf.DUMMYFUNCTION("IFERROR(VLOOKUP(A7379, IMPORTRANGE(""https://docs.google.com/spreadsheets/d/1-3Vjw2Cyy-mry5gbC8ypIR3YVGFfEpyFESummAta6sg/edit"", ""Sheet1!B:D""), 2, FALSE), ""Not Found"")"),"kloʊðɪŋ")</f>
        <v>kloʊðɪŋ</v>
      </c>
      <c r="E7379" s="2" t="str">
        <f>IFERROR(__xludf.DUMMYFUNCTION("IFERROR(VLOOKUP(A7379, IMPORTRANGE(""https://docs.google.com/spreadsheets/d/1-3Vjw2Cyy-mry5gbC8ypIR3YVGFfEpyFESummAta6sg/edit"", ""Sheet1!B:D""), 3, FALSE), ""Not Found"")"),"k l o ʊ ð ɪ ŋ ")</f>
        <v>k l o ʊ ð ɪ ŋ </v>
      </c>
    </row>
    <row r="7380">
      <c r="A7380" s="1" t="s">
        <v>7382</v>
      </c>
      <c r="B7380" s="1" t="s">
        <v>6138</v>
      </c>
      <c r="C7380" s="2">
        <f>IFERROR(__xludf.DUMMYFUNCTION("IFERROR(VLOOKUP(A7380, IMPORTRANGE(""https://docs.google.com/spreadsheets/d/1AVX9GT0dgogEBStecCXMMQ29tWz3gBrtNB8yIromXbY/edit?gid=741673867"", ""out1g!A:B""), 2, FALSE), 0)"),5745.0)</f>
        <v>5745</v>
      </c>
      <c r="D7380" s="2" t="str">
        <f>IFERROR(__xludf.DUMMYFUNCTION("IFERROR(VLOOKUP(A7380, IMPORTRANGE(""https://docs.google.com/spreadsheets/d/1-3Vjw2Cyy-mry5gbC8ypIR3YVGFfEpyFESummAta6sg/edit"", ""Sheet1!B:D""), 2, FALSE), ""Not Found"")"),"taɪərd")</f>
        <v>taɪərd</v>
      </c>
      <c r="E7380" s="2" t="str">
        <f>IFERROR(__xludf.DUMMYFUNCTION("IFERROR(VLOOKUP(A7380, IMPORTRANGE(""https://docs.google.com/spreadsheets/d/1-3Vjw2Cyy-mry5gbC8ypIR3YVGFfEpyFESummAta6sg/edit"", ""Sheet1!B:D""), 3, FALSE), ""Not Found"")"),"t a ɪ ə r d ")</f>
        <v>t a ɪ ə r d </v>
      </c>
    </row>
    <row r="7381">
      <c r="A7381" s="1" t="s">
        <v>7383</v>
      </c>
      <c r="B7381" s="1" t="s">
        <v>6138</v>
      </c>
      <c r="C7381" s="2">
        <f>IFERROR(__xludf.DUMMYFUNCTION("IFERROR(VLOOKUP(A7381, IMPORTRANGE(""https://docs.google.com/spreadsheets/d/1AVX9GT0dgogEBStecCXMMQ29tWz3gBrtNB8yIromXbY/edit?gid=741673867"", ""out1g!A:B""), 2, FALSE), 0)"),115.0)</f>
        <v>115</v>
      </c>
      <c r="D7381" s="2" t="str">
        <f>IFERROR(__xludf.DUMMYFUNCTION("IFERROR(VLOOKUP(A7381, IMPORTRANGE(""https://docs.google.com/spreadsheets/d/1-3Vjw2Cyy-mry5gbC8ypIR3YVGFfEpyFESummAta6sg/edit"", ""Sheet1!B:D""), 2, FALSE), ""Not Found"")"),"ɛmsi")</f>
        <v>ɛmsi</v>
      </c>
      <c r="E7381" s="2" t="str">
        <f>IFERROR(__xludf.DUMMYFUNCTION("IFERROR(VLOOKUP(A7381, IMPORTRANGE(""https://docs.google.com/spreadsheets/d/1-3Vjw2Cyy-mry5gbC8ypIR3YVGFfEpyFESummAta6sg/edit"", ""Sheet1!B:D""), 3, FALSE), ""Not Found"")"),"ɛ m s i ")</f>
        <v>ɛ m s i </v>
      </c>
    </row>
    <row r="7382">
      <c r="A7382" s="1" t="s">
        <v>7384</v>
      </c>
      <c r="B7382" s="1" t="s">
        <v>6138</v>
      </c>
      <c r="C7382" s="2">
        <f>IFERROR(__xludf.DUMMYFUNCTION("IFERROR(VLOOKUP(A7382, IMPORTRANGE(""https://docs.google.com/spreadsheets/d/1AVX9GT0dgogEBStecCXMMQ29tWz3gBrtNB8yIromXbY/edit?gid=741673867"", ""out1g!A:B""), 2, FALSE), 0)"),79.0)</f>
        <v>79</v>
      </c>
      <c r="D7382" s="2" t="str">
        <f>IFERROR(__xludf.DUMMYFUNCTION("IFERROR(VLOOKUP(A7382, IMPORTRANGE(""https://docs.google.com/spreadsheets/d/1-3Vjw2Cyy-mry5gbC8ypIR3YVGFfEpyFESummAta6sg/edit"", ""Sheet1!B:D""), 2, FALSE), ""Not Found"")"),"plizɪŋ")</f>
        <v>plizɪŋ</v>
      </c>
      <c r="E7382" s="2" t="str">
        <f>IFERROR(__xludf.DUMMYFUNCTION("IFERROR(VLOOKUP(A7382, IMPORTRANGE(""https://docs.google.com/spreadsheets/d/1-3Vjw2Cyy-mry5gbC8ypIR3YVGFfEpyFESummAta6sg/edit"", ""Sheet1!B:D""), 3, FALSE), ""Not Found"")"),"p l i z ɪ ŋ ")</f>
        <v>p l i z ɪ ŋ </v>
      </c>
    </row>
    <row r="7383">
      <c r="A7383" s="1" t="s">
        <v>7385</v>
      </c>
      <c r="B7383" s="1" t="s">
        <v>6138</v>
      </c>
      <c r="C7383" s="2">
        <f>IFERROR(__xludf.DUMMYFUNCTION("IFERROR(VLOOKUP(A7383, IMPORTRANGE(""https://docs.google.com/spreadsheets/d/1AVX9GT0dgogEBStecCXMMQ29tWz3gBrtNB8yIromXbY/edit?gid=741673867"", ""out1g!A:B""), 2, FALSE), 0)"),49.0)</f>
        <v>49</v>
      </c>
      <c r="D7383" s="2" t="str">
        <f>IFERROR(__xludf.DUMMYFUNCTION("IFERROR(VLOOKUP(A7383, IMPORTRANGE(""https://docs.google.com/spreadsheets/d/1-3Vjw2Cyy-mry5gbC8ypIR3YVGFfEpyFESummAta6sg/edit"", ""Sheet1!B:D""), 2, FALSE), ""Not Found"")"),"wɪrdoʊz")</f>
        <v>wɪrdoʊz</v>
      </c>
      <c r="E7383" s="2" t="str">
        <f>IFERROR(__xludf.DUMMYFUNCTION("IFERROR(VLOOKUP(A7383, IMPORTRANGE(""https://docs.google.com/spreadsheets/d/1-3Vjw2Cyy-mry5gbC8ypIR3YVGFfEpyFESummAta6sg/edit"", ""Sheet1!B:D""), 3, FALSE), ""Not Found"")"),"w ɪ r d o ʊ z ")</f>
        <v>w ɪ r d o ʊ z </v>
      </c>
    </row>
    <row r="7384">
      <c r="A7384" s="1" t="s">
        <v>7386</v>
      </c>
      <c r="B7384" s="1" t="s">
        <v>6138</v>
      </c>
      <c r="C7384" s="2">
        <f>IFERROR(__xludf.DUMMYFUNCTION("IFERROR(VLOOKUP(A7384, IMPORTRANGE(""https://docs.google.com/spreadsheets/d/1AVX9GT0dgogEBStecCXMMQ29tWz3gBrtNB8yIromXbY/edit?gid=741673867"", ""out1g!A:B""), 2, FALSE), 0)"),69.0)</f>
        <v>69</v>
      </c>
      <c r="D7384" s="2" t="str">
        <f>IFERROR(__xludf.DUMMYFUNCTION("IFERROR(VLOOKUP(A7384, IMPORTRANGE(""https://docs.google.com/spreadsheets/d/1-3Vjw2Cyy-mry5gbC8ypIR3YVGFfEpyFESummAta6sg/edit"", ""Sheet1!B:D""), 2, FALSE), ""Not Found"")"),"ʃæŋk")</f>
        <v>ʃæŋk</v>
      </c>
      <c r="E7384" s="2" t="str">
        <f>IFERROR(__xludf.DUMMYFUNCTION("IFERROR(VLOOKUP(A7384, IMPORTRANGE(""https://docs.google.com/spreadsheets/d/1-3Vjw2Cyy-mry5gbC8ypIR3YVGFfEpyFESummAta6sg/edit"", ""Sheet1!B:D""), 3, FALSE), ""Not Found"")"),"ʃ æ ŋ k ")</f>
        <v>ʃ æ ŋ k </v>
      </c>
    </row>
    <row r="7385">
      <c r="A7385" s="1" t="s">
        <v>7387</v>
      </c>
      <c r="B7385" s="1" t="s">
        <v>6138</v>
      </c>
      <c r="C7385" s="2">
        <f>IFERROR(__xludf.DUMMYFUNCTION("IFERROR(VLOOKUP(A7385, IMPORTRANGE(""https://docs.google.com/spreadsheets/d/1AVX9GT0dgogEBStecCXMMQ29tWz3gBrtNB8yIromXbY/edit?gid=741673867"", ""out1g!A:B""), 2, FALSE), 0)"),86.0)</f>
        <v>86</v>
      </c>
      <c r="D7385" s="2" t="str">
        <f>IFERROR(__xludf.DUMMYFUNCTION("IFERROR(VLOOKUP(A7385, IMPORTRANGE(""https://docs.google.com/spreadsheets/d/1-3Vjw2Cyy-mry5gbC8ypIR3YVGFfEpyFESummAta6sg/edit"", ""Sheet1!B:D""), 2, FALSE), ""Not Found"")"),"tɛmpoʊ")</f>
        <v>tɛmpoʊ</v>
      </c>
      <c r="E7385" s="2" t="str">
        <f>IFERROR(__xludf.DUMMYFUNCTION("IFERROR(VLOOKUP(A7385, IMPORTRANGE(""https://docs.google.com/spreadsheets/d/1-3Vjw2Cyy-mry5gbC8ypIR3YVGFfEpyFESummAta6sg/edit"", ""Sheet1!B:D""), 3, FALSE), ""Not Found"")"),"t ɛ m p o ʊ ")</f>
        <v>t ɛ m p o ʊ </v>
      </c>
    </row>
    <row r="7386">
      <c r="A7386" s="1" t="s">
        <v>7388</v>
      </c>
      <c r="B7386" s="1" t="s">
        <v>6138</v>
      </c>
      <c r="C7386" s="2">
        <f>IFERROR(__xludf.DUMMYFUNCTION("IFERROR(VLOOKUP(A7386, IMPORTRANGE(""https://docs.google.com/spreadsheets/d/1AVX9GT0dgogEBStecCXMMQ29tWz3gBrtNB8yIromXbY/edit?gid=741673867"", ""out1g!A:B""), 2, FALSE), 0)"),56.0)</f>
        <v>56</v>
      </c>
      <c r="D7386" s="2" t="str">
        <f>IFERROR(__xludf.DUMMYFUNCTION("IFERROR(VLOOKUP(A7386, IMPORTRANGE(""https://docs.google.com/spreadsheets/d/1-3Vjw2Cyy-mry5gbC8ypIR3YVGFfEpyFESummAta6sg/edit"", ""Sheet1!B:D""), 2, FALSE), ""Not Found"")"),"pɑndər")</f>
        <v>pɑndər</v>
      </c>
      <c r="E7386" s="2" t="str">
        <f>IFERROR(__xludf.DUMMYFUNCTION("IFERROR(VLOOKUP(A7386, IMPORTRANGE(""https://docs.google.com/spreadsheets/d/1-3Vjw2Cyy-mry5gbC8ypIR3YVGFfEpyFESummAta6sg/edit"", ""Sheet1!B:D""), 3, FALSE), ""Not Found"")"),"p ɑ n d ə r ")</f>
        <v>p ɑ n d ə r </v>
      </c>
    </row>
    <row r="7387">
      <c r="A7387" s="1" t="s">
        <v>7389</v>
      </c>
      <c r="B7387" s="1" t="s">
        <v>6138</v>
      </c>
      <c r="C7387" s="2">
        <f>IFERROR(__xludf.DUMMYFUNCTION("IFERROR(VLOOKUP(A7387, IMPORTRANGE(""https://docs.google.com/spreadsheets/d/1AVX9GT0dgogEBStecCXMMQ29tWz3gBrtNB8yIromXbY/edit?gid=741673867"", ""out1g!A:B""), 2, FALSE), 0)"),355.0)</f>
        <v>355</v>
      </c>
      <c r="D7387" s="2" t="str">
        <f>IFERROR(__xludf.DUMMYFUNCTION("IFERROR(VLOOKUP(A7387, IMPORTRANGE(""https://docs.google.com/spreadsheets/d/1-3Vjw2Cyy-mry5gbC8ypIR3YVGFfEpyFESummAta6sg/edit"", ""Sheet1!B:D""), 2, FALSE), ""Not Found"")"),"waɪərz")</f>
        <v>waɪərz</v>
      </c>
      <c r="E7387" s="2" t="str">
        <f>IFERROR(__xludf.DUMMYFUNCTION("IFERROR(VLOOKUP(A7387, IMPORTRANGE(""https://docs.google.com/spreadsheets/d/1-3Vjw2Cyy-mry5gbC8ypIR3YVGFfEpyFESummAta6sg/edit"", ""Sheet1!B:D""), 3, FALSE), ""Not Found"")"),"w a ɪ ə r z ")</f>
        <v>w a ɪ ə r z </v>
      </c>
    </row>
    <row r="7388">
      <c r="A7388" s="1" t="s">
        <v>7390</v>
      </c>
      <c r="B7388" s="1" t="s">
        <v>6138</v>
      </c>
      <c r="C7388" s="2">
        <f>IFERROR(__xludf.DUMMYFUNCTION("IFERROR(VLOOKUP(A7388, IMPORTRANGE(""https://docs.google.com/spreadsheets/d/1AVX9GT0dgogEBStecCXMMQ29tWz3gBrtNB8yIromXbY/edit?gid=741673867"", ""out1g!A:B""), 2, FALSE), 0)"),22.0)</f>
        <v>22</v>
      </c>
      <c r="D7388" s="2" t="str">
        <f>IFERROR(__xludf.DUMMYFUNCTION("IFERROR(VLOOKUP(A7388, IMPORTRANGE(""https://docs.google.com/spreadsheets/d/1-3Vjw2Cyy-mry5gbC8ypIR3YVGFfEpyFESummAta6sg/edit"", ""Sheet1!B:D""), 2, FALSE), ""Not Found"")"),"pækər")</f>
        <v>pækər</v>
      </c>
      <c r="E7388" s="2" t="str">
        <f>IFERROR(__xludf.DUMMYFUNCTION("IFERROR(VLOOKUP(A7388, IMPORTRANGE(""https://docs.google.com/spreadsheets/d/1-3Vjw2Cyy-mry5gbC8ypIR3YVGFfEpyFESummAta6sg/edit"", ""Sheet1!B:D""), 3, FALSE), ""Not Found"")"),"p æ k ə r ")</f>
        <v>p æ k ə r </v>
      </c>
    </row>
    <row r="7389">
      <c r="A7389" s="1" t="s">
        <v>7391</v>
      </c>
      <c r="B7389" s="1" t="s">
        <v>6138</v>
      </c>
      <c r="C7389" s="2">
        <f>IFERROR(__xludf.DUMMYFUNCTION("IFERROR(VLOOKUP(A7389, IMPORTRANGE(""https://docs.google.com/spreadsheets/d/1AVX9GT0dgogEBStecCXMMQ29tWz3gBrtNB8yIromXbY/edit?gid=741673867"", ""out1g!A:B""), 2, FALSE), 0)"),249.0)</f>
        <v>249</v>
      </c>
      <c r="D7389" s="2" t="str">
        <f>IFERROR(__xludf.DUMMYFUNCTION("IFERROR(VLOOKUP(A7389, IMPORTRANGE(""https://docs.google.com/spreadsheets/d/1-3Vjw2Cyy-mry5gbC8ypIR3YVGFfEpyFESummAta6sg/edit"", ""Sheet1!B:D""), 2, FALSE), ""Not Found"")"),"dɪrli")</f>
        <v>dɪrli</v>
      </c>
      <c r="E7389" s="2" t="str">
        <f>IFERROR(__xludf.DUMMYFUNCTION("IFERROR(VLOOKUP(A7389, IMPORTRANGE(""https://docs.google.com/spreadsheets/d/1-3Vjw2Cyy-mry5gbC8ypIR3YVGFfEpyFESummAta6sg/edit"", ""Sheet1!B:D""), 3, FALSE), ""Not Found"")"),"d ɪ r l i ")</f>
        <v>d ɪ r l i </v>
      </c>
    </row>
    <row r="7390">
      <c r="A7390" s="1" t="s">
        <v>7392</v>
      </c>
      <c r="B7390" s="1" t="s">
        <v>6138</v>
      </c>
      <c r="C7390" s="2">
        <f>IFERROR(__xludf.DUMMYFUNCTION("IFERROR(VLOOKUP(A7390, IMPORTRANGE(""https://docs.google.com/spreadsheets/d/1AVX9GT0dgogEBStecCXMMQ29tWz3gBrtNB8yIromXbY/edit?gid=741673867"", ""out1g!A:B""), 2, FALSE), 0)"),211.0)</f>
        <v>211</v>
      </c>
      <c r="D7390" s="2" t="str">
        <f>IFERROR(__xludf.DUMMYFUNCTION("IFERROR(VLOOKUP(A7390, IMPORTRANGE(""https://docs.google.com/spreadsheets/d/1-3Vjw2Cyy-mry5gbC8ypIR3YVGFfEpyFESummAta6sg/edit"", ""Sheet1!B:D""), 2, FALSE), ""Not Found"")"),"pəŋks")</f>
        <v>pəŋks</v>
      </c>
      <c r="E7390" s="2" t="str">
        <f>IFERROR(__xludf.DUMMYFUNCTION("IFERROR(VLOOKUP(A7390, IMPORTRANGE(""https://docs.google.com/spreadsheets/d/1-3Vjw2Cyy-mry5gbC8ypIR3YVGFfEpyFESummAta6sg/edit"", ""Sheet1!B:D""), 3, FALSE), ""Not Found"")"),"p ə ŋ k s ")</f>
        <v>p ə ŋ k s </v>
      </c>
    </row>
    <row r="7391">
      <c r="A7391" s="1" t="s">
        <v>7393</v>
      </c>
      <c r="B7391" s="1" t="s">
        <v>6138</v>
      </c>
      <c r="C7391" s="2">
        <f>IFERROR(__xludf.DUMMYFUNCTION("IFERROR(VLOOKUP(A7391, IMPORTRANGE(""https://docs.google.com/spreadsheets/d/1AVX9GT0dgogEBStecCXMMQ29tWz3gBrtNB8yIromXbY/edit?gid=741673867"", ""out1g!A:B""), 2, FALSE), 0)"),405.0)</f>
        <v>405</v>
      </c>
      <c r="D7391" s="2" t="str">
        <f>IFERROR(__xludf.DUMMYFUNCTION("IFERROR(VLOOKUP(A7391, IMPORTRANGE(""https://docs.google.com/spreadsheets/d/1-3Vjw2Cyy-mry5gbC8ypIR3YVGFfEpyFESummAta6sg/edit"", ""Sheet1!B:D""), 2, FALSE), ""Not Found"")"),"ɔθər")</f>
        <v>ɔθər</v>
      </c>
      <c r="E7391" s="2" t="str">
        <f>IFERROR(__xludf.DUMMYFUNCTION("IFERROR(VLOOKUP(A7391, IMPORTRANGE(""https://docs.google.com/spreadsheets/d/1-3Vjw2Cyy-mry5gbC8ypIR3YVGFfEpyFESummAta6sg/edit"", ""Sheet1!B:D""), 3, FALSE), ""Not Found"")"),"ɔ θ ə r ")</f>
        <v>ɔ θ ə r </v>
      </c>
    </row>
    <row r="7392">
      <c r="A7392" s="1" t="s">
        <v>7394</v>
      </c>
      <c r="B7392" s="1" t="s">
        <v>6138</v>
      </c>
      <c r="C7392" s="2">
        <f>IFERROR(__xludf.DUMMYFUNCTION("IFERROR(VLOOKUP(A7392, IMPORTRANGE(""https://docs.google.com/spreadsheets/d/1AVX9GT0dgogEBStecCXMMQ29tWz3gBrtNB8yIromXbY/edit?gid=741673867"", ""out1g!A:B""), 2, FALSE), 0)"),15356.0)</f>
        <v>15356</v>
      </c>
      <c r="D7392" s="2" t="str">
        <f>IFERROR(__xludf.DUMMYFUNCTION("IFERROR(VLOOKUP(A7392, IMPORTRANGE(""https://docs.google.com/spreadsheets/d/1-3Vjw2Cyy-mry5gbC8ypIR3YVGFfEpyFESummAta6sg/edit"", ""Sheet1!B:D""), 2, FALSE), ""Not Found"")"),"kɪdz")</f>
        <v>kɪdz</v>
      </c>
      <c r="E7392" s="2" t="str">
        <f>IFERROR(__xludf.DUMMYFUNCTION("IFERROR(VLOOKUP(A7392, IMPORTRANGE(""https://docs.google.com/spreadsheets/d/1-3Vjw2Cyy-mry5gbC8ypIR3YVGFfEpyFESummAta6sg/edit"", ""Sheet1!B:D""), 3, FALSE), ""Not Found"")"),"k ɪ d z ")</f>
        <v>k ɪ d z </v>
      </c>
    </row>
    <row r="7393">
      <c r="A7393" s="1" t="s">
        <v>7395</v>
      </c>
      <c r="B7393" s="1" t="s">
        <v>6138</v>
      </c>
      <c r="C7393" s="2">
        <f>IFERROR(__xludf.DUMMYFUNCTION("IFERROR(VLOOKUP(A7393, IMPORTRANGE(""https://docs.google.com/spreadsheets/d/1AVX9GT0dgogEBStecCXMMQ29tWz3gBrtNB8yIromXbY/edit?gid=741673867"", ""out1g!A:B""), 2, FALSE), 0)"),494.0)</f>
        <v>494</v>
      </c>
      <c r="D7393" s="2" t="str">
        <f>IFERROR(__xludf.DUMMYFUNCTION("IFERROR(VLOOKUP(A7393, IMPORTRANGE(""https://docs.google.com/spreadsheets/d/1-3Vjw2Cyy-mry5gbC8ypIR3YVGFfEpyFESummAta6sg/edit"", ""Sheet1!B:D""), 2, FALSE), ""Not Found"")"),"kɪdni")</f>
        <v>kɪdni</v>
      </c>
      <c r="E7393" s="2" t="str">
        <f>IFERROR(__xludf.DUMMYFUNCTION("IFERROR(VLOOKUP(A7393, IMPORTRANGE(""https://docs.google.com/spreadsheets/d/1-3Vjw2Cyy-mry5gbC8ypIR3YVGFfEpyFESummAta6sg/edit"", ""Sheet1!B:D""), 3, FALSE), ""Not Found"")"),"k ɪ d n i ")</f>
        <v>k ɪ d n i </v>
      </c>
    </row>
    <row r="7394">
      <c r="A7394" s="1" t="s">
        <v>7396</v>
      </c>
      <c r="B7394" s="1" t="s">
        <v>6138</v>
      </c>
      <c r="C7394" s="2">
        <f>IFERROR(__xludf.DUMMYFUNCTION("IFERROR(VLOOKUP(A7394, IMPORTRANGE(""https://docs.google.com/spreadsheets/d/1AVX9GT0dgogEBStecCXMMQ29tWz3gBrtNB8yIromXbY/edit?gid=741673867"", ""out1g!A:B""), 2, FALSE), 0)"),67.0)</f>
        <v>67</v>
      </c>
      <c r="D7394" s="2" t="str">
        <f>IFERROR(__xludf.DUMMYFUNCTION("IFERROR(VLOOKUP(A7394, IMPORTRANGE(""https://docs.google.com/spreadsheets/d/1-3Vjw2Cyy-mry5gbC8ypIR3YVGFfEpyFESummAta6sg/edit"", ""Sheet1!B:D""), 2, FALSE), ""Not Found"")"),"lɪŋkɪŋ")</f>
        <v>lɪŋkɪŋ</v>
      </c>
      <c r="E7394" s="2" t="str">
        <f>IFERROR(__xludf.DUMMYFUNCTION("IFERROR(VLOOKUP(A7394, IMPORTRANGE(""https://docs.google.com/spreadsheets/d/1-3Vjw2Cyy-mry5gbC8ypIR3YVGFfEpyFESummAta6sg/edit"", ""Sheet1!B:D""), 3, FALSE), ""Not Found"")"),"l ɪ ŋ k ɪ ŋ ")</f>
        <v>l ɪ ŋ k ɪ ŋ </v>
      </c>
    </row>
    <row r="7395">
      <c r="A7395" s="1" t="s">
        <v>7397</v>
      </c>
      <c r="B7395" s="1" t="s">
        <v>6138</v>
      </c>
      <c r="C7395" s="2">
        <f>IFERROR(__xludf.DUMMYFUNCTION("IFERROR(VLOOKUP(A7395, IMPORTRANGE(""https://docs.google.com/spreadsheets/d/1AVX9GT0dgogEBStecCXMMQ29tWz3gBrtNB8yIromXbY/edit?gid=741673867"", ""out1g!A:B""), 2, FALSE), 0)"),574.0)</f>
        <v>574</v>
      </c>
      <c r="D7395" s="2" t="str">
        <f>IFERROR(__xludf.DUMMYFUNCTION("IFERROR(VLOOKUP(A7395, IMPORTRANGE(""https://docs.google.com/spreadsheets/d/1-3Vjw2Cyy-mry5gbC8ypIR3YVGFfEpyFESummAta6sg/edit"", ""Sheet1!B:D""), 2, FALSE), ""Not Found"")"),"wel")</f>
        <v>wel</v>
      </c>
      <c r="E7395" s="2" t="str">
        <f>IFERROR(__xludf.DUMMYFUNCTION("IFERROR(VLOOKUP(A7395, IMPORTRANGE(""https://docs.google.com/spreadsheets/d/1-3Vjw2Cyy-mry5gbC8ypIR3YVGFfEpyFESummAta6sg/edit"", ""Sheet1!B:D""), 3, FALSE), ""Not Found"")"),"w e l ")</f>
        <v>w e l </v>
      </c>
    </row>
    <row r="7396">
      <c r="A7396" s="1" t="s">
        <v>7398</v>
      </c>
      <c r="B7396" s="1" t="s">
        <v>6138</v>
      </c>
      <c r="C7396" s="2">
        <f>IFERROR(__xludf.DUMMYFUNCTION("IFERROR(VLOOKUP(A7396, IMPORTRANGE(""https://docs.google.com/spreadsheets/d/1AVX9GT0dgogEBStecCXMMQ29tWz3gBrtNB8yIromXbY/edit?gid=741673867"", ""out1g!A:B""), 2, FALSE), 0)"),64.0)</f>
        <v>64</v>
      </c>
      <c r="D7396" s="2" t="str">
        <f>IFERROR(__xludf.DUMMYFUNCTION("IFERROR(VLOOKUP(A7396, IMPORTRANGE(""https://docs.google.com/spreadsheets/d/1-3Vjw2Cyy-mry5gbC8ypIR3YVGFfEpyFESummAta6sg/edit"", ""Sheet1!B:D""), 2, FALSE), ""Not Found"")"),"bædəst")</f>
        <v>bædəst</v>
      </c>
      <c r="E7396" s="2" t="str">
        <f>IFERROR(__xludf.DUMMYFUNCTION("IFERROR(VLOOKUP(A7396, IMPORTRANGE(""https://docs.google.com/spreadsheets/d/1-3Vjw2Cyy-mry5gbC8ypIR3YVGFfEpyFESummAta6sg/edit"", ""Sheet1!B:D""), 3, FALSE), ""Not Found"")"),"b æ d ə s t ")</f>
        <v>b æ d ə s t </v>
      </c>
    </row>
    <row r="7397">
      <c r="A7397" s="1" t="s">
        <v>7399</v>
      </c>
      <c r="B7397" s="1" t="s">
        <v>6138</v>
      </c>
      <c r="C7397" s="2">
        <f>IFERROR(__xludf.DUMMYFUNCTION("IFERROR(VLOOKUP(A7397, IMPORTRANGE(""https://docs.google.com/spreadsheets/d/1AVX9GT0dgogEBStecCXMMQ29tWz3gBrtNB8yIromXbY/edit?gid=741673867"", ""out1g!A:B""), 2, FALSE), 0)"),180.0)</f>
        <v>180</v>
      </c>
      <c r="D7397" s="2" t="str">
        <f>IFERROR(__xludf.DUMMYFUNCTION("IFERROR(VLOOKUP(A7397, IMPORTRANGE(""https://docs.google.com/spreadsheets/d/1-3Vjw2Cyy-mry5gbC8ypIR3YVGFfEpyFESummAta6sg/edit"", ""Sheet1!B:D""), 2, FALSE), ""Not Found"")"),"gloʊɪŋ")</f>
        <v>gloʊɪŋ</v>
      </c>
      <c r="E7397" s="2" t="str">
        <f>IFERROR(__xludf.DUMMYFUNCTION("IFERROR(VLOOKUP(A7397, IMPORTRANGE(""https://docs.google.com/spreadsheets/d/1-3Vjw2Cyy-mry5gbC8ypIR3YVGFfEpyFESummAta6sg/edit"", ""Sheet1!B:D""), 3, FALSE), ""Not Found"")"),"g l o ʊ ɪ ŋ ")</f>
        <v>g l o ʊ ɪ ŋ </v>
      </c>
    </row>
    <row r="7398">
      <c r="A7398" s="1" t="s">
        <v>7400</v>
      </c>
      <c r="B7398" s="1" t="s">
        <v>6138</v>
      </c>
      <c r="C7398" s="2">
        <f>IFERROR(__xludf.DUMMYFUNCTION("IFERROR(VLOOKUP(A7398, IMPORTRANGE(""https://docs.google.com/spreadsheets/d/1AVX9GT0dgogEBStecCXMMQ29tWz3gBrtNB8yIromXbY/edit?gid=741673867"", ""out1g!A:B""), 2, FALSE), 0)"),52.0)</f>
        <v>52</v>
      </c>
      <c r="D7398" s="2" t="str">
        <f>IFERROR(__xludf.DUMMYFUNCTION("IFERROR(VLOOKUP(A7398, IMPORTRANGE(""https://docs.google.com/spreadsheets/d/1-3Vjw2Cyy-mry5gbC8ypIR3YVGFfEpyFESummAta6sg/edit"", ""Sheet1!B:D""), 2, FALSE), ""Not Found"")"),"gredərz")</f>
        <v>gredərz</v>
      </c>
      <c r="E7398" s="2" t="str">
        <f>IFERROR(__xludf.DUMMYFUNCTION("IFERROR(VLOOKUP(A7398, IMPORTRANGE(""https://docs.google.com/spreadsheets/d/1-3Vjw2Cyy-mry5gbC8ypIR3YVGFfEpyFESummAta6sg/edit"", ""Sheet1!B:D""), 3, FALSE), ""Not Found"")"),"g r e d ə r z ")</f>
        <v>g r e d ə r z </v>
      </c>
    </row>
    <row r="7399">
      <c r="A7399" s="1" t="s">
        <v>7401</v>
      </c>
      <c r="B7399" s="1" t="s">
        <v>6138</v>
      </c>
      <c r="C7399" s="2">
        <f>IFERROR(__xludf.DUMMYFUNCTION("IFERROR(VLOOKUP(A7399, IMPORTRANGE(""https://docs.google.com/spreadsheets/d/1AVX9GT0dgogEBStecCXMMQ29tWz3gBrtNB8yIromXbY/edit?gid=741673867"", ""out1g!A:B""), 2, FALSE), 0)"),75.0)</f>
        <v>75</v>
      </c>
      <c r="D7399" s="2" t="str">
        <f>IFERROR(__xludf.DUMMYFUNCTION("IFERROR(VLOOKUP(A7399, IMPORTRANGE(""https://docs.google.com/spreadsheets/d/1-3Vjw2Cyy-mry5gbC8ypIR3YVGFfEpyFESummAta6sg/edit"", ""Sheet1!B:D""), 2, FALSE), ""Not Found"")"),"taɪfun")</f>
        <v>taɪfun</v>
      </c>
      <c r="E7399" s="2" t="str">
        <f>IFERROR(__xludf.DUMMYFUNCTION("IFERROR(VLOOKUP(A7399, IMPORTRANGE(""https://docs.google.com/spreadsheets/d/1-3Vjw2Cyy-mry5gbC8ypIR3YVGFfEpyFESummAta6sg/edit"", ""Sheet1!B:D""), 3, FALSE), ""Not Found"")"),"t a ɪ f u n ")</f>
        <v>t a ɪ f u n </v>
      </c>
    </row>
    <row r="7400">
      <c r="A7400" s="1" t="s">
        <v>7402</v>
      </c>
      <c r="B7400" s="1" t="s">
        <v>6138</v>
      </c>
      <c r="C7400" s="2">
        <f>IFERROR(__xludf.DUMMYFUNCTION("IFERROR(VLOOKUP(A7400, IMPORTRANGE(""https://docs.google.com/spreadsheets/d/1AVX9GT0dgogEBStecCXMMQ29tWz3gBrtNB8yIromXbY/edit?gid=741673867"", ""out1g!A:B""), 2, FALSE), 0)"),998.0)</f>
        <v>998</v>
      </c>
      <c r="D7400" s="2" t="str">
        <f>IFERROR(__xludf.DUMMYFUNCTION("IFERROR(VLOOKUP(A7400, IMPORTRANGE(""https://docs.google.com/spreadsheets/d/1-3Vjw2Cyy-mry5gbC8ypIR3YVGFfEpyFESummAta6sg/edit"", ""Sheet1!B:D""), 2, FALSE), ""Not Found"")"),"sɑləd")</f>
        <v>sɑləd</v>
      </c>
      <c r="E7400" s="2" t="str">
        <f>IFERROR(__xludf.DUMMYFUNCTION("IFERROR(VLOOKUP(A7400, IMPORTRANGE(""https://docs.google.com/spreadsheets/d/1-3Vjw2Cyy-mry5gbC8ypIR3YVGFfEpyFESummAta6sg/edit"", ""Sheet1!B:D""), 3, FALSE), ""Not Found"")"),"s ɑ l ə d ")</f>
        <v>s ɑ l ə d </v>
      </c>
    </row>
    <row r="7401">
      <c r="A7401" s="1" t="s">
        <v>7403</v>
      </c>
      <c r="B7401" s="1" t="s">
        <v>6138</v>
      </c>
      <c r="C7401" s="2">
        <f>IFERROR(__xludf.DUMMYFUNCTION("IFERROR(VLOOKUP(A7401, IMPORTRANGE(""https://docs.google.com/spreadsheets/d/1AVX9GT0dgogEBStecCXMMQ29tWz3gBrtNB8yIromXbY/edit?gid=741673867"", ""out1g!A:B""), 2, FALSE), 0)"),63.0)</f>
        <v>63</v>
      </c>
      <c r="D7401" s="2" t="str">
        <f>IFERROR(__xludf.DUMMYFUNCTION("IFERROR(VLOOKUP(A7401, IMPORTRANGE(""https://docs.google.com/spreadsheets/d/1-3Vjw2Cyy-mry5gbC8ypIR3YVGFfEpyFESummAta6sg/edit"", ""Sheet1!B:D""), 2, FALSE), ""Not Found"")"),"flɪps")</f>
        <v>flɪps</v>
      </c>
      <c r="E7401" s="2" t="str">
        <f>IFERROR(__xludf.DUMMYFUNCTION("IFERROR(VLOOKUP(A7401, IMPORTRANGE(""https://docs.google.com/spreadsheets/d/1-3Vjw2Cyy-mry5gbC8ypIR3YVGFfEpyFESummAta6sg/edit"", ""Sheet1!B:D""), 3, FALSE), ""Not Found"")"),"f l ɪ p s ")</f>
        <v>f l ɪ p s </v>
      </c>
    </row>
    <row r="7402">
      <c r="A7402" s="1" t="s">
        <v>7404</v>
      </c>
      <c r="B7402" s="1" t="s">
        <v>6138</v>
      </c>
      <c r="C7402" s="2">
        <f>IFERROR(__xludf.DUMMYFUNCTION("IFERROR(VLOOKUP(A7402, IMPORTRANGE(""https://docs.google.com/spreadsheets/d/1AVX9GT0dgogEBStecCXMMQ29tWz3gBrtNB8yIromXbY/edit?gid=741673867"", ""out1g!A:B""), 2, FALSE), 0)"),314.0)</f>
        <v>314</v>
      </c>
      <c r="D7402" s="2" t="str">
        <f>IFERROR(__xludf.DUMMYFUNCTION("IFERROR(VLOOKUP(A7402, IMPORTRANGE(""https://docs.google.com/spreadsheets/d/1-3Vjw2Cyy-mry5gbC8ypIR3YVGFfEpyFESummAta6sg/edit"", ""Sheet1!B:D""), 2, FALSE), ""Not Found"")"),"pʊdɪŋ")</f>
        <v>pʊdɪŋ</v>
      </c>
      <c r="E7402" s="2" t="str">
        <f>IFERROR(__xludf.DUMMYFUNCTION("IFERROR(VLOOKUP(A7402, IMPORTRANGE(""https://docs.google.com/spreadsheets/d/1-3Vjw2Cyy-mry5gbC8ypIR3YVGFfEpyFESummAta6sg/edit"", ""Sheet1!B:D""), 3, FALSE), ""Not Found"")"),"p ʊ d ɪ ŋ ")</f>
        <v>p ʊ d ɪ ŋ </v>
      </c>
    </row>
    <row r="7403">
      <c r="A7403" s="1" t="s">
        <v>7405</v>
      </c>
      <c r="B7403" s="1" t="s">
        <v>6138</v>
      </c>
      <c r="C7403" s="2">
        <f>IFERROR(__xludf.DUMMYFUNCTION("IFERROR(VLOOKUP(A7403, IMPORTRANGE(""https://docs.google.com/spreadsheets/d/1AVX9GT0dgogEBStecCXMMQ29tWz3gBrtNB8yIromXbY/edit?gid=741673867"", ""out1g!A:B""), 2, FALSE), 0)"),54.0)</f>
        <v>54</v>
      </c>
      <c r="D7403" s="2" t="str">
        <f>IFERROR(__xludf.DUMMYFUNCTION("IFERROR(VLOOKUP(A7403, IMPORTRANGE(""https://docs.google.com/spreadsheets/d/1-3Vjw2Cyy-mry5gbC8ypIR3YVGFfEpyFESummAta6sg/edit"", ""Sheet1!B:D""), 2, FALSE), ""Not Found"")"),"ʃægɪŋ")</f>
        <v>ʃægɪŋ</v>
      </c>
      <c r="E7403" s="2" t="str">
        <f>IFERROR(__xludf.DUMMYFUNCTION("IFERROR(VLOOKUP(A7403, IMPORTRANGE(""https://docs.google.com/spreadsheets/d/1-3Vjw2Cyy-mry5gbC8ypIR3YVGFfEpyFESummAta6sg/edit"", ""Sheet1!B:D""), 3, FALSE), ""Not Found"")"),"ʃ æ g ɪ ŋ ")</f>
        <v>ʃ æ g ɪ ŋ </v>
      </c>
    </row>
    <row r="7404">
      <c r="A7404" s="1" t="s">
        <v>7406</v>
      </c>
      <c r="B7404" s="1" t="s">
        <v>6138</v>
      </c>
      <c r="C7404" s="2">
        <f>IFERROR(__xludf.DUMMYFUNCTION("IFERROR(VLOOKUP(A7404, IMPORTRANGE(""https://docs.google.com/spreadsheets/d/1AVX9GT0dgogEBStecCXMMQ29tWz3gBrtNB8yIromXbY/edit?gid=741673867"", ""out1g!A:B""), 2, FALSE), 0)"),71.0)</f>
        <v>71</v>
      </c>
      <c r="D7404" s="2" t="str">
        <f>IFERROR(__xludf.DUMMYFUNCTION("IFERROR(VLOOKUP(A7404, IMPORTRANGE(""https://docs.google.com/spreadsheets/d/1-3Vjw2Cyy-mry5gbC8ypIR3YVGFfEpyFESummAta6sg/edit"", ""Sheet1!B:D""), 2, FALSE), ""Not Found"")"),"sɪpɪŋ")</f>
        <v>sɪpɪŋ</v>
      </c>
      <c r="E7404" s="2" t="str">
        <f>IFERROR(__xludf.DUMMYFUNCTION("IFERROR(VLOOKUP(A7404, IMPORTRANGE(""https://docs.google.com/spreadsheets/d/1-3Vjw2Cyy-mry5gbC8ypIR3YVGFfEpyFESummAta6sg/edit"", ""Sheet1!B:D""), 3, FALSE), ""Not Found"")"),"s ɪ p ɪ ŋ ")</f>
        <v>s ɪ p ɪ ŋ </v>
      </c>
    </row>
    <row r="7405">
      <c r="A7405" s="1" t="s">
        <v>7407</v>
      </c>
      <c r="B7405" s="1" t="s">
        <v>6138</v>
      </c>
      <c r="C7405" s="2">
        <f>IFERROR(__xludf.DUMMYFUNCTION("IFERROR(VLOOKUP(A7405, IMPORTRANGE(""https://docs.google.com/spreadsheets/d/1AVX9GT0dgogEBStecCXMMQ29tWz3gBrtNB8yIromXbY/edit?gid=741673867"", ""out1g!A:B""), 2, FALSE), 0)"),161.0)</f>
        <v>161</v>
      </c>
      <c r="D7405" s="2" t="str">
        <f>IFERROR(__xludf.DUMMYFUNCTION("IFERROR(VLOOKUP(A7405, IMPORTRANGE(""https://docs.google.com/spreadsheets/d/1-3Vjw2Cyy-mry5gbC8ypIR3YVGFfEpyFESummAta6sg/edit"", ""Sheet1!B:D""), 2, FALSE), ""Not Found"")"),"rægz")</f>
        <v>rægz</v>
      </c>
      <c r="E7405" s="2" t="str">
        <f>IFERROR(__xludf.DUMMYFUNCTION("IFERROR(VLOOKUP(A7405, IMPORTRANGE(""https://docs.google.com/spreadsheets/d/1-3Vjw2Cyy-mry5gbC8ypIR3YVGFfEpyFESummAta6sg/edit"", ""Sheet1!B:D""), 3, FALSE), ""Not Found"")"),"r æ g z ")</f>
        <v>r æ g z </v>
      </c>
    </row>
    <row r="7406">
      <c r="A7406" s="1" t="s">
        <v>7408</v>
      </c>
      <c r="B7406" s="1" t="s">
        <v>6138</v>
      </c>
      <c r="C7406" s="2">
        <f>IFERROR(__xludf.DUMMYFUNCTION("IFERROR(VLOOKUP(A7406, IMPORTRANGE(""https://docs.google.com/spreadsheets/d/1AVX9GT0dgogEBStecCXMMQ29tWz3gBrtNB8yIromXbY/edit?gid=741673867"", ""out1g!A:B""), 2, FALSE), 0)"),62.0)</f>
        <v>62</v>
      </c>
      <c r="D7406" s="2" t="str">
        <f>IFERROR(__xludf.DUMMYFUNCTION("IFERROR(VLOOKUP(A7406, IMPORTRANGE(""https://docs.google.com/spreadsheets/d/1-3Vjw2Cyy-mry5gbC8ypIR3YVGFfEpyFESummAta6sg/edit"", ""Sheet1!B:D""), 2, FALSE), ""Not Found"")"),"blezər")</f>
        <v>blezər</v>
      </c>
      <c r="E7406" s="2" t="str">
        <f>IFERROR(__xludf.DUMMYFUNCTION("IFERROR(VLOOKUP(A7406, IMPORTRANGE(""https://docs.google.com/spreadsheets/d/1-3Vjw2Cyy-mry5gbC8ypIR3YVGFfEpyFESummAta6sg/edit"", ""Sheet1!B:D""), 3, FALSE), ""Not Found"")"),"b l e z ə r ")</f>
        <v>b l e z ə r </v>
      </c>
    </row>
    <row r="7407">
      <c r="A7407" s="1" t="s">
        <v>7409</v>
      </c>
      <c r="B7407" s="1" t="s">
        <v>6138</v>
      </c>
      <c r="C7407" s="2">
        <f>IFERROR(__xludf.DUMMYFUNCTION("IFERROR(VLOOKUP(A7407, IMPORTRANGE(""https://docs.google.com/spreadsheets/d/1AVX9GT0dgogEBStecCXMMQ29tWz3gBrtNB8yIromXbY/edit?gid=741673867"", ""out1g!A:B""), 2, FALSE), 0)"),194.0)</f>
        <v>194</v>
      </c>
      <c r="D7407" s="2" t="str">
        <f>IFERROR(__xludf.DUMMYFUNCTION("IFERROR(VLOOKUP(A7407, IMPORTRANGE(""https://docs.google.com/spreadsheets/d/1-3Vjw2Cyy-mry5gbC8ypIR3YVGFfEpyFESummAta6sg/edit"", ""Sheet1!B:D""), 2, FALSE), ""Not Found"")"),"trɪpɪŋ")</f>
        <v>trɪpɪŋ</v>
      </c>
      <c r="E7407" s="2" t="str">
        <f>IFERROR(__xludf.DUMMYFUNCTION("IFERROR(VLOOKUP(A7407, IMPORTRANGE(""https://docs.google.com/spreadsheets/d/1-3Vjw2Cyy-mry5gbC8ypIR3YVGFfEpyFESummAta6sg/edit"", ""Sheet1!B:D""), 3, FALSE), ""Not Found"")"),"t r ɪ p ɪ ŋ ")</f>
        <v>t r ɪ p ɪ ŋ </v>
      </c>
    </row>
    <row r="7408">
      <c r="A7408" s="1" t="s">
        <v>7410</v>
      </c>
      <c r="B7408" s="1" t="s">
        <v>6138</v>
      </c>
      <c r="C7408" s="2">
        <f>IFERROR(__xludf.DUMMYFUNCTION("IFERROR(VLOOKUP(A7408, IMPORTRANGE(""https://docs.google.com/spreadsheets/d/1AVX9GT0dgogEBStecCXMMQ29tWz3gBrtNB8yIromXbY/edit?gid=741673867"", ""out1g!A:B""), 2, FALSE), 0)"),852.0)</f>
        <v>852</v>
      </c>
      <c r="D7408" s="2" t="str">
        <f>IFERROR(__xludf.DUMMYFUNCTION("IFERROR(VLOOKUP(A7408, IMPORTRANGE(""https://docs.google.com/spreadsheets/d/1-3Vjw2Cyy-mry5gbC8ypIR3YVGFfEpyFESummAta6sg/edit"", ""Sheet1!B:D""), 2, FALSE), ""Not Found"")"),"æsks")</f>
        <v>æsks</v>
      </c>
      <c r="E7408" s="2" t="str">
        <f>IFERROR(__xludf.DUMMYFUNCTION("IFERROR(VLOOKUP(A7408, IMPORTRANGE(""https://docs.google.com/spreadsheets/d/1-3Vjw2Cyy-mry5gbC8ypIR3YVGFfEpyFESummAta6sg/edit"", ""Sheet1!B:D""), 3, FALSE), ""Not Found"")"),"æ s k s ")</f>
        <v>æ s k s </v>
      </c>
    </row>
    <row r="7409">
      <c r="A7409" s="1" t="s">
        <v>7411</v>
      </c>
      <c r="B7409" s="1" t="s">
        <v>6138</v>
      </c>
      <c r="C7409" s="2">
        <f>IFERROR(__xludf.DUMMYFUNCTION("IFERROR(VLOOKUP(A7409, IMPORTRANGE(""https://docs.google.com/spreadsheets/d/1AVX9GT0dgogEBStecCXMMQ29tWz3gBrtNB8yIromXbY/edit?gid=741673867"", ""out1g!A:B""), 2, FALSE), 0)"),208.0)</f>
        <v>208</v>
      </c>
      <c r="D7409" s="2" t="str">
        <f>IFERROR(__xludf.DUMMYFUNCTION("IFERROR(VLOOKUP(A7409, IMPORTRANGE(""https://docs.google.com/spreadsheets/d/1-3Vjw2Cyy-mry5gbC8ypIR3YVGFfEpyFESummAta6sg/edit"", ""Sheet1!B:D""), 2, FALSE), ""Not Found"")"),"mɛdəlz")</f>
        <v>mɛdəlz</v>
      </c>
      <c r="E7409" s="2" t="str">
        <f>IFERROR(__xludf.DUMMYFUNCTION("IFERROR(VLOOKUP(A7409, IMPORTRANGE(""https://docs.google.com/spreadsheets/d/1-3Vjw2Cyy-mry5gbC8ypIR3YVGFfEpyFESummAta6sg/edit"", ""Sheet1!B:D""), 3, FALSE), ""Not Found"")"),"m ɛ d ə l z ")</f>
        <v>m ɛ d ə l z </v>
      </c>
    </row>
    <row r="7410">
      <c r="A7410" s="1" t="s">
        <v>7412</v>
      </c>
      <c r="B7410" s="1" t="s">
        <v>6138</v>
      </c>
      <c r="C7410" s="2">
        <f>IFERROR(__xludf.DUMMYFUNCTION("IFERROR(VLOOKUP(A7410, IMPORTRANGE(""https://docs.google.com/spreadsheets/d/1AVX9GT0dgogEBStecCXMMQ29tWz3gBrtNB8yIromXbY/edit?gid=741673867"", ""out1g!A:B""), 2, FALSE), 0)"),145.0)</f>
        <v>145</v>
      </c>
      <c r="D7410" s="2" t="str">
        <f>IFERROR(__xludf.DUMMYFUNCTION("IFERROR(VLOOKUP(A7410, IMPORTRANGE(""https://docs.google.com/spreadsheets/d/1-3Vjw2Cyy-mry5gbC8ypIR3YVGFfEpyFESummAta6sg/edit"", ""Sheet1!B:D""), 2, FALSE), ""Not Found"")"),"lɔŋɪŋ")</f>
        <v>lɔŋɪŋ</v>
      </c>
      <c r="E7410" s="2" t="str">
        <f>IFERROR(__xludf.DUMMYFUNCTION("IFERROR(VLOOKUP(A7410, IMPORTRANGE(""https://docs.google.com/spreadsheets/d/1-3Vjw2Cyy-mry5gbC8ypIR3YVGFfEpyFESummAta6sg/edit"", ""Sheet1!B:D""), 3, FALSE), ""Not Found"")"),"l ɔ ŋ ɪ ŋ ")</f>
        <v>l ɔ ŋ ɪ ŋ </v>
      </c>
    </row>
    <row r="7411">
      <c r="A7411" s="1" t="s">
        <v>7413</v>
      </c>
      <c r="B7411" s="1" t="s">
        <v>6138</v>
      </c>
      <c r="C7411" s="2">
        <f>IFERROR(__xludf.DUMMYFUNCTION("IFERROR(VLOOKUP(A7411, IMPORTRANGE(""https://docs.google.com/spreadsheets/d/1AVX9GT0dgogEBStecCXMMQ29tWz3gBrtNB8yIromXbY/edit?gid=741673867"", ""out1g!A:B""), 2, FALSE), 0)"),398.0)</f>
        <v>398</v>
      </c>
      <c r="D7411" s="2" t="str">
        <f>IFERROR(__xludf.DUMMYFUNCTION("IFERROR(VLOOKUP(A7411, IMPORTRANGE(""https://docs.google.com/spreadsheets/d/1-3Vjw2Cyy-mry5gbC8ypIR3YVGFfEpyFESummAta6sg/edit"", ""Sheet1!B:D""), 2, FALSE), ""Not Found"")"),"kɪsɪz")</f>
        <v>kɪsɪz</v>
      </c>
      <c r="E7411" s="2" t="str">
        <f>IFERROR(__xludf.DUMMYFUNCTION("IFERROR(VLOOKUP(A7411, IMPORTRANGE(""https://docs.google.com/spreadsheets/d/1-3Vjw2Cyy-mry5gbC8ypIR3YVGFfEpyFESummAta6sg/edit"", ""Sheet1!B:D""), 3, FALSE), ""Not Found"")"),"k ɪ s ɪ z ")</f>
        <v>k ɪ s ɪ z </v>
      </c>
    </row>
    <row r="7412">
      <c r="A7412" s="1" t="s">
        <v>7414</v>
      </c>
      <c r="B7412" s="1" t="s">
        <v>6138</v>
      </c>
      <c r="C7412" s="2">
        <f>IFERROR(__xludf.DUMMYFUNCTION("IFERROR(VLOOKUP(A7412, IMPORTRANGE(""https://docs.google.com/spreadsheets/d/1AVX9GT0dgogEBStecCXMMQ29tWz3gBrtNB8yIromXbY/edit?gid=741673867"", ""out1g!A:B""), 2, FALSE), 0)"),76.0)</f>
        <v>76</v>
      </c>
      <c r="D7412" s="2" t="str">
        <f>IFERROR(__xludf.DUMMYFUNCTION("IFERROR(VLOOKUP(A7412, IMPORTRANGE(""https://docs.google.com/spreadsheets/d/1-3Vjw2Cyy-mry5gbC8ypIR3YVGFfEpyFESummAta6sg/edit"", ""Sheet1!B:D""), 2, FALSE), ""Not Found"")"),"zæk")</f>
        <v>zæk</v>
      </c>
      <c r="E7412" s="2" t="str">
        <f>IFERROR(__xludf.DUMMYFUNCTION("IFERROR(VLOOKUP(A7412, IMPORTRANGE(""https://docs.google.com/spreadsheets/d/1-3Vjw2Cyy-mry5gbC8ypIR3YVGFfEpyFESummAta6sg/edit"", ""Sheet1!B:D""), 3, FALSE), ""Not Found"")"),"z æ k ")</f>
        <v>z æ k </v>
      </c>
    </row>
    <row r="7413">
      <c r="A7413" s="1" t="s">
        <v>7415</v>
      </c>
      <c r="B7413" s="1" t="s">
        <v>6138</v>
      </c>
      <c r="C7413" s="2">
        <f>IFERROR(__xludf.DUMMYFUNCTION("IFERROR(VLOOKUP(A7413, IMPORTRANGE(""https://docs.google.com/spreadsheets/d/1AVX9GT0dgogEBStecCXMMQ29tWz3gBrtNB8yIromXbY/edit?gid=741673867"", ""out1g!A:B""), 2, FALSE), 0)"),1158.0)</f>
        <v>1158</v>
      </c>
      <c r="D7413" s="2" t="str">
        <f>IFERROR(__xludf.DUMMYFUNCTION("IFERROR(VLOOKUP(A7413, IMPORTRANGE(""https://docs.google.com/spreadsheets/d/1-3Vjw2Cyy-mry5gbC8ypIR3YVGFfEpyFESummAta6sg/edit"", ""Sheet1!B:D""), 2, FALSE), ""Not Found"")"),"stɛdi")</f>
        <v>stɛdi</v>
      </c>
      <c r="E7413" s="2" t="str">
        <f>IFERROR(__xludf.DUMMYFUNCTION("IFERROR(VLOOKUP(A7413, IMPORTRANGE(""https://docs.google.com/spreadsheets/d/1-3Vjw2Cyy-mry5gbC8ypIR3YVGFfEpyFESummAta6sg/edit"", ""Sheet1!B:D""), 3, FALSE), ""Not Found"")"),"s t ɛ d i ")</f>
        <v>s t ɛ d i </v>
      </c>
    </row>
    <row r="7414">
      <c r="A7414" s="1" t="s">
        <v>7416</v>
      </c>
      <c r="B7414" s="1" t="s">
        <v>6138</v>
      </c>
      <c r="C7414" s="2">
        <f>IFERROR(__xludf.DUMMYFUNCTION("IFERROR(VLOOKUP(A7414, IMPORTRANGE(""https://docs.google.com/spreadsheets/d/1AVX9GT0dgogEBStecCXMMQ29tWz3gBrtNB8yIromXbY/edit?gid=741673867"", ""out1g!A:B""), 2, FALSE), 0)"),312.0)</f>
        <v>312</v>
      </c>
      <c r="D7414" s="2" t="str">
        <f>IFERROR(__xludf.DUMMYFUNCTION("IFERROR(VLOOKUP(A7414, IMPORTRANGE(""https://docs.google.com/spreadsheets/d/1-3Vjw2Cyy-mry5gbC8ypIR3YVGFfEpyFESummAta6sg/edit"", ""Sheet1!B:D""), 2, FALSE), ""Not Found"")"),"hæbəts")</f>
        <v>hæbəts</v>
      </c>
      <c r="E7414" s="2" t="str">
        <f>IFERROR(__xludf.DUMMYFUNCTION("IFERROR(VLOOKUP(A7414, IMPORTRANGE(""https://docs.google.com/spreadsheets/d/1-3Vjw2Cyy-mry5gbC8ypIR3YVGFfEpyFESummAta6sg/edit"", ""Sheet1!B:D""), 3, FALSE), ""Not Found"")"),"h æ b ə t s ")</f>
        <v>h æ b ə t s </v>
      </c>
    </row>
    <row r="7415">
      <c r="A7415" s="1" t="s">
        <v>7417</v>
      </c>
      <c r="B7415" s="1" t="s">
        <v>6138</v>
      </c>
      <c r="C7415" s="2">
        <f>IFERROR(__xludf.DUMMYFUNCTION("IFERROR(VLOOKUP(A7415, IMPORTRANGE(""https://docs.google.com/spreadsheets/d/1AVX9GT0dgogEBStecCXMMQ29tWz3gBrtNB8yIromXbY/edit?gid=741673867"", ""out1g!A:B""), 2, FALSE), 0)"),831.0)</f>
        <v>831</v>
      </c>
      <c r="D7415" s="2" t="str">
        <f>IFERROR(__xludf.DUMMYFUNCTION("IFERROR(VLOOKUP(A7415, IMPORTRANGE(""https://docs.google.com/spreadsheets/d/1-3Vjw2Cyy-mry5gbC8ypIR3YVGFfEpyFESummAta6sg/edit"", ""Sheet1!B:D""), 2, FALSE), ""Not Found"")"),"dænsər")</f>
        <v>dænsər</v>
      </c>
      <c r="E7415" s="2" t="str">
        <f>IFERROR(__xludf.DUMMYFUNCTION("IFERROR(VLOOKUP(A7415, IMPORTRANGE(""https://docs.google.com/spreadsheets/d/1-3Vjw2Cyy-mry5gbC8ypIR3YVGFfEpyFESummAta6sg/edit"", ""Sheet1!B:D""), 3, FALSE), ""Not Found"")"),"d æ n s ə r ")</f>
        <v>d æ n s ə r </v>
      </c>
    </row>
    <row r="7416">
      <c r="A7416" s="1" t="s">
        <v>7418</v>
      </c>
      <c r="B7416" s="1" t="s">
        <v>6138</v>
      </c>
      <c r="C7416" s="2">
        <f>IFERROR(__xludf.DUMMYFUNCTION("IFERROR(VLOOKUP(A7416, IMPORTRANGE(""https://docs.google.com/spreadsheets/d/1AVX9GT0dgogEBStecCXMMQ29tWz3gBrtNB8yIromXbY/edit?gid=741673867"", ""out1g!A:B""), 2, FALSE), 0)"),200.0)</f>
        <v>200</v>
      </c>
      <c r="D7416" s="2" t="str">
        <f>IFERROR(__xludf.DUMMYFUNCTION("IFERROR(VLOOKUP(A7416, IMPORTRANGE(""https://docs.google.com/spreadsheets/d/1-3Vjw2Cyy-mry5gbC8ypIR3YVGFfEpyFESummAta6sg/edit"", ""Sheet1!B:D""), 2, FALSE), ""Not Found"")"),"bəlb")</f>
        <v>bəlb</v>
      </c>
      <c r="E7416" s="2" t="str">
        <f>IFERROR(__xludf.DUMMYFUNCTION("IFERROR(VLOOKUP(A7416, IMPORTRANGE(""https://docs.google.com/spreadsheets/d/1-3Vjw2Cyy-mry5gbC8ypIR3YVGFfEpyFESummAta6sg/edit"", ""Sheet1!B:D""), 3, FALSE), ""Not Found"")"),"b ə l b ")</f>
        <v>b ə l b </v>
      </c>
    </row>
    <row r="7417">
      <c r="A7417" s="1" t="s">
        <v>7419</v>
      </c>
      <c r="B7417" s="1" t="s">
        <v>6138</v>
      </c>
      <c r="C7417" s="2">
        <f>IFERROR(__xludf.DUMMYFUNCTION("IFERROR(VLOOKUP(A7417, IMPORTRANGE(""https://docs.google.com/spreadsheets/d/1AVX9GT0dgogEBStecCXMMQ29tWz3gBrtNB8yIromXbY/edit?gid=741673867"", ""out1g!A:B""), 2, FALSE), 0)"),116.0)</f>
        <v>116</v>
      </c>
      <c r="D7417" s="2" t="str">
        <f>IFERROR(__xludf.DUMMYFUNCTION("IFERROR(VLOOKUP(A7417, IMPORTRANGE(""https://docs.google.com/spreadsheets/d/1-3Vjw2Cyy-mry5gbC8ypIR3YVGFfEpyFESummAta6sg/edit"", ""Sheet1!B:D""), 2, FALSE), ""Not Found"")"),"drəŋks")</f>
        <v>drəŋks</v>
      </c>
      <c r="E7417" s="2" t="str">
        <f>IFERROR(__xludf.DUMMYFUNCTION("IFERROR(VLOOKUP(A7417, IMPORTRANGE(""https://docs.google.com/spreadsheets/d/1-3Vjw2Cyy-mry5gbC8ypIR3YVGFfEpyFESummAta6sg/edit"", ""Sheet1!B:D""), 3, FALSE), ""Not Found"")"),"d r ə ŋ k s ")</f>
        <v>d r ə ŋ k s </v>
      </c>
    </row>
    <row r="7418">
      <c r="A7418" s="1" t="s">
        <v>7420</v>
      </c>
      <c r="B7418" s="1" t="s">
        <v>6138</v>
      </c>
      <c r="C7418" s="2">
        <f>IFERROR(__xludf.DUMMYFUNCTION("IFERROR(VLOOKUP(A7418, IMPORTRANGE(""https://docs.google.com/spreadsheets/d/1AVX9GT0dgogEBStecCXMMQ29tWz3gBrtNB8yIromXbY/edit?gid=741673867"", ""out1g!A:B""), 2, FALSE), 0)"),139.0)</f>
        <v>139</v>
      </c>
      <c r="D7418" s="2" t="str">
        <f>IFERROR(__xludf.DUMMYFUNCTION("IFERROR(VLOOKUP(A7418, IMPORTRANGE(""https://docs.google.com/spreadsheets/d/1-3Vjw2Cyy-mry5gbC8ypIR3YVGFfEpyFESummAta6sg/edit"", ""Sheet1!B:D""), 2, FALSE), ""Not Found"")"),"stɑrtər")</f>
        <v>stɑrtər</v>
      </c>
      <c r="E7418" s="2" t="str">
        <f>IFERROR(__xludf.DUMMYFUNCTION("IFERROR(VLOOKUP(A7418, IMPORTRANGE(""https://docs.google.com/spreadsheets/d/1-3Vjw2Cyy-mry5gbC8ypIR3YVGFfEpyFESummAta6sg/edit"", ""Sheet1!B:D""), 3, FALSE), ""Not Found"")"),"s t ɑ r t ə r ")</f>
        <v>s t ɑ r t ə r </v>
      </c>
    </row>
    <row r="7419">
      <c r="A7419" s="1" t="s">
        <v>7421</v>
      </c>
      <c r="B7419" s="1" t="s">
        <v>6138</v>
      </c>
      <c r="C7419" s="2">
        <f>IFERROR(__xludf.DUMMYFUNCTION("IFERROR(VLOOKUP(A7419, IMPORTRANGE(""https://docs.google.com/spreadsheets/d/1AVX9GT0dgogEBStecCXMMQ29tWz3gBrtNB8yIromXbY/edit?gid=741673867"", ""out1g!A:B""), 2, FALSE), 0)"),80.0)</f>
        <v>80</v>
      </c>
      <c r="D7419" s="2" t="str">
        <f>IFERROR(__xludf.DUMMYFUNCTION("IFERROR(VLOOKUP(A7419, IMPORTRANGE(""https://docs.google.com/spreadsheets/d/1-3Vjw2Cyy-mry5gbC8ypIR3YVGFfEpyFESummAta6sg/edit"", ""Sheet1!B:D""), 2, FALSE), ""Not Found"")"),"pæʧɪz")</f>
        <v>pæʧɪz</v>
      </c>
      <c r="E7419" s="2" t="str">
        <f>IFERROR(__xludf.DUMMYFUNCTION("IFERROR(VLOOKUP(A7419, IMPORTRANGE(""https://docs.google.com/spreadsheets/d/1-3Vjw2Cyy-mry5gbC8ypIR3YVGFfEpyFESummAta6sg/edit"", ""Sheet1!B:D""), 3, FALSE), ""Not Found"")"),"p æ ʧ ɪ z ")</f>
        <v>p æ ʧ ɪ z </v>
      </c>
    </row>
    <row r="7420">
      <c r="A7420" s="1" t="s">
        <v>7422</v>
      </c>
      <c r="B7420" s="1" t="s">
        <v>6138</v>
      </c>
      <c r="C7420" s="2">
        <f>IFERROR(__xludf.DUMMYFUNCTION("IFERROR(VLOOKUP(A7420, IMPORTRANGE(""https://docs.google.com/spreadsheets/d/1AVX9GT0dgogEBStecCXMMQ29tWz3gBrtNB8yIromXbY/edit?gid=741673867"", ""out1g!A:B""), 2, FALSE), 0)"),504.0)</f>
        <v>504</v>
      </c>
      <c r="D7420" s="2" t="str">
        <f>IFERROR(__xludf.DUMMYFUNCTION("IFERROR(VLOOKUP(A7420, IMPORTRANGE(""https://docs.google.com/spreadsheets/d/1-3Vjw2Cyy-mry5gbC8ypIR3YVGFfEpyFESummAta6sg/edit"", ""Sheet1!B:D""), 2, FALSE), ""Not Found"")"),"dɪpɛnd")</f>
        <v>dɪpɛnd</v>
      </c>
      <c r="E7420" s="2" t="str">
        <f>IFERROR(__xludf.DUMMYFUNCTION("IFERROR(VLOOKUP(A7420, IMPORTRANGE(""https://docs.google.com/spreadsheets/d/1-3Vjw2Cyy-mry5gbC8ypIR3YVGFfEpyFESummAta6sg/edit"", ""Sheet1!B:D""), 3, FALSE), ""Not Found"")"),"d ɪ p ɛ n d ")</f>
        <v>d ɪ p ɛ n d </v>
      </c>
    </row>
    <row r="7421">
      <c r="A7421" s="1" t="s">
        <v>7423</v>
      </c>
      <c r="B7421" s="1" t="s">
        <v>6138</v>
      </c>
      <c r="C7421" s="2">
        <f>IFERROR(__xludf.DUMMYFUNCTION("IFERROR(VLOOKUP(A7421, IMPORTRANGE(""https://docs.google.com/spreadsheets/d/1AVX9GT0dgogEBStecCXMMQ29tWz3gBrtNB8yIromXbY/edit?gid=741673867"", ""out1g!A:B""), 2, FALSE), 0)"),122.0)</f>
        <v>122</v>
      </c>
      <c r="D7421" s="2" t="str">
        <f>IFERROR(__xludf.DUMMYFUNCTION("IFERROR(VLOOKUP(A7421, IMPORTRANGE(""https://docs.google.com/spreadsheets/d/1-3Vjw2Cyy-mry5gbC8ypIR3YVGFfEpyFESummAta6sg/edit"", ""Sheet1!B:D""), 2, FALSE), ""Not Found"")"),"jæŋks")</f>
        <v>jæŋks</v>
      </c>
      <c r="E7421" s="2" t="str">
        <f>IFERROR(__xludf.DUMMYFUNCTION("IFERROR(VLOOKUP(A7421, IMPORTRANGE(""https://docs.google.com/spreadsheets/d/1-3Vjw2Cyy-mry5gbC8ypIR3YVGFfEpyFESummAta6sg/edit"", ""Sheet1!B:D""), 3, FALSE), ""Not Found"")"),"j æ ŋ k s ")</f>
        <v>j æ ŋ k s </v>
      </c>
    </row>
    <row r="7422">
      <c r="A7422" s="1" t="s">
        <v>7424</v>
      </c>
      <c r="B7422" s="1" t="s">
        <v>6138</v>
      </c>
      <c r="C7422" s="2">
        <f>IFERROR(__xludf.DUMMYFUNCTION("IFERROR(VLOOKUP(A7422, IMPORTRANGE(""https://docs.google.com/spreadsheets/d/1AVX9GT0dgogEBStecCXMMQ29tWz3gBrtNB8yIromXbY/edit?gid=741673867"", ""out1g!A:B""), 2, FALSE), 0)"),166.0)</f>
        <v>166</v>
      </c>
      <c r="D7422" s="2" t="str">
        <f>IFERROR(__xludf.DUMMYFUNCTION("IFERROR(VLOOKUP(A7422, IMPORTRANGE(""https://docs.google.com/spreadsheets/d/1-3Vjw2Cyy-mry5gbC8ypIR3YVGFfEpyFESummAta6sg/edit"", ""Sheet1!B:D""), 2, FALSE), ""Not Found"")"),"skəŋk")</f>
        <v>skəŋk</v>
      </c>
      <c r="E7422" s="2" t="str">
        <f>IFERROR(__xludf.DUMMYFUNCTION("IFERROR(VLOOKUP(A7422, IMPORTRANGE(""https://docs.google.com/spreadsheets/d/1-3Vjw2Cyy-mry5gbC8ypIR3YVGFfEpyFESummAta6sg/edit"", ""Sheet1!B:D""), 3, FALSE), ""Not Found"")"),"s k ə ŋ k ")</f>
        <v>s k ə ŋ k </v>
      </c>
    </row>
    <row r="7423">
      <c r="A7423" s="1" t="s">
        <v>7425</v>
      </c>
      <c r="B7423" s="1" t="s">
        <v>6138</v>
      </c>
      <c r="C7423" s="2">
        <f>IFERROR(__xludf.DUMMYFUNCTION("IFERROR(VLOOKUP(A7423, IMPORTRANGE(""https://docs.google.com/spreadsheets/d/1AVX9GT0dgogEBStecCXMMQ29tWz3gBrtNB8yIromXbY/edit?gid=741673867"", ""out1g!A:B""), 2, FALSE), 0)"),77.0)</f>
        <v>77</v>
      </c>
      <c r="D7423" s="2" t="str">
        <f>IFERROR(__xludf.DUMMYFUNCTION("IFERROR(VLOOKUP(A7423, IMPORTRANGE(""https://docs.google.com/spreadsheets/d/1-3Vjw2Cyy-mry5gbC8ypIR3YVGFfEpyFESummAta6sg/edit"", ""Sheet1!B:D""), 2, FALSE), ""Not Found"")"),"nɪbəl")</f>
        <v>nɪbəl</v>
      </c>
      <c r="E7423" s="2" t="str">
        <f>IFERROR(__xludf.DUMMYFUNCTION("IFERROR(VLOOKUP(A7423, IMPORTRANGE(""https://docs.google.com/spreadsheets/d/1-3Vjw2Cyy-mry5gbC8ypIR3YVGFfEpyFESummAta6sg/edit"", ""Sheet1!B:D""), 3, FALSE), ""Not Found"")"),"n ɪ b ə l ")</f>
        <v>n ɪ b ə l </v>
      </c>
    </row>
    <row r="7424">
      <c r="A7424" s="1" t="s">
        <v>7426</v>
      </c>
      <c r="B7424" s="1" t="s">
        <v>6138</v>
      </c>
      <c r="C7424" s="2">
        <f>IFERROR(__xludf.DUMMYFUNCTION("IFERROR(VLOOKUP(A7424, IMPORTRANGE(""https://docs.google.com/spreadsheets/d/1AVX9GT0dgogEBStecCXMMQ29tWz3gBrtNB8yIromXbY/edit?gid=741673867"", ""out1g!A:B""), 2, FALSE), 0)"),1731.0)</f>
        <v>1731</v>
      </c>
      <c r="D7424" s="2" t="str">
        <f>IFERROR(__xludf.DUMMYFUNCTION("IFERROR(VLOOKUP(A7424, IMPORTRANGE(""https://docs.google.com/spreadsheets/d/1-3Vjw2Cyy-mry5gbC8ypIR3YVGFfEpyFESummAta6sg/edit"", ""Sheet1!B:D""), 2, FALSE), ""Not Found"")"),"mel")</f>
        <v>mel</v>
      </c>
      <c r="E7424" s="2" t="str">
        <f>IFERROR(__xludf.DUMMYFUNCTION("IFERROR(VLOOKUP(A7424, IMPORTRANGE(""https://docs.google.com/spreadsheets/d/1-3Vjw2Cyy-mry5gbC8ypIR3YVGFfEpyFESummAta6sg/edit"", ""Sheet1!B:D""), 3, FALSE), ""Not Found"")"),"m e l ")</f>
        <v>m e l </v>
      </c>
    </row>
    <row r="7425">
      <c r="A7425" s="1" t="s">
        <v>7427</v>
      </c>
      <c r="B7425" s="1" t="s">
        <v>6138</v>
      </c>
      <c r="C7425" s="2">
        <f>IFERROR(__xludf.DUMMYFUNCTION("IFERROR(VLOOKUP(A7425, IMPORTRANGE(""https://docs.google.com/spreadsheets/d/1AVX9GT0dgogEBStecCXMMQ29tWz3gBrtNB8yIromXbY/edit?gid=741673867"", ""out1g!A:B""), 2, FALSE), 0)"),188.0)</f>
        <v>188</v>
      </c>
      <c r="D7425" s="2" t="str">
        <f>IFERROR(__xludf.DUMMYFUNCTION("IFERROR(VLOOKUP(A7425, IMPORTRANGE(""https://docs.google.com/spreadsheets/d/1-3Vjw2Cyy-mry5gbC8ypIR3YVGFfEpyFESummAta6sg/edit"", ""Sheet1!B:D""), 2, FALSE), ""Not Found"")"),"hɑrdi")</f>
        <v>hɑrdi</v>
      </c>
      <c r="E7425" s="2" t="str">
        <f>IFERROR(__xludf.DUMMYFUNCTION("IFERROR(VLOOKUP(A7425, IMPORTRANGE(""https://docs.google.com/spreadsheets/d/1-3Vjw2Cyy-mry5gbC8ypIR3YVGFfEpyFESummAta6sg/edit"", ""Sheet1!B:D""), 3, FALSE), ""Not Found"")"),"h ɑ r d i ")</f>
        <v>h ɑ r d i </v>
      </c>
    </row>
    <row r="7426">
      <c r="A7426" s="1" t="s">
        <v>7428</v>
      </c>
      <c r="B7426" s="1" t="s">
        <v>6138</v>
      </c>
      <c r="C7426" s="2">
        <f>IFERROR(__xludf.DUMMYFUNCTION("IFERROR(VLOOKUP(A7426, IMPORTRANGE(""https://docs.google.com/spreadsheets/d/1AVX9GT0dgogEBStecCXMMQ29tWz3gBrtNB8yIromXbY/edit?gid=741673867"", ""out1g!A:B""), 2, FALSE), 0)"),860.0)</f>
        <v>860</v>
      </c>
      <c r="D7426" s="2" t="str">
        <f>IFERROR(__xludf.DUMMYFUNCTION("IFERROR(VLOOKUP(A7426, IMPORTRANGE(""https://docs.google.com/spreadsheets/d/1-3Vjw2Cyy-mry5gbC8ypIR3YVGFfEpyFESummAta6sg/edit"", ""Sheet1!B:D""), 2, FALSE), ""Not Found"")"),"nɔrmən")</f>
        <v>nɔrmən</v>
      </c>
      <c r="E7426" s="2" t="str">
        <f>IFERROR(__xludf.DUMMYFUNCTION("IFERROR(VLOOKUP(A7426, IMPORTRANGE(""https://docs.google.com/spreadsheets/d/1-3Vjw2Cyy-mry5gbC8ypIR3YVGFfEpyFESummAta6sg/edit"", ""Sheet1!B:D""), 3, FALSE), ""Not Found"")"),"n ɔ r m ə n ")</f>
        <v>n ɔ r m ə n </v>
      </c>
    </row>
    <row r="7427">
      <c r="A7427" s="1" t="s">
        <v>7429</v>
      </c>
      <c r="B7427" s="1" t="s">
        <v>6138</v>
      </c>
      <c r="C7427" s="2">
        <f>IFERROR(__xludf.DUMMYFUNCTION("IFERROR(VLOOKUP(A7427, IMPORTRANGE(""https://docs.google.com/spreadsheets/d/1AVX9GT0dgogEBStecCXMMQ29tWz3gBrtNB8yIromXbY/edit?gid=741673867"", ""out1g!A:B""), 2, FALSE), 0)"),86.0)</f>
        <v>86</v>
      </c>
      <c r="D7427" s="2" t="str">
        <f>IFERROR(__xludf.DUMMYFUNCTION("IFERROR(VLOOKUP(A7427, IMPORTRANGE(""https://docs.google.com/spreadsheets/d/1-3Vjw2Cyy-mry5gbC8ypIR3YVGFfEpyFESummAta6sg/edit"", ""Sheet1!B:D""), 2, FALSE), ""Not Found"")"),"ʃædoʊi")</f>
        <v>ʃædoʊi</v>
      </c>
      <c r="E7427" s="2" t="str">
        <f>IFERROR(__xludf.DUMMYFUNCTION("IFERROR(VLOOKUP(A7427, IMPORTRANGE(""https://docs.google.com/spreadsheets/d/1-3Vjw2Cyy-mry5gbC8ypIR3YVGFfEpyFESummAta6sg/edit"", ""Sheet1!B:D""), 3, FALSE), ""Not Found"")"),"ʃ æ d o ʊ i ")</f>
        <v>ʃ æ d o ʊ i </v>
      </c>
    </row>
    <row r="7428">
      <c r="A7428" s="1" t="s">
        <v>7430</v>
      </c>
      <c r="B7428" s="1" t="s">
        <v>6138</v>
      </c>
      <c r="C7428" s="2">
        <f>IFERROR(__xludf.DUMMYFUNCTION("IFERROR(VLOOKUP(A7428, IMPORTRANGE(""https://docs.google.com/spreadsheets/d/1AVX9GT0dgogEBStecCXMMQ29tWz3gBrtNB8yIromXbY/edit?gid=741673867"", ""out1g!A:B""), 2, FALSE), 0)"),11946.0)</f>
        <v>11946</v>
      </c>
      <c r="D7428" s="2" t="str">
        <f>IFERROR(__xludf.DUMMYFUNCTION("IFERROR(VLOOKUP(A7428, IMPORTRANGE(""https://docs.google.com/spreadsheets/d/1-3Vjw2Cyy-mry5gbC8ypIR3YVGFfEpyFESummAta6sg/edit"", ""Sheet1!B:D""), 2, FALSE), ""Not Found"")"),"ɑrən")</f>
        <v>ɑrən</v>
      </c>
      <c r="E7428" s="2" t="str">
        <f>IFERROR(__xludf.DUMMYFUNCTION("IFERROR(VLOOKUP(A7428, IMPORTRANGE(""https://docs.google.com/spreadsheets/d/1-3Vjw2Cyy-mry5gbC8ypIR3YVGFfEpyFESummAta6sg/edit"", ""Sheet1!B:D""), 3, FALSE), ""Not Found"")"),"ɑ r ə n ")</f>
        <v>ɑ r ə n </v>
      </c>
    </row>
    <row r="7429">
      <c r="A7429" s="1" t="s">
        <v>7431</v>
      </c>
      <c r="B7429" s="1" t="s">
        <v>6138</v>
      </c>
      <c r="C7429" s="2">
        <f>IFERROR(__xludf.DUMMYFUNCTION("IFERROR(VLOOKUP(A7429, IMPORTRANGE(""https://docs.google.com/spreadsheets/d/1AVX9GT0dgogEBStecCXMMQ29tWz3gBrtNB8yIromXbY/edit?gid=741673867"", ""out1g!A:B""), 2, FALSE), 0)"),975.0)</f>
        <v>975</v>
      </c>
      <c r="D7429" s="2" t="str">
        <f>IFERROR(__xludf.DUMMYFUNCTION("IFERROR(VLOOKUP(A7429, IMPORTRANGE(""https://docs.google.com/spreadsheets/d/1-3Vjw2Cyy-mry5gbC8ypIR3YVGFfEpyFESummAta6sg/edit"", ""Sheet1!B:D""), 2, FALSE), ""Not Found"")"),"ətɛmpt")</f>
        <v>ətɛmpt</v>
      </c>
      <c r="E7429" s="2" t="str">
        <f>IFERROR(__xludf.DUMMYFUNCTION("IFERROR(VLOOKUP(A7429, IMPORTRANGE(""https://docs.google.com/spreadsheets/d/1-3Vjw2Cyy-mry5gbC8ypIR3YVGFfEpyFESummAta6sg/edit"", ""Sheet1!B:D""), 3, FALSE), ""Not Found"")"),"ə t ɛ m p t ")</f>
        <v>ə t ɛ m p t </v>
      </c>
    </row>
    <row r="7430">
      <c r="A7430" s="1" t="s">
        <v>7432</v>
      </c>
      <c r="B7430" s="1" t="s">
        <v>6138</v>
      </c>
      <c r="C7430" s="2">
        <f>IFERROR(__xludf.DUMMYFUNCTION("IFERROR(VLOOKUP(A7430, IMPORTRANGE(""https://docs.google.com/spreadsheets/d/1AVX9GT0dgogEBStecCXMMQ29tWz3gBrtNB8yIromXbY/edit?gid=741673867"", ""out1g!A:B""), 2, FALSE), 0)"),87.0)</f>
        <v>87</v>
      </c>
      <c r="D7430" s="2" t="str">
        <f>IFERROR(__xludf.DUMMYFUNCTION("IFERROR(VLOOKUP(A7430, IMPORTRANGE(""https://docs.google.com/spreadsheets/d/1-3Vjw2Cyy-mry5gbC8ypIR3YVGFfEpyFESummAta6sg/edit"", ""Sheet1!B:D""), 2, FALSE), ""Not Found"")"),"skwɔk")</f>
        <v>skwɔk</v>
      </c>
      <c r="E7430" s="2" t="str">
        <f>IFERROR(__xludf.DUMMYFUNCTION("IFERROR(VLOOKUP(A7430, IMPORTRANGE(""https://docs.google.com/spreadsheets/d/1-3Vjw2Cyy-mry5gbC8ypIR3YVGFfEpyFESummAta6sg/edit"", ""Sheet1!B:D""), 3, FALSE), ""Not Found"")"),"s k w ɔ k ")</f>
        <v>s k w ɔ k </v>
      </c>
    </row>
    <row r="7431">
      <c r="A7431" s="1" t="s">
        <v>7433</v>
      </c>
      <c r="B7431" s="1" t="s">
        <v>6138</v>
      </c>
      <c r="C7431" s="2">
        <f>IFERROR(__xludf.DUMMYFUNCTION("IFERROR(VLOOKUP(A7431, IMPORTRANGE(""https://docs.google.com/spreadsheets/d/1AVX9GT0dgogEBStecCXMMQ29tWz3gBrtNB8yIromXbY/edit?gid=741673867"", ""out1g!A:B""), 2, FALSE), 0)"),173.0)</f>
        <v>173</v>
      </c>
      <c r="D7431" s="2" t="str">
        <f>IFERROR(__xludf.DUMMYFUNCTION("IFERROR(VLOOKUP(A7431, IMPORTRANGE(""https://docs.google.com/spreadsheets/d/1-3Vjw2Cyy-mry5gbC8ypIR3YVGFfEpyFESummAta6sg/edit"", ""Sheet1!B:D""), 2, FALSE), ""Not Found"")"),"sevjər")</f>
        <v>sevjər</v>
      </c>
      <c r="E7431" s="2" t="str">
        <f>IFERROR(__xludf.DUMMYFUNCTION("IFERROR(VLOOKUP(A7431, IMPORTRANGE(""https://docs.google.com/spreadsheets/d/1-3Vjw2Cyy-mry5gbC8ypIR3YVGFfEpyFESummAta6sg/edit"", ""Sheet1!B:D""), 3, FALSE), ""Not Found"")"),"s e v j ə r ")</f>
        <v>s e v j ə r </v>
      </c>
    </row>
    <row r="7432">
      <c r="A7432" s="1" t="s">
        <v>7434</v>
      </c>
      <c r="B7432" s="1" t="s">
        <v>6138</v>
      </c>
      <c r="C7432" s="2">
        <f>IFERROR(__xludf.DUMMYFUNCTION("IFERROR(VLOOKUP(A7432, IMPORTRANGE(""https://docs.google.com/spreadsheets/d/1AVX9GT0dgogEBStecCXMMQ29tWz3gBrtNB8yIromXbY/edit?gid=741673867"", ""out1g!A:B""), 2, FALSE), 0)"),1063.0)</f>
        <v>1063</v>
      </c>
      <c r="D7432" s="2" t="str">
        <f>IFERROR(__xludf.DUMMYFUNCTION("IFERROR(VLOOKUP(A7432, IMPORTRANGE(""https://docs.google.com/spreadsheets/d/1-3Vjw2Cyy-mry5gbC8ypIR3YVGFfEpyFESummAta6sg/edit"", ""Sheet1!B:D""), 2, FALSE), ""Not Found"")"),"ritə")</f>
        <v>ritə</v>
      </c>
      <c r="E7432" s="2" t="str">
        <f>IFERROR(__xludf.DUMMYFUNCTION("IFERROR(VLOOKUP(A7432, IMPORTRANGE(""https://docs.google.com/spreadsheets/d/1-3Vjw2Cyy-mry5gbC8ypIR3YVGFfEpyFESummAta6sg/edit"", ""Sheet1!B:D""), 3, FALSE), ""Not Found"")"),"r i t ə ")</f>
        <v>r i t ə </v>
      </c>
    </row>
    <row r="7433">
      <c r="A7433" s="1" t="s">
        <v>7435</v>
      </c>
      <c r="B7433" s="1" t="s">
        <v>6138</v>
      </c>
      <c r="C7433" s="2">
        <f>IFERROR(__xludf.DUMMYFUNCTION("IFERROR(VLOOKUP(A7433, IMPORTRANGE(""https://docs.google.com/spreadsheets/d/1AVX9GT0dgogEBStecCXMMQ29tWz3gBrtNB8yIromXbY/edit?gid=741673867"", ""out1g!A:B""), 2, FALSE), 0)"),643.0)</f>
        <v>643</v>
      </c>
      <c r="D7433" s="2" t="str">
        <f>IFERROR(__xludf.DUMMYFUNCTION("IFERROR(VLOOKUP(A7433, IMPORTRANGE(""https://docs.google.com/spreadsheets/d/1-3Vjw2Cyy-mry5gbC8ypIR3YVGFfEpyFESummAta6sg/edit"", ""Sheet1!B:D""), 2, FALSE), ""Not Found"")"),"pæsɪz")</f>
        <v>pæsɪz</v>
      </c>
      <c r="E7433" s="2" t="str">
        <f>IFERROR(__xludf.DUMMYFUNCTION("IFERROR(VLOOKUP(A7433, IMPORTRANGE(""https://docs.google.com/spreadsheets/d/1-3Vjw2Cyy-mry5gbC8ypIR3YVGFfEpyFESummAta6sg/edit"", ""Sheet1!B:D""), 3, FALSE), ""Not Found"")"),"p æ s ɪ z ")</f>
        <v>p æ s ɪ z </v>
      </c>
    </row>
    <row r="7434">
      <c r="A7434" s="1" t="s">
        <v>7436</v>
      </c>
      <c r="B7434" s="1" t="s">
        <v>6138</v>
      </c>
      <c r="C7434" s="2">
        <f>IFERROR(__xludf.DUMMYFUNCTION("IFERROR(VLOOKUP(A7434, IMPORTRANGE(""https://docs.google.com/spreadsheets/d/1AVX9GT0dgogEBStecCXMMQ29tWz3gBrtNB8yIromXbY/edit?gid=741673867"", ""out1g!A:B""), 2, FALSE), 0)"),933.0)</f>
        <v>933</v>
      </c>
      <c r="D7434" s="2" t="str">
        <f>IFERROR(__xludf.DUMMYFUNCTION("IFERROR(VLOOKUP(A7434, IMPORTRANGE(""https://docs.google.com/spreadsheets/d/1-3Vjw2Cyy-mry5gbC8ypIR3YVGFfEpyFESummAta6sg/edit"", ""Sheet1!B:D""), 2, FALSE), ""Not Found"")"),"kænsəl")</f>
        <v>kænsəl</v>
      </c>
      <c r="E7434" s="2" t="str">
        <f>IFERROR(__xludf.DUMMYFUNCTION("IFERROR(VLOOKUP(A7434, IMPORTRANGE(""https://docs.google.com/spreadsheets/d/1-3Vjw2Cyy-mry5gbC8ypIR3YVGFfEpyFESummAta6sg/edit"", ""Sheet1!B:D""), 3, FALSE), ""Not Found"")"),"k æ n s ə l ")</f>
        <v>k æ n s ə l </v>
      </c>
    </row>
    <row r="7435">
      <c r="A7435" s="1" t="s">
        <v>7437</v>
      </c>
      <c r="B7435" s="1" t="s">
        <v>6138</v>
      </c>
      <c r="C7435" s="2">
        <f>IFERROR(__xludf.DUMMYFUNCTION("IFERROR(VLOOKUP(A7435, IMPORTRANGE(""https://docs.google.com/spreadsheets/d/1AVX9GT0dgogEBStecCXMMQ29tWz3gBrtNB8yIromXbY/edit?gid=741673867"", ""out1g!A:B""), 2, FALSE), 0)"),15.0)</f>
        <v>15</v>
      </c>
      <c r="D7435" s="2" t="str">
        <f>IFERROR(__xludf.DUMMYFUNCTION("IFERROR(VLOOKUP(A7435, IMPORTRANGE(""https://docs.google.com/spreadsheets/d/1-3Vjw2Cyy-mry5gbC8ypIR3YVGFfEpyFESummAta6sg/edit"", ""Sheet1!B:D""), 2, FALSE), ""Not Found"")"),"kləmpi")</f>
        <v>kləmpi</v>
      </c>
      <c r="E7435" s="2" t="str">
        <f>IFERROR(__xludf.DUMMYFUNCTION("IFERROR(VLOOKUP(A7435, IMPORTRANGE(""https://docs.google.com/spreadsheets/d/1-3Vjw2Cyy-mry5gbC8ypIR3YVGFfEpyFESummAta6sg/edit"", ""Sheet1!B:D""), 3, FALSE), ""Not Found"")"),"k l ə m p i ")</f>
        <v>k l ə m p i </v>
      </c>
    </row>
    <row r="7436">
      <c r="A7436" s="1" t="s">
        <v>7438</v>
      </c>
      <c r="B7436" s="1" t="s">
        <v>6138</v>
      </c>
      <c r="C7436" s="2">
        <f>IFERROR(__xludf.DUMMYFUNCTION("IFERROR(VLOOKUP(A7436, IMPORTRANGE(""https://docs.google.com/spreadsheets/d/1AVX9GT0dgogEBStecCXMMQ29tWz3gBrtNB8yIromXbY/edit?gid=741673867"", ""out1g!A:B""), 2, FALSE), 0)"),516.0)</f>
        <v>516</v>
      </c>
      <c r="D7436" s="2" t="str">
        <f>IFERROR(__xludf.DUMMYFUNCTION("IFERROR(VLOOKUP(A7436, IMPORTRANGE(""https://docs.google.com/spreadsheets/d/1-3Vjw2Cyy-mry5gbC8ypIR3YVGFfEpyFESummAta6sg/edit"", ""Sheet1!B:D""), 2, FALSE), ""Not Found"")"),"wɔrjər")</f>
        <v>wɔrjər</v>
      </c>
      <c r="E7436" s="2" t="str">
        <f>IFERROR(__xludf.DUMMYFUNCTION("IFERROR(VLOOKUP(A7436, IMPORTRANGE(""https://docs.google.com/spreadsheets/d/1-3Vjw2Cyy-mry5gbC8ypIR3YVGFfEpyFESummAta6sg/edit"", ""Sheet1!B:D""), 3, FALSE), ""Not Found"")"),"w ɔ r j ə r ")</f>
        <v>w ɔ r j ə r </v>
      </c>
    </row>
    <row r="7437">
      <c r="A7437" s="1" t="s">
        <v>7439</v>
      </c>
      <c r="B7437" s="1" t="s">
        <v>6138</v>
      </c>
      <c r="C7437" s="2">
        <f>IFERROR(__xludf.DUMMYFUNCTION("IFERROR(VLOOKUP(A7437, IMPORTRANGE(""https://docs.google.com/spreadsheets/d/1AVX9GT0dgogEBStecCXMMQ29tWz3gBrtNB8yIromXbY/edit?gid=741673867"", ""out1g!A:B""), 2, FALSE), 0)"),1434.0)</f>
        <v>1434</v>
      </c>
      <c r="D7437" s="2" t="str">
        <f>IFERROR(__xludf.DUMMYFUNCTION("IFERROR(VLOOKUP(A7437, IMPORTRANGE(""https://docs.google.com/spreadsheets/d/1-3Vjw2Cyy-mry5gbC8ypIR3YVGFfEpyFESummAta6sg/edit"", ""Sheet1!B:D""), 2, FALSE), ""Not Found"")"),"swɪʧ")</f>
        <v>swɪʧ</v>
      </c>
      <c r="E7437" s="2" t="str">
        <f>IFERROR(__xludf.DUMMYFUNCTION("IFERROR(VLOOKUP(A7437, IMPORTRANGE(""https://docs.google.com/spreadsheets/d/1-3Vjw2Cyy-mry5gbC8ypIR3YVGFfEpyFESummAta6sg/edit"", ""Sheet1!B:D""), 3, FALSE), ""Not Found"")"),"s w ɪ ʧ ")</f>
        <v>s w ɪ ʧ </v>
      </c>
    </row>
    <row r="7438">
      <c r="A7438" s="1" t="s">
        <v>7440</v>
      </c>
      <c r="B7438" s="1" t="s">
        <v>6138</v>
      </c>
      <c r="C7438" s="2">
        <f>IFERROR(__xludf.DUMMYFUNCTION("IFERROR(VLOOKUP(A7438, IMPORTRANGE(""https://docs.google.com/spreadsheets/d/1AVX9GT0dgogEBStecCXMMQ29tWz3gBrtNB8yIromXbY/edit?gid=741673867"", ""out1g!A:B""), 2, FALSE), 0)"),43.0)</f>
        <v>43</v>
      </c>
      <c r="D7438" s="2" t="str">
        <f>IFERROR(__xludf.DUMMYFUNCTION("IFERROR(VLOOKUP(A7438, IMPORTRANGE(""https://docs.google.com/spreadsheets/d/1-3Vjw2Cyy-mry5gbC8ypIR3YVGFfEpyFESummAta6sg/edit"", ""Sheet1!B:D""), 2, FALSE), ""Not Found"")"),"kɑrtiər")</f>
        <v>kɑrtiər</v>
      </c>
      <c r="E7438" s="2" t="str">
        <f>IFERROR(__xludf.DUMMYFUNCTION("IFERROR(VLOOKUP(A7438, IMPORTRANGE(""https://docs.google.com/spreadsheets/d/1-3Vjw2Cyy-mry5gbC8ypIR3YVGFfEpyFESummAta6sg/edit"", ""Sheet1!B:D""), 3, FALSE), ""Not Found"")"),"k ɑ r t i ə r ")</f>
        <v>k ɑ r t i ə r </v>
      </c>
    </row>
    <row r="7439">
      <c r="A7439" s="1" t="s">
        <v>7441</v>
      </c>
      <c r="B7439" s="1" t="s">
        <v>6138</v>
      </c>
      <c r="C7439" s="2">
        <f>IFERROR(__xludf.DUMMYFUNCTION("IFERROR(VLOOKUP(A7439, IMPORTRANGE(""https://docs.google.com/spreadsheets/d/1AVX9GT0dgogEBStecCXMMQ29tWz3gBrtNB8yIromXbY/edit?gid=741673867"", ""out1g!A:B""), 2, FALSE), 0)"),109.0)</f>
        <v>109</v>
      </c>
      <c r="D7439" s="2" t="str">
        <f>IFERROR(__xludf.DUMMYFUNCTION("IFERROR(VLOOKUP(A7439, IMPORTRANGE(""https://docs.google.com/spreadsheets/d/1-3Vjw2Cyy-mry5gbC8ypIR3YVGFfEpyFESummAta6sg/edit"", ""Sheet1!B:D""), 2, FALSE), ""Not Found"")"),"sitɪŋ")</f>
        <v>sitɪŋ</v>
      </c>
      <c r="E7439" s="2" t="str">
        <f>IFERROR(__xludf.DUMMYFUNCTION("IFERROR(VLOOKUP(A7439, IMPORTRANGE(""https://docs.google.com/spreadsheets/d/1-3Vjw2Cyy-mry5gbC8ypIR3YVGFfEpyFESummAta6sg/edit"", ""Sheet1!B:D""), 3, FALSE), ""Not Found"")"),"s i t ɪ ŋ ")</f>
        <v>s i t ɪ ŋ </v>
      </c>
    </row>
    <row r="7440">
      <c r="A7440" s="1" t="s">
        <v>7442</v>
      </c>
      <c r="B7440" s="1" t="s">
        <v>6138</v>
      </c>
      <c r="C7440" s="2">
        <f>IFERROR(__xludf.DUMMYFUNCTION("IFERROR(VLOOKUP(A7440, IMPORTRANGE(""https://docs.google.com/spreadsheets/d/1AVX9GT0dgogEBStecCXMMQ29tWz3gBrtNB8yIromXbY/edit?gid=741673867"", ""out1g!A:B""), 2, FALSE), 0)"),224097.0)</f>
        <v>224097</v>
      </c>
      <c r="D7440" s="2" t="str">
        <f>IFERROR(__xludf.DUMMYFUNCTION("IFERROR(VLOOKUP(A7440, IMPORTRANGE(""https://docs.google.com/spreadsheets/d/1-3Vjw2Cyy-mry5gbC8ypIR3YVGFfEpyFESummAta6sg/edit"", ""Sheet1!B:D""), 2, FALSE), ""Not Found"")"),"lɛktəl")</f>
        <v>lɛktəl</v>
      </c>
      <c r="E7440" s="2" t="str">
        <f>IFERROR(__xludf.DUMMYFUNCTION("IFERROR(VLOOKUP(A7440, IMPORTRANGE(""https://docs.google.com/spreadsheets/d/1-3Vjw2Cyy-mry5gbC8ypIR3YVGFfEpyFESummAta6sg/edit"", ""Sheet1!B:D""), 3, FALSE), ""Not Found"")"),"l ɛ k t ə l ")</f>
        <v>l ɛ k t ə l </v>
      </c>
    </row>
    <row r="7441">
      <c r="A7441" s="1" t="s">
        <v>7443</v>
      </c>
      <c r="B7441" s="1" t="s">
        <v>6138</v>
      </c>
      <c r="C7441" s="2">
        <f>IFERROR(__xludf.DUMMYFUNCTION("IFERROR(VLOOKUP(A7441, IMPORTRANGE(""https://docs.google.com/spreadsheets/d/1AVX9GT0dgogEBStecCXMMQ29tWz3gBrtNB8yIromXbY/edit?gid=741673867"", ""out1g!A:B""), 2, FALSE), 0)"),173.0)</f>
        <v>173</v>
      </c>
      <c r="D7441" s="2" t="str">
        <f>IFERROR(__xludf.DUMMYFUNCTION("IFERROR(VLOOKUP(A7441, IMPORTRANGE(""https://docs.google.com/spreadsheets/d/1-3Vjw2Cyy-mry5gbC8ypIR3YVGFfEpyFESummAta6sg/edit"", ""Sheet1!B:D""), 2, FALSE), ""Not Found"")"),"hoʊldən")</f>
        <v>hoʊldən</v>
      </c>
      <c r="E7441" s="2" t="str">
        <f>IFERROR(__xludf.DUMMYFUNCTION("IFERROR(VLOOKUP(A7441, IMPORTRANGE(""https://docs.google.com/spreadsheets/d/1-3Vjw2Cyy-mry5gbC8ypIR3YVGFfEpyFESummAta6sg/edit"", ""Sheet1!B:D""), 3, FALSE), ""Not Found"")"),"h o ʊ l d ə n ")</f>
        <v>h o ʊ l d ə n </v>
      </c>
    </row>
    <row r="7442">
      <c r="A7442" s="1" t="s">
        <v>7444</v>
      </c>
      <c r="B7442" s="1" t="s">
        <v>6138</v>
      </c>
      <c r="C7442" s="2">
        <f>IFERROR(__xludf.DUMMYFUNCTION("IFERROR(VLOOKUP(A7442, IMPORTRANGE(""https://docs.google.com/spreadsheets/d/1AVX9GT0dgogEBStecCXMMQ29tWz3gBrtNB8yIromXbY/edit?gid=741673867"", ""out1g!A:B""), 2, FALSE), 0)"),55.0)</f>
        <v>55</v>
      </c>
      <c r="D7442" s="2" t="str">
        <f>IFERROR(__xludf.DUMMYFUNCTION("IFERROR(VLOOKUP(A7442, IMPORTRANGE(""https://docs.google.com/spreadsheets/d/1-3Vjw2Cyy-mry5gbC8ypIR3YVGFfEpyFESummAta6sg/edit"", ""Sheet1!B:D""), 2, FALSE), ""Not Found"")"),"gændər")</f>
        <v>gændər</v>
      </c>
      <c r="E7442" s="2" t="str">
        <f>IFERROR(__xludf.DUMMYFUNCTION("IFERROR(VLOOKUP(A7442, IMPORTRANGE(""https://docs.google.com/spreadsheets/d/1-3Vjw2Cyy-mry5gbC8ypIR3YVGFfEpyFESummAta6sg/edit"", ""Sheet1!B:D""), 3, FALSE), ""Not Found"")"),"g æ n d ə r ")</f>
        <v>g æ n d ə r </v>
      </c>
    </row>
    <row r="7443">
      <c r="A7443" s="1" t="s">
        <v>7445</v>
      </c>
      <c r="B7443" s="1" t="s">
        <v>6138</v>
      </c>
      <c r="C7443" s="2">
        <f>IFERROR(__xludf.DUMMYFUNCTION("IFERROR(VLOOKUP(A7443, IMPORTRANGE(""https://docs.google.com/spreadsheets/d/1AVX9GT0dgogEBStecCXMMQ29tWz3gBrtNB8yIromXbY/edit?gid=741673867"", ""out1g!A:B""), 2, FALSE), 0)"),1218.0)</f>
        <v>1218</v>
      </c>
      <c r="D7443" s="2" t="str">
        <f>IFERROR(__xludf.DUMMYFUNCTION("IFERROR(VLOOKUP(A7443, IMPORTRANGE(""https://docs.google.com/spreadsheets/d/1-3Vjw2Cyy-mry5gbC8ypIR3YVGFfEpyFESummAta6sg/edit"", ""Sheet1!B:D""), 2, FALSE), ""Not Found"")"),"vɪʒən")</f>
        <v>vɪʒən</v>
      </c>
      <c r="E7443" s="2" t="str">
        <f>IFERROR(__xludf.DUMMYFUNCTION("IFERROR(VLOOKUP(A7443, IMPORTRANGE(""https://docs.google.com/spreadsheets/d/1-3Vjw2Cyy-mry5gbC8ypIR3YVGFfEpyFESummAta6sg/edit"", ""Sheet1!B:D""), 3, FALSE), ""Not Found"")"),"v ɪ ʒ ə n ")</f>
        <v>v ɪ ʒ ə n </v>
      </c>
    </row>
    <row r="7444">
      <c r="A7444" s="1" t="s">
        <v>7446</v>
      </c>
      <c r="B7444" s="1" t="s">
        <v>6138</v>
      </c>
      <c r="C7444" s="2">
        <f>IFERROR(__xludf.DUMMYFUNCTION("IFERROR(VLOOKUP(A7444, IMPORTRANGE(""https://docs.google.com/spreadsheets/d/1AVX9GT0dgogEBStecCXMMQ29tWz3gBrtNB8yIromXbY/edit?gid=741673867"", ""out1g!A:B""), 2, FALSE), 0)"),4091.0)</f>
        <v>4091</v>
      </c>
      <c r="D7444" s="2" t="str">
        <f>IFERROR(__xludf.DUMMYFUNCTION("IFERROR(VLOOKUP(A7444, IMPORTRANGE(""https://docs.google.com/spreadsheets/d/1-3Vjw2Cyy-mry5gbC8ypIR3YVGFfEpyFESummAta6sg/edit"", ""Sheet1!B:D""), 2, FALSE), ""Not Found"")"),"ʤɪmi")</f>
        <v>ʤɪmi</v>
      </c>
      <c r="E7444" s="2" t="str">
        <f>IFERROR(__xludf.DUMMYFUNCTION("IFERROR(VLOOKUP(A7444, IMPORTRANGE(""https://docs.google.com/spreadsheets/d/1-3Vjw2Cyy-mry5gbC8ypIR3YVGFfEpyFESummAta6sg/edit"", ""Sheet1!B:D""), 3, FALSE), ""Not Found"")"),"ʤ ɪ m i ")</f>
        <v>ʤ ɪ m i </v>
      </c>
    </row>
    <row r="7445">
      <c r="A7445" s="1" t="s">
        <v>7447</v>
      </c>
      <c r="B7445" s="1" t="s">
        <v>6138</v>
      </c>
      <c r="C7445" s="2">
        <f>IFERROR(__xludf.DUMMYFUNCTION("IFERROR(VLOOKUP(A7445, IMPORTRANGE(""https://docs.google.com/spreadsheets/d/1AVX9GT0dgogEBStecCXMMQ29tWz3gBrtNB8yIromXbY/edit?gid=741673867"", ""out1g!A:B""), 2, FALSE), 0)"),68.0)</f>
        <v>68</v>
      </c>
      <c r="D7445" s="2" t="str">
        <f>IFERROR(__xludf.DUMMYFUNCTION("IFERROR(VLOOKUP(A7445, IMPORTRANGE(""https://docs.google.com/spreadsheets/d/1-3Vjw2Cyy-mry5gbC8ypIR3YVGFfEpyFESummAta6sg/edit"", ""Sheet1!B:D""), 2, FALSE), ""Not Found"")"),"spəŋk")</f>
        <v>spəŋk</v>
      </c>
      <c r="E7445" s="2" t="str">
        <f>IFERROR(__xludf.DUMMYFUNCTION("IFERROR(VLOOKUP(A7445, IMPORTRANGE(""https://docs.google.com/spreadsheets/d/1-3Vjw2Cyy-mry5gbC8ypIR3YVGFfEpyFESummAta6sg/edit"", ""Sheet1!B:D""), 3, FALSE), ""Not Found"")"),"s p ə ŋ k ")</f>
        <v>s p ə ŋ k </v>
      </c>
    </row>
    <row r="7446">
      <c r="A7446" s="1" t="s">
        <v>7448</v>
      </c>
      <c r="B7446" s="1" t="s">
        <v>6138</v>
      </c>
      <c r="C7446" s="2">
        <f>IFERROR(__xludf.DUMMYFUNCTION("IFERROR(VLOOKUP(A7446, IMPORTRANGE(""https://docs.google.com/spreadsheets/d/1AVX9GT0dgogEBStecCXMMQ29tWz3gBrtNB8yIromXbY/edit?gid=741673867"", ""out1g!A:B""), 2, FALSE), 0)"),81.0)</f>
        <v>81</v>
      </c>
      <c r="D7446" s="2" t="str">
        <f>IFERROR(__xludf.DUMMYFUNCTION("IFERROR(VLOOKUP(A7446, IMPORTRANGE(""https://docs.google.com/spreadsheets/d/1-3Vjw2Cyy-mry5gbC8ypIR3YVGFfEpyFESummAta6sg/edit"", ""Sheet1!B:D""), 2, FALSE), ""Not Found"")"),"wɔrnɪŋz")</f>
        <v>wɔrnɪŋz</v>
      </c>
      <c r="E7446" s="2" t="str">
        <f>IFERROR(__xludf.DUMMYFUNCTION("IFERROR(VLOOKUP(A7446, IMPORTRANGE(""https://docs.google.com/spreadsheets/d/1-3Vjw2Cyy-mry5gbC8ypIR3YVGFfEpyFESummAta6sg/edit"", ""Sheet1!B:D""), 3, FALSE), ""Not Found"")"),"w ɔ r n ɪ ŋ z ")</f>
        <v>w ɔ r n ɪ ŋ z </v>
      </c>
    </row>
    <row r="7447">
      <c r="A7447" s="1" t="s">
        <v>7449</v>
      </c>
      <c r="B7447" s="1" t="s">
        <v>6138</v>
      </c>
      <c r="C7447" s="2">
        <f>IFERROR(__xludf.DUMMYFUNCTION("IFERROR(VLOOKUP(A7447, IMPORTRANGE(""https://docs.google.com/spreadsheets/d/1AVX9GT0dgogEBStecCXMMQ29tWz3gBrtNB8yIromXbY/edit?gid=741673867"", ""out1g!A:B""), 2, FALSE), 0)"),913.0)</f>
        <v>913</v>
      </c>
      <c r="D7447" s="2" t="str">
        <f>IFERROR(__xludf.DUMMYFUNCTION("IFERROR(VLOOKUP(A7447, IMPORTRANGE(""https://docs.google.com/spreadsheets/d/1-3Vjw2Cyy-mry5gbC8ypIR3YVGFfEpyFESummAta6sg/edit"", ""Sheet1!B:D""), 2, FALSE), ""Not Found"")"),"kʊkiz")</f>
        <v>kʊkiz</v>
      </c>
      <c r="E7447" s="2" t="str">
        <f>IFERROR(__xludf.DUMMYFUNCTION("IFERROR(VLOOKUP(A7447, IMPORTRANGE(""https://docs.google.com/spreadsheets/d/1-3Vjw2Cyy-mry5gbC8ypIR3YVGFfEpyFESummAta6sg/edit"", ""Sheet1!B:D""), 3, FALSE), ""Not Found"")"),"k ʊ k i z ")</f>
        <v>k ʊ k i z </v>
      </c>
    </row>
    <row r="7448">
      <c r="A7448" s="1" t="s">
        <v>7450</v>
      </c>
      <c r="B7448" s="1" t="s">
        <v>6138</v>
      </c>
      <c r="C7448" s="2">
        <f>IFERROR(__xludf.DUMMYFUNCTION("IFERROR(VLOOKUP(A7448, IMPORTRANGE(""https://docs.google.com/spreadsheets/d/1AVX9GT0dgogEBStecCXMMQ29tWz3gBrtNB8yIromXbY/edit?gid=741673867"", ""out1g!A:B""), 2, FALSE), 0)"),26.0)</f>
        <v>26</v>
      </c>
      <c r="D7448" s="2" t="str">
        <f>IFERROR(__xludf.DUMMYFUNCTION("IFERROR(VLOOKUP(A7448, IMPORTRANGE(""https://docs.google.com/spreadsheets/d/1-3Vjw2Cyy-mry5gbC8ypIR3YVGFfEpyFESummAta6sg/edit"", ""Sheet1!B:D""), 2, FALSE), ""Not Found"")"),"flɑsɪŋ")</f>
        <v>flɑsɪŋ</v>
      </c>
      <c r="E7448" s="2" t="str">
        <f>IFERROR(__xludf.DUMMYFUNCTION("IFERROR(VLOOKUP(A7448, IMPORTRANGE(""https://docs.google.com/spreadsheets/d/1-3Vjw2Cyy-mry5gbC8ypIR3YVGFfEpyFESummAta6sg/edit"", ""Sheet1!B:D""), 3, FALSE), ""Not Found"")"),"f l ɑ s ɪ ŋ ")</f>
        <v>f l ɑ s ɪ ŋ </v>
      </c>
    </row>
    <row r="7449">
      <c r="A7449" s="1" t="s">
        <v>7451</v>
      </c>
      <c r="B7449" s="1" t="s">
        <v>6138</v>
      </c>
      <c r="C7449" s="2">
        <f>IFERROR(__xludf.DUMMYFUNCTION("IFERROR(VLOOKUP(A7449, IMPORTRANGE(""https://docs.google.com/spreadsheets/d/1AVX9GT0dgogEBStecCXMMQ29tWz3gBrtNB8yIromXbY/edit?gid=741673867"", ""out1g!A:B""), 2, FALSE), 0)"),198.0)</f>
        <v>198</v>
      </c>
      <c r="D7449" s="2" t="str">
        <f>IFERROR(__xludf.DUMMYFUNCTION("IFERROR(VLOOKUP(A7449, IMPORTRANGE(""https://docs.google.com/spreadsheets/d/1-3Vjw2Cyy-mry5gbC8ypIR3YVGFfEpyFESummAta6sg/edit"", ""Sheet1!B:D""), 2, FALSE), ""Not Found"")"),"slɪps")</f>
        <v>slɪps</v>
      </c>
      <c r="E7449" s="2" t="str">
        <f>IFERROR(__xludf.DUMMYFUNCTION("IFERROR(VLOOKUP(A7449, IMPORTRANGE(""https://docs.google.com/spreadsheets/d/1-3Vjw2Cyy-mry5gbC8ypIR3YVGFfEpyFESummAta6sg/edit"", ""Sheet1!B:D""), 3, FALSE), ""Not Found"")"),"s l ɪ p s ")</f>
        <v>s l ɪ p s </v>
      </c>
    </row>
    <row r="7450">
      <c r="A7450" s="1" t="s">
        <v>7452</v>
      </c>
      <c r="B7450" s="1" t="s">
        <v>6138</v>
      </c>
      <c r="C7450" s="2">
        <f>IFERROR(__xludf.DUMMYFUNCTION("IFERROR(VLOOKUP(A7450, IMPORTRANGE(""https://docs.google.com/spreadsheets/d/1AVX9GT0dgogEBStecCXMMQ29tWz3gBrtNB8yIromXbY/edit?gid=741673867"", ""out1g!A:B""), 2, FALSE), 0)"),95.0)</f>
        <v>95</v>
      </c>
      <c r="D7450" s="2" t="str">
        <f>IFERROR(__xludf.DUMMYFUNCTION("IFERROR(VLOOKUP(A7450, IMPORTRANGE(""https://docs.google.com/spreadsheets/d/1-3Vjw2Cyy-mry5gbC8ypIR3YVGFfEpyFESummAta6sg/edit"", ""Sheet1!B:D""), 2, FALSE), ""Not Found"")"),"fleks")</f>
        <v>fleks</v>
      </c>
      <c r="E7450" s="2" t="str">
        <f>IFERROR(__xludf.DUMMYFUNCTION("IFERROR(VLOOKUP(A7450, IMPORTRANGE(""https://docs.google.com/spreadsheets/d/1-3Vjw2Cyy-mry5gbC8ypIR3YVGFfEpyFESummAta6sg/edit"", ""Sheet1!B:D""), 3, FALSE), ""Not Found"")"),"f l e k s ")</f>
        <v>f l e k s </v>
      </c>
    </row>
    <row r="7451">
      <c r="A7451" s="1" t="s">
        <v>7453</v>
      </c>
      <c r="B7451" s="1" t="s">
        <v>6138</v>
      </c>
      <c r="C7451" s="2">
        <f>IFERROR(__xludf.DUMMYFUNCTION("IFERROR(VLOOKUP(A7451, IMPORTRANGE(""https://docs.google.com/spreadsheets/d/1AVX9GT0dgogEBStecCXMMQ29tWz3gBrtNB8yIromXbY/edit?gid=741673867"", ""out1g!A:B""), 2, FALSE), 0)"),121.0)</f>
        <v>121</v>
      </c>
      <c r="D7451" s="2" t="str">
        <f>IFERROR(__xludf.DUMMYFUNCTION("IFERROR(VLOOKUP(A7451, IMPORTRANGE(""https://docs.google.com/spreadsheets/d/1-3Vjw2Cyy-mry5gbC8ypIR3YVGFfEpyFESummAta6sg/edit"", ""Sheet1!B:D""), 2, FALSE), ""Not Found"")"),"rɪten")</f>
        <v>rɪten</v>
      </c>
      <c r="E7451" s="2" t="str">
        <f>IFERROR(__xludf.DUMMYFUNCTION("IFERROR(VLOOKUP(A7451, IMPORTRANGE(""https://docs.google.com/spreadsheets/d/1-3Vjw2Cyy-mry5gbC8ypIR3YVGFfEpyFESummAta6sg/edit"", ""Sheet1!B:D""), 3, FALSE), ""Not Found"")"),"r ɪ t e n ")</f>
        <v>r ɪ t e n </v>
      </c>
    </row>
    <row r="7452">
      <c r="A7452" s="1" t="s">
        <v>7454</v>
      </c>
      <c r="B7452" s="1" t="s">
        <v>6138</v>
      </c>
      <c r="C7452" s="2">
        <f>IFERROR(__xludf.DUMMYFUNCTION("IFERROR(VLOOKUP(A7452, IMPORTRANGE(""https://docs.google.com/spreadsheets/d/1AVX9GT0dgogEBStecCXMMQ29tWz3gBrtNB8yIromXbY/edit?gid=741673867"", ""out1g!A:B""), 2, FALSE), 0)"),117.0)</f>
        <v>117</v>
      </c>
      <c r="D7452" s="2" t="str">
        <f>IFERROR(__xludf.DUMMYFUNCTION("IFERROR(VLOOKUP(A7452, IMPORTRANGE(""https://docs.google.com/spreadsheets/d/1-3Vjw2Cyy-mry5gbC8ypIR3YVGFfEpyFESummAta6sg/edit"", ""Sheet1!B:D""), 2, FALSE), ""Not Found"")"),"ʤɛstər")</f>
        <v>ʤɛstər</v>
      </c>
      <c r="E7452" s="2" t="str">
        <f>IFERROR(__xludf.DUMMYFUNCTION("IFERROR(VLOOKUP(A7452, IMPORTRANGE(""https://docs.google.com/spreadsheets/d/1-3Vjw2Cyy-mry5gbC8ypIR3YVGFfEpyFESummAta6sg/edit"", ""Sheet1!B:D""), 3, FALSE), ""Not Found"")"),"ʤ ɛ s t ə r ")</f>
        <v>ʤ ɛ s t ə r </v>
      </c>
    </row>
    <row r="7453">
      <c r="A7453" s="1" t="s">
        <v>7455</v>
      </c>
      <c r="B7453" s="1" t="s">
        <v>6138</v>
      </c>
      <c r="C7453" s="2">
        <f>IFERROR(__xludf.DUMMYFUNCTION("IFERROR(VLOOKUP(A7453, IMPORTRANGE(""https://docs.google.com/spreadsheets/d/1AVX9GT0dgogEBStecCXMMQ29tWz3gBrtNB8yIromXbY/edit?gid=741673867"", ""out1g!A:B""), 2, FALSE), 0)"),96.0)</f>
        <v>96</v>
      </c>
      <c r="D7453" s="2" t="str">
        <f>IFERROR(__xludf.DUMMYFUNCTION("IFERROR(VLOOKUP(A7453, IMPORTRANGE(""https://docs.google.com/spreadsheets/d/1-3Vjw2Cyy-mry5gbC8ypIR3YVGFfEpyFESummAta6sg/edit"", ""Sheet1!B:D""), 2, FALSE), ""Not Found"")"),"besən")</f>
        <v>besən</v>
      </c>
      <c r="E7453" s="2" t="str">
        <f>IFERROR(__xludf.DUMMYFUNCTION("IFERROR(VLOOKUP(A7453, IMPORTRANGE(""https://docs.google.com/spreadsheets/d/1-3Vjw2Cyy-mry5gbC8ypIR3YVGFfEpyFESummAta6sg/edit"", ""Sheet1!B:D""), 3, FALSE), ""Not Found"")"),"b e s ə n ")</f>
        <v>b e s ə n </v>
      </c>
    </row>
    <row r="7454">
      <c r="A7454" s="1" t="s">
        <v>7456</v>
      </c>
      <c r="B7454" s="1" t="s">
        <v>6138</v>
      </c>
      <c r="C7454" s="2">
        <f>IFERROR(__xludf.DUMMYFUNCTION("IFERROR(VLOOKUP(A7454, IMPORTRANGE(""https://docs.google.com/spreadsheets/d/1AVX9GT0dgogEBStecCXMMQ29tWz3gBrtNB8yIromXbY/edit?gid=741673867"", ""out1g!A:B""), 2, FALSE), 0)"),1008.0)</f>
        <v>1008</v>
      </c>
      <c r="D7454" s="2" t="str">
        <f>IFERROR(__xludf.DUMMYFUNCTION("IFERROR(VLOOKUP(A7454, IMPORTRANGE(""https://docs.google.com/spreadsheets/d/1-3Vjw2Cyy-mry5gbC8ypIR3YVGFfEpyFESummAta6sg/edit"", ""Sheet1!B:D""), 2, FALSE), ""Not Found"")"),"pæʃən")</f>
        <v>pæʃən</v>
      </c>
      <c r="E7454" s="2" t="str">
        <f>IFERROR(__xludf.DUMMYFUNCTION("IFERROR(VLOOKUP(A7454, IMPORTRANGE(""https://docs.google.com/spreadsheets/d/1-3Vjw2Cyy-mry5gbC8ypIR3YVGFfEpyFESummAta6sg/edit"", ""Sheet1!B:D""), 3, FALSE), ""Not Found"")"),"p æ ʃ ə n ")</f>
        <v>p æ ʃ ə n </v>
      </c>
    </row>
    <row r="7455">
      <c r="A7455" s="1" t="s">
        <v>7457</v>
      </c>
      <c r="B7455" s="1" t="s">
        <v>6138</v>
      </c>
      <c r="C7455" s="2">
        <f>IFERROR(__xludf.DUMMYFUNCTION("IFERROR(VLOOKUP(A7455, IMPORTRANGE(""https://docs.google.com/spreadsheets/d/1AVX9GT0dgogEBStecCXMMQ29tWz3gBrtNB8yIromXbY/edit?gid=741673867"", ""out1g!A:B""), 2, FALSE), 0)"),152.0)</f>
        <v>152</v>
      </c>
      <c r="D7455" s="2" t="str">
        <f>IFERROR(__xludf.DUMMYFUNCTION("IFERROR(VLOOKUP(A7455, IMPORTRANGE(""https://docs.google.com/spreadsheets/d/1-3Vjw2Cyy-mry5gbC8ypIR3YVGFfEpyFESummAta6sg/edit"", ""Sheet1!B:D""), 2, FALSE), ""Not Found"")"),"snoʊɪŋ")</f>
        <v>snoʊɪŋ</v>
      </c>
      <c r="E7455" s="2" t="str">
        <f>IFERROR(__xludf.DUMMYFUNCTION("IFERROR(VLOOKUP(A7455, IMPORTRANGE(""https://docs.google.com/spreadsheets/d/1-3Vjw2Cyy-mry5gbC8ypIR3YVGFfEpyFESummAta6sg/edit"", ""Sheet1!B:D""), 3, FALSE), ""Not Found"")"),"s n o ʊ ɪ ŋ ")</f>
        <v>s n o ʊ ɪ ŋ </v>
      </c>
    </row>
    <row r="7456">
      <c r="A7456" s="1" t="s">
        <v>7458</v>
      </c>
      <c r="B7456" s="1" t="s">
        <v>6138</v>
      </c>
      <c r="C7456" s="2">
        <f>IFERROR(__xludf.DUMMYFUNCTION("IFERROR(VLOOKUP(A7456, IMPORTRANGE(""https://docs.google.com/spreadsheets/d/1AVX9GT0dgogEBStecCXMMQ29tWz3gBrtNB8yIromXbY/edit?gid=741673867"", ""out1g!A:B""), 2, FALSE), 0)"),338.0)</f>
        <v>338</v>
      </c>
      <c r="D7456" s="2" t="str">
        <f>IFERROR(__xludf.DUMMYFUNCTION("IFERROR(VLOOKUP(A7456, IMPORTRANGE(""https://docs.google.com/spreadsheets/d/1-3Vjw2Cyy-mry5gbC8ypIR3YVGFfEpyFESummAta6sg/edit"", ""Sheet1!B:D""), 2, FALSE), ""Not Found"")"),"gel")</f>
        <v>gel</v>
      </c>
      <c r="E7456" s="2" t="str">
        <f>IFERROR(__xludf.DUMMYFUNCTION("IFERROR(VLOOKUP(A7456, IMPORTRANGE(""https://docs.google.com/spreadsheets/d/1-3Vjw2Cyy-mry5gbC8ypIR3YVGFfEpyFESummAta6sg/edit"", ""Sheet1!B:D""), 3, FALSE), ""Not Found"")"),"g e l ")</f>
        <v>g e l </v>
      </c>
    </row>
    <row r="7457">
      <c r="A7457" s="1" t="s">
        <v>7459</v>
      </c>
      <c r="B7457" s="1" t="s">
        <v>6138</v>
      </c>
      <c r="C7457" s="2">
        <f>IFERROR(__xludf.DUMMYFUNCTION("IFERROR(VLOOKUP(A7457, IMPORTRANGE(""https://docs.google.com/spreadsheets/d/1AVX9GT0dgogEBStecCXMMQ29tWz3gBrtNB8yIromXbY/edit?gid=741673867"", ""out1g!A:B""), 2, FALSE), 0)"),132.0)</f>
        <v>132</v>
      </c>
      <c r="D7457" s="2" t="str">
        <f>IFERROR(__xludf.DUMMYFUNCTION("IFERROR(VLOOKUP(A7457, IMPORTRANGE(""https://docs.google.com/spreadsheets/d/1-3Vjw2Cyy-mry5gbC8ypIR3YVGFfEpyFESummAta6sg/edit"", ""Sheet1!B:D""), 2, FALSE), ""Not Found"")"),"dɪsɛnt")</f>
        <v>dɪsɛnt</v>
      </c>
      <c r="E7457" s="2" t="str">
        <f>IFERROR(__xludf.DUMMYFUNCTION("IFERROR(VLOOKUP(A7457, IMPORTRANGE(""https://docs.google.com/spreadsheets/d/1-3Vjw2Cyy-mry5gbC8ypIR3YVGFfEpyFESummAta6sg/edit"", ""Sheet1!B:D""), 3, FALSE), ""Not Found"")"),"d ɪ s ɛ n t ")</f>
        <v>d ɪ s ɛ n t </v>
      </c>
    </row>
    <row r="7458">
      <c r="A7458" s="1" t="s">
        <v>7460</v>
      </c>
      <c r="B7458" s="1" t="s">
        <v>6138</v>
      </c>
      <c r="C7458" s="2">
        <f>IFERROR(__xludf.DUMMYFUNCTION("IFERROR(VLOOKUP(A7458, IMPORTRANGE(""https://docs.google.com/spreadsheets/d/1AVX9GT0dgogEBStecCXMMQ29tWz3gBrtNB8yIromXbY/edit?gid=741673867"", ""out1g!A:B""), 2, FALSE), 0)"),53.0)</f>
        <v>53</v>
      </c>
      <c r="D7458" s="2" t="str">
        <f>IFERROR(__xludf.DUMMYFUNCTION("IFERROR(VLOOKUP(A7458, IMPORTRANGE(""https://docs.google.com/spreadsheets/d/1-3Vjw2Cyy-mry5gbC8ypIR3YVGFfEpyFESummAta6sg/edit"", ""Sheet1!B:D""), 2, FALSE), ""Not Found"")"),"hɛðənz")</f>
        <v>hɛðənz</v>
      </c>
      <c r="E7458" s="2" t="str">
        <f>IFERROR(__xludf.DUMMYFUNCTION("IFERROR(VLOOKUP(A7458, IMPORTRANGE(""https://docs.google.com/spreadsheets/d/1-3Vjw2Cyy-mry5gbC8ypIR3YVGFfEpyFESummAta6sg/edit"", ""Sheet1!B:D""), 3, FALSE), ""Not Found"")"),"h ɛ ð ə n z ")</f>
        <v>h ɛ ð ə n z </v>
      </c>
    </row>
    <row r="7459">
      <c r="A7459" s="1" t="s">
        <v>7461</v>
      </c>
      <c r="B7459" s="1" t="s">
        <v>6138</v>
      </c>
      <c r="C7459" s="2">
        <f>IFERROR(__xludf.DUMMYFUNCTION("IFERROR(VLOOKUP(A7459, IMPORTRANGE(""https://docs.google.com/spreadsheets/d/1AVX9GT0dgogEBStecCXMMQ29tWz3gBrtNB8yIromXbY/edit?gid=741673867"", ""out1g!A:B""), 2, FALSE), 0)"),86.0)</f>
        <v>86</v>
      </c>
      <c r="D7459" s="2" t="str">
        <f>IFERROR(__xludf.DUMMYFUNCTION("IFERROR(VLOOKUP(A7459, IMPORTRANGE(""https://docs.google.com/spreadsheets/d/1-3Vjw2Cyy-mry5gbC8ypIR3YVGFfEpyFESummAta6sg/edit"", ""Sheet1!B:D""), 2, FALSE), ""Not Found"")"),"prɛsɪz")</f>
        <v>prɛsɪz</v>
      </c>
      <c r="E7459" s="2" t="str">
        <f>IFERROR(__xludf.DUMMYFUNCTION("IFERROR(VLOOKUP(A7459, IMPORTRANGE(""https://docs.google.com/spreadsheets/d/1-3Vjw2Cyy-mry5gbC8ypIR3YVGFfEpyFESummAta6sg/edit"", ""Sheet1!B:D""), 3, FALSE), ""Not Found"")"),"p r ɛ s ɪ z ")</f>
        <v>p r ɛ s ɪ z </v>
      </c>
    </row>
    <row r="7460">
      <c r="A7460" s="1" t="s">
        <v>7462</v>
      </c>
      <c r="B7460" s="1" t="s">
        <v>6138</v>
      </c>
      <c r="C7460" s="2">
        <f>IFERROR(__xludf.DUMMYFUNCTION("IFERROR(VLOOKUP(A7460, IMPORTRANGE(""https://docs.google.com/spreadsheets/d/1AVX9GT0dgogEBStecCXMMQ29tWz3gBrtNB8yIromXbY/edit?gid=741673867"", ""out1g!A:B""), 2, FALSE), 0)"),52.0)</f>
        <v>52</v>
      </c>
      <c r="D7460" s="2" t="str">
        <f>IFERROR(__xludf.DUMMYFUNCTION("IFERROR(VLOOKUP(A7460, IMPORTRANGE(""https://docs.google.com/spreadsheets/d/1-3Vjw2Cyy-mry5gbC8ypIR3YVGFfEpyFESummAta6sg/edit"", ""Sheet1!B:D""), 2, FALSE), ""Not Found"")"),"skups")</f>
        <v>skups</v>
      </c>
      <c r="E7460" s="2" t="str">
        <f>IFERROR(__xludf.DUMMYFUNCTION("IFERROR(VLOOKUP(A7460, IMPORTRANGE(""https://docs.google.com/spreadsheets/d/1-3Vjw2Cyy-mry5gbC8ypIR3YVGFfEpyFESummAta6sg/edit"", ""Sheet1!B:D""), 3, FALSE), ""Not Found"")"),"s k u p s ")</f>
        <v>s k u p s </v>
      </c>
    </row>
    <row r="7461">
      <c r="A7461" s="1" t="s">
        <v>7463</v>
      </c>
      <c r="B7461" s="1" t="s">
        <v>6138</v>
      </c>
      <c r="C7461" s="2">
        <f>IFERROR(__xludf.DUMMYFUNCTION("IFERROR(VLOOKUP(A7461, IMPORTRANGE(""https://docs.google.com/spreadsheets/d/1AVX9GT0dgogEBStecCXMMQ29tWz3gBrtNB8yIromXbY/edit?gid=741673867"", ""out1g!A:B""), 2, FALSE), 0)"),728.0)</f>
        <v>728</v>
      </c>
      <c r="D7461" s="2" t="str">
        <f>IFERROR(__xludf.DUMMYFUNCTION("IFERROR(VLOOKUP(A7461, IMPORTRANGE(""https://docs.google.com/spreadsheets/d/1-3Vjw2Cyy-mry5gbC8ypIR3YVGFfEpyFESummAta6sg/edit"", ""Sheet1!B:D""), 2, FALSE), ""Not Found"")"),"hoʊldz")</f>
        <v>hoʊldz</v>
      </c>
      <c r="E7461" s="2" t="str">
        <f>IFERROR(__xludf.DUMMYFUNCTION("IFERROR(VLOOKUP(A7461, IMPORTRANGE(""https://docs.google.com/spreadsheets/d/1-3Vjw2Cyy-mry5gbC8ypIR3YVGFfEpyFESummAta6sg/edit"", ""Sheet1!B:D""), 3, FALSE), ""Not Found"")"),"h o ʊ l d z ")</f>
        <v>h o ʊ l d z </v>
      </c>
    </row>
    <row r="7462">
      <c r="A7462" s="1" t="s">
        <v>7464</v>
      </c>
      <c r="B7462" s="1" t="s">
        <v>6138</v>
      </c>
      <c r="C7462" s="2">
        <f>IFERROR(__xludf.DUMMYFUNCTION("IFERROR(VLOOKUP(A7462, IMPORTRANGE(""https://docs.google.com/spreadsheets/d/1AVX9GT0dgogEBStecCXMMQ29tWz3gBrtNB8yIromXbY/edit?gid=741673867"", ""out1g!A:B""), 2, FALSE), 0)"),124.0)</f>
        <v>124</v>
      </c>
      <c r="D7462" s="2" t="str">
        <f>IFERROR(__xludf.DUMMYFUNCTION("IFERROR(VLOOKUP(A7462, IMPORTRANGE(""https://docs.google.com/spreadsheets/d/1-3Vjw2Cyy-mry5gbC8ypIR3YVGFfEpyFESummAta6sg/edit"", ""Sheet1!B:D""), 2, FALSE), ""Not Found"")"),"swɛrɪŋ")</f>
        <v>swɛrɪŋ</v>
      </c>
      <c r="E7462" s="2" t="str">
        <f>IFERROR(__xludf.DUMMYFUNCTION("IFERROR(VLOOKUP(A7462, IMPORTRANGE(""https://docs.google.com/spreadsheets/d/1-3Vjw2Cyy-mry5gbC8ypIR3YVGFfEpyFESummAta6sg/edit"", ""Sheet1!B:D""), 3, FALSE), ""Not Found"")"),"s w ɛ r ɪ ŋ ")</f>
        <v>s w ɛ r ɪ ŋ </v>
      </c>
    </row>
    <row r="7463">
      <c r="A7463" s="1" t="s">
        <v>7465</v>
      </c>
      <c r="B7463" s="1" t="s">
        <v>6138</v>
      </c>
      <c r="C7463" s="2">
        <f>IFERROR(__xludf.DUMMYFUNCTION("IFERROR(VLOOKUP(A7463, IMPORTRANGE(""https://docs.google.com/spreadsheets/d/1AVX9GT0dgogEBStecCXMMQ29tWz3gBrtNB8yIromXbY/edit?gid=741673867"", ""out1g!A:B""), 2, FALSE), 0)"),98.0)</f>
        <v>98</v>
      </c>
      <c r="D7463" s="2" t="str">
        <f>IFERROR(__xludf.DUMMYFUNCTION("IFERROR(VLOOKUP(A7463, IMPORTRANGE(""https://docs.google.com/spreadsheets/d/1-3Vjw2Cyy-mry5gbC8ypIR3YVGFfEpyFESummAta6sg/edit"", ""Sheet1!B:D""), 2, FALSE), ""Not Found"")"),"ɛmti")</f>
        <v>ɛmti</v>
      </c>
      <c r="E7463" s="2" t="str">
        <f>IFERROR(__xludf.DUMMYFUNCTION("IFERROR(VLOOKUP(A7463, IMPORTRANGE(""https://docs.google.com/spreadsheets/d/1-3Vjw2Cyy-mry5gbC8ypIR3YVGFfEpyFESummAta6sg/edit"", ""Sheet1!B:D""), 3, FALSE), ""Not Found"")"),"ɛ m t i ")</f>
        <v>ɛ m t i </v>
      </c>
    </row>
    <row r="7464">
      <c r="A7464" s="1" t="s">
        <v>7466</v>
      </c>
      <c r="B7464" s="1" t="s">
        <v>6138</v>
      </c>
      <c r="C7464" s="2">
        <f>IFERROR(__xludf.DUMMYFUNCTION("IFERROR(VLOOKUP(A7464, IMPORTRANGE(""https://docs.google.com/spreadsheets/d/1AVX9GT0dgogEBStecCXMMQ29tWz3gBrtNB8yIromXbY/edit?gid=741673867"", ""out1g!A:B""), 2, FALSE), 0)"),106.0)</f>
        <v>106</v>
      </c>
      <c r="D7464" s="2" t="str">
        <f>IFERROR(__xludf.DUMMYFUNCTION("IFERROR(VLOOKUP(A7464, IMPORTRANGE(""https://docs.google.com/spreadsheets/d/1-3Vjw2Cyy-mry5gbC8ypIR3YVGFfEpyFESummAta6sg/edit"", ""Sheet1!B:D""), 2, FALSE), ""Not Found"")"),"boʊldər")</f>
        <v>boʊldər</v>
      </c>
      <c r="E7464" s="2" t="str">
        <f>IFERROR(__xludf.DUMMYFUNCTION("IFERROR(VLOOKUP(A7464, IMPORTRANGE(""https://docs.google.com/spreadsheets/d/1-3Vjw2Cyy-mry5gbC8ypIR3YVGFfEpyFESummAta6sg/edit"", ""Sheet1!B:D""), 3, FALSE), ""Not Found"")"),"b o ʊ l d ə r ")</f>
        <v>b o ʊ l d ə r </v>
      </c>
    </row>
    <row r="7465">
      <c r="A7465" s="1" t="s">
        <v>7467</v>
      </c>
      <c r="B7465" s="1" t="s">
        <v>6138</v>
      </c>
      <c r="C7465" s="2">
        <f>IFERROR(__xludf.DUMMYFUNCTION("IFERROR(VLOOKUP(A7465, IMPORTRANGE(""https://docs.google.com/spreadsheets/d/1AVX9GT0dgogEBStecCXMMQ29tWz3gBrtNB8yIromXbY/edit?gid=741673867"", ""out1g!A:B""), 2, FALSE), 0)"),147.0)</f>
        <v>147</v>
      </c>
      <c r="D7465" s="2" t="str">
        <f>IFERROR(__xludf.DUMMYFUNCTION("IFERROR(VLOOKUP(A7465, IMPORTRANGE(""https://docs.google.com/spreadsheets/d/1-3Vjw2Cyy-mry5gbC8ypIR3YVGFfEpyFESummAta6sg/edit"", ""Sheet1!B:D""), 2, FALSE), ""Not Found"")"),"kjuti")</f>
        <v>kjuti</v>
      </c>
      <c r="E7465" s="2" t="str">
        <f>IFERROR(__xludf.DUMMYFUNCTION("IFERROR(VLOOKUP(A7465, IMPORTRANGE(""https://docs.google.com/spreadsheets/d/1-3Vjw2Cyy-mry5gbC8ypIR3YVGFfEpyFESummAta6sg/edit"", ""Sheet1!B:D""), 3, FALSE), ""Not Found"")"),"k j u t i ")</f>
        <v>k j u t i </v>
      </c>
    </row>
    <row r="7466">
      <c r="A7466" s="1" t="s">
        <v>7468</v>
      </c>
      <c r="B7466" s="1" t="s">
        <v>6138</v>
      </c>
      <c r="C7466" s="2">
        <f>IFERROR(__xludf.DUMMYFUNCTION("IFERROR(VLOOKUP(A7466, IMPORTRANGE(""https://docs.google.com/spreadsheets/d/1AVX9GT0dgogEBStecCXMMQ29tWz3gBrtNB8yIromXbY/edit?gid=741673867"", ""out1g!A:B""), 2, FALSE), 0)"),152.0)</f>
        <v>152</v>
      </c>
      <c r="D7466" s="2" t="str">
        <f>IFERROR(__xludf.DUMMYFUNCTION("IFERROR(VLOOKUP(A7466, IMPORTRANGE(""https://docs.google.com/spreadsheets/d/1-3Vjw2Cyy-mry5gbC8ypIR3YVGFfEpyFESummAta6sg/edit"", ""Sheet1!B:D""), 2, FALSE), ""Not Found"")"),"wɪgəl")</f>
        <v>wɪgəl</v>
      </c>
      <c r="E7466" s="2" t="str">
        <f>IFERROR(__xludf.DUMMYFUNCTION("IFERROR(VLOOKUP(A7466, IMPORTRANGE(""https://docs.google.com/spreadsheets/d/1-3Vjw2Cyy-mry5gbC8ypIR3YVGFfEpyFESummAta6sg/edit"", ""Sheet1!B:D""), 3, FALSE), ""Not Found"")"),"w ɪ g ə l ")</f>
        <v>w ɪ g ə l </v>
      </c>
    </row>
    <row r="7467">
      <c r="A7467" s="1" t="s">
        <v>7469</v>
      </c>
      <c r="B7467" s="1" t="s">
        <v>6138</v>
      </c>
      <c r="C7467" s="2">
        <f>IFERROR(__xludf.DUMMYFUNCTION("IFERROR(VLOOKUP(A7467, IMPORTRANGE(""https://docs.google.com/spreadsheets/d/1AVX9GT0dgogEBStecCXMMQ29tWz3gBrtNB8yIromXbY/edit?gid=741673867"", ""out1g!A:B""), 2, FALSE), 0)"),251.0)</f>
        <v>251</v>
      </c>
      <c r="D7467" s="2" t="str">
        <f>IFERROR(__xludf.DUMMYFUNCTION("IFERROR(VLOOKUP(A7467, IMPORTRANGE(""https://docs.google.com/spreadsheets/d/1-3Vjw2Cyy-mry5gbC8ypIR3YVGFfEpyFESummAta6sg/edit"", ""Sheet1!B:D""), 2, FALSE), ""Not Found"")"),"səkərz")</f>
        <v>səkərz</v>
      </c>
      <c r="E7467" s="2" t="str">
        <f>IFERROR(__xludf.DUMMYFUNCTION("IFERROR(VLOOKUP(A7467, IMPORTRANGE(""https://docs.google.com/spreadsheets/d/1-3Vjw2Cyy-mry5gbC8ypIR3YVGFfEpyFESummAta6sg/edit"", ""Sheet1!B:D""), 3, FALSE), ""Not Found"")"),"s ə k ə r z ")</f>
        <v>s ə k ə r z </v>
      </c>
    </row>
    <row r="7468">
      <c r="A7468" s="1" t="s">
        <v>7470</v>
      </c>
      <c r="B7468" s="1" t="s">
        <v>6138</v>
      </c>
      <c r="C7468" s="2">
        <f>IFERROR(__xludf.DUMMYFUNCTION("IFERROR(VLOOKUP(A7468, IMPORTRANGE(""https://docs.google.com/spreadsheets/d/1AVX9GT0dgogEBStecCXMMQ29tWz3gBrtNB8yIromXbY/edit?gid=741673867"", ""out1g!A:B""), 2, FALSE), 0)"),393.0)</f>
        <v>393</v>
      </c>
      <c r="D7468" s="2" t="str">
        <f>IFERROR(__xludf.DUMMYFUNCTION("IFERROR(VLOOKUP(A7468, IMPORTRANGE(""https://docs.google.com/spreadsheets/d/1-3Vjw2Cyy-mry5gbC8ypIR3YVGFfEpyFESummAta6sg/edit"", ""Sheet1!B:D""), 2, FALSE), ""Not Found"")"),"mʊr")</f>
        <v>mʊr</v>
      </c>
      <c r="E7468" s="2" t="str">
        <f>IFERROR(__xludf.DUMMYFUNCTION("IFERROR(VLOOKUP(A7468, IMPORTRANGE(""https://docs.google.com/spreadsheets/d/1-3Vjw2Cyy-mry5gbC8ypIR3YVGFfEpyFESummAta6sg/edit"", ""Sheet1!B:D""), 3, FALSE), ""Not Found"")"),"m ʊ r ")</f>
        <v>m ʊ r </v>
      </c>
    </row>
    <row r="7469">
      <c r="A7469" s="1" t="s">
        <v>7471</v>
      </c>
      <c r="B7469" s="1" t="s">
        <v>6138</v>
      </c>
      <c r="C7469" s="2">
        <f>IFERROR(__xludf.DUMMYFUNCTION("IFERROR(VLOOKUP(A7469, IMPORTRANGE(""https://docs.google.com/spreadsheets/d/1AVX9GT0dgogEBStecCXMMQ29tWz3gBrtNB8yIromXbY/edit?gid=741673867"", ""out1g!A:B""), 2, FALSE), 0)"),202.0)</f>
        <v>202</v>
      </c>
      <c r="D7469" s="2" t="str">
        <f>IFERROR(__xludf.DUMMYFUNCTION("IFERROR(VLOOKUP(A7469, IMPORTRANGE(""https://docs.google.com/spreadsheets/d/1-3Vjw2Cyy-mry5gbC8ypIR3YVGFfEpyFESummAta6sg/edit"", ""Sheet1!B:D""), 2, FALSE), ""Not Found"")"),"blædər")</f>
        <v>blædər</v>
      </c>
      <c r="E7469" s="2" t="str">
        <f>IFERROR(__xludf.DUMMYFUNCTION("IFERROR(VLOOKUP(A7469, IMPORTRANGE(""https://docs.google.com/spreadsheets/d/1-3Vjw2Cyy-mry5gbC8ypIR3YVGFfEpyFESummAta6sg/edit"", ""Sheet1!B:D""), 3, FALSE), ""Not Found"")"),"b l æ d ə r ")</f>
        <v>b l æ d ə r </v>
      </c>
    </row>
    <row r="7470">
      <c r="A7470" s="1" t="s">
        <v>7472</v>
      </c>
      <c r="B7470" s="1" t="s">
        <v>6138</v>
      </c>
      <c r="C7470" s="2">
        <f>IFERROR(__xludf.DUMMYFUNCTION("IFERROR(VLOOKUP(A7470, IMPORTRANGE(""https://docs.google.com/spreadsheets/d/1AVX9GT0dgogEBStecCXMMQ29tWz3gBrtNB8yIromXbY/edit?gid=741673867"", ""out1g!A:B""), 2, FALSE), 0)"),88.0)</f>
        <v>88</v>
      </c>
      <c r="D7470" s="2" t="str">
        <f>IFERROR(__xludf.DUMMYFUNCTION("IFERROR(VLOOKUP(A7470, IMPORTRANGE(""https://docs.google.com/spreadsheets/d/1-3Vjw2Cyy-mry5gbC8ypIR3YVGFfEpyFESummAta6sg/edit"", ""Sheet1!B:D""), 2, FALSE), ""Not Found"")"),"hɔŋks")</f>
        <v>hɔŋks</v>
      </c>
      <c r="E7470" s="2" t="str">
        <f>IFERROR(__xludf.DUMMYFUNCTION("IFERROR(VLOOKUP(A7470, IMPORTRANGE(""https://docs.google.com/spreadsheets/d/1-3Vjw2Cyy-mry5gbC8ypIR3YVGFfEpyFESummAta6sg/edit"", ""Sheet1!B:D""), 3, FALSE), ""Not Found"")"),"h ɔ ŋ k s ")</f>
        <v>h ɔ ŋ k s </v>
      </c>
    </row>
    <row r="7471">
      <c r="A7471" s="1" t="s">
        <v>7473</v>
      </c>
      <c r="B7471" s="1" t="s">
        <v>6138</v>
      </c>
      <c r="C7471" s="2">
        <f>IFERROR(__xludf.DUMMYFUNCTION("IFERROR(VLOOKUP(A7471, IMPORTRANGE(""https://docs.google.com/spreadsheets/d/1AVX9GT0dgogEBStecCXMMQ29tWz3gBrtNB8yIromXbY/edit?gid=741673867"", ""out1g!A:B""), 2, FALSE), 0)"),109.0)</f>
        <v>109</v>
      </c>
      <c r="D7471" s="2" t="str">
        <f>IFERROR(__xludf.DUMMYFUNCTION("IFERROR(VLOOKUP(A7471, IMPORTRANGE(""https://docs.google.com/spreadsheets/d/1-3Vjw2Cyy-mry5gbC8ypIR3YVGFfEpyFESummAta6sg/edit"", ""Sheet1!B:D""), 2, FALSE), ""Not Found"")"),"spɪlɪŋ")</f>
        <v>spɪlɪŋ</v>
      </c>
      <c r="E7471" s="2" t="str">
        <f>IFERROR(__xludf.DUMMYFUNCTION("IFERROR(VLOOKUP(A7471, IMPORTRANGE(""https://docs.google.com/spreadsheets/d/1-3Vjw2Cyy-mry5gbC8ypIR3YVGFfEpyFESummAta6sg/edit"", ""Sheet1!B:D""), 3, FALSE), ""Not Found"")"),"s p ɪ l ɪ ŋ ")</f>
        <v>s p ɪ l ɪ ŋ </v>
      </c>
    </row>
    <row r="7472">
      <c r="A7472" s="1" t="s">
        <v>7474</v>
      </c>
      <c r="B7472" s="1" t="s">
        <v>6138</v>
      </c>
      <c r="C7472" s="2">
        <f>IFERROR(__xludf.DUMMYFUNCTION("IFERROR(VLOOKUP(A7472, IMPORTRANGE(""https://docs.google.com/spreadsheets/d/1AVX9GT0dgogEBStecCXMMQ29tWz3gBrtNB8yIromXbY/edit?gid=741673867"", ""out1g!A:B""), 2, FALSE), 0)"),60.0)</f>
        <v>60</v>
      </c>
      <c r="D7472" s="2" t="str">
        <f>IFERROR(__xludf.DUMMYFUNCTION("IFERROR(VLOOKUP(A7472, IMPORTRANGE(""https://docs.google.com/spreadsheets/d/1-3Vjw2Cyy-mry5gbC8ypIR3YVGFfEpyFESummAta6sg/edit"", ""Sheet1!B:D""), 2, FALSE), ""Not Found"")"),"bæləst")</f>
        <v>bæləst</v>
      </c>
      <c r="E7472" s="2" t="str">
        <f>IFERROR(__xludf.DUMMYFUNCTION("IFERROR(VLOOKUP(A7472, IMPORTRANGE(""https://docs.google.com/spreadsheets/d/1-3Vjw2Cyy-mry5gbC8ypIR3YVGFfEpyFESummAta6sg/edit"", ""Sheet1!B:D""), 3, FALSE), ""Not Found"")"),"b æ l ə s t ")</f>
        <v>b æ l ə s t </v>
      </c>
    </row>
    <row r="7473">
      <c r="A7473" s="1" t="s">
        <v>7475</v>
      </c>
      <c r="B7473" s="1" t="s">
        <v>6138</v>
      </c>
      <c r="C7473" s="2">
        <f>IFERROR(__xludf.DUMMYFUNCTION("IFERROR(VLOOKUP(A7473, IMPORTRANGE(""https://docs.google.com/spreadsheets/d/1AVX9GT0dgogEBStecCXMMQ29tWz3gBrtNB8yIromXbY/edit?gid=741673867"", ""out1g!A:B""), 2, FALSE), 0)"),131.0)</f>
        <v>131</v>
      </c>
      <c r="D7473" s="2" t="str">
        <f>IFERROR(__xludf.DUMMYFUNCTION("IFERROR(VLOOKUP(A7473, IMPORTRANGE(""https://docs.google.com/spreadsheets/d/1-3Vjw2Cyy-mry5gbC8ypIR3YVGFfEpyFESummAta6sg/edit"", ""Sheet1!B:D""), 2, FALSE), ""Not Found"")"),"ərnɪŋ")</f>
        <v>ərnɪŋ</v>
      </c>
      <c r="E7473" s="2" t="str">
        <f>IFERROR(__xludf.DUMMYFUNCTION("IFERROR(VLOOKUP(A7473, IMPORTRANGE(""https://docs.google.com/spreadsheets/d/1-3Vjw2Cyy-mry5gbC8ypIR3YVGFfEpyFESummAta6sg/edit"", ""Sheet1!B:D""), 3, FALSE), ""Not Found"")"),"ə r n ɪ ŋ ")</f>
        <v>ə r n ɪ ŋ </v>
      </c>
    </row>
    <row r="7474">
      <c r="A7474" s="1" t="s">
        <v>7476</v>
      </c>
      <c r="B7474" s="1" t="s">
        <v>6138</v>
      </c>
      <c r="C7474" s="2">
        <f>IFERROR(__xludf.DUMMYFUNCTION("IFERROR(VLOOKUP(A7474, IMPORTRANGE(""https://docs.google.com/spreadsheets/d/1AVX9GT0dgogEBStecCXMMQ29tWz3gBrtNB8yIromXbY/edit?gid=741673867"", ""out1g!A:B""), 2, FALSE), 0)"),257.0)</f>
        <v>257</v>
      </c>
      <c r="D7474" s="2" t="str">
        <f>IFERROR(__xludf.DUMMYFUNCTION("IFERROR(VLOOKUP(A7474, IMPORTRANGE(""https://docs.google.com/spreadsheets/d/1-3Vjw2Cyy-mry5gbC8ypIR3YVGFfEpyFESummAta6sg/edit"", ""Sheet1!B:D""), 2, FALSE), ""Not Found"")"),"tresɪz")</f>
        <v>tresɪz</v>
      </c>
      <c r="E7474" s="2" t="str">
        <f>IFERROR(__xludf.DUMMYFUNCTION("IFERROR(VLOOKUP(A7474, IMPORTRANGE(""https://docs.google.com/spreadsheets/d/1-3Vjw2Cyy-mry5gbC8ypIR3YVGFfEpyFESummAta6sg/edit"", ""Sheet1!B:D""), 3, FALSE), ""Not Found"")"),"t r e s ɪ z ")</f>
        <v>t r e s ɪ z </v>
      </c>
    </row>
    <row r="7475">
      <c r="A7475" s="1" t="s">
        <v>7477</v>
      </c>
      <c r="B7475" s="1" t="s">
        <v>6138</v>
      </c>
      <c r="C7475" s="2">
        <f>IFERROR(__xludf.DUMMYFUNCTION("IFERROR(VLOOKUP(A7475, IMPORTRANGE(""https://docs.google.com/spreadsheets/d/1AVX9GT0dgogEBStecCXMMQ29tWz3gBrtNB8yIromXbY/edit?gid=741673867"", ""out1g!A:B""), 2, FALSE), 0)"),379.0)</f>
        <v>379</v>
      </c>
      <c r="D7475" s="2" t="str">
        <f>IFERROR(__xludf.DUMMYFUNCTION("IFERROR(VLOOKUP(A7475, IMPORTRANGE(""https://docs.google.com/spreadsheets/d/1-3Vjw2Cyy-mry5gbC8ypIR3YVGFfEpyFESummAta6sg/edit"", ""Sheet1!B:D""), 2, FALSE), ""Not Found"")"),"rækɪt")</f>
        <v>rækɪt</v>
      </c>
      <c r="E7475" s="2" t="str">
        <f>IFERROR(__xludf.DUMMYFUNCTION("IFERROR(VLOOKUP(A7475, IMPORTRANGE(""https://docs.google.com/spreadsheets/d/1-3Vjw2Cyy-mry5gbC8ypIR3YVGFfEpyFESummAta6sg/edit"", ""Sheet1!B:D""), 3, FALSE), ""Not Found"")"),"r æ k ɪ t ")</f>
        <v>r æ k ɪ t </v>
      </c>
    </row>
    <row r="7476">
      <c r="A7476" s="1" t="s">
        <v>7478</v>
      </c>
      <c r="B7476" s="1" t="s">
        <v>6138</v>
      </c>
      <c r="C7476" s="2">
        <f>IFERROR(__xludf.DUMMYFUNCTION("IFERROR(VLOOKUP(A7476, IMPORTRANGE(""https://docs.google.com/spreadsheets/d/1AVX9GT0dgogEBStecCXMMQ29tWz3gBrtNB8yIromXbY/edit?gid=741673867"", ""out1g!A:B""), 2, FALSE), 0)"),350.0)</f>
        <v>350</v>
      </c>
      <c r="D7476" s="2" t="str">
        <f>IFERROR(__xludf.DUMMYFUNCTION("IFERROR(VLOOKUP(A7476, IMPORTRANGE(""https://docs.google.com/spreadsheets/d/1-3Vjw2Cyy-mry5gbC8ypIR3YVGFfEpyFESummAta6sg/edit"", ""Sheet1!B:D""), 2, FALSE), ""Not Found"")"),"igər")</f>
        <v>igər</v>
      </c>
      <c r="E7476" s="2" t="str">
        <f>IFERROR(__xludf.DUMMYFUNCTION("IFERROR(VLOOKUP(A7476, IMPORTRANGE(""https://docs.google.com/spreadsheets/d/1-3Vjw2Cyy-mry5gbC8ypIR3YVGFfEpyFESummAta6sg/edit"", ""Sheet1!B:D""), 3, FALSE), ""Not Found"")"),"i g ə r ")</f>
        <v>i g ə r </v>
      </c>
    </row>
    <row r="7477">
      <c r="A7477" s="1" t="s">
        <v>7479</v>
      </c>
      <c r="B7477" s="1" t="s">
        <v>6138</v>
      </c>
      <c r="C7477" s="2">
        <f>IFERROR(__xludf.DUMMYFUNCTION("IFERROR(VLOOKUP(A7477, IMPORTRANGE(""https://docs.google.com/spreadsheets/d/1AVX9GT0dgogEBStecCXMMQ29tWz3gBrtNB8yIromXbY/edit?gid=741673867"", ""out1g!A:B""), 2, FALSE), 0)"),305.0)</f>
        <v>305</v>
      </c>
      <c r="D7477" s="2" t="str">
        <f>IFERROR(__xludf.DUMMYFUNCTION("IFERROR(VLOOKUP(A7477, IMPORTRANGE(""https://docs.google.com/spreadsheets/d/1-3Vjw2Cyy-mry5gbC8ypIR3YVGFfEpyFESummAta6sg/edit"", ""Sheet1!B:D""), 2, FALSE), ""Not Found"")"),"bəbəlz")</f>
        <v>bəbəlz</v>
      </c>
      <c r="E7477" s="2" t="str">
        <f>IFERROR(__xludf.DUMMYFUNCTION("IFERROR(VLOOKUP(A7477, IMPORTRANGE(""https://docs.google.com/spreadsheets/d/1-3Vjw2Cyy-mry5gbC8ypIR3YVGFfEpyFESummAta6sg/edit"", ""Sheet1!B:D""), 3, FALSE), ""Not Found"")"),"b ə b ə l z ")</f>
        <v>b ə b ə l z </v>
      </c>
    </row>
    <row r="7478">
      <c r="A7478" s="1" t="s">
        <v>7480</v>
      </c>
      <c r="B7478" s="1" t="s">
        <v>6138</v>
      </c>
      <c r="C7478" s="2">
        <f>IFERROR(__xludf.DUMMYFUNCTION("IFERROR(VLOOKUP(A7478, IMPORTRANGE(""https://docs.google.com/spreadsheets/d/1AVX9GT0dgogEBStecCXMMQ29tWz3gBrtNB8yIromXbY/edit?gid=741673867"", ""out1g!A:B""), 2, FALSE), 0)"),166.0)</f>
        <v>166</v>
      </c>
      <c r="D7478" s="2" t="str">
        <f>IFERROR(__xludf.DUMMYFUNCTION("IFERROR(VLOOKUP(A7478, IMPORTRANGE(""https://docs.google.com/spreadsheets/d/1-3Vjw2Cyy-mry5gbC8ypIR3YVGFfEpyFESummAta6sg/edit"", ""Sheet1!B:D""), 2, FALSE), ""Not Found"")"),"krəst")</f>
        <v>krəst</v>
      </c>
      <c r="E7478" s="2" t="str">
        <f>IFERROR(__xludf.DUMMYFUNCTION("IFERROR(VLOOKUP(A7478, IMPORTRANGE(""https://docs.google.com/spreadsheets/d/1-3Vjw2Cyy-mry5gbC8ypIR3YVGFfEpyFESummAta6sg/edit"", ""Sheet1!B:D""), 3, FALSE), ""Not Found"")"),"k r ə s t ")</f>
        <v>k r ə s t </v>
      </c>
    </row>
    <row r="7479">
      <c r="A7479" s="1" t="s">
        <v>7481</v>
      </c>
      <c r="B7479" s="1" t="s">
        <v>6138</v>
      </c>
      <c r="C7479" s="2">
        <f>IFERROR(__xludf.DUMMYFUNCTION("IFERROR(VLOOKUP(A7479, IMPORTRANGE(""https://docs.google.com/spreadsheets/d/1AVX9GT0dgogEBStecCXMMQ29tWz3gBrtNB8yIromXbY/edit?gid=741673867"", ""out1g!A:B""), 2, FALSE), 0)"),50.0)</f>
        <v>50</v>
      </c>
      <c r="D7479" s="2" t="str">
        <f>IFERROR(__xludf.DUMMYFUNCTION("IFERROR(VLOOKUP(A7479, IMPORTRANGE(""https://docs.google.com/spreadsheets/d/1-3Vjw2Cyy-mry5gbC8ypIR3YVGFfEpyFESummAta6sg/edit"", ""Sheet1!B:D""), 2, FALSE), ""Not Found"")"),"ʧərpɪŋ")</f>
        <v>ʧərpɪŋ</v>
      </c>
      <c r="E7479" s="2" t="str">
        <f>IFERROR(__xludf.DUMMYFUNCTION("IFERROR(VLOOKUP(A7479, IMPORTRANGE(""https://docs.google.com/spreadsheets/d/1-3Vjw2Cyy-mry5gbC8ypIR3YVGFfEpyFESummAta6sg/edit"", ""Sheet1!B:D""), 3, FALSE), ""Not Found"")"),"ʧ ə r p ɪ ŋ ")</f>
        <v>ʧ ə r p ɪ ŋ </v>
      </c>
    </row>
    <row r="7480">
      <c r="A7480" s="1" t="s">
        <v>7482</v>
      </c>
      <c r="B7480" s="1" t="s">
        <v>6138</v>
      </c>
      <c r="C7480" s="2">
        <f>IFERROR(__xludf.DUMMYFUNCTION("IFERROR(VLOOKUP(A7480, IMPORTRANGE(""https://docs.google.com/spreadsheets/d/1AVX9GT0dgogEBStecCXMMQ29tWz3gBrtNB8yIromXbY/edit?gid=741673867"", ""out1g!A:B""), 2, FALSE), 0)"),58.0)</f>
        <v>58</v>
      </c>
      <c r="D7480" s="2" t="str">
        <f>IFERROR(__xludf.DUMMYFUNCTION("IFERROR(VLOOKUP(A7480, IMPORTRANGE(""https://docs.google.com/spreadsheets/d/1-3Vjw2Cyy-mry5gbC8ypIR3YVGFfEpyFESummAta6sg/edit"", ""Sheet1!B:D""), 2, FALSE), ""Not Found"")"),"sɛtələrz")</f>
        <v>sɛtələrz</v>
      </c>
      <c r="E7480" s="2" t="str">
        <f>IFERROR(__xludf.DUMMYFUNCTION("IFERROR(VLOOKUP(A7480, IMPORTRANGE(""https://docs.google.com/spreadsheets/d/1-3Vjw2Cyy-mry5gbC8ypIR3YVGFfEpyFESummAta6sg/edit"", ""Sheet1!B:D""), 3, FALSE), ""Not Found"")"),"s ɛ t ə l ə r z ")</f>
        <v>s ɛ t ə l ə r z </v>
      </c>
    </row>
    <row r="7481">
      <c r="A7481" s="1" t="s">
        <v>7483</v>
      </c>
      <c r="B7481" s="1" t="s">
        <v>6138</v>
      </c>
      <c r="C7481" s="2">
        <f>IFERROR(__xludf.DUMMYFUNCTION("IFERROR(VLOOKUP(A7481, IMPORTRANGE(""https://docs.google.com/spreadsheets/d/1AVX9GT0dgogEBStecCXMMQ29tWz3gBrtNB8yIromXbY/edit?gid=741673867"", ""out1g!A:B""), 2, FALSE), 0)"),110.0)</f>
        <v>110</v>
      </c>
      <c r="D7481" s="2" t="str">
        <f>IFERROR(__xludf.DUMMYFUNCTION("IFERROR(VLOOKUP(A7481, IMPORTRANGE(""https://docs.google.com/spreadsheets/d/1-3Vjw2Cyy-mry5gbC8ypIR3YVGFfEpyFESummAta6sg/edit"", ""Sheet1!B:D""), 2, FALSE), ""Not Found"")"),"vɛndɪŋ")</f>
        <v>vɛndɪŋ</v>
      </c>
      <c r="E7481" s="2" t="str">
        <f>IFERROR(__xludf.DUMMYFUNCTION("IFERROR(VLOOKUP(A7481, IMPORTRANGE(""https://docs.google.com/spreadsheets/d/1-3Vjw2Cyy-mry5gbC8ypIR3YVGFfEpyFESummAta6sg/edit"", ""Sheet1!B:D""), 3, FALSE), ""Not Found"")"),"v ɛ n d ɪ ŋ ")</f>
        <v>v ɛ n d ɪ ŋ </v>
      </c>
    </row>
    <row r="7482">
      <c r="A7482" s="1" t="s">
        <v>7484</v>
      </c>
      <c r="B7482" s="1" t="s">
        <v>6138</v>
      </c>
      <c r="C7482" s="2">
        <f>IFERROR(__xludf.DUMMYFUNCTION("IFERROR(VLOOKUP(A7482, IMPORTRANGE(""https://docs.google.com/spreadsheets/d/1AVX9GT0dgogEBStecCXMMQ29tWz3gBrtNB8yIromXbY/edit?gid=741673867"", ""out1g!A:B""), 2, FALSE), 0)"),500.0)</f>
        <v>500</v>
      </c>
      <c r="D7482" s="2" t="str">
        <f>IFERROR(__xludf.DUMMYFUNCTION("IFERROR(VLOOKUP(A7482, IMPORTRANGE(""https://docs.google.com/spreadsheets/d/1-3Vjw2Cyy-mry5gbC8ypIR3YVGFfEpyFESummAta6sg/edit"", ""Sheet1!B:D""), 2, FALSE), ""Not Found"")"),"həmbəl")</f>
        <v>həmbəl</v>
      </c>
      <c r="E7482" s="2" t="str">
        <f>IFERROR(__xludf.DUMMYFUNCTION("IFERROR(VLOOKUP(A7482, IMPORTRANGE(""https://docs.google.com/spreadsheets/d/1-3Vjw2Cyy-mry5gbC8ypIR3YVGFfEpyFESummAta6sg/edit"", ""Sheet1!B:D""), 3, FALSE), ""Not Found"")"),"h ə m b ə l ")</f>
        <v>h ə m b ə l </v>
      </c>
    </row>
    <row r="7483">
      <c r="A7483" s="1" t="s">
        <v>7485</v>
      </c>
      <c r="B7483" s="1" t="s">
        <v>6138</v>
      </c>
      <c r="C7483" s="2">
        <f>IFERROR(__xludf.DUMMYFUNCTION("IFERROR(VLOOKUP(A7483, IMPORTRANGE(""https://docs.google.com/spreadsheets/d/1AVX9GT0dgogEBStecCXMMQ29tWz3gBrtNB8yIromXbY/edit?gid=741673867"", ""out1g!A:B""), 2, FALSE), 0)"),1154.0)</f>
        <v>1154</v>
      </c>
      <c r="D7483" s="2" t="str">
        <f>IFERROR(__xludf.DUMMYFUNCTION("IFERROR(VLOOKUP(A7483, IMPORTRANGE(""https://docs.google.com/spreadsheets/d/1-3Vjw2Cyy-mry5gbC8ypIR3YVGFfEpyFESummAta6sg/edit"", ""Sheet1!B:D""), 2, FALSE), ""Not Found"")"),"bɑrbərə")</f>
        <v>bɑrbərə</v>
      </c>
      <c r="E7483" s="2" t="str">
        <f>IFERROR(__xludf.DUMMYFUNCTION("IFERROR(VLOOKUP(A7483, IMPORTRANGE(""https://docs.google.com/spreadsheets/d/1-3Vjw2Cyy-mry5gbC8ypIR3YVGFfEpyFESummAta6sg/edit"", ""Sheet1!B:D""), 3, FALSE), ""Not Found"")"),"b ɑ r b ə r ə ")</f>
        <v>b ɑ r b ə r ə </v>
      </c>
    </row>
    <row r="7484">
      <c r="A7484" s="1" t="s">
        <v>7486</v>
      </c>
      <c r="B7484" s="1" t="s">
        <v>6138</v>
      </c>
      <c r="C7484" s="2">
        <f>IFERROR(__xludf.DUMMYFUNCTION("IFERROR(VLOOKUP(A7484, IMPORTRANGE(""https://docs.google.com/spreadsheets/d/1AVX9GT0dgogEBStecCXMMQ29tWz3gBrtNB8yIromXbY/edit?gid=741673867"", ""out1g!A:B""), 2, FALSE), 0)"),676.0)</f>
        <v>676</v>
      </c>
      <c r="D7484" s="2" t="str">
        <f>IFERROR(__xludf.DUMMYFUNCTION("IFERROR(VLOOKUP(A7484, IMPORTRANGE(""https://docs.google.com/spreadsheets/d/1-3Vjw2Cyy-mry5gbC8ypIR3YVGFfEpyFESummAta6sg/edit"", ""Sheet1!B:D""), 2, FALSE), ""Not Found"")"),"fɛloʊz")</f>
        <v>fɛloʊz</v>
      </c>
      <c r="E7484" s="2" t="str">
        <f>IFERROR(__xludf.DUMMYFUNCTION("IFERROR(VLOOKUP(A7484, IMPORTRANGE(""https://docs.google.com/spreadsheets/d/1-3Vjw2Cyy-mry5gbC8ypIR3YVGFfEpyFESummAta6sg/edit"", ""Sheet1!B:D""), 3, FALSE), ""Not Found"")"),"f ɛ l o ʊ z ")</f>
        <v>f ɛ l o ʊ z </v>
      </c>
    </row>
    <row r="7485">
      <c r="A7485" s="1" t="s">
        <v>7487</v>
      </c>
      <c r="B7485" s="1" t="s">
        <v>6138</v>
      </c>
      <c r="C7485" s="2">
        <f>IFERROR(__xludf.DUMMYFUNCTION("IFERROR(VLOOKUP(A7485, IMPORTRANGE(""https://docs.google.com/spreadsheets/d/1AVX9GT0dgogEBStecCXMMQ29tWz3gBrtNB8yIromXbY/edit?gid=741673867"", ""out1g!A:B""), 2, FALSE), 0)"),1354.0)</f>
        <v>1354</v>
      </c>
      <c r="D7485" s="2" t="str">
        <f>IFERROR(__xludf.DUMMYFUNCTION("IFERROR(VLOOKUP(A7485, IMPORTRANGE(""https://docs.google.com/spreadsheets/d/1-3Vjw2Cyy-mry5gbC8ypIR3YVGFfEpyFESummAta6sg/edit"", ""Sheet1!B:D""), 2, FALSE), ""Not Found"")"),"gɑrdən")</f>
        <v>gɑrdən</v>
      </c>
      <c r="E7485" s="2" t="str">
        <f>IFERROR(__xludf.DUMMYFUNCTION("IFERROR(VLOOKUP(A7485, IMPORTRANGE(""https://docs.google.com/spreadsheets/d/1-3Vjw2Cyy-mry5gbC8ypIR3YVGFfEpyFESummAta6sg/edit"", ""Sheet1!B:D""), 3, FALSE), ""Not Found"")"),"g ɑ r d ə n ")</f>
        <v>g ɑ r d ə n </v>
      </c>
    </row>
    <row r="7486">
      <c r="A7486" s="1" t="s">
        <v>7488</v>
      </c>
      <c r="B7486" s="1" t="s">
        <v>6138</v>
      </c>
      <c r="C7486" s="2">
        <f>IFERROR(__xludf.DUMMYFUNCTION("IFERROR(VLOOKUP(A7486, IMPORTRANGE(""https://docs.google.com/spreadsheets/d/1AVX9GT0dgogEBStecCXMMQ29tWz3gBrtNB8yIromXbY/edit?gid=741673867"", ""out1g!A:B""), 2, FALSE), 0)"),133.0)</f>
        <v>133</v>
      </c>
      <c r="D7486" s="2" t="str">
        <f>IFERROR(__xludf.DUMMYFUNCTION("IFERROR(VLOOKUP(A7486, IMPORTRANGE(""https://docs.google.com/spreadsheets/d/1-3Vjw2Cyy-mry5gbC8ypIR3YVGFfEpyFESummAta6sg/edit"", ""Sheet1!B:D""), 2, FALSE), ""Not Found"")"),"əmjuz")</f>
        <v>əmjuz</v>
      </c>
      <c r="E7486" s="2" t="str">
        <f>IFERROR(__xludf.DUMMYFUNCTION("IFERROR(VLOOKUP(A7486, IMPORTRANGE(""https://docs.google.com/spreadsheets/d/1-3Vjw2Cyy-mry5gbC8ypIR3YVGFfEpyFESummAta6sg/edit"", ""Sheet1!B:D""), 3, FALSE), ""Not Found"")"),"ə m j u z ")</f>
        <v>ə m j u z </v>
      </c>
    </row>
    <row r="7487">
      <c r="A7487" s="1" t="s">
        <v>7489</v>
      </c>
      <c r="B7487" s="1" t="s">
        <v>6138</v>
      </c>
      <c r="C7487" s="2">
        <f>IFERROR(__xludf.DUMMYFUNCTION("IFERROR(VLOOKUP(A7487, IMPORTRANGE(""https://docs.google.com/spreadsheets/d/1AVX9GT0dgogEBStecCXMMQ29tWz3gBrtNB8yIromXbY/edit?gid=741673867"", ""out1g!A:B""), 2, FALSE), 0)"),59.0)</f>
        <v>59</v>
      </c>
      <c r="D7487" s="2" t="str">
        <f>IFERROR(__xludf.DUMMYFUNCTION("IFERROR(VLOOKUP(A7487, IMPORTRANGE(""https://docs.google.com/spreadsheets/d/1-3Vjw2Cyy-mry5gbC8ypIR3YVGFfEpyFESummAta6sg/edit"", ""Sheet1!B:D""), 2, FALSE), ""Not Found"")"),"seviər")</f>
        <v>seviər</v>
      </c>
      <c r="E7487" s="2" t="str">
        <f>IFERROR(__xludf.DUMMYFUNCTION("IFERROR(VLOOKUP(A7487, IMPORTRANGE(""https://docs.google.com/spreadsheets/d/1-3Vjw2Cyy-mry5gbC8ypIR3YVGFfEpyFESummAta6sg/edit"", ""Sheet1!B:D""), 3, FALSE), ""Not Found"")"),"s e v i ə r ")</f>
        <v>s e v i ə r </v>
      </c>
    </row>
    <row r="7488">
      <c r="A7488" s="1" t="s">
        <v>7490</v>
      </c>
      <c r="B7488" s="1" t="s">
        <v>6138</v>
      </c>
      <c r="C7488" s="2">
        <f>IFERROR(__xludf.DUMMYFUNCTION("IFERROR(VLOOKUP(A7488, IMPORTRANGE(""https://docs.google.com/spreadsheets/d/1AVX9GT0dgogEBStecCXMMQ29tWz3gBrtNB8yIromXbY/edit?gid=741673867"", ""out1g!A:B""), 2, FALSE), 0)"),586.0)</f>
        <v>586</v>
      </c>
      <c r="D7488" s="2" t="str">
        <f>IFERROR(__xludf.DUMMYFUNCTION("IFERROR(VLOOKUP(A7488, IMPORTRANGE(""https://docs.google.com/spreadsheets/d/1-3Vjw2Cyy-mry5gbC8ypIR3YVGFfEpyFESummAta6sg/edit"", ""Sheet1!B:D""), 2, FALSE), ""Not Found"")"),"igəl")</f>
        <v>igəl</v>
      </c>
      <c r="E7488" s="2" t="str">
        <f>IFERROR(__xludf.DUMMYFUNCTION("IFERROR(VLOOKUP(A7488, IMPORTRANGE(""https://docs.google.com/spreadsheets/d/1-3Vjw2Cyy-mry5gbC8ypIR3YVGFfEpyFESummAta6sg/edit"", ""Sheet1!B:D""), 3, FALSE), ""Not Found"")"),"i g ə l ")</f>
        <v>i g ə l </v>
      </c>
    </row>
    <row r="7489">
      <c r="A7489" s="1" t="s">
        <v>7491</v>
      </c>
      <c r="B7489" s="1" t="s">
        <v>6138</v>
      </c>
      <c r="C7489" s="2">
        <f>IFERROR(__xludf.DUMMYFUNCTION("IFERROR(VLOOKUP(A7489, IMPORTRANGE(""https://docs.google.com/spreadsheets/d/1AVX9GT0dgogEBStecCXMMQ29tWz3gBrtNB8yIromXbY/edit?gid=741673867"", ""out1g!A:B""), 2, FALSE), 0)"),1002.0)</f>
        <v>1002</v>
      </c>
      <c r="D7489" s="2" t="str">
        <f>IFERROR(__xludf.DUMMYFUNCTION("IFERROR(VLOOKUP(A7489, IMPORTRANGE(""https://docs.google.com/spreadsheets/d/1-3Vjw2Cyy-mry5gbC8ypIR3YVGFfEpyFESummAta6sg/edit"", ""Sheet1!B:D""), 2, FALSE), ""Not Found"")"),"kæbən")</f>
        <v>kæbən</v>
      </c>
      <c r="E7489" s="2" t="str">
        <f>IFERROR(__xludf.DUMMYFUNCTION("IFERROR(VLOOKUP(A7489, IMPORTRANGE(""https://docs.google.com/spreadsheets/d/1-3Vjw2Cyy-mry5gbC8ypIR3YVGFfEpyFESummAta6sg/edit"", ""Sheet1!B:D""), 3, FALSE), ""Not Found"")"),"k æ b ə n ")</f>
        <v>k æ b ə n </v>
      </c>
    </row>
    <row r="7490">
      <c r="A7490" s="1" t="s">
        <v>7492</v>
      </c>
      <c r="B7490" s="1" t="s">
        <v>6138</v>
      </c>
      <c r="C7490" s="2">
        <f>IFERROR(__xludf.DUMMYFUNCTION("IFERROR(VLOOKUP(A7490, IMPORTRANGE(""https://docs.google.com/spreadsheets/d/1AVX9GT0dgogEBStecCXMMQ29tWz3gBrtNB8yIromXbY/edit?gid=741673867"", ""out1g!A:B""), 2, FALSE), 0)"),515.0)</f>
        <v>515</v>
      </c>
      <c r="D7490" s="2" t="str">
        <f>IFERROR(__xludf.DUMMYFUNCTION("IFERROR(VLOOKUP(A7490, IMPORTRANGE(""https://docs.google.com/spreadsheets/d/1-3Vjw2Cyy-mry5gbC8ypIR3YVGFfEpyFESummAta6sg/edit"", ""Sheet1!B:D""), 2, FALSE), ""Not Found"")"),"laʊdər")</f>
        <v>laʊdər</v>
      </c>
      <c r="E7490" s="2" t="str">
        <f>IFERROR(__xludf.DUMMYFUNCTION("IFERROR(VLOOKUP(A7490, IMPORTRANGE(""https://docs.google.com/spreadsheets/d/1-3Vjw2Cyy-mry5gbC8ypIR3YVGFfEpyFESummAta6sg/edit"", ""Sheet1!B:D""), 3, FALSE), ""Not Found"")"),"l a ʊ d ə r ")</f>
        <v>l a ʊ d ə r </v>
      </c>
    </row>
    <row r="7491">
      <c r="A7491" s="1" t="s">
        <v>7493</v>
      </c>
      <c r="B7491" s="1" t="s">
        <v>6138</v>
      </c>
      <c r="C7491" s="2">
        <f>IFERROR(__xludf.DUMMYFUNCTION("IFERROR(VLOOKUP(A7491, IMPORTRANGE(""https://docs.google.com/spreadsheets/d/1AVX9GT0dgogEBStecCXMMQ29tWz3gBrtNB8yIromXbY/edit?gid=741673867"", ""out1g!A:B""), 2, FALSE), 0)"),47.0)</f>
        <v>47</v>
      </c>
      <c r="D7491" s="2" t="str">
        <f>IFERROR(__xludf.DUMMYFUNCTION("IFERROR(VLOOKUP(A7491, IMPORTRANGE(""https://docs.google.com/spreadsheets/d/1-3Vjw2Cyy-mry5gbC8ypIR3YVGFfEpyFESummAta6sg/edit"", ""Sheet1!B:D""), 2, FALSE), ""Not Found"")"),"skɑrɪŋ")</f>
        <v>skɑrɪŋ</v>
      </c>
      <c r="E7491" s="2" t="str">
        <f>IFERROR(__xludf.DUMMYFUNCTION("IFERROR(VLOOKUP(A7491, IMPORTRANGE(""https://docs.google.com/spreadsheets/d/1-3Vjw2Cyy-mry5gbC8ypIR3YVGFfEpyFESummAta6sg/edit"", ""Sheet1!B:D""), 3, FALSE), ""Not Found"")"),"s k ɑ r ɪ ŋ ")</f>
        <v>s k ɑ r ɪ ŋ </v>
      </c>
    </row>
    <row r="7492">
      <c r="A7492" s="1" t="s">
        <v>7494</v>
      </c>
      <c r="B7492" s="1" t="s">
        <v>6138</v>
      </c>
      <c r="C7492" s="2">
        <f>IFERROR(__xludf.DUMMYFUNCTION("IFERROR(VLOOKUP(A7492, IMPORTRANGE(""https://docs.google.com/spreadsheets/d/1AVX9GT0dgogEBStecCXMMQ29tWz3gBrtNB8yIromXbY/edit?gid=741673867"", ""out1g!A:B""), 2, FALSE), 0)"),77.0)</f>
        <v>77</v>
      </c>
      <c r="D7492" s="2" t="str">
        <f>IFERROR(__xludf.DUMMYFUNCTION("IFERROR(VLOOKUP(A7492, IMPORTRANGE(""https://docs.google.com/spreadsheets/d/1-3Vjw2Cyy-mry5gbC8ypIR3YVGFfEpyFESummAta6sg/edit"", ""Sheet1!B:D""), 2, FALSE), ""Not Found"")"),"pɛtəlz")</f>
        <v>pɛtəlz</v>
      </c>
      <c r="E7492" s="2" t="str">
        <f>IFERROR(__xludf.DUMMYFUNCTION("IFERROR(VLOOKUP(A7492, IMPORTRANGE(""https://docs.google.com/spreadsheets/d/1-3Vjw2Cyy-mry5gbC8ypIR3YVGFfEpyFESummAta6sg/edit"", ""Sheet1!B:D""), 3, FALSE), ""Not Found"")"),"p ɛ t ə l z ")</f>
        <v>p ɛ t ə l z </v>
      </c>
    </row>
    <row r="7493">
      <c r="A7493" s="1" t="s">
        <v>7495</v>
      </c>
      <c r="B7493" s="1" t="s">
        <v>6138</v>
      </c>
      <c r="C7493" s="2">
        <f>IFERROR(__xludf.DUMMYFUNCTION("IFERROR(VLOOKUP(A7493, IMPORTRANGE(""https://docs.google.com/spreadsheets/d/1AVX9GT0dgogEBStecCXMMQ29tWz3gBrtNB8yIromXbY/edit?gid=741673867"", ""out1g!A:B""), 2, FALSE), 0)"),66.0)</f>
        <v>66</v>
      </c>
      <c r="D7493" s="2" t="str">
        <f>IFERROR(__xludf.DUMMYFUNCTION("IFERROR(VLOOKUP(A7493, IMPORTRANGE(""https://docs.google.com/spreadsheets/d/1-3Vjw2Cyy-mry5gbC8ypIR3YVGFfEpyFESummAta6sg/edit"", ""Sheet1!B:D""), 2, FALSE), ""Not Found"")"),"vaɪəlz")</f>
        <v>vaɪəlz</v>
      </c>
      <c r="E7493" s="2" t="str">
        <f>IFERROR(__xludf.DUMMYFUNCTION("IFERROR(VLOOKUP(A7493, IMPORTRANGE(""https://docs.google.com/spreadsheets/d/1-3Vjw2Cyy-mry5gbC8ypIR3YVGFfEpyFESummAta6sg/edit"", ""Sheet1!B:D""), 3, FALSE), ""Not Found"")"),"v a ɪ ə l z ")</f>
        <v>v a ɪ ə l z </v>
      </c>
    </row>
    <row r="7494">
      <c r="A7494" s="1" t="s">
        <v>7496</v>
      </c>
      <c r="B7494" s="1" t="s">
        <v>6138</v>
      </c>
      <c r="C7494" s="2">
        <f>IFERROR(__xludf.DUMMYFUNCTION("IFERROR(VLOOKUP(A7494, IMPORTRANGE(""https://docs.google.com/spreadsheets/d/1AVX9GT0dgogEBStecCXMMQ29tWz3gBrtNB8yIromXbY/edit?gid=741673867"", ""out1g!A:B""), 2, FALSE), 0)"),176.0)</f>
        <v>176</v>
      </c>
      <c r="D7494" s="2" t="str">
        <f>IFERROR(__xludf.DUMMYFUNCTION("IFERROR(VLOOKUP(A7494, IMPORTRANGE(""https://docs.google.com/spreadsheets/d/1-3Vjw2Cyy-mry5gbC8ypIR3YVGFfEpyFESummAta6sg/edit"", ""Sheet1!B:D""), 2, FALSE), ""Not Found"")"),"nəkəlz")</f>
        <v>nəkəlz</v>
      </c>
      <c r="E7494" s="2" t="str">
        <f>IFERROR(__xludf.DUMMYFUNCTION("IFERROR(VLOOKUP(A7494, IMPORTRANGE(""https://docs.google.com/spreadsheets/d/1-3Vjw2Cyy-mry5gbC8ypIR3YVGFfEpyFESummAta6sg/edit"", ""Sheet1!B:D""), 3, FALSE), ""Not Found"")"),"n ə k ə l z ")</f>
        <v>n ə k ə l z </v>
      </c>
    </row>
    <row r="7495">
      <c r="A7495" s="1" t="s">
        <v>7497</v>
      </c>
      <c r="B7495" s="1" t="s">
        <v>6138</v>
      </c>
      <c r="C7495" s="2">
        <f>IFERROR(__xludf.DUMMYFUNCTION("IFERROR(VLOOKUP(A7495, IMPORTRANGE(""https://docs.google.com/spreadsheets/d/1AVX9GT0dgogEBStecCXMMQ29tWz3gBrtNB8yIromXbY/edit?gid=741673867"", ""out1g!A:B""), 2, FALSE), 0)"),497.0)</f>
        <v>497</v>
      </c>
      <c r="D7495" s="2" t="str">
        <f>IFERROR(__xludf.DUMMYFUNCTION("IFERROR(VLOOKUP(A7495, IMPORTRANGE(""https://docs.google.com/spreadsheets/d/1-3Vjw2Cyy-mry5gbC8ypIR3YVGFfEpyFESummAta6sg/edit"", ""Sheet1!B:D""), 2, FALSE), ""Not Found"")"),"sɛvənθ")</f>
        <v>sɛvənθ</v>
      </c>
      <c r="E7495" s="2" t="str">
        <f>IFERROR(__xludf.DUMMYFUNCTION("IFERROR(VLOOKUP(A7495, IMPORTRANGE(""https://docs.google.com/spreadsheets/d/1-3Vjw2Cyy-mry5gbC8ypIR3YVGFfEpyFESummAta6sg/edit"", ""Sheet1!B:D""), 3, FALSE), ""Not Found"")"),"s ɛ v ə n θ ")</f>
        <v>s ɛ v ə n θ </v>
      </c>
    </row>
    <row r="7496">
      <c r="A7496" s="1" t="s">
        <v>7498</v>
      </c>
      <c r="B7496" s="1" t="s">
        <v>6138</v>
      </c>
      <c r="C7496" s="2">
        <f>IFERROR(__xludf.DUMMYFUNCTION("IFERROR(VLOOKUP(A7496, IMPORTRANGE(""https://docs.google.com/spreadsheets/d/1AVX9GT0dgogEBStecCXMMQ29tWz3gBrtNB8yIromXbY/edit?gid=741673867"", ""out1g!A:B""), 2, FALSE), 0)"),1825.0)</f>
        <v>1825</v>
      </c>
      <c r="D7496" s="2" t="str">
        <f>IFERROR(__xludf.DUMMYFUNCTION("IFERROR(VLOOKUP(A7496, IMPORTRANGE(""https://docs.google.com/spreadsheets/d/1-3Vjw2Cyy-mry5gbC8ypIR3YVGFfEpyFESummAta6sg/edit"", ""Sheet1!B:D""), 2, FALSE), ""Not Found"")"),"kændi")</f>
        <v>kændi</v>
      </c>
      <c r="E7496" s="2" t="str">
        <f>IFERROR(__xludf.DUMMYFUNCTION("IFERROR(VLOOKUP(A7496, IMPORTRANGE(""https://docs.google.com/spreadsheets/d/1-3Vjw2Cyy-mry5gbC8ypIR3YVGFfEpyFESummAta6sg/edit"", ""Sheet1!B:D""), 3, FALSE), ""Not Found"")"),"k æ n d i ")</f>
        <v>k æ n d i </v>
      </c>
    </row>
    <row r="7497">
      <c r="A7497" s="1" t="s">
        <v>7499</v>
      </c>
      <c r="B7497" s="1" t="s">
        <v>6138</v>
      </c>
      <c r="C7497" s="2">
        <f>IFERROR(__xludf.DUMMYFUNCTION("IFERROR(VLOOKUP(A7497, IMPORTRANGE(""https://docs.google.com/spreadsheets/d/1AVX9GT0dgogEBStecCXMMQ29tWz3gBrtNB8yIromXbY/edit?gid=741673867"", ""out1g!A:B""), 2, FALSE), 0)"),5717.0)</f>
        <v>5717</v>
      </c>
      <c r="D7497" s="2" t="str">
        <f>IFERROR(__xludf.DUMMYFUNCTION("IFERROR(VLOOKUP(A7497, IMPORTRANGE(""https://docs.google.com/spreadsheets/d/1-3Vjw2Cyy-mry5gbC8ypIR3YVGFfEpyFESummAta6sg/edit"", ""Sheet1!B:D""), 2, FALSE), ""Not Found"")"),"mərdər")</f>
        <v>mərdər</v>
      </c>
      <c r="E7497" s="2" t="str">
        <f>IFERROR(__xludf.DUMMYFUNCTION("IFERROR(VLOOKUP(A7497, IMPORTRANGE(""https://docs.google.com/spreadsheets/d/1-3Vjw2Cyy-mry5gbC8ypIR3YVGFfEpyFESummAta6sg/edit"", ""Sheet1!B:D""), 3, FALSE), ""Not Found"")"),"m ə r d ə r ")</f>
        <v>m ə r d ə r </v>
      </c>
    </row>
    <row r="7498">
      <c r="A7498" s="1" t="s">
        <v>7500</v>
      </c>
      <c r="B7498" s="1" t="s">
        <v>6138</v>
      </c>
      <c r="C7498" s="2">
        <f>IFERROR(__xludf.DUMMYFUNCTION("IFERROR(VLOOKUP(A7498, IMPORTRANGE(""https://docs.google.com/spreadsheets/d/1AVX9GT0dgogEBStecCXMMQ29tWz3gBrtNB8yIromXbY/edit?gid=741673867"", ""out1g!A:B""), 2, FALSE), 0)"),115.0)</f>
        <v>115</v>
      </c>
      <c r="D7498" s="2" t="str">
        <f>IFERROR(__xludf.DUMMYFUNCTION("IFERROR(VLOOKUP(A7498, IMPORTRANGE(""https://docs.google.com/spreadsheets/d/1-3Vjw2Cyy-mry5gbC8ypIR3YVGFfEpyFESummAta6sg/edit"", ""Sheet1!B:D""), 2, FALSE), ""Not Found"")"),"mɔrmən")</f>
        <v>mɔrmən</v>
      </c>
      <c r="E7498" s="2" t="str">
        <f>IFERROR(__xludf.DUMMYFUNCTION("IFERROR(VLOOKUP(A7498, IMPORTRANGE(""https://docs.google.com/spreadsheets/d/1-3Vjw2Cyy-mry5gbC8ypIR3YVGFfEpyFESummAta6sg/edit"", ""Sheet1!B:D""), 3, FALSE), ""Not Found"")"),"m ɔ r m ə n ")</f>
        <v>m ɔ r m ə n </v>
      </c>
    </row>
    <row r="7499">
      <c r="A7499" s="1" t="s">
        <v>7501</v>
      </c>
      <c r="B7499" s="1" t="s">
        <v>6138</v>
      </c>
      <c r="C7499" s="2">
        <f>IFERROR(__xludf.DUMMYFUNCTION("IFERROR(VLOOKUP(A7499, IMPORTRANGE(""https://docs.google.com/spreadsheets/d/1AVX9GT0dgogEBStecCXMMQ29tWz3gBrtNB8yIromXbY/edit?gid=741673867"", ""out1g!A:B""), 2, FALSE), 0)"),247.0)</f>
        <v>247</v>
      </c>
      <c r="D7499" s="2" t="str">
        <f>IFERROR(__xludf.DUMMYFUNCTION("IFERROR(VLOOKUP(A7499, IMPORTRANGE(""https://docs.google.com/spreadsheets/d/1-3Vjw2Cyy-mry5gbC8ypIR3YVGFfEpyFESummAta6sg/edit"", ""Sheet1!B:D""), 2, FALSE), ""Not Found"")"),"pləmɪŋ")</f>
        <v>pləmɪŋ</v>
      </c>
      <c r="E7499" s="2" t="str">
        <f>IFERROR(__xludf.DUMMYFUNCTION("IFERROR(VLOOKUP(A7499, IMPORTRANGE(""https://docs.google.com/spreadsheets/d/1-3Vjw2Cyy-mry5gbC8ypIR3YVGFfEpyFESummAta6sg/edit"", ""Sheet1!B:D""), 3, FALSE), ""Not Found"")"),"p l ə m ɪ ŋ ")</f>
        <v>p l ə m ɪ ŋ </v>
      </c>
    </row>
    <row r="7500">
      <c r="A7500" s="1" t="s">
        <v>7502</v>
      </c>
      <c r="B7500" s="1" t="s">
        <v>6138</v>
      </c>
      <c r="C7500" s="2">
        <f>IFERROR(__xludf.DUMMYFUNCTION("IFERROR(VLOOKUP(A7500, IMPORTRANGE(""https://docs.google.com/spreadsheets/d/1AVX9GT0dgogEBStecCXMMQ29tWz3gBrtNB8yIromXbY/edit?gid=741673867"", ""out1g!A:B""), 2, FALSE), 0)"),4676.0)</f>
        <v>4676</v>
      </c>
      <c r="D7500" s="2" t="str">
        <f>IFERROR(__xludf.DUMMYFUNCTION("IFERROR(VLOOKUP(A7500, IMPORTRANGE(""https://docs.google.com/spreadsheets/d/1-3Vjw2Cyy-mry5gbC8ypIR3YVGFfEpyFESummAta6sg/edit"", ""Sheet1!B:D""), 2, FALSE), ""Not Found"")"),"rɪtərn")</f>
        <v>rɪtərn</v>
      </c>
      <c r="E7500" s="2" t="str">
        <f>IFERROR(__xludf.DUMMYFUNCTION("IFERROR(VLOOKUP(A7500, IMPORTRANGE(""https://docs.google.com/spreadsheets/d/1-3Vjw2Cyy-mry5gbC8ypIR3YVGFfEpyFESummAta6sg/edit"", ""Sheet1!B:D""), 3, FALSE), ""Not Found"")"),"r ɪ t ə r n ")</f>
        <v>r ɪ t ə r n </v>
      </c>
    </row>
    <row r="7501">
      <c r="A7501" s="1" t="s">
        <v>7503</v>
      </c>
      <c r="B7501" s="1" t="s">
        <v>6138</v>
      </c>
      <c r="C7501" s="2">
        <f>IFERROR(__xludf.DUMMYFUNCTION("IFERROR(VLOOKUP(A7501, IMPORTRANGE(""https://docs.google.com/spreadsheets/d/1AVX9GT0dgogEBStecCXMMQ29tWz3gBrtNB8yIromXbY/edit?gid=741673867"", ""out1g!A:B""), 2, FALSE), 0)"),83.0)</f>
        <v>83</v>
      </c>
      <c r="D7501" s="2" t="str">
        <f>IFERROR(__xludf.DUMMYFUNCTION("IFERROR(VLOOKUP(A7501, IMPORTRANGE(""https://docs.google.com/spreadsheets/d/1-3Vjw2Cyy-mry5gbC8ypIR3YVGFfEpyFESummAta6sg/edit"", ""Sheet1!B:D""), 2, FALSE), ""Not Found"")"),"ʤɪgəloʊ")</f>
        <v>ʤɪgəloʊ</v>
      </c>
      <c r="E7501" s="2" t="str">
        <f>IFERROR(__xludf.DUMMYFUNCTION("IFERROR(VLOOKUP(A7501, IMPORTRANGE(""https://docs.google.com/spreadsheets/d/1-3Vjw2Cyy-mry5gbC8ypIR3YVGFfEpyFESummAta6sg/edit"", ""Sheet1!B:D""), 3, FALSE), ""Not Found"")"),"ʤ ɪ g ə l o ʊ ")</f>
        <v>ʤ ɪ g ə l o ʊ </v>
      </c>
    </row>
    <row r="7502">
      <c r="A7502" s="1" t="s">
        <v>7504</v>
      </c>
      <c r="B7502" s="1" t="s">
        <v>6138</v>
      </c>
      <c r="C7502" s="2">
        <f>IFERROR(__xludf.DUMMYFUNCTION("IFERROR(VLOOKUP(A7502, IMPORTRANGE(""https://docs.google.com/spreadsheets/d/1AVX9GT0dgogEBStecCXMMQ29tWz3gBrtNB8yIromXbY/edit?gid=741673867"", ""out1g!A:B""), 2, FALSE), 0)"),914.0)</f>
        <v>914</v>
      </c>
      <c r="D7502" s="2" t="str">
        <f>IFERROR(__xludf.DUMMYFUNCTION("IFERROR(VLOOKUP(A7502, IMPORTRANGE(""https://docs.google.com/spreadsheets/d/1-3Vjw2Cyy-mry5gbC8ypIR3YVGFfEpyFESummAta6sg/edit"", ""Sheet1!B:D""), 2, FALSE), ""Not Found"")"),"dɛvən")</f>
        <v>dɛvən</v>
      </c>
      <c r="E7502" s="2" t="str">
        <f>IFERROR(__xludf.DUMMYFUNCTION("IFERROR(VLOOKUP(A7502, IMPORTRANGE(""https://docs.google.com/spreadsheets/d/1-3Vjw2Cyy-mry5gbC8ypIR3YVGFfEpyFESummAta6sg/edit"", ""Sheet1!B:D""), 3, FALSE), ""Not Found"")"),"d ɛ v ə n ")</f>
        <v>d ɛ v ə n </v>
      </c>
    </row>
    <row r="7503">
      <c r="A7503" s="1" t="s">
        <v>7505</v>
      </c>
      <c r="B7503" s="1" t="s">
        <v>6138</v>
      </c>
      <c r="C7503" s="2">
        <f>IFERROR(__xludf.DUMMYFUNCTION("IFERROR(VLOOKUP(A7503, IMPORTRANGE(""https://docs.google.com/spreadsheets/d/1AVX9GT0dgogEBStecCXMMQ29tWz3gBrtNB8yIromXbY/edit?gid=741673867"", ""out1g!A:B""), 2, FALSE), 0)"),172.0)</f>
        <v>172</v>
      </c>
      <c r="D7503" s="2" t="str">
        <f>IFERROR(__xludf.DUMMYFUNCTION("IFERROR(VLOOKUP(A7503, IMPORTRANGE(""https://docs.google.com/spreadsheets/d/1-3Vjw2Cyy-mry5gbC8ypIR3YVGFfEpyFESummAta6sg/edit"", ""Sheet1!B:D""), 2, FALSE), ""Not Found"")"),"rætəl")</f>
        <v>rætəl</v>
      </c>
      <c r="E7503" s="2" t="str">
        <f>IFERROR(__xludf.DUMMYFUNCTION("IFERROR(VLOOKUP(A7503, IMPORTRANGE(""https://docs.google.com/spreadsheets/d/1-3Vjw2Cyy-mry5gbC8ypIR3YVGFfEpyFESummAta6sg/edit"", ""Sheet1!B:D""), 3, FALSE), ""Not Found"")"),"r æ t ə l ")</f>
        <v>r æ t ə l </v>
      </c>
    </row>
    <row r="7504">
      <c r="A7504" s="1" t="s">
        <v>7506</v>
      </c>
      <c r="B7504" s="1" t="s">
        <v>6138</v>
      </c>
      <c r="C7504" s="2">
        <f>IFERROR(__xludf.DUMMYFUNCTION("IFERROR(VLOOKUP(A7504, IMPORTRANGE(""https://docs.google.com/spreadsheets/d/1AVX9GT0dgogEBStecCXMMQ29tWz3gBrtNB8yIromXbY/edit?gid=741673867"", ""out1g!A:B""), 2, FALSE), 0)"),231.0)</f>
        <v>231</v>
      </c>
      <c r="D7504" s="2" t="str">
        <f>IFERROR(__xludf.DUMMYFUNCTION("IFERROR(VLOOKUP(A7504, IMPORTRANGE(""https://docs.google.com/spreadsheets/d/1-3Vjw2Cyy-mry5gbC8ypIR3YVGFfEpyFESummAta6sg/edit"", ""Sheet1!B:D""), 2, FALSE), ""Not Found"")"),"laɪnɪŋ")</f>
        <v>laɪnɪŋ</v>
      </c>
      <c r="E7504" s="2" t="str">
        <f>IFERROR(__xludf.DUMMYFUNCTION("IFERROR(VLOOKUP(A7504, IMPORTRANGE(""https://docs.google.com/spreadsheets/d/1-3Vjw2Cyy-mry5gbC8ypIR3YVGFfEpyFESummAta6sg/edit"", ""Sheet1!B:D""), 3, FALSE), ""Not Found"")"),"l a ɪ n ɪ ŋ ")</f>
        <v>l a ɪ n ɪ ŋ </v>
      </c>
    </row>
    <row r="7505">
      <c r="A7505" s="1" t="s">
        <v>7507</v>
      </c>
      <c r="B7505" s="1" t="s">
        <v>6138</v>
      </c>
      <c r="C7505" s="2">
        <f>IFERROR(__xludf.DUMMYFUNCTION("IFERROR(VLOOKUP(A7505, IMPORTRANGE(""https://docs.google.com/spreadsheets/d/1AVX9GT0dgogEBStecCXMMQ29tWz3gBrtNB8yIromXbY/edit?gid=741673867"", ""out1g!A:B""), 2, FALSE), 0)"),80.0)</f>
        <v>80</v>
      </c>
      <c r="D7505" s="2" t="str">
        <f>IFERROR(__xludf.DUMMYFUNCTION("IFERROR(VLOOKUP(A7505, IMPORTRANGE(""https://docs.google.com/spreadsheets/d/1-3Vjw2Cyy-mry5gbC8ypIR3YVGFfEpyFESummAta6sg/edit"", ""Sheet1!B:D""), 2, FALSE), ""Not Found"")"),"tredər")</f>
        <v>tredər</v>
      </c>
      <c r="E7505" s="2" t="str">
        <f>IFERROR(__xludf.DUMMYFUNCTION("IFERROR(VLOOKUP(A7505, IMPORTRANGE(""https://docs.google.com/spreadsheets/d/1-3Vjw2Cyy-mry5gbC8ypIR3YVGFfEpyFESummAta6sg/edit"", ""Sheet1!B:D""), 3, FALSE), ""Not Found"")"),"t r e d ə r ")</f>
        <v>t r e d ə r </v>
      </c>
    </row>
    <row r="7506">
      <c r="A7506" s="1" t="s">
        <v>7508</v>
      </c>
      <c r="B7506" s="1" t="s">
        <v>6138</v>
      </c>
      <c r="C7506" s="2">
        <f>IFERROR(__xludf.DUMMYFUNCTION("IFERROR(VLOOKUP(A7506, IMPORTRANGE(""https://docs.google.com/spreadsheets/d/1AVX9GT0dgogEBStecCXMMQ29tWz3gBrtNB8yIromXbY/edit?gid=741673867"", ""out1g!A:B""), 2, FALSE), 0)"),63.0)</f>
        <v>63</v>
      </c>
      <c r="D7506" s="2" t="str">
        <f>IFERROR(__xludf.DUMMYFUNCTION("IFERROR(VLOOKUP(A7506, IMPORTRANGE(""https://docs.google.com/spreadsheets/d/1-3Vjw2Cyy-mry5gbC8ypIR3YVGFfEpyFESummAta6sg/edit"", ""Sheet1!B:D""), 2, FALSE), ""Not Found"")"),"kɑlərz")</f>
        <v>kɑlərz</v>
      </c>
      <c r="E7506" s="2" t="str">
        <f>IFERROR(__xludf.DUMMYFUNCTION("IFERROR(VLOOKUP(A7506, IMPORTRANGE(""https://docs.google.com/spreadsheets/d/1-3Vjw2Cyy-mry5gbC8ypIR3YVGFfEpyFESummAta6sg/edit"", ""Sheet1!B:D""), 3, FALSE), ""Not Found"")"),"k ɑ l ə r z ")</f>
        <v>k ɑ l ə r z </v>
      </c>
    </row>
    <row r="7507">
      <c r="A7507" s="1" t="s">
        <v>7509</v>
      </c>
      <c r="B7507" s="1" t="s">
        <v>6138</v>
      </c>
      <c r="C7507" s="2">
        <f>IFERROR(__xludf.DUMMYFUNCTION("IFERROR(VLOOKUP(A7507, IMPORTRANGE(""https://docs.google.com/spreadsheets/d/1AVX9GT0dgogEBStecCXMMQ29tWz3gBrtNB8yIromXbY/edit?gid=741673867"", ""out1g!A:B""), 2, FALSE), 0)"),208.0)</f>
        <v>208</v>
      </c>
      <c r="D7507" s="2" t="str">
        <f>IFERROR(__xludf.DUMMYFUNCTION("IFERROR(VLOOKUP(A7507, IMPORTRANGE(""https://docs.google.com/spreadsheets/d/1-3Vjw2Cyy-mry5gbC8ypIR3YVGFfEpyFESummAta6sg/edit"", ""Sheet1!B:D""), 2, FALSE), ""Not Found"")"),"æŋgəs")</f>
        <v>æŋgəs</v>
      </c>
      <c r="E7507" s="2" t="str">
        <f>IFERROR(__xludf.DUMMYFUNCTION("IFERROR(VLOOKUP(A7507, IMPORTRANGE(""https://docs.google.com/spreadsheets/d/1-3Vjw2Cyy-mry5gbC8ypIR3YVGFfEpyFESummAta6sg/edit"", ""Sheet1!B:D""), 3, FALSE), ""Not Found"")"),"æ ŋ g ə s ")</f>
        <v>æ ŋ g ə s </v>
      </c>
    </row>
    <row r="7508">
      <c r="A7508" s="1" t="s">
        <v>7510</v>
      </c>
      <c r="B7508" s="1" t="s">
        <v>6138</v>
      </c>
      <c r="C7508" s="2">
        <f>IFERROR(__xludf.DUMMYFUNCTION("IFERROR(VLOOKUP(A7508, IMPORTRANGE(""https://docs.google.com/spreadsheets/d/1AVX9GT0dgogEBStecCXMMQ29tWz3gBrtNB8yIromXbY/edit?gid=741673867"", ""out1g!A:B""), 2, FALSE), 0)"),82.0)</f>
        <v>82</v>
      </c>
      <c r="D7508" s="2" t="str">
        <f>IFERROR(__xludf.DUMMYFUNCTION("IFERROR(VLOOKUP(A7508, IMPORTRANGE(""https://docs.google.com/spreadsheets/d/1-3Vjw2Cyy-mry5gbC8ypIR3YVGFfEpyFESummAta6sg/edit"", ""Sheet1!B:D""), 2, FALSE), ""Not Found"")"),"bu")</f>
        <v>bu</v>
      </c>
      <c r="E7508" s="2" t="str">
        <f>IFERROR(__xludf.DUMMYFUNCTION("IFERROR(VLOOKUP(A7508, IMPORTRANGE(""https://docs.google.com/spreadsheets/d/1-3Vjw2Cyy-mry5gbC8ypIR3YVGFfEpyFESummAta6sg/edit"", ""Sheet1!B:D""), 3, FALSE), ""Not Found"")"),"b u ")</f>
        <v>b u </v>
      </c>
    </row>
    <row r="7509">
      <c r="A7509" s="1" t="s">
        <v>7511</v>
      </c>
      <c r="B7509" s="1" t="s">
        <v>6138</v>
      </c>
      <c r="C7509" s="2">
        <f>IFERROR(__xludf.DUMMYFUNCTION("IFERROR(VLOOKUP(A7509, IMPORTRANGE(""https://docs.google.com/spreadsheets/d/1AVX9GT0dgogEBStecCXMMQ29tWz3gBrtNB8yIromXbY/edit?gid=741673867"", ""out1g!A:B""), 2, FALSE), 0)"),62.0)</f>
        <v>62</v>
      </c>
      <c r="D7509" s="2" t="str">
        <f>IFERROR(__xludf.DUMMYFUNCTION("IFERROR(VLOOKUP(A7509, IMPORTRANGE(""https://docs.google.com/spreadsheets/d/1-3Vjw2Cyy-mry5gbC8ypIR3YVGFfEpyFESummAta6sg/edit"", ""Sheet1!B:D""), 2, FALSE), ""Not Found"")"),"kɔrʤəl")</f>
        <v>kɔrʤəl</v>
      </c>
      <c r="E7509" s="2" t="str">
        <f>IFERROR(__xludf.DUMMYFUNCTION("IFERROR(VLOOKUP(A7509, IMPORTRANGE(""https://docs.google.com/spreadsheets/d/1-3Vjw2Cyy-mry5gbC8ypIR3YVGFfEpyFESummAta6sg/edit"", ""Sheet1!B:D""), 3, FALSE), ""Not Found"")"),"k ɔ r ʤ ə l ")</f>
        <v>k ɔ r ʤ ə l </v>
      </c>
    </row>
    <row r="7510">
      <c r="A7510" s="1" t="s">
        <v>7512</v>
      </c>
      <c r="B7510" s="1" t="s">
        <v>6138</v>
      </c>
      <c r="C7510" s="2">
        <f>IFERROR(__xludf.DUMMYFUNCTION("IFERROR(VLOOKUP(A7510, IMPORTRANGE(""https://docs.google.com/spreadsheets/d/1AVX9GT0dgogEBStecCXMMQ29tWz3gBrtNB8yIromXbY/edit?gid=741673867"", ""out1g!A:B""), 2, FALSE), 0)"),81.0)</f>
        <v>81</v>
      </c>
      <c r="D7510" s="2" t="str">
        <f>IFERROR(__xludf.DUMMYFUNCTION("IFERROR(VLOOKUP(A7510, IMPORTRANGE(""https://docs.google.com/spreadsheets/d/1-3Vjw2Cyy-mry5gbC8ypIR3YVGFfEpyFESummAta6sg/edit"", ""Sheet1!B:D""), 2, FALSE), ""Not Found"")"),"rinəl")</f>
        <v>rinəl</v>
      </c>
      <c r="E7510" s="2" t="str">
        <f>IFERROR(__xludf.DUMMYFUNCTION("IFERROR(VLOOKUP(A7510, IMPORTRANGE(""https://docs.google.com/spreadsheets/d/1-3Vjw2Cyy-mry5gbC8ypIR3YVGFfEpyFESummAta6sg/edit"", ""Sheet1!B:D""), 3, FALSE), ""Not Found"")"),"r i n ə l ")</f>
        <v>r i n ə l </v>
      </c>
    </row>
    <row r="7511">
      <c r="A7511" s="1" t="s">
        <v>7513</v>
      </c>
      <c r="B7511" s="1" t="s">
        <v>6138</v>
      </c>
      <c r="C7511" s="2">
        <f>IFERROR(__xludf.DUMMYFUNCTION("IFERROR(VLOOKUP(A7511, IMPORTRANGE(""https://docs.google.com/spreadsheets/d/1AVX9GT0dgogEBStecCXMMQ29tWz3gBrtNB8yIromXbY/edit?gid=741673867"", ""out1g!A:B""), 2, FALSE), 0)"),142.0)</f>
        <v>142</v>
      </c>
      <c r="D7511" s="2" t="str">
        <f>IFERROR(__xludf.DUMMYFUNCTION("IFERROR(VLOOKUP(A7511, IMPORTRANGE(""https://docs.google.com/spreadsheets/d/1-3Vjw2Cyy-mry5gbC8ypIR3YVGFfEpyFESummAta6sg/edit"", ""Sheet1!B:D""), 2, FALSE), ""Not Found"")"),"fraɪɪŋ")</f>
        <v>fraɪɪŋ</v>
      </c>
      <c r="E7511" s="2" t="str">
        <f>IFERROR(__xludf.DUMMYFUNCTION("IFERROR(VLOOKUP(A7511, IMPORTRANGE(""https://docs.google.com/spreadsheets/d/1-3Vjw2Cyy-mry5gbC8ypIR3YVGFfEpyFESummAta6sg/edit"", ""Sheet1!B:D""), 3, FALSE), ""Not Found"")"),"f r a ɪ ɪ ŋ ")</f>
        <v>f r a ɪ ɪ ŋ </v>
      </c>
    </row>
    <row r="7512">
      <c r="A7512" s="1" t="s">
        <v>7514</v>
      </c>
      <c r="B7512" s="1" t="s">
        <v>6138</v>
      </c>
      <c r="C7512" s="2">
        <f>IFERROR(__xludf.DUMMYFUNCTION("IFERROR(VLOOKUP(A7512, IMPORTRANGE(""https://docs.google.com/spreadsheets/d/1AVX9GT0dgogEBStecCXMMQ29tWz3gBrtNB8yIromXbY/edit?gid=741673867"", ""out1g!A:B""), 2, FALSE), 0)"),478.0)</f>
        <v>478</v>
      </c>
      <c r="D7512" s="2" t="str">
        <f>IFERROR(__xludf.DUMMYFUNCTION("IFERROR(VLOOKUP(A7512, IMPORTRANGE(""https://docs.google.com/spreadsheets/d/1-3Vjw2Cyy-mry5gbC8ypIR3YVGFfEpyFESummAta6sg/edit"", ""Sheet1!B:D""), 2, FALSE), ""Not Found"")"),"kəvərz")</f>
        <v>kəvərz</v>
      </c>
      <c r="E7512" s="2" t="str">
        <f>IFERROR(__xludf.DUMMYFUNCTION("IFERROR(VLOOKUP(A7512, IMPORTRANGE(""https://docs.google.com/spreadsheets/d/1-3Vjw2Cyy-mry5gbC8ypIR3YVGFfEpyFESummAta6sg/edit"", ""Sheet1!B:D""), 3, FALSE), ""Not Found"")"),"k ə v ə r z ")</f>
        <v>k ə v ə r z </v>
      </c>
    </row>
    <row r="7513">
      <c r="A7513" s="1" t="s">
        <v>7515</v>
      </c>
      <c r="B7513" s="1" t="s">
        <v>6138</v>
      </c>
      <c r="C7513" s="2">
        <f>IFERROR(__xludf.DUMMYFUNCTION("IFERROR(VLOOKUP(A7513, IMPORTRANGE(""https://docs.google.com/spreadsheets/d/1AVX9GT0dgogEBStecCXMMQ29tWz3gBrtNB8yIromXbY/edit?gid=741673867"", ""out1g!A:B""), 2, FALSE), 0)"),790.0)</f>
        <v>790</v>
      </c>
      <c r="D7513" s="2" t="str">
        <f>IFERROR(__xludf.DUMMYFUNCTION("IFERROR(VLOOKUP(A7513, IMPORTRANGE(""https://docs.google.com/spreadsheets/d/1-3Vjw2Cyy-mry5gbC8ypIR3YVGFfEpyFESummAta6sg/edit"", ""Sheet1!B:D""), 2, FALSE), ""Not Found"")"),"mekəp")</f>
        <v>mekəp</v>
      </c>
      <c r="E7513" s="2" t="str">
        <f>IFERROR(__xludf.DUMMYFUNCTION("IFERROR(VLOOKUP(A7513, IMPORTRANGE(""https://docs.google.com/spreadsheets/d/1-3Vjw2Cyy-mry5gbC8ypIR3YVGFfEpyFESummAta6sg/edit"", ""Sheet1!B:D""), 3, FALSE), ""Not Found"")"),"m e k ə p ")</f>
        <v>m e k ə p </v>
      </c>
    </row>
    <row r="7514">
      <c r="A7514" s="1" t="s">
        <v>7516</v>
      </c>
      <c r="B7514" s="1" t="s">
        <v>6138</v>
      </c>
      <c r="C7514" s="2">
        <f>IFERROR(__xludf.DUMMYFUNCTION("IFERROR(VLOOKUP(A7514, IMPORTRANGE(""https://docs.google.com/spreadsheets/d/1AVX9GT0dgogEBStecCXMMQ29tWz3gBrtNB8yIromXbY/edit?gid=741673867"", ""out1g!A:B""), 2, FALSE), 0)"),65.0)</f>
        <v>65</v>
      </c>
      <c r="D7514" s="2" t="str">
        <f>IFERROR(__xludf.DUMMYFUNCTION("IFERROR(VLOOKUP(A7514, IMPORTRANGE(""https://docs.google.com/spreadsheets/d/1-3Vjw2Cyy-mry5gbC8ypIR3YVGFfEpyFESummAta6sg/edit"", ""Sheet1!B:D""), 2, FALSE), ""Not Found"")"),"mɑrʃənz")</f>
        <v>mɑrʃənz</v>
      </c>
      <c r="E7514" s="2" t="str">
        <f>IFERROR(__xludf.DUMMYFUNCTION("IFERROR(VLOOKUP(A7514, IMPORTRANGE(""https://docs.google.com/spreadsheets/d/1-3Vjw2Cyy-mry5gbC8ypIR3YVGFfEpyFESummAta6sg/edit"", ""Sheet1!B:D""), 3, FALSE), ""Not Found"")"),"m ɑ r ʃ ə n z ")</f>
        <v>m ɑ r ʃ ə n z </v>
      </c>
    </row>
    <row r="7515">
      <c r="A7515" s="1" t="s">
        <v>7517</v>
      </c>
      <c r="B7515" s="1" t="s">
        <v>6138</v>
      </c>
      <c r="C7515" s="2">
        <f>IFERROR(__xludf.DUMMYFUNCTION("IFERROR(VLOOKUP(A7515, IMPORTRANGE(""https://docs.google.com/spreadsheets/d/1AVX9GT0dgogEBStecCXMMQ29tWz3gBrtNB8yIromXbY/edit?gid=741673867"", ""out1g!A:B""), 2, FALSE), 0)"),31.0)</f>
        <v>31</v>
      </c>
      <c r="D7515" s="2" t="str">
        <f>IFERROR(__xludf.DUMMYFUNCTION("IFERROR(VLOOKUP(A7515, IMPORTRANGE(""https://docs.google.com/spreadsheets/d/1-3Vjw2Cyy-mry5gbC8ypIR3YVGFfEpyFESummAta6sg/edit"", ""Sheet1!B:D""), 2, FALSE), ""Not Found"")"),"ʃɪvərz")</f>
        <v>ʃɪvərz</v>
      </c>
      <c r="E7515" s="2" t="str">
        <f>IFERROR(__xludf.DUMMYFUNCTION("IFERROR(VLOOKUP(A7515, IMPORTRANGE(""https://docs.google.com/spreadsheets/d/1-3Vjw2Cyy-mry5gbC8ypIR3YVGFfEpyFESummAta6sg/edit"", ""Sheet1!B:D""), 3, FALSE), ""Not Found"")"),"ʃ ɪ v ə r z ")</f>
        <v>ʃ ɪ v ə r z </v>
      </c>
    </row>
    <row r="7516">
      <c r="A7516" s="1" t="s">
        <v>7518</v>
      </c>
      <c r="B7516" s="1" t="s">
        <v>6138</v>
      </c>
      <c r="C7516" s="2">
        <f>IFERROR(__xludf.DUMMYFUNCTION("IFERROR(VLOOKUP(A7516, IMPORTRANGE(""https://docs.google.com/spreadsheets/d/1AVX9GT0dgogEBStecCXMMQ29tWz3gBrtNB8yIromXbY/edit?gid=741673867"", ""out1g!A:B""), 2, FALSE), 0)"),203.0)</f>
        <v>203</v>
      </c>
      <c r="D7516" s="2" t="str">
        <f>IFERROR(__xludf.DUMMYFUNCTION("IFERROR(VLOOKUP(A7516, IMPORTRANGE(""https://docs.google.com/spreadsheets/d/1-3Vjw2Cyy-mry5gbC8ypIR3YVGFfEpyFESummAta6sg/edit"", ""Sheet1!B:D""), 2, FALSE), ""Not Found"")"),"splɪtɪŋ")</f>
        <v>splɪtɪŋ</v>
      </c>
      <c r="E7516" s="2" t="str">
        <f>IFERROR(__xludf.DUMMYFUNCTION("IFERROR(VLOOKUP(A7516, IMPORTRANGE(""https://docs.google.com/spreadsheets/d/1-3Vjw2Cyy-mry5gbC8ypIR3YVGFfEpyFESummAta6sg/edit"", ""Sheet1!B:D""), 3, FALSE), ""Not Found"")"),"s p l ɪ t ɪ ŋ ")</f>
        <v>s p l ɪ t ɪ ŋ </v>
      </c>
    </row>
    <row r="7517">
      <c r="A7517" s="1" t="s">
        <v>7519</v>
      </c>
      <c r="B7517" s="1" t="s">
        <v>6138</v>
      </c>
      <c r="C7517" s="2">
        <f>IFERROR(__xludf.DUMMYFUNCTION("IFERROR(VLOOKUP(A7517, IMPORTRANGE(""https://docs.google.com/spreadsheets/d/1AVX9GT0dgogEBStecCXMMQ29tWz3gBrtNB8yIromXbY/edit?gid=741673867"", ""out1g!A:B""), 2, FALSE), 0)"),133.0)</f>
        <v>133</v>
      </c>
      <c r="D7517" s="2" t="str">
        <f>IFERROR(__xludf.DUMMYFUNCTION("IFERROR(VLOOKUP(A7517, IMPORTRANGE(""https://docs.google.com/spreadsheets/d/1-3Vjw2Cyy-mry5gbC8ypIR3YVGFfEpyFESummAta6sg/edit"", ""Sheet1!B:D""), 2, FALSE), ""Not Found"")"),"ɪmɔrəl")</f>
        <v>ɪmɔrəl</v>
      </c>
      <c r="E7517" s="2" t="str">
        <f>IFERROR(__xludf.DUMMYFUNCTION("IFERROR(VLOOKUP(A7517, IMPORTRANGE(""https://docs.google.com/spreadsheets/d/1-3Vjw2Cyy-mry5gbC8ypIR3YVGFfEpyFESummAta6sg/edit"", ""Sheet1!B:D""), 3, FALSE), ""Not Found"")"),"ɪ m ɔ r ə l ")</f>
        <v>ɪ m ɔ r ə l </v>
      </c>
    </row>
    <row r="7518">
      <c r="A7518" s="1" t="s">
        <v>7520</v>
      </c>
      <c r="B7518" s="1" t="s">
        <v>6138</v>
      </c>
      <c r="C7518" s="2">
        <f>IFERROR(__xludf.DUMMYFUNCTION("IFERROR(VLOOKUP(A7518, IMPORTRANGE(""https://docs.google.com/spreadsheets/d/1AVX9GT0dgogEBStecCXMMQ29tWz3gBrtNB8yIromXbY/edit?gid=741673867"", ""out1g!A:B""), 2, FALSE), 0)"),62.0)</f>
        <v>62</v>
      </c>
      <c r="D7518" s="2" t="str">
        <f>IFERROR(__xludf.DUMMYFUNCTION("IFERROR(VLOOKUP(A7518, IMPORTRANGE(""https://docs.google.com/spreadsheets/d/1-3Vjw2Cyy-mry5gbC8ypIR3YVGFfEpyFESummAta6sg/edit"", ""Sheet1!B:D""), 2, FALSE), ""Not Found"")"),"pɔrtəlz")</f>
        <v>pɔrtəlz</v>
      </c>
      <c r="E7518" s="2" t="str">
        <f>IFERROR(__xludf.DUMMYFUNCTION("IFERROR(VLOOKUP(A7518, IMPORTRANGE(""https://docs.google.com/spreadsheets/d/1-3Vjw2Cyy-mry5gbC8ypIR3YVGFfEpyFESummAta6sg/edit"", ""Sheet1!B:D""), 3, FALSE), ""Not Found"")"),"p ɔ r t ə l z ")</f>
        <v>p ɔ r t ə l z </v>
      </c>
    </row>
    <row r="7519">
      <c r="A7519" s="1" t="s">
        <v>7521</v>
      </c>
      <c r="B7519" s="1" t="s">
        <v>6138</v>
      </c>
      <c r="C7519" s="2">
        <f>IFERROR(__xludf.DUMMYFUNCTION("IFERROR(VLOOKUP(A7519, IMPORTRANGE(""https://docs.google.com/spreadsheets/d/1AVX9GT0dgogEBStecCXMMQ29tWz3gBrtNB8yIromXbY/edit?gid=741673867"", ""out1g!A:B""), 2, FALSE), 0)"),501.0)</f>
        <v>501</v>
      </c>
      <c r="D7519" s="2" t="str">
        <f>IFERROR(__xludf.DUMMYFUNCTION("IFERROR(VLOOKUP(A7519, IMPORTRANGE(""https://docs.google.com/spreadsheets/d/1-3Vjw2Cyy-mry5gbC8ypIR3YVGFfEpyFESummAta6sg/edit"", ""Sheet1!B:D""), 2, FALSE), ""Not Found"")"),"kɔr")</f>
        <v>kɔr</v>
      </c>
      <c r="E7519" s="2" t="str">
        <f>IFERROR(__xludf.DUMMYFUNCTION("IFERROR(VLOOKUP(A7519, IMPORTRANGE(""https://docs.google.com/spreadsheets/d/1-3Vjw2Cyy-mry5gbC8ypIR3YVGFfEpyFESummAta6sg/edit"", ""Sheet1!B:D""), 3, FALSE), ""Not Found"")"),"k ɔ r ")</f>
        <v>k ɔ r </v>
      </c>
    </row>
    <row r="7520">
      <c r="A7520" s="1" t="s">
        <v>7522</v>
      </c>
      <c r="B7520" s="1" t="s">
        <v>6138</v>
      </c>
      <c r="C7520" s="2">
        <f>IFERROR(__xludf.DUMMYFUNCTION("IFERROR(VLOOKUP(A7520, IMPORTRANGE(""https://docs.google.com/spreadsheets/d/1AVX9GT0dgogEBStecCXMMQ29tWz3gBrtNB8yIromXbY/edit?gid=741673867"", ""out1g!A:B""), 2, FALSE), 0)"),215.0)</f>
        <v>215</v>
      </c>
      <c r="D7520" s="2" t="str">
        <f>IFERROR(__xludf.DUMMYFUNCTION("IFERROR(VLOOKUP(A7520, IMPORTRANGE(""https://docs.google.com/spreadsheets/d/1-3Vjw2Cyy-mry5gbC8ypIR3YVGFfEpyFESummAta6sg/edit"", ""Sheet1!B:D""), 2, FALSE), ""Not Found"")"),"skets")</f>
        <v>skets</v>
      </c>
      <c r="E7520" s="2" t="str">
        <f>IFERROR(__xludf.DUMMYFUNCTION("IFERROR(VLOOKUP(A7520, IMPORTRANGE(""https://docs.google.com/spreadsheets/d/1-3Vjw2Cyy-mry5gbC8ypIR3YVGFfEpyFESummAta6sg/edit"", ""Sheet1!B:D""), 3, FALSE), ""Not Found"")"),"s k e t s ")</f>
        <v>s k e t s </v>
      </c>
    </row>
    <row r="7521">
      <c r="A7521" s="1" t="s">
        <v>7523</v>
      </c>
      <c r="B7521" s="1" t="s">
        <v>6138</v>
      </c>
      <c r="C7521" s="2">
        <f>IFERROR(__xludf.DUMMYFUNCTION("IFERROR(VLOOKUP(A7521, IMPORTRANGE(""https://docs.google.com/spreadsheets/d/1AVX9GT0dgogEBStecCXMMQ29tWz3gBrtNB8yIromXbY/edit?gid=741673867"", ""out1g!A:B""), 2, FALSE), 0)"),76.0)</f>
        <v>76</v>
      </c>
      <c r="D7521" s="2" t="str">
        <f>IFERROR(__xludf.DUMMYFUNCTION("IFERROR(VLOOKUP(A7521, IMPORTRANGE(""https://docs.google.com/spreadsheets/d/1-3Vjw2Cyy-mry5gbC8ypIR3YVGFfEpyFESummAta6sg/edit"", ""Sheet1!B:D""), 2, FALSE), ""Not Found"")"),"prɪvi")</f>
        <v>prɪvi</v>
      </c>
      <c r="E7521" s="2" t="str">
        <f>IFERROR(__xludf.DUMMYFUNCTION("IFERROR(VLOOKUP(A7521, IMPORTRANGE(""https://docs.google.com/spreadsheets/d/1-3Vjw2Cyy-mry5gbC8ypIR3YVGFfEpyFESummAta6sg/edit"", ""Sheet1!B:D""), 3, FALSE), ""Not Found"")"),"p r ɪ v i ")</f>
        <v>p r ɪ v i </v>
      </c>
    </row>
    <row r="7522">
      <c r="A7522" s="1" t="s">
        <v>7524</v>
      </c>
      <c r="B7522" s="1" t="s">
        <v>6138</v>
      </c>
      <c r="C7522" s="2">
        <f>IFERROR(__xludf.DUMMYFUNCTION("IFERROR(VLOOKUP(A7522, IMPORTRANGE(""https://docs.google.com/spreadsheets/d/1AVX9GT0dgogEBStecCXMMQ29tWz3gBrtNB8yIromXbY/edit?gid=741673867"", ""out1g!A:B""), 2, FALSE), 0)"),56.0)</f>
        <v>56</v>
      </c>
      <c r="D7522" s="2" t="str">
        <f>IFERROR(__xludf.DUMMYFUNCTION("IFERROR(VLOOKUP(A7522, IMPORTRANGE(""https://docs.google.com/spreadsheets/d/1-3Vjw2Cyy-mry5gbC8ypIR3YVGFfEpyFESummAta6sg/edit"", ""Sheet1!B:D""), 2, FALSE), ""Not Found"")"),"paʊns")</f>
        <v>paʊns</v>
      </c>
      <c r="E7522" s="2" t="str">
        <f>IFERROR(__xludf.DUMMYFUNCTION("IFERROR(VLOOKUP(A7522, IMPORTRANGE(""https://docs.google.com/spreadsheets/d/1-3Vjw2Cyy-mry5gbC8ypIR3YVGFfEpyFESummAta6sg/edit"", ""Sheet1!B:D""), 3, FALSE), ""Not Found"")"),"p a ʊ n s ")</f>
        <v>p a ʊ n s </v>
      </c>
    </row>
    <row r="7523">
      <c r="A7523" s="1" t="s">
        <v>7525</v>
      </c>
      <c r="B7523" s="1" t="s">
        <v>6138</v>
      </c>
      <c r="C7523" s="2">
        <f>IFERROR(__xludf.DUMMYFUNCTION("IFERROR(VLOOKUP(A7523, IMPORTRANGE(""https://docs.google.com/spreadsheets/d/1AVX9GT0dgogEBStecCXMMQ29tWz3gBrtNB8yIromXbY/edit?gid=741673867"", ""out1g!A:B""), 2, FALSE), 0)"),729.0)</f>
        <v>729</v>
      </c>
      <c r="D7523" s="2" t="str">
        <f>IFERROR(__xludf.DUMMYFUNCTION("IFERROR(VLOOKUP(A7523, IMPORTRANGE(""https://docs.google.com/spreadsheets/d/1-3Vjw2Cyy-mry5gbC8ypIR3YVGFfEpyFESummAta6sg/edit"", ""Sheet1!B:D""), 2, FALSE), ""Not Found"")"),"lɪvər")</f>
        <v>lɪvər</v>
      </c>
      <c r="E7523" s="2" t="str">
        <f>IFERROR(__xludf.DUMMYFUNCTION("IFERROR(VLOOKUP(A7523, IMPORTRANGE(""https://docs.google.com/spreadsheets/d/1-3Vjw2Cyy-mry5gbC8ypIR3YVGFfEpyFESummAta6sg/edit"", ""Sheet1!B:D""), 3, FALSE), ""Not Found"")"),"l ɪ v ə r ")</f>
        <v>l ɪ v ə r </v>
      </c>
    </row>
    <row r="7524">
      <c r="A7524" s="1" t="s">
        <v>7526</v>
      </c>
      <c r="B7524" s="1" t="s">
        <v>6138</v>
      </c>
      <c r="C7524" s="2">
        <f>IFERROR(__xludf.DUMMYFUNCTION("IFERROR(VLOOKUP(A7524, IMPORTRANGE(""https://docs.google.com/spreadsheets/d/1AVX9GT0dgogEBStecCXMMQ29tWz3gBrtNB8yIromXbY/edit?gid=741673867"", ""out1g!A:B""), 2, FALSE), 0)"),660.0)</f>
        <v>660</v>
      </c>
      <c r="D7524" s="2" t="str">
        <f>IFERROR(__xludf.DUMMYFUNCTION("IFERROR(VLOOKUP(A7524, IMPORTRANGE(""https://docs.google.com/spreadsheets/d/1-3Vjw2Cyy-mry5gbC8ypIR3YVGFfEpyFESummAta6sg/edit"", ""Sheet1!B:D""), 2, FALSE), ""Not Found"")"),"ɪnʧɪz")</f>
        <v>ɪnʧɪz</v>
      </c>
      <c r="E7524" s="2" t="str">
        <f>IFERROR(__xludf.DUMMYFUNCTION("IFERROR(VLOOKUP(A7524, IMPORTRANGE(""https://docs.google.com/spreadsheets/d/1-3Vjw2Cyy-mry5gbC8ypIR3YVGFfEpyFESummAta6sg/edit"", ""Sheet1!B:D""), 3, FALSE), ""Not Found"")"),"ɪ n ʧ ɪ z ")</f>
        <v>ɪ n ʧ ɪ z </v>
      </c>
    </row>
    <row r="7525">
      <c r="A7525" s="1" t="s">
        <v>7527</v>
      </c>
      <c r="B7525" s="1" t="s">
        <v>6138</v>
      </c>
      <c r="C7525" s="2">
        <f>IFERROR(__xludf.DUMMYFUNCTION("IFERROR(VLOOKUP(A7525, IMPORTRANGE(""https://docs.google.com/spreadsheets/d/1AVX9GT0dgogEBStecCXMMQ29tWz3gBrtNB8yIromXbY/edit?gid=741673867"", ""out1g!A:B""), 2, FALSE), 0)"),3040.0)</f>
        <v>3040</v>
      </c>
      <c r="D7525" s="2" t="str">
        <f>IFERROR(__xludf.DUMMYFUNCTION("IFERROR(VLOOKUP(A7525, IMPORTRANGE(""https://docs.google.com/spreadsheets/d/1-3Vjw2Cyy-mry5gbC8ypIR3YVGFfEpyFESummAta6sg/edit"", ""Sheet1!B:D""), 2, FALSE), ""Not Found"")"),"steɪŋ")</f>
        <v>steɪŋ</v>
      </c>
      <c r="E7525" s="2" t="str">
        <f>IFERROR(__xludf.DUMMYFUNCTION("IFERROR(VLOOKUP(A7525, IMPORTRANGE(""https://docs.google.com/spreadsheets/d/1-3Vjw2Cyy-mry5gbC8ypIR3YVGFfEpyFESummAta6sg/edit"", ""Sheet1!B:D""), 3, FALSE), ""Not Found"")"),"s t e ɪ ŋ ")</f>
        <v>s t e ɪ ŋ </v>
      </c>
    </row>
    <row r="7526">
      <c r="A7526" s="1" t="s">
        <v>7528</v>
      </c>
      <c r="B7526" s="1" t="s">
        <v>6138</v>
      </c>
      <c r="C7526" s="2">
        <f>IFERROR(__xludf.DUMMYFUNCTION("IFERROR(VLOOKUP(A7526, IMPORTRANGE(""https://docs.google.com/spreadsheets/d/1AVX9GT0dgogEBStecCXMMQ29tWz3gBrtNB8yIromXbY/edit?gid=741673867"", ""out1g!A:B""), 2, FALSE), 0)"),359.0)</f>
        <v>359</v>
      </c>
      <c r="D7526" s="2" t="str">
        <f>IFERROR(__xludf.DUMMYFUNCTION("IFERROR(VLOOKUP(A7526, IMPORTRANGE(""https://docs.google.com/spreadsheets/d/1-3Vjw2Cyy-mry5gbC8ypIR3YVGFfEpyFESummAta6sg/edit"", ""Sheet1!B:D""), 2, FALSE), ""Not Found"")"),"kɛrɪŋ")</f>
        <v>kɛrɪŋ</v>
      </c>
      <c r="E7526" s="2" t="str">
        <f>IFERROR(__xludf.DUMMYFUNCTION("IFERROR(VLOOKUP(A7526, IMPORTRANGE(""https://docs.google.com/spreadsheets/d/1-3Vjw2Cyy-mry5gbC8ypIR3YVGFfEpyFESummAta6sg/edit"", ""Sheet1!B:D""), 3, FALSE), ""Not Found"")"),"k ɛ r ɪ ŋ ")</f>
        <v>k ɛ r ɪ ŋ </v>
      </c>
    </row>
    <row r="7527">
      <c r="A7527" s="1" t="s">
        <v>7529</v>
      </c>
      <c r="B7527" s="1" t="s">
        <v>6138</v>
      </c>
      <c r="C7527" s="2">
        <f>IFERROR(__xludf.DUMMYFUNCTION("IFERROR(VLOOKUP(A7527, IMPORTRANGE(""https://docs.google.com/spreadsheets/d/1AVX9GT0dgogEBStecCXMMQ29tWz3gBrtNB8yIromXbY/edit?gid=741673867"", ""out1g!A:B""), 2, FALSE), 0)"),874.0)</f>
        <v>874</v>
      </c>
      <c r="D7527" s="2" t="str">
        <f>IFERROR(__xludf.DUMMYFUNCTION("IFERROR(VLOOKUP(A7527, IMPORTRANGE(""https://docs.google.com/spreadsheets/d/1-3Vjw2Cyy-mry5gbC8ypIR3YVGFfEpyFESummAta6sg/edit"", ""Sheet1!B:D""), 2, FALSE), ""Not Found"")"),"krɔst")</f>
        <v>krɔst</v>
      </c>
      <c r="E7527" s="2" t="str">
        <f>IFERROR(__xludf.DUMMYFUNCTION("IFERROR(VLOOKUP(A7527, IMPORTRANGE(""https://docs.google.com/spreadsheets/d/1-3Vjw2Cyy-mry5gbC8ypIR3YVGFfEpyFESummAta6sg/edit"", ""Sheet1!B:D""), 3, FALSE), ""Not Found"")"),"k r ɔ s t ")</f>
        <v>k r ɔ s t </v>
      </c>
    </row>
    <row r="7528">
      <c r="A7528" s="1" t="s">
        <v>7530</v>
      </c>
      <c r="B7528" s="1" t="s">
        <v>6138</v>
      </c>
      <c r="C7528" s="2">
        <f>IFERROR(__xludf.DUMMYFUNCTION("IFERROR(VLOOKUP(A7528, IMPORTRANGE(""https://docs.google.com/spreadsheets/d/1AVX9GT0dgogEBStecCXMMQ29tWz3gBrtNB8yIromXbY/edit?gid=741673867"", ""out1g!A:B""), 2, FALSE), 0)"),54.0)</f>
        <v>54</v>
      </c>
      <c r="D7528" s="2" t="str">
        <f>IFERROR(__xludf.DUMMYFUNCTION("IFERROR(VLOOKUP(A7528, IMPORTRANGE(""https://docs.google.com/spreadsheets/d/1-3Vjw2Cyy-mry5gbC8ypIR3YVGFfEpyFESummAta6sg/edit"", ""Sheet1!B:D""), 2, FALSE), ""Not Found"")"),"kɪkər")</f>
        <v>kɪkər</v>
      </c>
      <c r="E7528" s="2" t="str">
        <f>IFERROR(__xludf.DUMMYFUNCTION("IFERROR(VLOOKUP(A7528, IMPORTRANGE(""https://docs.google.com/spreadsheets/d/1-3Vjw2Cyy-mry5gbC8ypIR3YVGFfEpyFESummAta6sg/edit"", ""Sheet1!B:D""), 3, FALSE), ""Not Found"")"),"k ɪ k ə r ")</f>
        <v>k ɪ k ə r </v>
      </c>
    </row>
    <row r="7529">
      <c r="A7529" s="1" t="s">
        <v>7531</v>
      </c>
      <c r="B7529" s="1" t="s">
        <v>6138</v>
      </c>
      <c r="C7529" s="2">
        <f>IFERROR(__xludf.DUMMYFUNCTION("IFERROR(VLOOKUP(A7529, IMPORTRANGE(""https://docs.google.com/spreadsheets/d/1AVX9GT0dgogEBStecCXMMQ29tWz3gBrtNB8yIromXbY/edit?gid=741673867"", ""out1g!A:B""), 2, FALSE), 0)"),50.0)</f>
        <v>50</v>
      </c>
      <c r="D7529" s="2" t="str">
        <f>IFERROR(__xludf.DUMMYFUNCTION("IFERROR(VLOOKUP(A7529, IMPORTRANGE(""https://docs.google.com/spreadsheets/d/1-3Vjw2Cyy-mry5gbC8ypIR3YVGFfEpyFESummAta6sg/edit"", ""Sheet1!B:D""), 2, FALSE), ""Not Found"")"),"stɑmpt")</f>
        <v>stɑmpt</v>
      </c>
      <c r="E7529" s="2" t="str">
        <f>IFERROR(__xludf.DUMMYFUNCTION("IFERROR(VLOOKUP(A7529, IMPORTRANGE(""https://docs.google.com/spreadsheets/d/1-3Vjw2Cyy-mry5gbC8ypIR3YVGFfEpyFESummAta6sg/edit"", ""Sheet1!B:D""), 3, FALSE), ""Not Found"")"),"s t ɑ m p t ")</f>
        <v>s t ɑ m p t </v>
      </c>
    </row>
    <row r="7530">
      <c r="A7530" s="1" t="s">
        <v>7532</v>
      </c>
      <c r="B7530" s="1" t="s">
        <v>6138</v>
      </c>
      <c r="C7530" s="2">
        <f>IFERROR(__xludf.DUMMYFUNCTION("IFERROR(VLOOKUP(A7530, IMPORTRANGE(""https://docs.google.com/spreadsheets/d/1AVX9GT0dgogEBStecCXMMQ29tWz3gBrtNB8yIromXbY/edit?gid=741673867"", ""out1g!A:B""), 2, FALSE), 0)"),244.0)</f>
        <v>244</v>
      </c>
      <c r="D7530" s="2" t="str">
        <f>IFERROR(__xludf.DUMMYFUNCTION("IFERROR(VLOOKUP(A7530, IMPORTRANGE(""https://docs.google.com/spreadsheets/d/1-3Vjw2Cyy-mry5gbC8ypIR3YVGFfEpyFESummAta6sg/edit"", ""Sheet1!B:D""), 2, FALSE), ""Not Found"")"),"waɪnɪŋ")</f>
        <v>waɪnɪŋ</v>
      </c>
      <c r="E7530" s="2" t="str">
        <f>IFERROR(__xludf.DUMMYFUNCTION("IFERROR(VLOOKUP(A7530, IMPORTRANGE(""https://docs.google.com/spreadsheets/d/1-3Vjw2Cyy-mry5gbC8ypIR3YVGFfEpyFESummAta6sg/edit"", ""Sheet1!B:D""), 3, FALSE), ""Not Found"")"),"w a ɪ n ɪ ŋ ")</f>
        <v>w a ɪ n ɪ ŋ </v>
      </c>
    </row>
    <row r="7531">
      <c r="A7531" s="1" t="s">
        <v>7533</v>
      </c>
      <c r="B7531" s="1" t="s">
        <v>6138</v>
      </c>
      <c r="C7531" s="2">
        <f>IFERROR(__xludf.DUMMYFUNCTION("IFERROR(VLOOKUP(A7531, IMPORTRANGE(""https://docs.google.com/spreadsheets/d/1AVX9GT0dgogEBStecCXMMQ29tWz3gBrtNB8yIromXbY/edit?gid=741673867"", ""out1g!A:B""), 2, FALSE), 0)"),1962.0)</f>
        <v>1962</v>
      </c>
      <c r="D7531" s="2" t="str">
        <f>IFERROR(__xludf.DUMMYFUNCTION("IFERROR(VLOOKUP(A7531, IMPORTRANGE(""https://docs.google.com/spreadsheets/d/1-3Vjw2Cyy-mry5gbC8ypIR3YVGFfEpyFESummAta6sg/edit"", ""Sheet1!B:D""), 2, FALSE), ""Not Found"")"),"blədi")</f>
        <v>blədi</v>
      </c>
      <c r="E7531" s="2" t="str">
        <f>IFERROR(__xludf.DUMMYFUNCTION("IFERROR(VLOOKUP(A7531, IMPORTRANGE(""https://docs.google.com/spreadsheets/d/1-3Vjw2Cyy-mry5gbC8ypIR3YVGFfEpyFESummAta6sg/edit"", ""Sheet1!B:D""), 3, FALSE), ""Not Found"")"),"b l ə d i ")</f>
        <v>b l ə d i </v>
      </c>
    </row>
    <row r="7532">
      <c r="A7532" s="1" t="s">
        <v>7534</v>
      </c>
      <c r="B7532" s="1" t="s">
        <v>6138</v>
      </c>
      <c r="C7532" s="2">
        <f>IFERROR(__xludf.DUMMYFUNCTION("IFERROR(VLOOKUP(A7532, IMPORTRANGE(""https://docs.google.com/spreadsheets/d/1AVX9GT0dgogEBStecCXMMQ29tWz3gBrtNB8yIromXbY/edit?gid=741673867"", ""out1g!A:B""), 2, FALSE), 0)"),102.0)</f>
        <v>102</v>
      </c>
      <c r="D7532" s="2" t="str">
        <f>IFERROR(__xludf.DUMMYFUNCTION("IFERROR(VLOOKUP(A7532, IMPORTRANGE(""https://docs.google.com/spreadsheets/d/1-3Vjw2Cyy-mry5gbC8ypIR3YVGFfEpyFESummAta6sg/edit"", ""Sheet1!B:D""), 2, FALSE), ""Not Found"")"),"pu")</f>
        <v>pu</v>
      </c>
      <c r="E7532" s="2" t="str">
        <f>IFERROR(__xludf.DUMMYFUNCTION("IFERROR(VLOOKUP(A7532, IMPORTRANGE(""https://docs.google.com/spreadsheets/d/1-3Vjw2Cyy-mry5gbC8ypIR3YVGFfEpyFESummAta6sg/edit"", ""Sheet1!B:D""), 3, FALSE), ""Not Found"")"),"p u ")</f>
        <v>p u </v>
      </c>
    </row>
    <row r="7533">
      <c r="A7533" s="1" t="s">
        <v>7535</v>
      </c>
      <c r="B7533" s="1" t="s">
        <v>6138</v>
      </c>
      <c r="C7533" s="2">
        <f>IFERROR(__xludf.DUMMYFUNCTION("IFERROR(VLOOKUP(A7533, IMPORTRANGE(""https://docs.google.com/spreadsheets/d/1AVX9GT0dgogEBStecCXMMQ29tWz3gBrtNB8yIromXbY/edit?gid=741673867"", ""out1g!A:B""), 2, FALSE), 0)"),146.0)</f>
        <v>146</v>
      </c>
      <c r="D7533" s="2" t="str">
        <f>IFERROR(__xludf.DUMMYFUNCTION("IFERROR(VLOOKUP(A7533, IMPORTRANGE(""https://docs.google.com/spreadsheets/d/1-3Vjw2Cyy-mry5gbC8ypIR3YVGFfEpyFESummAta6sg/edit"", ""Sheet1!B:D""), 2, FALSE), ""Not Found"")"),"dikən")</f>
        <v>dikən</v>
      </c>
      <c r="E7533" s="2" t="str">
        <f>IFERROR(__xludf.DUMMYFUNCTION("IFERROR(VLOOKUP(A7533, IMPORTRANGE(""https://docs.google.com/spreadsheets/d/1-3Vjw2Cyy-mry5gbC8ypIR3YVGFfEpyFESummAta6sg/edit"", ""Sheet1!B:D""), 3, FALSE), ""Not Found"")"),"d i k ə n ")</f>
        <v>d i k ə n </v>
      </c>
    </row>
    <row r="7534">
      <c r="A7534" s="1" t="s">
        <v>7536</v>
      </c>
      <c r="B7534" s="1" t="s">
        <v>6138</v>
      </c>
      <c r="C7534" s="2">
        <f>IFERROR(__xludf.DUMMYFUNCTION("IFERROR(VLOOKUP(A7534, IMPORTRANGE(""https://docs.google.com/spreadsheets/d/1AVX9GT0dgogEBStecCXMMQ29tWz3gBrtNB8yIromXbY/edit?gid=741673867"", ""out1g!A:B""), 2, FALSE), 0)"),27784.0)</f>
        <v>27784</v>
      </c>
      <c r="D7534" s="2" t="str">
        <f>IFERROR(__xludf.DUMMYFUNCTION("IFERROR(VLOOKUP(A7534, IMPORTRANGE(""https://docs.google.com/spreadsheets/d/1-3Vjw2Cyy-mry5gbC8ypIR3YVGFfEpyFESummAta6sg/edit"", ""Sheet1!B:D""), 2, FALSE), ""Not Found"")"),"lɪsən")</f>
        <v>lɪsən</v>
      </c>
      <c r="E7534" s="2" t="str">
        <f>IFERROR(__xludf.DUMMYFUNCTION("IFERROR(VLOOKUP(A7534, IMPORTRANGE(""https://docs.google.com/spreadsheets/d/1-3Vjw2Cyy-mry5gbC8ypIR3YVGFfEpyFESummAta6sg/edit"", ""Sheet1!B:D""), 3, FALSE), ""Not Found"")"),"l ɪ s ə n ")</f>
        <v>l ɪ s ə n </v>
      </c>
    </row>
    <row r="7535">
      <c r="A7535" s="1" t="s">
        <v>7537</v>
      </c>
      <c r="B7535" s="1" t="s">
        <v>6138</v>
      </c>
      <c r="C7535" s="2">
        <f>IFERROR(__xludf.DUMMYFUNCTION("IFERROR(VLOOKUP(A7535, IMPORTRANGE(""https://docs.google.com/spreadsheets/d/1AVX9GT0dgogEBStecCXMMQ29tWz3gBrtNB8yIromXbY/edit?gid=741673867"", ""out1g!A:B""), 2, FALSE), 0)"),8129.0)</f>
        <v>8129</v>
      </c>
      <c r="D7535" s="2" t="str">
        <f>IFERROR(__xludf.DUMMYFUNCTION("IFERROR(VLOOKUP(A7535, IMPORTRANGE(""https://docs.google.com/spreadsheets/d/1-3Vjw2Cyy-mry5gbC8ypIR3YVGFfEpyFESummAta6sg/edit"", ""Sheet1!B:D""), 2, FALSE), ""Not Found"")"),"fræŋk")</f>
        <v>fræŋk</v>
      </c>
      <c r="E7535" s="2" t="str">
        <f>IFERROR(__xludf.DUMMYFUNCTION("IFERROR(VLOOKUP(A7535, IMPORTRANGE(""https://docs.google.com/spreadsheets/d/1-3Vjw2Cyy-mry5gbC8ypIR3YVGFfEpyFESummAta6sg/edit"", ""Sheet1!B:D""), 3, FALSE), ""Not Found"")"),"f r æ ŋ k ")</f>
        <v>f r æ ŋ k </v>
      </c>
    </row>
    <row r="7536">
      <c r="A7536" s="1" t="s">
        <v>7538</v>
      </c>
      <c r="B7536" s="1" t="s">
        <v>6138</v>
      </c>
      <c r="C7536" s="2">
        <f>IFERROR(__xludf.DUMMYFUNCTION("IFERROR(VLOOKUP(A7536, IMPORTRANGE(""https://docs.google.com/spreadsheets/d/1AVX9GT0dgogEBStecCXMMQ29tWz3gBrtNB8yIromXbY/edit?gid=741673867"", ""out1g!A:B""), 2, FALSE), 0)"),50.0)</f>
        <v>50</v>
      </c>
      <c r="D7536" s="2" t="str">
        <f>IFERROR(__xludf.DUMMYFUNCTION("IFERROR(VLOOKUP(A7536, IMPORTRANGE(""https://docs.google.com/spreadsheets/d/1-3Vjw2Cyy-mry5gbC8ypIR3YVGFfEpyFESummAta6sg/edit"", ""Sheet1!B:D""), 2, FALSE), ""Not Found"")"),"kæləs")</f>
        <v>kæləs</v>
      </c>
      <c r="E7536" s="2" t="str">
        <f>IFERROR(__xludf.DUMMYFUNCTION("IFERROR(VLOOKUP(A7536, IMPORTRANGE(""https://docs.google.com/spreadsheets/d/1-3Vjw2Cyy-mry5gbC8ypIR3YVGFfEpyFESummAta6sg/edit"", ""Sheet1!B:D""), 3, FALSE), ""Not Found"")"),"k æ l ə s ")</f>
        <v>k æ l ə s </v>
      </c>
    </row>
    <row r="7537">
      <c r="A7537" s="1" t="s">
        <v>7539</v>
      </c>
      <c r="B7537" s="1" t="s">
        <v>6138</v>
      </c>
      <c r="C7537" s="2">
        <f>IFERROR(__xludf.DUMMYFUNCTION("IFERROR(VLOOKUP(A7537, IMPORTRANGE(""https://docs.google.com/spreadsheets/d/1AVX9GT0dgogEBStecCXMMQ29tWz3gBrtNB8yIromXbY/edit?gid=741673867"", ""out1g!A:B""), 2, FALSE), 0)"),66.0)</f>
        <v>66</v>
      </c>
      <c r="D7537" s="2" t="str">
        <f>IFERROR(__xludf.DUMMYFUNCTION("IFERROR(VLOOKUP(A7537, IMPORTRANGE(""https://docs.google.com/spreadsheets/d/1-3Vjw2Cyy-mry5gbC8ypIR3YVGFfEpyFESummAta6sg/edit"", ""Sheet1!B:D""), 2, FALSE), ""Not Found"")"),"skrept")</f>
        <v>skrept</v>
      </c>
      <c r="E7537" s="2" t="str">
        <f>IFERROR(__xludf.DUMMYFUNCTION("IFERROR(VLOOKUP(A7537, IMPORTRANGE(""https://docs.google.com/spreadsheets/d/1-3Vjw2Cyy-mry5gbC8ypIR3YVGFfEpyFESummAta6sg/edit"", ""Sheet1!B:D""), 3, FALSE), ""Not Found"")"),"s k r e p t ")</f>
        <v>s k r e p t </v>
      </c>
    </row>
    <row r="7538">
      <c r="A7538" s="1" t="s">
        <v>7540</v>
      </c>
      <c r="B7538" s="1" t="s">
        <v>6138</v>
      </c>
      <c r="C7538" s="2">
        <f>IFERROR(__xludf.DUMMYFUNCTION("IFERROR(VLOOKUP(A7538, IMPORTRANGE(""https://docs.google.com/spreadsheets/d/1AVX9GT0dgogEBStecCXMMQ29tWz3gBrtNB8yIromXbY/edit?gid=741673867"", ""out1g!A:B""), 2, FALSE), 0)"),64.0)</f>
        <v>64</v>
      </c>
      <c r="D7538" s="2" t="str">
        <f>IFERROR(__xludf.DUMMYFUNCTION("IFERROR(VLOOKUP(A7538, IMPORTRANGE(""https://docs.google.com/spreadsheets/d/1-3Vjw2Cyy-mry5gbC8ypIR3YVGFfEpyFESummAta6sg/edit"", ""Sheet1!B:D""), 2, FALSE), ""Not Found"")"),"riʤɔɪn")</f>
        <v>riʤɔɪn</v>
      </c>
      <c r="E7538" s="2" t="str">
        <f>IFERROR(__xludf.DUMMYFUNCTION("IFERROR(VLOOKUP(A7538, IMPORTRANGE(""https://docs.google.com/spreadsheets/d/1-3Vjw2Cyy-mry5gbC8ypIR3YVGFfEpyFESummAta6sg/edit"", ""Sheet1!B:D""), 3, FALSE), ""Not Found"")"),"r i ʤ ɔ ɪ n ")</f>
        <v>r i ʤ ɔ ɪ n </v>
      </c>
    </row>
    <row r="7539">
      <c r="A7539" s="1" t="s">
        <v>7541</v>
      </c>
      <c r="B7539" s="1" t="s">
        <v>6138</v>
      </c>
      <c r="C7539" s="2">
        <f>IFERROR(__xludf.DUMMYFUNCTION("IFERROR(VLOOKUP(A7539, IMPORTRANGE(""https://docs.google.com/spreadsheets/d/1AVX9GT0dgogEBStecCXMMQ29tWz3gBrtNB8yIromXbY/edit?gid=741673867"", ""out1g!A:B""), 2, FALSE), 0)"),4475.0)</f>
        <v>4475</v>
      </c>
      <c r="D7539" s="2" t="str">
        <f>IFERROR(__xludf.DUMMYFUNCTION("IFERROR(VLOOKUP(A7539, IMPORTRANGE(""https://docs.google.com/spreadsheets/d/1-3Vjw2Cyy-mry5gbC8ypIR3YVGFfEpyFESummAta6sg/edit"", ""Sheet1!B:D""), 2, FALSE), ""Not Found"")"),"kjut")</f>
        <v>kjut</v>
      </c>
      <c r="E7539" s="2" t="str">
        <f>IFERROR(__xludf.DUMMYFUNCTION("IFERROR(VLOOKUP(A7539, IMPORTRANGE(""https://docs.google.com/spreadsheets/d/1-3Vjw2Cyy-mry5gbC8ypIR3YVGFfEpyFESummAta6sg/edit"", ""Sheet1!B:D""), 3, FALSE), ""Not Found"")"),"k j u t ")</f>
        <v>k j u t </v>
      </c>
    </row>
    <row r="7540">
      <c r="A7540" s="1" t="s">
        <v>7542</v>
      </c>
      <c r="B7540" s="1" t="s">
        <v>6138</v>
      </c>
      <c r="C7540" s="2">
        <f>IFERROR(__xludf.DUMMYFUNCTION("IFERROR(VLOOKUP(A7540, IMPORTRANGE(""https://docs.google.com/spreadsheets/d/1AVX9GT0dgogEBStecCXMMQ29tWz3gBrtNB8yIromXbY/edit?gid=741673867"", ""out1g!A:B""), 2, FALSE), 0)"),115.0)</f>
        <v>115</v>
      </c>
      <c r="D7540" s="2" t="str">
        <f>IFERROR(__xludf.DUMMYFUNCTION("IFERROR(VLOOKUP(A7540, IMPORTRANGE(""https://docs.google.com/spreadsheets/d/1-3Vjw2Cyy-mry5gbC8ypIR3YVGFfEpyFESummAta6sg/edit"", ""Sheet1!B:D""), 2, FALSE), ""Not Found"")"),"nɪkəlz")</f>
        <v>nɪkəlz</v>
      </c>
      <c r="E7540" s="2" t="str">
        <f>IFERROR(__xludf.DUMMYFUNCTION("IFERROR(VLOOKUP(A7540, IMPORTRANGE(""https://docs.google.com/spreadsheets/d/1-3Vjw2Cyy-mry5gbC8ypIR3YVGFfEpyFESummAta6sg/edit"", ""Sheet1!B:D""), 3, FALSE), ""Not Found"")"),"n ɪ k ə l z ")</f>
        <v>n ɪ k ə l z </v>
      </c>
    </row>
    <row r="7541">
      <c r="A7541" s="1" t="s">
        <v>7543</v>
      </c>
      <c r="B7541" s="1" t="s">
        <v>6138</v>
      </c>
      <c r="C7541" s="2">
        <f>IFERROR(__xludf.DUMMYFUNCTION("IFERROR(VLOOKUP(A7541, IMPORTRANGE(""https://docs.google.com/spreadsheets/d/1AVX9GT0dgogEBStecCXMMQ29tWz3gBrtNB8yIromXbY/edit?gid=741673867"", ""out1g!A:B""), 2, FALSE), 0)"),65.0)</f>
        <v>65</v>
      </c>
      <c r="D7541" s="2" t="str">
        <f>IFERROR(__xludf.DUMMYFUNCTION("IFERROR(VLOOKUP(A7541, IMPORTRANGE(""https://docs.google.com/spreadsheets/d/1-3Vjw2Cyy-mry5gbC8ypIR3YVGFfEpyFESummAta6sg/edit"", ""Sheet1!B:D""), 2, FALSE), ""Not Found"")"),"pɪkəloʊ")</f>
        <v>pɪkəloʊ</v>
      </c>
      <c r="E7541" s="2" t="str">
        <f>IFERROR(__xludf.DUMMYFUNCTION("IFERROR(VLOOKUP(A7541, IMPORTRANGE(""https://docs.google.com/spreadsheets/d/1-3Vjw2Cyy-mry5gbC8ypIR3YVGFfEpyFESummAta6sg/edit"", ""Sheet1!B:D""), 3, FALSE), ""Not Found"")"),"p ɪ k ə l o ʊ ")</f>
        <v>p ɪ k ə l o ʊ </v>
      </c>
    </row>
    <row r="7542">
      <c r="A7542" s="1" t="s">
        <v>7544</v>
      </c>
      <c r="B7542" s="1" t="s">
        <v>6138</v>
      </c>
      <c r="C7542" s="2">
        <f>IFERROR(__xludf.DUMMYFUNCTION("IFERROR(VLOOKUP(A7542, IMPORTRANGE(""https://docs.google.com/spreadsheets/d/1AVX9GT0dgogEBStecCXMMQ29tWz3gBrtNB8yIromXbY/edit?gid=741673867"", ""out1g!A:B""), 2, FALSE), 0)"),462.0)</f>
        <v>462</v>
      </c>
      <c r="D7542" s="2" t="str">
        <f>IFERROR(__xludf.DUMMYFUNCTION("IFERROR(VLOOKUP(A7542, IMPORTRANGE(""https://docs.google.com/spreadsheets/d/1-3Vjw2Cyy-mry5gbC8ypIR3YVGFfEpyFESummAta6sg/edit"", ""Sheet1!B:D""), 2, FALSE), ""Not Found"")"),"ʧu")</f>
        <v>ʧu</v>
      </c>
      <c r="E7542" s="2" t="str">
        <f>IFERROR(__xludf.DUMMYFUNCTION("IFERROR(VLOOKUP(A7542, IMPORTRANGE(""https://docs.google.com/spreadsheets/d/1-3Vjw2Cyy-mry5gbC8ypIR3YVGFfEpyFESummAta6sg/edit"", ""Sheet1!B:D""), 3, FALSE), ""Not Found"")"),"ʧ u ")</f>
        <v>ʧ u </v>
      </c>
    </row>
    <row r="7543">
      <c r="A7543" s="1" t="s">
        <v>7545</v>
      </c>
      <c r="B7543" s="1" t="s">
        <v>6138</v>
      </c>
      <c r="C7543" s="2">
        <f>IFERROR(__xludf.DUMMYFUNCTION("IFERROR(VLOOKUP(A7543, IMPORTRANGE(""https://docs.google.com/spreadsheets/d/1AVX9GT0dgogEBStecCXMMQ29tWz3gBrtNB8yIromXbY/edit?gid=741673867"", ""out1g!A:B""), 2, FALSE), 0)"),4370.0)</f>
        <v>4370</v>
      </c>
      <c r="D7543" s="2" t="str">
        <f>IFERROR(__xludf.DUMMYFUNCTION("IFERROR(VLOOKUP(A7543, IMPORTRANGE(""https://docs.google.com/spreadsheets/d/1-3Vjw2Cyy-mry5gbC8ypIR3YVGFfEpyFESummAta6sg/edit"", ""Sheet1!B:D""), 2, FALSE), ""Not Found"")"),"ɑrmi")</f>
        <v>ɑrmi</v>
      </c>
      <c r="E7543" s="2" t="str">
        <f>IFERROR(__xludf.DUMMYFUNCTION("IFERROR(VLOOKUP(A7543, IMPORTRANGE(""https://docs.google.com/spreadsheets/d/1-3Vjw2Cyy-mry5gbC8ypIR3YVGFfEpyFESummAta6sg/edit"", ""Sheet1!B:D""), 3, FALSE), ""Not Found"")"),"ɑ r m i ")</f>
        <v>ɑ r m i </v>
      </c>
    </row>
    <row r="7544">
      <c r="A7544" s="1" t="s">
        <v>7546</v>
      </c>
      <c r="B7544" s="1" t="s">
        <v>6138</v>
      </c>
      <c r="C7544" s="2">
        <f>IFERROR(__xludf.DUMMYFUNCTION("IFERROR(VLOOKUP(A7544, IMPORTRANGE(""https://docs.google.com/spreadsheets/d/1AVX9GT0dgogEBStecCXMMQ29tWz3gBrtNB8yIromXbY/edit?gid=741673867"", ""out1g!A:B""), 2, FALSE), 0)"),89.0)</f>
        <v>89</v>
      </c>
      <c r="D7544" s="2" t="str">
        <f>IFERROR(__xludf.DUMMYFUNCTION("IFERROR(VLOOKUP(A7544, IMPORTRANGE(""https://docs.google.com/spreadsheets/d/1-3Vjw2Cyy-mry5gbC8ypIR3YVGFfEpyFESummAta6sg/edit"", ""Sheet1!B:D""), 2, FALSE), ""Not Found"")"),"faʊndɪŋ")</f>
        <v>faʊndɪŋ</v>
      </c>
      <c r="E7544" s="2" t="str">
        <f>IFERROR(__xludf.DUMMYFUNCTION("IFERROR(VLOOKUP(A7544, IMPORTRANGE(""https://docs.google.com/spreadsheets/d/1-3Vjw2Cyy-mry5gbC8ypIR3YVGFfEpyFESummAta6sg/edit"", ""Sheet1!B:D""), 3, FALSE), ""Not Found"")"),"f a ʊ n d ɪ ŋ ")</f>
        <v>f a ʊ n d ɪ ŋ </v>
      </c>
    </row>
    <row r="7545">
      <c r="A7545" s="1" t="s">
        <v>7547</v>
      </c>
      <c r="B7545" s="1" t="s">
        <v>6138</v>
      </c>
      <c r="C7545" s="2">
        <f>IFERROR(__xludf.DUMMYFUNCTION("IFERROR(VLOOKUP(A7545, IMPORTRANGE(""https://docs.google.com/spreadsheets/d/1AVX9GT0dgogEBStecCXMMQ29tWz3gBrtNB8yIromXbY/edit?gid=741673867"", ""out1g!A:B""), 2, FALSE), 0)"),87.0)</f>
        <v>87</v>
      </c>
      <c r="D7545" s="2" t="str">
        <f>IFERROR(__xludf.DUMMYFUNCTION("IFERROR(VLOOKUP(A7545, IMPORTRANGE(""https://docs.google.com/spreadsheets/d/1-3Vjw2Cyy-mry5gbC8ypIR3YVGFfEpyFESummAta6sg/edit"", ""Sheet1!B:D""), 2, FALSE), ""Not Found"")"),"bəbun")</f>
        <v>bəbun</v>
      </c>
      <c r="E7545" s="2" t="str">
        <f>IFERROR(__xludf.DUMMYFUNCTION("IFERROR(VLOOKUP(A7545, IMPORTRANGE(""https://docs.google.com/spreadsheets/d/1-3Vjw2Cyy-mry5gbC8ypIR3YVGFfEpyFESummAta6sg/edit"", ""Sheet1!B:D""), 3, FALSE), ""Not Found"")"),"b ə b u n ")</f>
        <v>b ə b u n </v>
      </c>
    </row>
    <row r="7546">
      <c r="A7546" s="1" t="s">
        <v>7548</v>
      </c>
      <c r="B7546" s="1" t="s">
        <v>6138</v>
      </c>
      <c r="C7546" s="2">
        <f>IFERROR(__xludf.DUMMYFUNCTION("IFERROR(VLOOKUP(A7546, IMPORTRANGE(""https://docs.google.com/spreadsheets/d/1AVX9GT0dgogEBStecCXMMQ29tWz3gBrtNB8yIromXbY/edit?gid=741673867"", ""out1g!A:B""), 2, FALSE), 0)"),397.0)</f>
        <v>397</v>
      </c>
      <c r="D7546" s="2" t="str">
        <f>IFERROR(__xludf.DUMMYFUNCTION("IFERROR(VLOOKUP(A7546, IMPORTRANGE(""https://docs.google.com/spreadsheets/d/1-3Vjw2Cyy-mry5gbC8ypIR3YVGFfEpyFESummAta6sg/edit"", ""Sheet1!B:D""), 2, FALSE), ""Not Found"")"),"ræk")</f>
        <v>ræk</v>
      </c>
      <c r="E7546" s="2" t="str">
        <f>IFERROR(__xludf.DUMMYFUNCTION("IFERROR(VLOOKUP(A7546, IMPORTRANGE(""https://docs.google.com/spreadsheets/d/1-3Vjw2Cyy-mry5gbC8ypIR3YVGFfEpyFESummAta6sg/edit"", ""Sheet1!B:D""), 3, FALSE), ""Not Found"")"),"r æ k ")</f>
        <v>r æ k </v>
      </c>
    </row>
    <row r="7547">
      <c r="A7547" s="1" t="s">
        <v>7549</v>
      </c>
      <c r="B7547" s="1" t="s">
        <v>6138</v>
      </c>
      <c r="C7547" s="2">
        <f>IFERROR(__xludf.DUMMYFUNCTION("IFERROR(VLOOKUP(A7547, IMPORTRANGE(""https://docs.google.com/spreadsheets/d/1AVX9GT0dgogEBStecCXMMQ29tWz3gBrtNB8yIromXbY/edit?gid=741673867"", ""out1g!A:B""), 2, FALSE), 0)"),56.0)</f>
        <v>56</v>
      </c>
      <c r="D7547" s="2" t="str">
        <f>IFERROR(__xludf.DUMMYFUNCTION("IFERROR(VLOOKUP(A7547, IMPORTRANGE(""https://docs.google.com/spreadsheets/d/1-3Vjw2Cyy-mry5gbC8ypIR3YVGFfEpyFESummAta6sg/edit"", ""Sheet1!B:D""), 2, FALSE), ""Not Found"")"),"pɪʧɪz")</f>
        <v>pɪʧɪz</v>
      </c>
      <c r="E7547" s="2" t="str">
        <f>IFERROR(__xludf.DUMMYFUNCTION("IFERROR(VLOOKUP(A7547, IMPORTRANGE(""https://docs.google.com/spreadsheets/d/1-3Vjw2Cyy-mry5gbC8ypIR3YVGFfEpyFESummAta6sg/edit"", ""Sheet1!B:D""), 3, FALSE), ""Not Found"")"),"p ɪ ʧ ɪ z ")</f>
        <v>p ɪ ʧ ɪ z </v>
      </c>
    </row>
    <row r="7548">
      <c r="A7548" s="1" t="s">
        <v>7550</v>
      </c>
      <c r="B7548" s="1" t="s">
        <v>6138</v>
      </c>
      <c r="C7548" s="2">
        <f>IFERROR(__xludf.DUMMYFUNCTION("IFERROR(VLOOKUP(A7548, IMPORTRANGE(""https://docs.google.com/spreadsheets/d/1AVX9GT0dgogEBStecCXMMQ29tWz3gBrtNB8yIromXbY/edit?gid=741673867"", ""out1g!A:B""), 2, FALSE), 0)"),184.0)</f>
        <v>184</v>
      </c>
      <c r="D7548" s="2" t="str">
        <f>IFERROR(__xludf.DUMMYFUNCTION("IFERROR(VLOOKUP(A7548, IMPORTRANGE(""https://docs.google.com/spreadsheets/d/1-3Vjw2Cyy-mry5gbC8ypIR3YVGFfEpyFESummAta6sg/edit"", ""Sheet1!B:D""), 2, FALSE), ""Not Found"")"),"kɑnsəl")</f>
        <v>kɑnsəl</v>
      </c>
      <c r="E7548" s="2" t="str">
        <f>IFERROR(__xludf.DUMMYFUNCTION("IFERROR(VLOOKUP(A7548, IMPORTRANGE(""https://docs.google.com/spreadsheets/d/1-3Vjw2Cyy-mry5gbC8ypIR3YVGFfEpyFESummAta6sg/edit"", ""Sheet1!B:D""), 3, FALSE), ""Not Found"")"),"k ɑ n s ə l ")</f>
        <v>k ɑ n s ə l </v>
      </c>
    </row>
    <row r="7549">
      <c r="A7549" s="1" t="s">
        <v>7551</v>
      </c>
      <c r="B7549" s="1" t="s">
        <v>6138</v>
      </c>
      <c r="C7549" s="2">
        <f>IFERROR(__xludf.DUMMYFUNCTION("IFERROR(VLOOKUP(A7549, IMPORTRANGE(""https://docs.google.com/spreadsheets/d/1AVX9GT0dgogEBStecCXMMQ29tWz3gBrtNB8yIromXbY/edit?gid=741673867"", ""out1g!A:B""), 2, FALSE), 0)"),1436.0)</f>
        <v>1436</v>
      </c>
      <c r="D7549" s="2" t="str">
        <f>IFERROR(__xludf.DUMMYFUNCTION("IFERROR(VLOOKUP(A7549, IMPORTRANGE(""https://docs.google.com/spreadsheets/d/1-3Vjw2Cyy-mry5gbC8ypIR3YVGFfEpyFESummAta6sg/edit"", ""Sheet1!B:D""), 2, FALSE), ""Not Found"")"),"kesɪz")</f>
        <v>kesɪz</v>
      </c>
      <c r="E7549" s="2" t="str">
        <f>IFERROR(__xludf.DUMMYFUNCTION("IFERROR(VLOOKUP(A7549, IMPORTRANGE(""https://docs.google.com/spreadsheets/d/1-3Vjw2Cyy-mry5gbC8ypIR3YVGFfEpyFESummAta6sg/edit"", ""Sheet1!B:D""), 3, FALSE), ""Not Found"")"),"k e s ɪ z ")</f>
        <v>k e s ɪ z </v>
      </c>
    </row>
    <row r="7550">
      <c r="A7550" s="1" t="s">
        <v>7552</v>
      </c>
      <c r="B7550" s="1" t="s">
        <v>6138</v>
      </c>
      <c r="C7550" s="2">
        <f>IFERROR(__xludf.DUMMYFUNCTION("IFERROR(VLOOKUP(A7550, IMPORTRANGE(""https://docs.google.com/spreadsheets/d/1AVX9GT0dgogEBStecCXMMQ29tWz3gBrtNB8yIromXbY/edit?gid=741673867"", ""out1g!A:B""), 2, FALSE), 0)"),159.0)</f>
        <v>159</v>
      </c>
      <c r="D7550" s="2" t="str">
        <f>IFERROR(__xludf.DUMMYFUNCTION("IFERROR(VLOOKUP(A7550, IMPORTRANGE(""https://docs.google.com/spreadsheets/d/1-3Vjw2Cyy-mry5gbC8ypIR3YVGFfEpyFESummAta6sg/edit"", ""Sheet1!B:D""), 2, FALSE), ""Not Found"")"),"revən")</f>
        <v>revən</v>
      </c>
      <c r="E7550" s="2" t="str">
        <f>IFERROR(__xludf.DUMMYFUNCTION("IFERROR(VLOOKUP(A7550, IMPORTRANGE(""https://docs.google.com/spreadsheets/d/1-3Vjw2Cyy-mry5gbC8ypIR3YVGFfEpyFESummAta6sg/edit"", ""Sheet1!B:D""), 3, FALSE), ""Not Found"")"),"r e v ə n ")</f>
        <v>r e v ə n </v>
      </c>
    </row>
    <row r="7551">
      <c r="A7551" s="1" t="s">
        <v>7553</v>
      </c>
      <c r="B7551" s="1" t="s">
        <v>6138</v>
      </c>
      <c r="C7551" s="2">
        <f>IFERROR(__xludf.DUMMYFUNCTION("IFERROR(VLOOKUP(A7551, IMPORTRANGE(""https://docs.google.com/spreadsheets/d/1AVX9GT0dgogEBStecCXMMQ29tWz3gBrtNB8yIromXbY/edit?gid=741673867"", ""out1g!A:B""), 2, FALSE), 0)"),71.0)</f>
        <v>71</v>
      </c>
      <c r="D7551" s="2" t="str">
        <f>IFERROR(__xludf.DUMMYFUNCTION("IFERROR(VLOOKUP(A7551, IMPORTRANGE(""https://docs.google.com/spreadsheets/d/1-3Vjw2Cyy-mry5gbC8ypIR3YVGFfEpyFESummAta6sg/edit"", ""Sheet1!B:D""), 2, FALSE), ""Not Found"")"),"wɪnzər")</f>
        <v>wɪnzər</v>
      </c>
      <c r="E7551" s="2" t="str">
        <f>IFERROR(__xludf.DUMMYFUNCTION("IFERROR(VLOOKUP(A7551, IMPORTRANGE(""https://docs.google.com/spreadsheets/d/1-3Vjw2Cyy-mry5gbC8ypIR3YVGFfEpyFESummAta6sg/edit"", ""Sheet1!B:D""), 3, FALSE), ""Not Found"")"),"w ɪ n z ə r ")</f>
        <v>w ɪ n z ə r </v>
      </c>
    </row>
    <row r="7552">
      <c r="A7552" s="1" t="s">
        <v>7554</v>
      </c>
      <c r="B7552" s="1" t="s">
        <v>6138</v>
      </c>
      <c r="C7552" s="2">
        <f>IFERROR(__xludf.DUMMYFUNCTION("IFERROR(VLOOKUP(A7552, IMPORTRANGE(""https://docs.google.com/spreadsheets/d/1AVX9GT0dgogEBStecCXMMQ29tWz3gBrtNB8yIromXbY/edit?gid=741673867"", ""out1g!A:B""), 2, FALSE), 0)"),239.0)</f>
        <v>239</v>
      </c>
      <c r="D7552" s="2" t="str">
        <f>IFERROR(__xludf.DUMMYFUNCTION("IFERROR(VLOOKUP(A7552, IMPORTRANGE(""https://docs.google.com/spreadsheets/d/1-3Vjw2Cyy-mry5gbC8ypIR3YVGFfEpyFESummAta6sg/edit"", ""Sheet1!B:D""), 2, FALSE), ""Not Found"")"),"bəŋkər")</f>
        <v>bəŋkər</v>
      </c>
      <c r="E7552" s="2" t="str">
        <f>IFERROR(__xludf.DUMMYFUNCTION("IFERROR(VLOOKUP(A7552, IMPORTRANGE(""https://docs.google.com/spreadsheets/d/1-3Vjw2Cyy-mry5gbC8ypIR3YVGFfEpyFESummAta6sg/edit"", ""Sheet1!B:D""), 3, FALSE), ""Not Found"")"),"b ə ŋ k ə r ")</f>
        <v>b ə ŋ k ə r </v>
      </c>
    </row>
    <row r="7553">
      <c r="A7553" s="1" t="s">
        <v>7555</v>
      </c>
      <c r="B7553" s="1" t="s">
        <v>6138</v>
      </c>
      <c r="C7553" s="2">
        <f>IFERROR(__xludf.DUMMYFUNCTION("IFERROR(VLOOKUP(A7553, IMPORTRANGE(""https://docs.google.com/spreadsheets/d/1AVX9GT0dgogEBStecCXMMQ29tWz3gBrtNB8yIromXbY/edit?gid=741673867"", ""out1g!A:B""), 2, FALSE), 0)"),61.0)</f>
        <v>61</v>
      </c>
      <c r="D7553" s="2" t="str">
        <f>IFERROR(__xludf.DUMMYFUNCTION("IFERROR(VLOOKUP(A7553, IMPORTRANGE(""https://docs.google.com/spreadsheets/d/1-3Vjw2Cyy-mry5gbC8ypIR3YVGFfEpyFESummAta6sg/edit"", ""Sheet1!B:D""), 2, FALSE), ""Not Found"")"),"drægz")</f>
        <v>drægz</v>
      </c>
      <c r="E7553" s="2" t="str">
        <f>IFERROR(__xludf.DUMMYFUNCTION("IFERROR(VLOOKUP(A7553, IMPORTRANGE(""https://docs.google.com/spreadsheets/d/1-3Vjw2Cyy-mry5gbC8ypIR3YVGFfEpyFESummAta6sg/edit"", ""Sheet1!B:D""), 3, FALSE), ""Not Found"")"),"d r æ g z ")</f>
        <v>d r æ g z </v>
      </c>
    </row>
    <row r="7554">
      <c r="A7554" s="1" t="s">
        <v>7556</v>
      </c>
      <c r="B7554" s="1" t="s">
        <v>6138</v>
      </c>
      <c r="C7554" s="2">
        <f>IFERROR(__xludf.DUMMYFUNCTION("IFERROR(VLOOKUP(A7554, IMPORTRANGE(""https://docs.google.com/spreadsheets/d/1AVX9GT0dgogEBStecCXMMQ29tWz3gBrtNB8yIromXbY/edit?gid=741673867"", ""out1g!A:B""), 2, FALSE), 0)"),711.0)</f>
        <v>711</v>
      </c>
      <c r="D7554" s="2" t="str">
        <f>IFERROR(__xludf.DUMMYFUNCTION("IFERROR(VLOOKUP(A7554, IMPORTRANGE(""https://docs.google.com/spreadsheets/d/1-3Vjw2Cyy-mry5gbC8ypIR3YVGFfEpyFESummAta6sg/edit"", ""Sheet1!B:D""), 2, FALSE), ""Not Found"")"),"dæləs")</f>
        <v>dæləs</v>
      </c>
      <c r="E7554" s="2" t="str">
        <f>IFERROR(__xludf.DUMMYFUNCTION("IFERROR(VLOOKUP(A7554, IMPORTRANGE(""https://docs.google.com/spreadsheets/d/1-3Vjw2Cyy-mry5gbC8ypIR3YVGFfEpyFESummAta6sg/edit"", ""Sheet1!B:D""), 3, FALSE), ""Not Found"")"),"d æ l ə s ")</f>
        <v>d æ l ə s </v>
      </c>
    </row>
    <row r="7555">
      <c r="A7555" s="1" t="s">
        <v>7557</v>
      </c>
      <c r="B7555" s="1" t="s">
        <v>6138</v>
      </c>
      <c r="C7555" s="2">
        <f>IFERROR(__xludf.DUMMYFUNCTION("IFERROR(VLOOKUP(A7555, IMPORTRANGE(""https://docs.google.com/spreadsheets/d/1AVX9GT0dgogEBStecCXMMQ29tWz3gBrtNB8yIromXbY/edit?gid=741673867"", ""out1g!A:B""), 2, FALSE), 0)"),245.0)</f>
        <v>245</v>
      </c>
      <c r="D7555" s="2" t="str">
        <f>IFERROR(__xludf.DUMMYFUNCTION("IFERROR(VLOOKUP(A7555, IMPORTRANGE(""https://docs.google.com/spreadsheets/d/1-3Vjw2Cyy-mry5gbC8ypIR3YVGFfEpyFESummAta6sg/edit"", ""Sheet1!B:D""), 2, FALSE), ""Not Found"")"),"frɔst")</f>
        <v>frɔst</v>
      </c>
      <c r="E7555" s="2" t="str">
        <f>IFERROR(__xludf.DUMMYFUNCTION("IFERROR(VLOOKUP(A7555, IMPORTRANGE(""https://docs.google.com/spreadsheets/d/1-3Vjw2Cyy-mry5gbC8ypIR3YVGFfEpyFESummAta6sg/edit"", ""Sheet1!B:D""), 3, FALSE), ""Not Found"")"),"f r ɔ s t ")</f>
        <v>f r ɔ s t </v>
      </c>
    </row>
    <row r="7556">
      <c r="A7556" s="1" t="s">
        <v>7558</v>
      </c>
      <c r="B7556" s="1" t="s">
        <v>6138</v>
      </c>
      <c r="C7556" s="2">
        <f>IFERROR(__xludf.DUMMYFUNCTION("IFERROR(VLOOKUP(A7556, IMPORTRANGE(""https://docs.google.com/spreadsheets/d/1AVX9GT0dgogEBStecCXMMQ29tWz3gBrtNB8yIromXbY/edit?gid=741673867"", ""out1g!A:B""), 2, FALSE), 0)"),49.0)</f>
        <v>49</v>
      </c>
      <c r="D7556" s="2" t="str">
        <f>IFERROR(__xludf.DUMMYFUNCTION("IFERROR(VLOOKUP(A7556, IMPORTRANGE(""https://docs.google.com/spreadsheets/d/1-3Vjw2Cyy-mry5gbC8ypIR3YVGFfEpyFESummAta6sg/edit"", ""Sheet1!B:D""), 2, FALSE), ""Not Found"")"),"æmps")</f>
        <v>æmps</v>
      </c>
      <c r="E7556" s="2" t="str">
        <f>IFERROR(__xludf.DUMMYFUNCTION("IFERROR(VLOOKUP(A7556, IMPORTRANGE(""https://docs.google.com/spreadsheets/d/1-3Vjw2Cyy-mry5gbC8ypIR3YVGFfEpyFESummAta6sg/edit"", ""Sheet1!B:D""), 3, FALSE), ""Not Found"")"),"æ m p s ")</f>
        <v>æ m p s </v>
      </c>
    </row>
    <row r="7557">
      <c r="A7557" s="1" t="s">
        <v>7559</v>
      </c>
      <c r="B7557" s="1" t="s">
        <v>6138</v>
      </c>
      <c r="C7557" s="2">
        <f>IFERROR(__xludf.DUMMYFUNCTION("IFERROR(VLOOKUP(A7557, IMPORTRANGE(""https://docs.google.com/spreadsheets/d/1AVX9GT0dgogEBStecCXMMQ29tWz3gBrtNB8yIromXbY/edit?gid=741673867"", ""out1g!A:B""), 2, FALSE), 0)"),672.0)</f>
        <v>672</v>
      </c>
      <c r="D7557" s="2" t="str">
        <f>IFERROR(__xludf.DUMMYFUNCTION("IFERROR(VLOOKUP(A7557, IMPORTRANGE(""https://docs.google.com/spreadsheets/d/1-3Vjw2Cyy-mry5gbC8ypIR3YVGFfEpyFESummAta6sg/edit"", ""Sheet1!B:D""), 2, FALSE), ""Not Found"")"),"trækɪŋ")</f>
        <v>trækɪŋ</v>
      </c>
      <c r="E7557" s="2" t="str">
        <f>IFERROR(__xludf.DUMMYFUNCTION("IFERROR(VLOOKUP(A7557, IMPORTRANGE(""https://docs.google.com/spreadsheets/d/1-3Vjw2Cyy-mry5gbC8ypIR3YVGFfEpyFESummAta6sg/edit"", ""Sheet1!B:D""), 3, FALSE), ""Not Found"")"),"t r æ k ɪ ŋ ")</f>
        <v>t r æ k ɪ ŋ </v>
      </c>
    </row>
    <row r="7558">
      <c r="A7558" s="1" t="s">
        <v>7560</v>
      </c>
      <c r="B7558" s="1" t="s">
        <v>6138</v>
      </c>
      <c r="C7558" s="2">
        <f>IFERROR(__xludf.DUMMYFUNCTION("IFERROR(VLOOKUP(A7558, IMPORTRANGE(""https://docs.google.com/spreadsheets/d/1AVX9GT0dgogEBStecCXMMQ29tWz3gBrtNB8yIromXbY/edit?gid=741673867"", ""out1g!A:B""), 2, FALSE), 0)"),305.0)</f>
        <v>305</v>
      </c>
      <c r="D7558" s="2" t="str">
        <f>IFERROR(__xludf.DUMMYFUNCTION("IFERROR(VLOOKUP(A7558, IMPORTRANGE(""https://docs.google.com/spreadsheets/d/1-3Vjw2Cyy-mry5gbC8ypIR3YVGFfEpyFESummAta6sg/edit"", ""Sheet1!B:D""), 2, FALSE), ""Not Found"")"),"poʊstər")</f>
        <v>poʊstər</v>
      </c>
      <c r="E7558" s="2" t="str">
        <f>IFERROR(__xludf.DUMMYFUNCTION("IFERROR(VLOOKUP(A7558, IMPORTRANGE(""https://docs.google.com/spreadsheets/d/1-3Vjw2Cyy-mry5gbC8ypIR3YVGFfEpyFESummAta6sg/edit"", ""Sheet1!B:D""), 3, FALSE), ""Not Found"")"),"p o ʊ s t ə r ")</f>
        <v>p o ʊ s t ə r </v>
      </c>
    </row>
    <row r="7559">
      <c r="A7559" s="1" t="s">
        <v>7561</v>
      </c>
      <c r="B7559" s="1" t="s">
        <v>6138</v>
      </c>
      <c r="C7559" s="2">
        <f>IFERROR(__xludf.DUMMYFUNCTION("IFERROR(VLOOKUP(A7559, IMPORTRANGE(""https://docs.google.com/spreadsheets/d/1AVX9GT0dgogEBStecCXMMQ29tWz3gBrtNB8yIromXbY/edit?gid=741673867"", ""out1g!A:B""), 2, FALSE), 0)"),121.0)</f>
        <v>121</v>
      </c>
      <c r="D7559" s="2" t="str">
        <f>IFERROR(__xludf.DUMMYFUNCTION("IFERROR(VLOOKUP(A7559, IMPORTRANGE(""https://docs.google.com/spreadsheets/d/1-3Vjw2Cyy-mry5gbC8ypIR3YVGFfEpyFESummAta6sg/edit"", ""Sheet1!B:D""), 2, FALSE), ""Not Found"")"),"fɪʃɪz")</f>
        <v>fɪʃɪz</v>
      </c>
      <c r="E7559" s="2" t="str">
        <f>IFERROR(__xludf.DUMMYFUNCTION("IFERROR(VLOOKUP(A7559, IMPORTRANGE(""https://docs.google.com/spreadsheets/d/1-3Vjw2Cyy-mry5gbC8ypIR3YVGFfEpyFESummAta6sg/edit"", ""Sheet1!B:D""), 3, FALSE), ""Not Found"")"),"f ɪ ʃ ɪ z ")</f>
        <v>f ɪ ʃ ɪ z </v>
      </c>
    </row>
    <row r="7560">
      <c r="A7560" s="1" t="s">
        <v>7562</v>
      </c>
      <c r="B7560" s="1" t="s">
        <v>6138</v>
      </c>
      <c r="C7560" s="2">
        <f>IFERROR(__xludf.DUMMYFUNCTION("IFERROR(VLOOKUP(A7560, IMPORTRANGE(""https://docs.google.com/spreadsheets/d/1AVX9GT0dgogEBStecCXMMQ29tWz3gBrtNB8yIromXbY/edit?gid=741673867"", ""out1g!A:B""), 2, FALSE), 0)"),61.0)</f>
        <v>61</v>
      </c>
      <c r="D7560" s="2" t="str">
        <f>IFERROR(__xludf.DUMMYFUNCTION("IFERROR(VLOOKUP(A7560, IMPORTRANGE(""https://docs.google.com/spreadsheets/d/1-3Vjw2Cyy-mry5gbC8ypIR3YVGFfEpyFESummAta6sg/edit"", ""Sheet1!B:D""), 2, FALSE), ""Not Found"")"),"kraʊnɪŋ")</f>
        <v>kraʊnɪŋ</v>
      </c>
      <c r="E7560" s="2" t="str">
        <f>IFERROR(__xludf.DUMMYFUNCTION("IFERROR(VLOOKUP(A7560, IMPORTRANGE(""https://docs.google.com/spreadsheets/d/1-3Vjw2Cyy-mry5gbC8ypIR3YVGFfEpyFESummAta6sg/edit"", ""Sheet1!B:D""), 3, FALSE), ""Not Found"")"),"k r a ʊ n ɪ ŋ ")</f>
        <v>k r a ʊ n ɪ ŋ </v>
      </c>
    </row>
    <row r="7561">
      <c r="A7561" s="1" t="s">
        <v>7563</v>
      </c>
      <c r="B7561" s="1" t="s">
        <v>6138</v>
      </c>
      <c r="C7561" s="2">
        <f>IFERROR(__xludf.DUMMYFUNCTION("IFERROR(VLOOKUP(A7561, IMPORTRANGE(""https://docs.google.com/spreadsheets/d/1AVX9GT0dgogEBStecCXMMQ29tWz3gBrtNB8yIromXbY/edit?gid=741673867"", ""out1g!A:B""), 2, FALSE), 0)"),76.0)</f>
        <v>76</v>
      </c>
      <c r="D7561" s="2" t="str">
        <f>IFERROR(__xludf.DUMMYFUNCTION("IFERROR(VLOOKUP(A7561, IMPORTRANGE(""https://docs.google.com/spreadsheets/d/1-3Vjw2Cyy-mry5gbC8ypIR3YVGFfEpyFESummAta6sg/edit"", ""Sheet1!B:D""), 2, FALSE), ""Not Found"")"),"tɑrtər")</f>
        <v>tɑrtər</v>
      </c>
      <c r="E7561" s="2" t="str">
        <f>IFERROR(__xludf.DUMMYFUNCTION("IFERROR(VLOOKUP(A7561, IMPORTRANGE(""https://docs.google.com/spreadsheets/d/1-3Vjw2Cyy-mry5gbC8ypIR3YVGFfEpyFESummAta6sg/edit"", ""Sheet1!B:D""), 3, FALSE), ""Not Found"")"),"t ɑ r t ə r ")</f>
        <v>t ɑ r t ə r </v>
      </c>
    </row>
    <row r="7562">
      <c r="A7562" s="1" t="s">
        <v>7564</v>
      </c>
      <c r="B7562" s="1" t="s">
        <v>6138</v>
      </c>
      <c r="C7562" s="2">
        <f>IFERROR(__xludf.DUMMYFUNCTION("IFERROR(VLOOKUP(A7562, IMPORTRANGE(""https://docs.google.com/spreadsheets/d/1AVX9GT0dgogEBStecCXMMQ29tWz3gBrtNB8yIromXbY/edit?gid=741673867"", ""out1g!A:B""), 2, FALSE), 0)"),175.0)</f>
        <v>175</v>
      </c>
      <c r="D7562" s="2" t="str">
        <f>IFERROR(__xludf.DUMMYFUNCTION("IFERROR(VLOOKUP(A7562, IMPORTRANGE(""https://docs.google.com/spreadsheets/d/1-3Vjw2Cyy-mry5gbC8ypIR3YVGFfEpyFESummAta6sg/edit"", ""Sheet1!B:D""), 2, FALSE), ""Not Found"")"),"ʧɛvi")</f>
        <v>ʧɛvi</v>
      </c>
      <c r="E7562" s="2" t="str">
        <f>IFERROR(__xludf.DUMMYFUNCTION("IFERROR(VLOOKUP(A7562, IMPORTRANGE(""https://docs.google.com/spreadsheets/d/1-3Vjw2Cyy-mry5gbC8ypIR3YVGFfEpyFESummAta6sg/edit"", ""Sheet1!B:D""), 3, FALSE), ""Not Found"")"),"ʧ ɛ v i ")</f>
        <v>ʧ ɛ v i </v>
      </c>
    </row>
    <row r="7563">
      <c r="A7563" s="1" t="s">
        <v>7565</v>
      </c>
      <c r="B7563" s="1" t="s">
        <v>6138</v>
      </c>
      <c r="C7563" s="2">
        <f>IFERROR(__xludf.DUMMYFUNCTION("IFERROR(VLOOKUP(A7563, IMPORTRANGE(""https://docs.google.com/spreadsheets/d/1AVX9GT0dgogEBStecCXMMQ29tWz3gBrtNB8yIromXbY/edit?gid=741673867"", ""out1g!A:B""), 2, FALSE), 0)"),361.0)</f>
        <v>361</v>
      </c>
      <c r="D7563" s="2" t="str">
        <f>IFERROR(__xludf.DUMMYFUNCTION("IFERROR(VLOOKUP(A7563, IMPORTRANGE(""https://docs.google.com/spreadsheets/d/1-3Vjw2Cyy-mry5gbC8ypIR3YVGFfEpyFESummAta6sg/edit"", ""Sheet1!B:D""), 2, FALSE), ""Not Found"")"),"ɛriəl")</f>
        <v>ɛriəl</v>
      </c>
      <c r="E7563" s="2" t="str">
        <f>IFERROR(__xludf.DUMMYFUNCTION("IFERROR(VLOOKUP(A7563, IMPORTRANGE(""https://docs.google.com/spreadsheets/d/1-3Vjw2Cyy-mry5gbC8ypIR3YVGFfEpyFESummAta6sg/edit"", ""Sheet1!B:D""), 3, FALSE), ""Not Found"")"),"ɛ r i ə l ")</f>
        <v>ɛ r i ə l </v>
      </c>
    </row>
    <row r="7564">
      <c r="A7564" s="1" t="s">
        <v>7566</v>
      </c>
      <c r="B7564" s="1" t="s">
        <v>6138</v>
      </c>
      <c r="C7564" s="2">
        <f>IFERROR(__xludf.DUMMYFUNCTION("IFERROR(VLOOKUP(A7564, IMPORTRANGE(""https://docs.google.com/spreadsheets/d/1AVX9GT0dgogEBStecCXMMQ29tWz3gBrtNB8yIromXbY/edit?gid=741673867"", ""out1g!A:B""), 2, FALSE), 0)"),282.0)</f>
        <v>282</v>
      </c>
      <c r="D7564" s="2" t="str">
        <f>IFERROR(__xludf.DUMMYFUNCTION("IFERROR(VLOOKUP(A7564, IMPORTRANGE(""https://docs.google.com/spreadsheets/d/1-3Vjw2Cyy-mry5gbC8ypIR3YVGFfEpyFESummAta6sg/edit"", ""Sheet1!B:D""), 2, FALSE), ""Not Found"")"),"medən")</f>
        <v>medən</v>
      </c>
      <c r="E7564" s="2" t="str">
        <f>IFERROR(__xludf.DUMMYFUNCTION("IFERROR(VLOOKUP(A7564, IMPORTRANGE(""https://docs.google.com/spreadsheets/d/1-3Vjw2Cyy-mry5gbC8ypIR3YVGFfEpyFESummAta6sg/edit"", ""Sheet1!B:D""), 3, FALSE), ""Not Found"")"),"m e d ə n ")</f>
        <v>m e d ə n </v>
      </c>
    </row>
    <row r="7565">
      <c r="A7565" s="1" t="s">
        <v>7567</v>
      </c>
      <c r="B7565" s="1" t="s">
        <v>6138</v>
      </c>
      <c r="C7565" s="2">
        <f>IFERROR(__xludf.DUMMYFUNCTION("IFERROR(VLOOKUP(A7565, IMPORTRANGE(""https://docs.google.com/spreadsheets/d/1AVX9GT0dgogEBStecCXMMQ29tWz3gBrtNB8yIromXbY/edit?gid=741673867"", ""out1g!A:B""), 2, FALSE), 0)"),82.0)</f>
        <v>82</v>
      </c>
      <c r="D7565" s="2" t="str">
        <f>IFERROR(__xludf.DUMMYFUNCTION("IFERROR(VLOOKUP(A7565, IMPORTRANGE(""https://docs.google.com/spreadsheets/d/1-3Vjw2Cyy-mry5gbC8ypIR3YVGFfEpyFESummAta6sg/edit"", ""Sheet1!B:D""), 2, FALSE), ""Not Found"")"),"taɪmd")</f>
        <v>taɪmd</v>
      </c>
      <c r="E7565" s="2" t="str">
        <f>IFERROR(__xludf.DUMMYFUNCTION("IFERROR(VLOOKUP(A7565, IMPORTRANGE(""https://docs.google.com/spreadsheets/d/1-3Vjw2Cyy-mry5gbC8ypIR3YVGFfEpyFESummAta6sg/edit"", ""Sheet1!B:D""), 3, FALSE), ""Not Found"")"),"t a ɪ m d ")</f>
        <v>t a ɪ m d </v>
      </c>
    </row>
    <row r="7566">
      <c r="A7566" s="1" t="s">
        <v>7568</v>
      </c>
      <c r="B7566" s="1" t="s">
        <v>6138</v>
      </c>
      <c r="C7566" s="2">
        <f>IFERROR(__xludf.DUMMYFUNCTION("IFERROR(VLOOKUP(A7566, IMPORTRANGE(""https://docs.google.com/spreadsheets/d/1AVX9GT0dgogEBStecCXMMQ29tWz3gBrtNB8yIromXbY/edit?gid=741673867"", ""out1g!A:B""), 2, FALSE), 0)"),251.0)</f>
        <v>251</v>
      </c>
      <c r="D7566" s="2" t="str">
        <f>IFERROR(__xludf.DUMMYFUNCTION("IFERROR(VLOOKUP(A7566, IMPORTRANGE(""https://docs.google.com/spreadsheets/d/1-3Vjw2Cyy-mry5gbC8ypIR3YVGFfEpyFESummAta6sg/edit"", ""Sheet1!B:D""), 2, FALSE), ""Not Found"")"),"sketɪŋ")</f>
        <v>sketɪŋ</v>
      </c>
      <c r="E7566" s="2" t="str">
        <f>IFERROR(__xludf.DUMMYFUNCTION("IFERROR(VLOOKUP(A7566, IMPORTRANGE(""https://docs.google.com/spreadsheets/d/1-3Vjw2Cyy-mry5gbC8ypIR3YVGFfEpyFESummAta6sg/edit"", ""Sheet1!B:D""), 3, FALSE), ""Not Found"")"),"s k e t ɪ ŋ ")</f>
        <v>s k e t ɪ ŋ </v>
      </c>
    </row>
    <row r="7567">
      <c r="A7567" s="1" t="s">
        <v>7569</v>
      </c>
      <c r="B7567" s="1" t="s">
        <v>6138</v>
      </c>
      <c r="C7567" s="2">
        <f>IFERROR(__xludf.DUMMYFUNCTION("IFERROR(VLOOKUP(A7567, IMPORTRANGE(""https://docs.google.com/spreadsheets/d/1AVX9GT0dgogEBStecCXMMQ29tWz3gBrtNB8yIromXbY/edit?gid=741673867"", ""out1g!A:B""), 2, FALSE), 0)"),106.0)</f>
        <v>106</v>
      </c>
      <c r="D7567" s="2" t="str">
        <f>IFERROR(__xludf.DUMMYFUNCTION("IFERROR(VLOOKUP(A7567, IMPORTRANGE(""https://docs.google.com/spreadsheets/d/1-3Vjw2Cyy-mry5gbC8ypIR3YVGFfEpyFESummAta6sg/edit"", ""Sheet1!B:D""), 2, FALSE), ""Not Found"")"),"θɪkər")</f>
        <v>θɪkər</v>
      </c>
      <c r="E7567" s="2" t="str">
        <f>IFERROR(__xludf.DUMMYFUNCTION("IFERROR(VLOOKUP(A7567, IMPORTRANGE(""https://docs.google.com/spreadsheets/d/1-3Vjw2Cyy-mry5gbC8ypIR3YVGFfEpyFESummAta6sg/edit"", ""Sheet1!B:D""), 3, FALSE), ""Not Found"")"),"θ ɪ k ə r ")</f>
        <v>θ ɪ k ə r </v>
      </c>
    </row>
    <row r="7568">
      <c r="A7568" s="1" t="s">
        <v>7570</v>
      </c>
      <c r="B7568" s="1" t="s">
        <v>6138</v>
      </c>
      <c r="C7568" s="2">
        <f>IFERROR(__xludf.DUMMYFUNCTION("IFERROR(VLOOKUP(A7568, IMPORTRANGE(""https://docs.google.com/spreadsheets/d/1AVX9GT0dgogEBStecCXMMQ29tWz3gBrtNB8yIromXbY/edit?gid=741673867"", ""out1g!A:B""), 2, FALSE), 0)"),190.0)</f>
        <v>190</v>
      </c>
      <c r="D7568" s="2" t="str">
        <f>IFERROR(__xludf.DUMMYFUNCTION("IFERROR(VLOOKUP(A7568, IMPORTRANGE(""https://docs.google.com/spreadsheets/d/1-3Vjw2Cyy-mry5gbC8ypIR3YVGFfEpyFESummAta6sg/edit"", ""Sheet1!B:D""), 2, FALSE), ""Not Found"")"),"pɑrks")</f>
        <v>pɑrks</v>
      </c>
      <c r="E7568" s="2" t="str">
        <f>IFERROR(__xludf.DUMMYFUNCTION("IFERROR(VLOOKUP(A7568, IMPORTRANGE(""https://docs.google.com/spreadsheets/d/1-3Vjw2Cyy-mry5gbC8ypIR3YVGFfEpyFESummAta6sg/edit"", ""Sheet1!B:D""), 3, FALSE), ""Not Found"")"),"p ɑ r k s ")</f>
        <v>p ɑ r k s </v>
      </c>
    </row>
    <row r="7569">
      <c r="A7569" s="1" t="s">
        <v>7571</v>
      </c>
      <c r="B7569" s="1" t="s">
        <v>6138</v>
      </c>
      <c r="C7569" s="2">
        <f>IFERROR(__xludf.DUMMYFUNCTION("IFERROR(VLOOKUP(A7569, IMPORTRANGE(""https://docs.google.com/spreadsheets/d/1AVX9GT0dgogEBStecCXMMQ29tWz3gBrtNB8yIromXbY/edit?gid=741673867"", ""out1g!A:B""), 2, FALSE), 0)"),70.0)</f>
        <v>70</v>
      </c>
      <c r="D7569" s="2" t="str">
        <f>IFERROR(__xludf.DUMMYFUNCTION("IFERROR(VLOOKUP(A7569, IMPORTRANGE(""https://docs.google.com/spreadsheets/d/1-3Vjw2Cyy-mry5gbC8ypIR3YVGFfEpyFESummAta6sg/edit"", ""Sheet1!B:D""), 2, FALSE), ""Not Found"")"),"mænɪk")</f>
        <v>mænɪk</v>
      </c>
      <c r="E7569" s="2" t="str">
        <f>IFERROR(__xludf.DUMMYFUNCTION("IFERROR(VLOOKUP(A7569, IMPORTRANGE(""https://docs.google.com/spreadsheets/d/1-3Vjw2Cyy-mry5gbC8ypIR3YVGFfEpyFESummAta6sg/edit"", ""Sheet1!B:D""), 3, FALSE), ""Not Found"")"),"m æ n ɪ k ")</f>
        <v>m æ n ɪ k </v>
      </c>
    </row>
    <row r="7570">
      <c r="A7570" s="1" t="s">
        <v>7572</v>
      </c>
      <c r="B7570" s="1" t="s">
        <v>6138</v>
      </c>
      <c r="C7570" s="2">
        <f>IFERROR(__xludf.DUMMYFUNCTION("IFERROR(VLOOKUP(A7570, IMPORTRANGE(""https://docs.google.com/spreadsheets/d/1AVX9GT0dgogEBStecCXMMQ29tWz3gBrtNB8yIromXbY/edit?gid=741673867"", ""out1g!A:B""), 2, FALSE), 0)"),506.0)</f>
        <v>506</v>
      </c>
      <c r="D7570" s="2" t="str">
        <f>IFERROR(__xludf.DUMMYFUNCTION("IFERROR(VLOOKUP(A7570, IMPORTRANGE(""https://docs.google.com/spreadsheets/d/1-3Vjw2Cyy-mry5gbC8ypIR3YVGFfEpyFESummAta6sg/edit"", ""Sheet1!B:D""), 2, FALSE), ""Not Found"")"),"tæŋks")</f>
        <v>tæŋks</v>
      </c>
      <c r="E7570" s="2" t="str">
        <f>IFERROR(__xludf.DUMMYFUNCTION("IFERROR(VLOOKUP(A7570, IMPORTRANGE(""https://docs.google.com/spreadsheets/d/1-3Vjw2Cyy-mry5gbC8ypIR3YVGFfEpyFESummAta6sg/edit"", ""Sheet1!B:D""), 3, FALSE), ""Not Found"")"),"t æ ŋ k s ")</f>
        <v>t æ ŋ k s </v>
      </c>
    </row>
    <row r="7571">
      <c r="A7571" s="1" t="s">
        <v>7573</v>
      </c>
      <c r="B7571" s="1" t="s">
        <v>6138</v>
      </c>
      <c r="C7571" s="2">
        <f>IFERROR(__xludf.DUMMYFUNCTION("IFERROR(VLOOKUP(A7571, IMPORTRANGE(""https://docs.google.com/spreadsheets/d/1AVX9GT0dgogEBStecCXMMQ29tWz3gBrtNB8yIromXbY/edit?gid=741673867"", ""out1g!A:B""), 2, FALSE), 0)"),77.0)</f>
        <v>77</v>
      </c>
      <c r="D7571" s="2" t="str">
        <f>IFERROR(__xludf.DUMMYFUNCTION("IFERROR(VLOOKUP(A7571, IMPORTRANGE(""https://docs.google.com/spreadsheets/d/1-3Vjw2Cyy-mry5gbC8ypIR3YVGFfEpyFESummAta6sg/edit"", ""Sheet1!B:D""), 2, FALSE), ""Not Found"")"),"braʊnz")</f>
        <v>braʊnz</v>
      </c>
      <c r="E7571" s="2" t="str">
        <f>IFERROR(__xludf.DUMMYFUNCTION("IFERROR(VLOOKUP(A7571, IMPORTRANGE(""https://docs.google.com/spreadsheets/d/1-3Vjw2Cyy-mry5gbC8ypIR3YVGFfEpyFESummAta6sg/edit"", ""Sheet1!B:D""), 3, FALSE), ""Not Found"")"),"b r a ʊ n z ")</f>
        <v>b r a ʊ n z </v>
      </c>
    </row>
    <row r="7572">
      <c r="A7572" s="1" t="s">
        <v>7574</v>
      </c>
      <c r="B7572" s="1" t="s">
        <v>6138</v>
      </c>
      <c r="C7572" s="2">
        <f>IFERROR(__xludf.DUMMYFUNCTION("IFERROR(VLOOKUP(A7572, IMPORTRANGE(""https://docs.google.com/spreadsheets/d/1AVX9GT0dgogEBStecCXMMQ29tWz3gBrtNB8yIromXbY/edit?gid=741673867"", ""out1g!A:B""), 2, FALSE), 0)"),82.0)</f>
        <v>82</v>
      </c>
      <c r="D7572" s="2" t="str">
        <f>IFERROR(__xludf.DUMMYFUNCTION("IFERROR(VLOOKUP(A7572, IMPORTRANGE(""https://docs.google.com/spreadsheets/d/1-3Vjw2Cyy-mry5gbC8ypIR3YVGFfEpyFESummAta6sg/edit"", ""Sheet1!B:D""), 2, FALSE), ""Not Found"")"),"ʧaʊdər")</f>
        <v>ʧaʊdər</v>
      </c>
      <c r="E7572" s="2" t="str">
        <f>IFERROR(__xludf.DUMMYFUNCTION("IFERROR(VLOOKUP(A7572, IMPORTRANGE(""https://docs.google.com/spreadsheets/d/1-3Vjw2Cyy-mry5gbC8ypIR3YVGFfEpyFESummAta6sg/edit"", ""Sheet1!B:D""), 3, FALSE), ""Not Found"")"),"ʧ a ʊ d ə r ")</f>
        <v>ʧ a ʊ d ə r </v>
      </c>
    </row>
    <row r="7573">
      <c r="A7573" s="1" t="s">
        <v>7575</v>
      </c>
      <c r="B7573" s="1" t="s">
        <v>6138</v>
      </c>
      <c r="C7573" s="2">
        <f>IFERROR(__xludf.DUMMYFUNCTION("IFERROR(VLOOKUP(A7573, IMPORTRANGE(""https://docs.google.com/spreadsheets/d/1AVX9GT0dgogEBStecCXMMQ29tWz3gBrtNB8yIromXbY/edit?gid=741673867"", ""out1g!A:B""), 2, FALSE), 0)"),926.0)</f>
        <v>926</v>
      </c>
      <c r="D7573" s="2" t="str">
        <f>IFERROR(__xludf.DUMMYFUNCTION("IFERROR(VLOOKUP(A7573, IMPORTRANGE(""https://docs.google.com/spreadsheets/d/1-3Vjw2Cyy-mry5gbC8ypIR3YVGFfEpyFESummAta6sg/edit"", ""Sheet1!B:D""), 2, FALSE), ""Not Found"")"),"rəsəl")</f>
        <v>rəsəl</v>
      </c>
      <c r="E7573" s="2" t="str">
        <f>IFERROR(__xludf.DUMMYFUNCTION("IFERROR(VLOOKUP(A7573, IMPORTRANGE(""https://docs.google.com/spreadsheets/d/1-3Vjw2Cyy-mry5gbC8ypIR3YVGFfEpyFESummAta6sg/edit"", ""Sheet1!B:D""), 3, FALSE), ""Not Found"")"),"r ə s ə l ")</f>
        <v>r ə s ə l </v>
      </c>
    </row>
    <row r="7574">
      <c r="A7574" s="1" t="s">
        <v>7576</v>
      </c>
      <c r="B7574" s="1" t="s">
        <v>6138</v>
      </c>
      <c r="C7574" s="2">
        <f>IFERROR(__xludf.DUMMYFUNCTION("IFERROR(VLOOKUP(A7574, IMPORTRANGE(""https://docs.google.com/spreadsheets/d/1AVX9GT0dgogEBStecCXMMQ29tWz3gBrtNB8yIromXbY/edit?gid=741673867"", ""out1g!A:B""), 2, FALSE), 0)"),485.0)</f>
        <v>485</v>
      </c>
      <c r="D7574" s="2" t="str">
        <f>IFERROR(__xludf.DUMMYFUNCTION("IFERROR(VLOOKUP(A7574, IMPORTRANGE(""https://docs.google.com/spreadsheets/d/1-3Vjw2Cyy-mry5gbC8ypIR3YVGFfEpyFESummAta6sg/edit"", ""Sheet1!B:D""), 2, FALSE), ""Not Found"")"),"straɪks")</f>
        <v>straɪks</v>
      </c>
      <c r="E7574" s="2" t="str">
        <f>IFERROR(__xludf.DUMMYFUNCTION("IFERROR(VLOOKUP(A7574, IMPORTRANGE(""https://docs.google.com/spreadsheets/d/1-3Vjw2Cyy-mry5gbC8ypIR3YVGFfEpyFESummAta6sg/edit"", ""Sheet1!B:D""), 3, FALSE), ""Not Found"")"),"s t r a ɪ k s ")</f>
        <v>s t r a ɪ k s </v>
      </c>
    </row>
    <row r="7575">
      <c r="A7575" s="1" t="s">
        <v>7577</v>
      </c>
      <c r="B7575" s="1" t="s">
        <v>6138</v>
      </c>
      <c r="C7575" s="2">
        <f>IFERROR(__xludf.DUMMYFUNCTION("IFERROR(VLOOKUP(A7575, IMPORTRANGE(""https://docs.google.com/spreadsheets/d/1AVX9GT0dgogEBStecCXMMQ29tWz3gBrtNB8yIromXbY/edit?gid=741673867"", ""out1g!A:B""), 2, FALSE), 0)"),248.0)</f>
        <v>248</v>
      </c>
      <c r="D7575" s="2" t="str">
        <f>IFERROR(__xludf.DUMMYFUNCTION("IFERROR(VLOOKUP(A7575, IMPORTRANGE(""https://docs.google.com/spreadsheets/d/1-3Vjw2Cyy-mry5gbC8ypIR3YVGFfEpyFESummAta6sg/edit"", ""Sheet1!B:D""), 2, FALSE), ""Not Found"")"),"loʊdɪŋ")</f>
        <v>loʊdɪŋ</v>
      </c>
      <c r="E7575" s="2" t="str">
        <f>IFERROR(__xludf.DUMMYFUNCTION("IFERROR(VLOOKUP(A7575, IMPORTRANGE(""https://docs.google.com/spreadsheets/d/1-3Vjw2Cyy-mry5gbC8ypIR3YVGFfEpyFESummAta6sg/edit"", ""Sheet1!B:D""), 3, FALSE), ""Not Found"")"),"l o ʊ d ɪ ŋ ")</f>
        <v>l o ʊ d ɪ ŋ </v>
      </c>
    </row>
    <row r="7576">
      <c r="A7576" s="1" t="s">
        <v>7578</v>
      </c>
      <c r="B7576" s="1" t="s">
        <v>6138</v>
      </c>
      <c r="C7576" s="2">
        <f>IFERROR(__xludf.DUMMYFUNCTION("IFERROR(VLOOKUP(A7576, IMPORTRANGE(""https://docs.google.com/spreadsheets/d/1AVX9GT0dgogEBStecCXMMQ29tWz3gBrtNB8yIromXbY/edit?gid=741673867"", ""out1g!A:B""), 2, FALSE), 0)"),14.0)</f>
        <v>14</v>
      </c>
      <c r="D7576" s="2" t="str">
        <f>IFERROR(__xludf.DUMMYFUNCTION("IFERROR(VLOOKUP(A7576, IMPORTRANGE(""https://docs.google.com/spreadsheets/d/1-3Vjw2Cyy-mry5gbC8ypIR3YVGFfEpyFESummAta6sg/edit"", ""Sheet1!B:D""), 2, FALSE), ""Not Found"")"),"snuzɪŋ")</f>
        <v>snuzɪŋ</v>
      </c>
      <c r="E7576" s="2" t="str">
        <f>IFERROR(__xludf.DUMMYFUNCTION("IFERROR(VLOOKUP(A7576, IMPORTRANGE(""https://docs.google.com/spreadsheets/d/1-3Vjw2Cyy-mry5gbC8ypIR3YVGFfEpyFESummAta6sg/edit"", ""Sheet1!B:D""), 3, FALSE), ""Not Found"")"),"s n u z ɪ ŋ ")</f>
        <v>s n u z ɪ ŋ </v>
      </c>
    </row>
    <row r="7577">
      <c r="A7577" s="1" t="s">
        <v>7579</v>
      </c>
      <c r="B7577" s="1" t="s">
        <v>6138</v>
      </c>
      <c r="C7577" s="2">
        <f>IFERROR(__xludf.DUMMYFUNCTION("IFERROR(VLOOKUP(A7577, IMPORTRANGE(""https://docs.google.com/spreadsheets/d/1AVX9GT0dgogEBStecCXMMQ29tWz3gBrtNB8yIromXbY/edit?gid=741673867"", ""out1g!A:B""), 2, FALSE), 0)"),1683.0)</f>
        <v>1683</v>
      </c>
      <c r="D7577" s="2" t="str">
        <f>IFERROR(__xludf.DUMMYFUNCTION("IFERROR(VLOOKUP(A7577, IMPORTRANGE(""https://docs.google.com/spreadsheets/d/1-3Vjw2Cyy-mry5gbC8ypIR3YVGFfEpyFESummAta6sg/edit"", ""Sheet1!B:D""), 2, FALSE), ""Not Found"")"),"haɪərd")</f>
        <v>haɪərd</v>
      </c>
      <c r="E7577" s="2" t="str">
        <f>IFERROR(__xludf.DUMMYFUNCTION("IFERROR(VLOOKUP(A7577, IMPORTRANGE(""https://docs.google.com/spreadsheets/d/1-3Vjw2Cyy-mry5gbC8ypIR3YVGFfEpyFESummAta6sg/edit"", ""Sheet1!B:D""), 3, FALSE), ""Not Found"")"),"h a ɪ ə r d ")</f>
        <v>h a ɪ ə r d </v>
      </c>
    </row>
    <row r="7578">
      <c r="A7578" s="1" t="s">
        <v>7580</v>
      </c>
      <c r="B7578" s="1" t="s">
        <v>6138</v>
      </c>
      <c r="C7578" s="2">
        <f>IFERROR(__xludf.DUMMYFUNCTION("IFERROR(VLOOKUP(A7578, IMPORTRANGE(""https://docs.google.com/spreadsheets/d/1AVX9GT0dgogEBStecCXMMQ29tWz3gBrtNB8yIromXbY/edit?gid=741673867"", ""out1g!A:B""), 2, FALSE), 0)"),3810.0)</f>
        <v>3810</v>
      </c>
      <c r="D7578" s="2" t="str">
        <f>IFERROR(__xludf.DUMMYFUNCTION("IFERROR(VLOOKUP(A7578, IMPORTRANGE(""https://docs.google.com/spreadsheets/d/1-3Vjw2Cyy-mry5gbC8ypIR3YVGFfEpyFESummAta6sg/edit"", ""Sheet1!B:D""), 2, FALSE), ""Not Found"")"),"ɔfər")</f>
        <v>ɔfər</v>
      </c>
      <c r="E7578" s="2" t="str">
        <f>IFERROR(__xludf.DUMMYFUNCTION("IFERROR(VLOOKUP(A7578, IMPORTRANGE(""https://docs.google.com/spreadsheets/d/1-3Vjw2Cyy-mry5gbC8ypIR3YVGFfEpyFESummAta6sg/edit"", ""Sheet1!B:D""), 3, FALSE), ""Not Found"")"),"ɔ f ə r ")</f>
        <v>ɔ f ə r </v>
      </c>
    </row>
    <row r="7579">
      <c r="A7579" s="1" t="s">
        <v>7581</v>
      </c>
      <c r="B7579" s="1" t="s">
        <v>6138</v>
      </c>
      <c r="C7579" s="2">
        <f>IFERROR(__xludf.DUMMYFUNCTION("IFERROR(VLOOKUP(A7579, IMPORTRANGE(""https://docs.google.com/spreadsheets/d/1AVX9GT0dgogEBStecCXMMQ29tWz3gBrtNB8yIromXbY/edit?gid=741673867"", ""out1g!A:B""), 2, FALSE), 0)"),52.0)</f>
        <v>52</v>
      </c>
      <c r="D7579" s="2" t="str">
        <f>IFERROR(__xludf.DUMMYFUNCTION("IFERROR(VLOOKUP(A7579, IMPORTRANGE(""https://docs.google.com/spreadsheets/d/1-3Vjw2Cyy-mry5gbC8ypIR3YVGFfEpyFESummAta6sg/edit"", ""Sheet1!B:D""), 2, FALSE), ""Not Found"")"),"væliz")</f>
        <v>væliz</v>
      </c>
      <c r="E7579" s="2" t="str">
        <f>IFERROR(__xludf.DUMMYFUNCTION("IFERROR(VLOOKUP(A7579, IMPORTRANGE(""https://docs.google.com/spreadsheets/d/1-3Vjw2Cyy-mry5gbC8ypIR3YVGFfEpyFESummAta6sg/edit"", ""Sheet1!B:D""), 3, FALSE), ""Not Found"")"),"v æ l i z ")</f>
        <v>v æ l i z </v>
      </c>
    </row>
    <row r="7580">
      <c r="A7580" s="1" t="s">
        <v>7582</v>
      </c>
      <c r="B7580" s="1" t="s">
        <v>6138</v>
      </c>
      <c r="C7580" s="2">
        <f>IFERROR(__xludf.DUMMYFUNCTION("IFERROR(VLOOKUP(A7580, IMPORTRANGE(""https://docs.google.com/spreadsheets/d/1AVX9GT0dgogEBStecCXMMQ29tWz3gBrtNB8yIromXbY/edit?gid=741673867"", ""out1g!A:B""), 2, FALSE), 0)"),88.0)</f>
        <v>88</v>
      </c>
      <c r="D7580" s="2" t="str">
        <f>IFERROR(__xludf.DUMMYFUNCTION("IFERROR(VLOOKUP(A7580, IMPORTRANGE(""https://docs.google.com/spreadsheets/d/1-3Vjw2Cyy-mry5gbC8ypIR3YVGFfEpyFESummAta6sg/edit"", ""Sheet1!B:D""), 2, FALSE), ""Not Found"")"),"blɛrɪŋ")</f>
        <v>blɛrɪŋ</v>
      </c>
      <c r="E7580" s="2" t="str">
        <f>IFERROR(__xludf.DUMMYFUNCTION("IFERROR(VLOOKUP(A7580, IMPORTRANGE(""https://docs.google.com/spreadsheets/d/1-3Vjw2Cyy-mry5gbC8ypIR3YVGFfEpyFESummAta6sg/edit"", ""Sheet1!B:D""), 3, FALSE), ""Not Found"")"),"b l ɛ r ɪ ŋ ")</f>
        <v>b l ɛ r ɪ ŋ </v>
      </c>
    </row>
    <row r="7581">
      <c r="A7581" s="1" t="s">
        <v>7583</v>
      </c>
      <c r="B7581" s="1" t="s">
        <v>6138</v>
      </c>
      <c r="C7581" s="2">
        <f>IFERROR(__xludf.DUMMYFUNCTION("IFERROR(VLOOKUP(A7581, IMPORTRANGE(""https://docs.google.com/spreadsheets/d/1AVX9GT0dgogEBStecCXMMQ29tWz3gBrtNB8yIromXbY/edit?gid=741673867"", ""out1g!A:B""), 2, FALSE), 0)"),104.0)</f>
        <v>104</v>
      </c>
      <c r="D7581" s="2" t="str">
        <f>IFERROR(__xludf.DUMMYFUNCTION("IFERROR(VLOOKUP(A7581, IMPORTRANGE(""https://docs.google.com/spreadsheets/d/1-3Vjw2Cyy-mry5gbC8ypIR3YVGFfEpyFESummAta6sg/edit"", ""Sheet1!B:D""), 2, FALSE), ""Not Found"")"),"læmps")</f>
        <v>læmps</v>
      </c>
      <c r="E7581" s="2" t="str">
        <f>IFERROR(__xludf.DUMMYFUNCTION("IFERROR(VLOOKUP(A7581, IMPORTRANGE(""https://docs.google.com/spreadsheets/d/1-3Vjw2Cyy-mry5gbC8ypIR3YVGFfEpyFESummAta6sg/edit"", ""Sheet1!B:D""), 3, FALSE), ""Not Found"")"),"l æ m p s ")</f>
        <v>l æ m p s </v>
      </c>
    </row>
    <row r="7582">
      <c r="A7582" s="1" t="s">
        <v>7584</v>
      </c>
      <c r="B7582" s="1" t="s">
        <v>6138</v>
      </c>
      <c r="C7582" s="2">
        <f>IFERROR(__xludf.DUMMYFUNCTION("IFERROR(VLOOKUP(A7582, IMPORTRANGE(""https://docs.google.com/spreadsheets/d/1AVX9GT0dgogEBStecCXMMQ29tWz3gBrtNB8yIromXbY/edit?gid=741673867"", ""out1g!A:B""), 2, FALSE), 0)"),100.0)</f>
        <v>100</v>
      </c>
      <c r="D7582" s="2" t="str">
        <f>IFERROR(__xludf.DUMMYFUNCTION("IFERROR(VLOOKUP(A7582, IMPORTRANGE(""https://docs.google.com/spreadsheets/d/1-3Vjw2Cyy-mry5gbC8ypIR3YVGFfEpyFESummAta6sg/edit"", ""Sheet1!B:D""), 2, FALSE), ""Not Found"")"),"stəmbəl")</f>
        <v>stəmbəl</v>
      </c>
      <c r="E7582" s="2" t="str">
        <f>IFERROR(__xludf.DUMMYFUNCTION("IFERROR(VLOOKUP(A7582, IMPORTRANGE(""https://docs.google.com/spreadsheets/d/1-3Vjw2Cyy-mry5gbC8ypIR3YVGFfEpyFESummAta6sg/edit"", ""Sheet1!B:D""), 3, FALSE), ""Not Found"")"),"s t ə m b ə l ")</f>
        <v>s t ə m b ə l </v>
      </c>
    </row>
    <row r="7583">
      <c r="A7583" s="1" t="s">
        <v>7585</v>
      </c>
      <c r="B7583" s="1" t="s">
        <v>6138</v>
      </c>
      <c r="C7583" s="2">
        <f>IFERROR(__xludf.DUMMYFUNCTION("IFERROR(VLOOKUP(A7583, IMPORTRANGE(""https://docs.google.com/spreadsheets/d/1AVX9GT0dgogEBStecCXMMQ29tWz3gBrtNB8yIromXbY/edit?gid=741673867"", ""out1g!A:B""), 2, FALSE), 0)"),48.0)</f>
        <v>48</v>
      </c>
      <c r="D7583" s="2" t="str">
        <f>IFERROR(__xludf.DUMMYFUNCTION("IFERROR(VLOOKUP(A7583, IMPORTRANGE(""https://docs.google.com/spreadsheets/d/1-3Vjw2Cyy-mry5gbC8ypIR3YVGFfEpyFESummAta6sg/edit"", ""Sheet1!B:D""), 2, FALSE), ""Not Found"")"),"tæŋkt")</f>
        <v>tæŋkt</v>
      </c>
      <c r="E7583" s="2" t="str">
        <f>IFERROR(__xludf.DUMMYFUNCTION("IFERROR(VLOOKUP(A7583, IMPORTRANGE(""https://docs.google.com/spreadsheets/d/1-3Vjw2Cyy-mry5gbC8ypIR3YVGFfEpyFESummAta6sg/edit"", ""Sheet1!B:D""), 3, FALSE), ""Not Found"")"),"t æ ŋ k t ")</f>
        <v>t æ ŋ k t </v>
      </c>
    </row>
    <row r="7584">
      <c r="A7584" s="1" t="s">
        <v>7586</v>
      </c>
      <c r="B7584" s="1" t="s">
        <v>6138</v>
      </c>
      <c r="C7584" s="2">
        <f>IFERROR(__xludf.DUMMYFUNCTION("IFERROR(VLOOKUP(A7584, IMPORTRANGE(""https://docs.google.com/spreadsheets/d/1AVX9GT0dgogEBStecCXMMQ29tWz3gBrtNB8yIromXbY/edit?gid=741673867"", ""out1g!A:B""), 2, FALSE), 0)"),279.0)</f>
        <v>279</v>
      </c>
      <c r="D7584" s="2" t="str">
        <f>IFERROR(__xludf.DUMMYFUNCTION("IFERROR(VLOOKUP(A7584, IMPORTRANGE(""https://docs.google.com/spreadsheets/d/1-3Vjw2Cyy-mry5gbC8ypIR3YVGFfEpyFESummAta6sg/edit"", ""Sheet1!B:D""), 2, FALSE), ""Not Found"")"),"skaʊts")</f>
        <v>skaʊts</v>
      </c>
      <c r="E7584" s="2" t="str">
        <f>IFERROR(__xludf.DUMMYFUNCTION("IFERROR(VLOOKUP(A7584, IMPORTRANGE(""https://docs.google.com/spreadsheets/d/1-3Vjw2Cyy-mry5gbC8ypIR3YVGFfEpyFESummAta6sg/edit"", ""Sheet1!B:D""), 3, FALSE), ""Not Found"")"),"s k a ʊ t s ")</f>
        <v>s k a ʊ t s </v>
      </c>
    </row>
    <row r="7585">
      <c r="A7585" s="1" t="s">
        <v>7587</v>
      </c>
      <c r="B7585" s="1" t="s">
        <v>6138</v>
      </c>
      <c r="C7585" s="2">
        <f>IFERROR(__xludf.DUMMYFUNCTION("IFERROR(VLOOKUP(A7585, IMPORTRANGE(""https://docs.google.com/spreadsheets/d/1AVX9GT0dgogEBStecCXMMQ29tWz3gBrtNB8yIromXbY/edit?gid=741673867"", ""out1g!A:B""), 2, FALSE), 0)"),49.0)</f>
        <v>49</v>
      </c>
      <c r="D7585" s="2" t="str">
        <f>IFERROR(__xludf.DUMMYFUNCTION("IFERROR(VLOOKUP(A7585, IMPORTRANGE(""https://docs.google.com/spreadsheets/d/1-3Vjw2Cyy-mry5gbC8ypIR3YVGFfEpyFESummAta6sg/edit"", ""Sheet1!B:D""), 2, FALSE), ""Not Found"")"),"ræŋkt")</f>
        <v>ræŋkt</v>
      </c>
      <c r="E7585" s="2" t="str">
        <f>IFERROR(__xludf.DUMMYFUNCTION("IFERROR(VLOOKUP(A7585, IMPORTRANGE(""https://docs.google.com/spreadsheets/d/1-3Vjw2Cyy-mry5gbC8ypIR3YVGFfEpyFESummAta6sg/edit"", ""Sheet1!B:D""), 3, FALSE), ""Not Found"")"),"r æ ŋ k t ")</f>
        <v>r æ ŋ k t </v>
      </c>
    </row>
    <row r="7586">
      <c r="A7586" s="1" t="s">
        <v>7588</v>
      </c>
      <c r="B7586" s="1" t="s">
        <v>6138</v>
      </c>
      <c r="C7586" s="2">
        <f>IFERROR(__xludf.DUMMYFUNCTION("IFERROR(VLOOKUP(A7586, IMPORTRANGE(""https://docs.google.com/spreadsheets/d/1AVX9GT0dgogEBStecCXMMQ29tWz3gBrtNB8yIromXbY/edit?gid=741673867"", ""out1g!A:B""), 2, FALSE), 0)"),46.0)</f>
        <v>46</v>
      </c>
      <c r="D7586" s="2" t="str">
        <f>IFERROR(__xludf.DUMMYFUNCTION("IFERROR(VLOOKUP(A7586, IMPORTRANGE(""https://docs.google.com/spreadsheets/d/1-3Vjw2Cyy-mry5gbC8ypIR3YVGFfEpyFESummAta6sg/edit"", ""Sheet1!B:D""), 2, FALSE), ""Not Found"")"),"tekər")</f>
        <v>tekər</v>
      </c>
      <c r="E7586" s="2" t="str">
        <f>IFERROR(__xludf.DUMMYFUNCTION("IFERROR(VLOOKUP(A7586, IMPORTRANGE(""https://docs.google.com/spreadsheets/d/1-3Vjw2Cyy-mry5gbC8ypIR3YVGFfEpyFESummAta6sg/edit"", ""Sheet1!B:D""), 3, FALSE), ""Not Found"")"),"t e k ə r ")</f>
        <v>t e k ə r </v>
      </c>
    </row>
    <row r="7587">
      <c r="A7587" s="1" t="s">
        <v>7589</v>
      </c>
      <c r="B7587" s="1" t="s">
        <v>6138</v>
      </c>
      <c r="C7587" s="2">
        <f>IFERROR(__xludf.DUMMYFUNCTION("IFERROR(VLOOKUP(A7587, IMPORTRANGE(""https://docs.google.com/spreadsheets/d/1AVX9GT0dgogEBStecCXMMQ29tWz3gBrtNB8yIromXbY/edit?gid=741673867"", ""out1g!A:B""), 2, FALSE), 0)"),75.0)</f>
        <v>75</v>
      </c>
      <c r="D7587" s="2" t="str">
        <f>IFERROR(__xludf.DUMMYFUNCTION("IFERROR(VLOOKUP(A7587, IMPORTRANGE(""https://docs.google.com/spreadsheets/d/1-3Vjw2Cyy-mry5gbC8ypIR3YVGFfEpyFESummAta6sg/edit"", ""Sheet1!B:D""), 2, FALSE), ""Not Found"")"),"praɪɪŋ")</f>
        <v>praɪɪŋ</v>
      </c>
      <c r="E7587" s="2" t="str">
        <f>IFERROR(__xludf.DUMMYFUNCTION("IFERROR(VLOOKUP(A7587, IMPORTRANGE(""https://docs.google.com/spreadsheets/d/1-3Vjw2Cyy-mry5gbC8ypIR3YVGFfEpyFESummAta6sg/edit"", ""Sheet1!B:D""), 3, FALSE), ""Not Found"")"),"p r a ɪ ɪ ŋ ")</f>
        <v>p r a ɪ ɪ ŋ </v>
      </c>
    </row>
    <row r="7588">
      <c r="A7588" s="1" t="s">
        <v>7590</v>
      </c>
      <c r="B7588" s="1" t="s">
        <v>6138</v>
      </c>
      <c r="C7588" s="2">
        <f>IFERROR(__xludf.DUMMYFUNCTION("IFERROR(VLOOKUP(A7588, IMPORTRANGE(""https://docs.google.com/spreadsheets/d/1AVX9GT0dgogEBStecCXMMQ29tWz3gBrtNB8yIromXbY/edit?gid=741673867"", ""out1g!A:B""), 2, FALSE), 0)"),150.0)</f>
        <v>150</v>
      </c>
      <c r="D7588" s="2" t="str">
        <f>IFERROR(__xludf.DUMMYFUNCTION("IFERROR(VLOOKUP(A7588, IMPORTRANGE(""https://docs.google.com/spreadsheets/d/1-3Vjw2Cyy-mry5gbC8ypIR3YVGFfEpyFESummAta6sg/edit"", ""Sheet1!B:D""), 2, FALSE), ""Not Found"")"),"ʤɛnts")</f>
        <v>ʤɛnts</v>
      </c>
      <c r="E7588" s="2" t="str">
        <f>IFERROR(__xludf.DUMMYFUNCTION("IFERROR(VLOOKUP(A7588, IMPORTRANGE(""https://docs.google.com/spreadsheets/d/1-3Vjw2Cyy-mry5gbC8ypIR3YVGFfEpyFESummAta6sg/edit"", ""Sheet1!B:D""), 3, FALSE), ""Not Found"")"),"ʤ ɛ n t s ")</f>
        <v>ʤ ɛ n t s </v>
      </c>
    </row>
    <row r="7589">
      <c r="A7589" s="1" t="s">
        <v>7591</v>
      </c>
      <c r="B7589" s="1" t="s">
        <v>6138</v>
      </c>
      <c r="C7589" s="2">
        <f>IFERROR(__xludf.DUMMYFUNCTION("IFERROR(VLOOKUP(A7589, IMPORTRANGE(""https://docs.google.com/spreadsheets/d/1AVX9GT0dgogEBStecCXMMQ29tWz3gBrtNB8yIromXbY/edit?gid=741673867"", ""out1g!A:B""), 2, FALSE), 0)"),1687.0)</f>
        <v>1687</v>
      </c>
      <c r="D7589" s="2" t="str">
        <f>IFERROR(__xludf.DUMMYFUNCTION("IFERROR(VLOOKUP(A7589, IMPORTRANGE(""https://docs.google.com/spreadsheets/d/1-3Vjw2Cyy-mry5gbC8ypIR3YVGFfEpyFESummAta6sg/edit"", ""Sheet1!B:D""), 2, FALSE), ""Not Found"")"),"ɑrθər")</f>
        <v>ɑrθər</v>
      </c>
      <c r="E7589" s="2" t="str">
        <f>IFERROR(__xludf.DUMMYFUNCTION("IFERROR(VLOOKUP(A7589, IMPORTRANGE(""https://docs.google.com/spreadsheets/d/1-3Vjw2Cyy-mry5gbC8ypIR3YVGFfEpyFESummAta6sg/edit"", ""Sheet1!B:D""), 3, FALSE), ""Not Found"")"),"ɑ r θ ə r ")</f>
        <v>ɑ r θ ə r </v>
      </c>
    </row>
    <row r="7590">
      <c r="A7590" s="1" t="s">
        <v>7592</v>
      </c>
      <c r="B7590" s="1" t="s">
        <v>6138</v>
      </c>
      <c r="C7590" s="2">
        <f>IFERROR(__xludf.DUMMYFUNCTION("IFERROR(VLOOKUP(A7590, IMPORTRANGE(""https://docs.google.com/spreadsheets/d/1AVX9GT0dgogEBStecCXMMQ29tWz3gBrtNB8yIromXbY/edit?gid=741673867"", ""out1g!A:B""), 2, FALSE), 0)"),431.0)</f>
        <v>431</v>
      </c>
      <c r="D7590" s="2" t="str">
        <f>IFERROR(__xludf.DUMMYFUNCTION("IFERROR(VLOOKUP(A7590, IMPORTRANGE(""https://docs.google.com/spreadsheets/d/1-3Vjw2Cyy-mry5gbC8ypIR3YVGFfEpyFESummAta6sg/edit"", ""Sheet1!B:D""), 2, FALSE), ""Not Found"")"),"nɪkəl")</f>
        <v>nɪkəl</v>
      </c>
      <c r="E7590" s="2" t="str">
        <f>IFERROR(__xludf.DUMMYFUNCTION("IFERROR(VLOOKUP(A7590, IMPORTRANGE(""https://docs.google.com/spreadsheets/d/1-3Vjw2Cyy-mry5gbC8ypIR3YVGFfEpyFESummAta6sg/edit"", ""Sheet1!B:D""), 3, FALSE), ""Not Found"")"),"n ɪ k ə l ")</f>
        <v>n ɪ k ə l </v>
      </c>
    </row>
    <row r="7591">
      <c r="A7591" s="1" t="s">
        <v>7593</v>
      </c>
      <c r="B7591" s="1" t="s">
        <v>6138</v>
      </c>
      <c r="C7591" s="2">
        <f>IFERROR(__xludf.DUMMYFUNCTION("IFERROR(VLOOKUP(A7591, IMPORTRANGE(""https://docs.google.com/spreadsheets/d/1AVX9GT0dgogEBStecCXMMQ29tWz3gBrtNB8yIromXbY/edit?gid=741673867"", ""out1g!A:B""), 2, FALSE), 0)"),717.0)</f>
        <v>717</v>
      </c>
      <c r="D7591" s="2" t="str">
        <f>IFERROR(__xludf.DUMMYFUNCTION("IFERROR(VLOOKUP(A7591, IMPORTRANGE(""https://docs.google.com/spreadsheets/d/1-3Vjw2Cyy-mry5gbC8ypIR3YVGFfEpyFESummAta6sg/edit"", ""Sheet1!B:D""), 2, FALSE), ""Not Found"")"),"pɑmər")</f>
        <v>pɑmər</v>
      </c>
      <c r="E7591" s="2" t="str">
        <f>IFERROR(__xludf.DUMMYFUNCTION("IFERROR(VLOOKUP(A7591, IMPORTRANGE(""https://docs.google.com/spreadsheets/d/1-3Vjw2Cyy-mry5gbC8ypIR3YVGFfEpyFESummAta6sg/edit"", ""Sheet1!B:D""), 3, FALSE), ""Not Found"")"),"p ɑ m ə r ")</f>
        <v>p ɑ m ə r </v>
      </c>
    </row>
    <row r="7592">
      <c r="A7592" s="1" t="s">
        <v>7594</v>
      </c>
      <c r="B7592" s="1" t="s">
        <v>6138</v>
      </c>
      <c r="C7592" s="2">
        <f>IFERROR(__xludf.DUMMYFUNCTION("IFERROR(VLOOKUP(A7592, IMPORTRANGE(""https://docs.google.com/spreadsheets/d/1AVX9GT0dgogEBStecCXMMQ29tWz3gBrtNB8yIromXbY/edit?gid=741673867"", ""out1g!A:B""), 2, FALSE), 0)"),301.0)</f>
        <v>301</v>
      </c>
      <c r="D7592" s="2" t="str">
        <f>IFERROR(__xludf.DUMMYFUNCTION("IFERROR(VLOOKUP(A7592, IMPORTRANGE(""https://docs.google.com/spreadsheets/d/1-3Vjw2Cyy-mry5gbC8ypIR3YVGFfEpyFESummAta6sg/edit"", ""Sheet1!B:D""), 2, FALSE), ""Not Found"")"),"rændəl")</f>
        <v>rændəl</v>
      </c>
      <c r="E7592" s="2" t="str">
        <f>IFERROR(__xludf.DUMMYFUNCTION("IFERROR(VLOOKUP(A7592, IMPORTRANGE(""https://docs.google.com/spreadsheets/d/1-3Vjw2Cyy-mry5gbC8ypIR3YVGFfEpyFESummAta6sg/edit"", ""Sheet1!B:D""), 3, FALSE), ""Not Found"")"),"r æ n d ə l ")</f>
        <v>r æ n d ə l </v>
      </c>
    </row>
    <row r="7593">
      <c r="A7593" s="1" t="s">
        <v>7595</v>
      </c>
      <c r="B7593" s="1" t="s">
        <v>6138</v>
      </c>
      <c r="C7593" s="2">
        <f>IFERROR(__xludf.DUMMYFUNCTION("IFERROR(VLOOKUP(A7593, IMPORTRANGE(""https://docs.google.com/spreadsheets/d/1AVX9GT0dgogEBStecCXMMQ29tWz3gBrtNB8yIromXbY/edit?gid=741673867"", ""out1g!A:B""), 2, FALSE), 0)"),64.0)</f>
        <v>64</v>
      </c>
      <c r="D7593" s="2" t="str">
        <f>IFERROR(__xludf.DUMMYFUNCTION("IFERROR(VLOOKUP(A7593, IMPORTRANGE(""https://docs.google.com/spreadsheets/d/1-3Vjw2Cyy-mry5gbC8ypIR3YVGFfEpyFESummAta6sg/edit"", ""Sheet1!B:D""), 2, FALSE), ""Not Found"")"),"tredz")</f>
        <v>tredz</v>
      </c>
      <c r="E7593" s="2" t="str">
        <f>IFERROR(__xludf.DUMMYFUNCTION("IFERROR(VLOOKUP(A7593, IMPORTRANGE(""https://docs.google.com/spreadsheets/d/1-3Vjw2Cyy-mry5gbC8ypIR3YVGFfEpyFESummAta6sg/edit"", ""Sheet1!B:D""), 3, FALSE), ""Not Found"")"),"t r e d z ")</f>
        <v>t r e d z </v>
      </c>
    </row>
    <row r="7594">
      <c r="A7594" s="1" t="s">
        <v>7596</v>
      </c>
      <c r="B7594" s="1" t="s">
        <v>6138</v>
      </c>
      <c r="C7594" s="2">
        <f>IFERROR(__xludf.DUMMYFUNCTION("IFERROR(VLOOKUP(A7594, IMPORTRANGE(""https://docs.google.com/spreadsheets/d/1AVX9GT0dgogEBStecCXMMQ29tWz3gBrtNB8yIromXbY/edit?gid=741673867"", ""out1g!A:B""), 2, FALSE), 0)"),336.0)</f>
        <v>336</v>
      </c>
      <c r="D7594" s="2" t="str">
        <f>IFERROR(__xludf.DUMMYFUNCTION("IFERROR(VLOOKUP(A7594, IMPORTRANGE(""https://docs.google.com/spreadsheets/d/1-3Vjw2Cyy-mry5gbC8ypIR3YVGFfEpyFESummAta6sg/edit"", ""Sheet1!B:D""), 2, FALSE), ""Not Found"")"),"kæʧɪz")</f>
        <v>kæʧɪz</v>
      </c>
      <c r="E7594" s="2" t="str">
        <f>IFERROR(__xludf.DUMMYFUNCTION("IFERROR(VLOOKUP(A7594, IMPORTRANGE(""https://docs.google.com/spreadsheets/d/1-3Vjw2Cyy-mry5gbC8ypIR3YVGFfEpyFESummAta6sg/edit"", ""Sheet1!B:D""), 3, FALSE), ""Not Found"")"),"k æ ʧ ɪ z ")</f>
        <v>k æ ʧ ɪ z </v>
      </c>
    </row>
    <row r="7595">
      <c r="A7595" s="1" t="s">
        <v>7597</v>
      </c>
      <c r="B7595" s="1" t="s">
        <v>6138</v>
      </c>
      <c r="C7595" s="2">
        <f>IFERROR(__xludf.DUMMYFUNCTION("IFERROR(VLOOKUP(A7595, IMPORTRANGE(""https://docs.google.com/spreadsheets/d/1AVX9GT0dgogEBStecCXMMQ29tWz3gBrtNB8yIromXbY/edit?gid=741673867"", ""out1g!A:B""), 2, FALSE), 0)"),151.0)</f>
        <v>151</v>
      </c>
      <c r="D7595" s="2" t="str">
        <f>IFERROR(__xludf.DUMMYFUNCTION("IFERROR(VLOOKUP(A7595, IMPORTRANGE(""https://docs.google.com/spreadsheets/d/1-3Vjw2Cyy-mry5gbC8ypIR3YVGFfEpyFESummAta6sg/edit"", ""Sheet1!B:D""), 2, FALSE), ""Not Found"")"),"baʊnst")</f>
        <v>baʊnst</v>
      </c>
      <c r="E7595" s="2" t="str">
        <f>IFERROR(__xludf.DUMMYFUNCTION("IFERROR(VLOOKUP(A7595, IMPORTRANGE(""https://docs.google.com/spreadsheets/d/1-3Vjw2Cyy-mry5gbC8ypIR3YVGFfEpyFESummAta6sg/edit"", ""Sheet1!B:D""), 3, FALSE), ""Not Found"")"),"b a ʊ n s t ")</f>
        <v>b a ʊ n s t </v>
      </c>
    </row>
    <row r="7596">
      <c r="A7596" s="1" t="s">
        <v>7598</v>
      </c>
      <c r="B7596" s="1" t="s">
        <v>6138</v>
      </c>
      <c r="C7596" s="2">
        <f>IFERROR(__xludf.DUMMYFUNCTION("IFERROR(VLOOKUP(A7596, IMPORTRANGE(""https://docs.google.com/spreadsheets/d/1AVX9GT0dgogEBStecCXMMQ29tWz3gBrtNB8yIromXbY/edit?gid=741673867"", ""out1g!A:B""), 2, FALSE), 0)"),70.0)</f>
        <v>70</v>
      </c>
      <c r="D7596" s="2" t="str">
        <f>IFERROR(__xludf.DUMMYFUNCTION("IFERROR(VLOOKUP(A7596, IMPORTRANGE(""https://docs.google.com/spreadsheets/d/1-3Vjw2Cyy-mry5gbC8ypIR3YVGFfEpyFESummAta6sg/edit"", ""Sheet1!B:D""), 2, FALSE), ""Not Found"")"),"bləri")</f>
        <v>bləri</v>
      </c>
      <c r="E7596" s="2" t="str">
        <f>IFERROR(__xludf.DUMMYFUNCTION("IFERROR(VLOOKUP(A7596, IMPORTRANGE(""https://docs.google.com/spreadsheets/d/1-3Vjw2Cyy-mry5gbC8ypIR3YVGFfEpyFESummAta6sg/edit"", ""Sheet1!B:D""), 3, FALSE), ""Not Found"")"),"b l ə r i ")</f>
        <v>b l ə r i </v>
      </c>
    </row>
    <row r="7597">
      <c r="A7597" s="1" t="s">
        <v>7599</v>
      </c>
      <c r="B7597" s="1" t="s">
        <v>6138</v>
      </c>
      <c r="C7597" s="2">
        <f>IFERROR(__xludf.DUMMYFUNCTION("IFERROR(VLOOKUP(A7597, IMPORTRANGE(""https://docs.google.com/spreadsheets/d/1AVX9GT0dgogEBStecCXMMQ29tWz3gBrtNB8yIromXbY/edit?gid=741673867"", ""out1g!A:B""), 2, FALSE), 0)"),46.0)</f>
        <v>46</v>
      </c>
      <c r="D7597" s="2" t="str">
        <f>IFERROR(__xludf.DUMMYFUNCTION("IFERROR(VLOOKUP(A7597, IMPORTRANGE(""https://docs.google.com/spreadsheets/d/1-3Vjw2Cyy-mry5gbC8ypIR3YVGFfEpyFESummAta6sg/edit"", ""Sheet1!B:D""), 2, FALSE), ""Not Found"")"),"pərsər")</f>
        <v>pərsər</v>
      </c>
      <c r="E7597" s="2" t="str">
        <f>IFERROR(__xludf.DUMMYFUNCTION("IFERROR(VLOOKUP(A7597, IMPORTRANGE(""https://docs.google.com/spreadsheets/d/1-3Vjw2Cyy-mry5gbC8ypIR3YVGFfEpyFESummAta6sg/edit"", ""Sheet1!B:D""), 3, FALSE), ""Not Found"")"),"p ə r s ə r ")</f>
        <v>p ə r s ə r </v>
      </c>
    </row>
    <row r="7598">
      <c r="A7598" s="1" t="s">
        <v>7600</v>
      </c>
      <c r="B7598" s="1" t="s">
        <v>6138</v>
      </c>
      <c r="C7598" s="2">
        <f>IFERROR(__xludf.DUMMYFUNCTION("IFERROR(VLOOKUP(A7598, IMPORTRANGE(""https://docs.google.com/spreadsheets/d/1AVX9GT0dgogEBStecCXMMQ29tWz3gBrtNB8yIromXbY/edit?gid=741673867"", ""out1g!A:B""), 2, FALSE), 0)"),7061.0)</f>
        <v>7061</v>
      </c>
      <c r="D7598" s="2" t="str">
        <f>IFERROR(__xludf.DUMMYFUNCTION("IFERROR(VLOOKUP(A7598, IMPORTRANGE(""https://docs.google.com/spreadsheets/d/1-3Vjw2Cyy-mry5gbC8ypIR3YVGFfEpyFESummAta6sg/edit"", ""Sheet1!B:D""), 2, FALSE), ""Not Found"")"),"pɪkʧər")</f>
        <v>pɪkʧər</v>
      </c>
      <c r="E7598" s="2" t="str">
        <f>IFERROR(__xludf.DUMMYFUNCTION("IFERROR(VLOOKUP(A7598, IMPORTRANGE(""https://docs.google.com/spreadsheets/d/1-3Vjw2Cyy-mry5gbC8ypIR3YVGFfEpyFESummAta6sg/edit"", ""Sheet1!B:D""), 3, FALSE), ""Not Found"")"),"p ɪ k ʧ ə r ")</f>
        <v>p ɪ k ʧ ə r </v>
      </c>
    </row>
    <row r="7599">
      <c r="A7599" s="1" t="s">
        <v>7601</v>
      </c>
      <c r="B7599" s="1" t="s">
        <v>6138</v>
      </c>
      <c r="C7599" s="2">
        <f>IFERROR(__xludf.DUMMYFUNCTION("IFERROR(VLOOKUP(A7599, IMPORTRANGE(""https://docs.google.com/spreadsheets/d/1AVX9GT0dgogEBStecCXMMQ29tWz3gBrtNB8yIromXbY/edit?gid=741673867"", ""out1g!A:B""), 2, FALSE), 0)"),222.0)</f>
        <v>222</v>
      </c>
      <c r="D7599" s="2" t="str">
        <f>IFERROR(__xludf.DUMMYFUNCTION("IFERROR(VLOOKUP(A7599, IMPORTRANGE(""https://docs.google.com/spreadsheets/d/1-3Vjw2Cyy-mry5gbC8ypIR3YVGFfEpyFESummAta6sg/edit"", ""Sheet1!B:D""), 2, FALSE), ""Not Found"")"),"mænɪŋ")</f>
        <v>mænɪŋ</v>
      </c>
      <c r="E7599" s="2" t="str">
        <f>IFERROR(__xludf.DUMMYFUNCTION("IFERROR(VLOOKUP(A7599, IMPORTRANGE(""https://docs.google.com/spreadsheets/d/1-3Vjw2Cyy-mry5gbC8ypIR3YVGFfEpyFESummAta6sg/edit"", ""Sheet1!B:D""), 3, FALSE), ""Not Found"")"),"m æ n ɪ ŋ ")</f>
        <v>m æ n ɪ ŋ </v>
      </c>
    </row>
    <row r="7600">
      <c r="A7600" s="1" t="s">
        <v>7602</v>
      </c>
      <c r="B7600" s="1" t="s">
        <v>6138</v>
      </c>
      <c r="C7600" s="2">
        <f>IFERROR(__xludf.DUMMYFUNCTION("IFERROR(VLOOKUP(A7600, IMPORTRANGE(""https://docs.google.com/spreadsheets/d/1AVX9GT0dgogEBStecCXMMQ29tWz3gBrtNB8yIromXbY/edit?gid=741673867"", ""out1g!A:B""), 2, FALSE), 0)"),5196.0)</f>
        <v>5196</v>
      </c>
      <c r="D7600" s="2" t="str">
        <f>IFERROR(__xludf.DUMMYFUNCTION("IFERROR(VLOOKUP(A7600, IMPORTRANGE(""https://docs.google.com/spreadsheets/d/1-3Vjw2Cyy-mry5gbC8ypIR3YVGFfEpyFESummAta6sg/edit"", ""Sheet1!B:D""), 2, FALSE), ""Not Found"")"),"devɪd")</f>
        <v>devɪd</v>
      </c>
      <c r="E7600" s="2" t="str">
        <f>IFERROR(__xludf.DUMMYFUNCTION("IFERROR(VLOOKUP(A7600, IMPORTRANGE(""https://docs.google.com/spreadsheets/d/1-3Vjw2Cyy-mry5gbC8ypIR3YVGFfEpyFESummAta6sg/edit"", ""Sheet1!B:D""), 3, FALSE), ""Not Found"")"),"d e v ɪ d ")</f>
        <v>d e v ɪ d </v>
      </c>
    </row>
    <row r="7601">
      <c r="A7601" s="1" t="s">
        <v>7603</v>
      </c>
      <c r="B7601" s="1" t="s">
        <v>6138</v>
      </c>
      <c r="C7601" s="2">
        <f>IFERROR(__xludf.DUMMYFUNCTION("IFERROR(VLOOKUP(A7601, IMPORTRANGE(""https://docs.google.com/spreadsheets/d/1AVX9GT0dgogEBStecCXMMQ29tWz3gBrtNB8yIromXbY/edit?gid=741673867"", ""out1g!A:B""), 2, FALSE), 0)"),1078.0)</f>
        <v>1078</v>
      </c>
      <c r="D7601" s="2" t="str">
        <f>IFERROR(__xludf.DUMMYFUNCTION("IFERROR(VLOOKUP(A7601, IMPORTRANGE(""https://docs.google.com/spreadsheets/d/1-3Vjw2Cyy-mry5gbC8ypIR3YVGFfEpyFESummAta6sg/edit"", ""Sheet1!B:D""), 2, FALSE), ""Not Found"")"),"ʤəmpt")</f>
        <v>ʤəmpt</v>
      </c>
      <c r="E7601" s="2" t="str">
        <f>IFERROR(__xludf.DUMMYFUNCTION("IFERROR(VLOOKUP(A7601, IMPORTRANGE(""https://docs.google.com/spreadsheets/d/1-3Vjw2Cyy-mry5gbC8ypIR3YVGFfEpyFESummAta6sg/edit"", ""Sheet1!B:D""), 3, FALSE), ""Not Found"")"),"ʤ ə m p t ")</f>
        <v>ʤ ə m p t </v>
      </c>
    </row>
    <row r="7602">
      <c r="A7602" s="1" t="s">
        <v>7604</v>
      </c>
      <c r="B7602" s="1" t="s">
        <v>6138</v>
      </c>
      <c r="C7602" s="2">
        <f>IFERROR(__xludf.DUMMYFUNCTION("IFERROR(VLOOKUP(A7602, IMPORTRANGE(""https://docs.google.com/spreadsheets/d/1AVX9GT0dgogEBStecCXMMQ29tWz3gBrtNB8yIromXbY/edit?gid=741673867"", ""out1g!A:B""), 2, FALSE), 0)"),3541.0)</f>
        <v>3541</v>
      </c>
      <c r="D7602" s="2" t="str">
        <f>IFERROR(__xludf.DUMMYFUNCTION("IFERROR(VLOOKUP(A7602, IMPORTRANGE(""https://docs.google.com/spreadsheets/d/1-3Vjw2Cyy-mry5gbC8ypIR3YVGFfEpyFESummAta6sg/edit"", ""Sheet1!B:D""), 2, FALSE), ""Not Found"")"),"frɛnʧ")</f>
        <v>frɛnʧ</v>
      </c>
      <c r="E7602" s="2" t="str">
        <f>IFERROR(__xludf.DUMMYFUNCTION("IFERROR(VLOOKUP(A7602, IMPORTRANGE(""https://docs.google.com/spreadsheets/d/1-3Vjw2Cyy-mry5gbC8ypIR3YVGFfEpyFESummAta6sg/edit"", ""Sheet1!B:D""), 3, FALSE), ""Not Found"")"),"f r ɛ n ʧ ")</f>
        <v>f r ɛ n ʧ </v>
      </c>
    </row>
    <row r="7603">
      <c r="A7603" s="1" t="s">
        <v>7605</v>
      </c>
      <c r="B7603" s="1" t="s">
        <v>6138</v>
      </c>
      <c r="C7603" s="2">
        <f>IFERROR(__xludf.DUMMYFUNCTION("IFERROR(VLOOKUP(A7603, IMPORTRANGE(""https://docs.google.com/spreadsheets/d/1AVX9GT0dgogEBStecCXMMQ29tWz3gBrtNB8yIromXbY/edit?gid=741673867"", ""out1g!A:B""), 2, FALSE), 0)"),68.0)</f>
        <v>68</v>
      </c>
      <c r="D7603" s="2" t="str">
        <f>IFERROR(__xludf.DUMMYFUNCTION("IFERROR(VLOOKUP(A7603, IMPORTRANGE(""https://docs.google.com/spreadsheets/d/1-3Vjw2Cyy-mry5gbC8ypIR3YVGFfEpyFESummAta6sg/edit"", ""Sheet1!B:D""), 2, FALSE), ""Not Found"")"),"bitɪŋz")</f>
        <v>bitɪŋz</v>
      </c>
      <c r="E7603" s="2" t="str">
        <f>IFERROR(__xludf.DUMMYFUNCTION("IFERROR(VLOOKUP(A7603, IMPORTRANGE(""https://docs.google.com/spreadsheets/d/1-3Vjw2Cyy-mry5gbC8ypIR3YVGFfEpyFESummAta6sg/edit"", ""Sheet1!B:D""), 3, FALSE), ""Not Found"")"),"b i t ɪ ŋ z ")</f>
        <v>b i t ɪ ŋ z </v>
      </c>
    </row>
    <row r="7604">
      <c r="A7604" s="1" t="s">
        <v>7606</v>
      </c>
      <c r="B7604" s="1" t="s">
        <v>6138</v>
      </c>
      <c r="C7604" s="2">
        <f>IFERROR(__xludf.DUMMYFUNCTION("IFERROR(VLOOKUP(A7604, IMPORTRANGE(""https://docs.google.com/spreadsheets/d/1AVX9GT0dgogEBStecCXMMQ29tWz3gBrtNB8yIromXbY/edit?gid=741673867"", ""out1g!A:B""), 2, FALSE), 0)"),265.0)</f>
        <v>265</v>
      </c>
      <c r="D7604" s="2" t="str">
        <f>IFERROR(__xludf.DUMMYFUNCTION("IFERROR(VLOOKUP(A7604, IMPORTRANGE(""https://docs.google.com/spreadsheets/d/1-3Vjw2Cyy-mry5gbC8ypIR3YVGFfEpyFESummAta6sg/edit"", ""Sheet1!B:D""), 2, FALSE), ""Not Found"")"),"ripe")</f>
        <v>ripe</v>
      </c>
      <c r="E7604" s="2" t="str">
        <f>IFERROR(__xludf.DUMMYFUNCTION("IFERROR(VLOOKUP(A7604, IMPORTRANGE(""https://docs.google.com/spreadsheets/d/1-3Vjw2Cyy-mry5gbC8ypIR3YVGFfEpyFESummAta6sg/edit"", ""Sheet1!B:D""), 3, FALSE), ""Not Found"")"),"r i p e ")</f>
        <v>r i p e </v>
      </c>
    </row>
    <row r="7605">
      <c r="A7605" s="1" t="s">
        <v>7607</v>
      </c>
      <c r="B7605" s="1" t="s">
        <v>6138</v>
      </c>
      <c r="C7605" s="2">
        <f>IFERROR(__xludf.DUMMYFUNCTION("IFERROR(VLOOKUP(A7605, IMPORTRANGE(""https://docs.google.com/spreadsheets/d/1AVX9GT0dgogEBStecCXMMQ29tWz3gBrtNB8yIromXbY/edit?gid=741673867"", ""out1g!A:B""), 2, FALSE), 0)"),205.0)</f>
        <v>205</v>
      </c>
      <c r="D7605" s="2" t="str">
        <f>IFERROR(__xludf.DUMMYFUNCTION("IFERROR(VLOOKUP(A7605, IMPORTRANGE(""https://docs.google.com/spreadsheets/d/1-3Vjw2Cyy-mry5gbC8ypIR3YVGFfEpyFESummAta6sg/edit"", ""Sheet1!B:D""), 2, FALSE), ""Not Found"")"),"toʊkən")</f>
        <v>toʊkən</v>
      </c>
      <c r="E7605" s="2" t="str">
        <f>IFERROR(__xludf.DUMMYFUNCTION("IFERROR(VLOOKUP(A7605, IMPORTRANGE(""https://docs.google.com/spreadsheets/d/1-3Vjw2Cyy-mry5gbC8ypIR3YVGFfEpyFESummAta6sg/edit"", ""Sheet1!B:D""), 3, FALSE), ""Not Found"")"),"t o ʊ k ə n ")</f>
        <v>t o ʊ k ə n </v>
      </c>
    </row>
    <row r="7606">
      <c r="A7606" s="1" t="s">
        <v>7608</v>
      </c>
      <c r="B7606" s="1" t="s">
        <v>6138</v>
      </c>
      <c r="C7606" s="2">
        <f>IFERROR(__xludf.DUMMYFUNCTION("IFERROR(VLOOKUP(A7606, IMPORTRANGE(""https://docs.google.com/spreadsheets/d/1AVX9GT0dgogEBStecCXMMQ29tWz3gBrtNB8yIromXbY/edit?gid=741673867"", ""out1g!A:B""), 2, FALSE), 0)"),58.0)</f>
        <v>58</v>
      </c>
      <c r="D7606" s="2" t="str">
        <f>IFERROR(__xludf.DUMMYFUNCTION("IFERROR(VLOOKUP(A7606, IMPORTRANGE(""https://docs.google.com/spreadsheets/d/1-3Vjw2Cyy-mry5gbC8ypIR3YVGFfEpyFESummAta6sg/edit"", ""Sheet1!B:D""), 2, FALSE), ""Not Found"")"),"dæŋk")</f>
        <v>dæŋk</v>
      </c>
      <c r="E7606" s="2" t="str">
        <f>IFERROR(__xludf.DUMMYFUNCTION("IFERROR(VLOOKUP(A7606, IMPORTRANGE(""https://docs.google.com/spreadsheets/d/1-3Vjw2Cyy-mry5gbC8ypIR3YVGFfEpyFESummAta6sg/edit"", ""Sheet1!B:D""), 3, FALSE), ""Not Found"")"),"d æ ŋ k ")</f>
        <v>d æ ŋ k </v>
      </c>
    </row>
    <row r="7607">
      <c r="A7607" s="1" t="s">
        <v>7609</v>
      </c>
      <c r="B7607" s="1" t="s">
        <v>6138</v>
      </c>
      <c r="C7607" s="2">
        <f>IFERROR(__xludf.DUMMYFUNCTION("IFERROR(VLOOKUP(A7607, IMPORTRANGE(""https://docs.google.com/spreadsheets/d/1AVX9GT0dgogEBStecCXMMQ29tWz3gBrtNB8yIromXbY/edit?gid=741673867"", ""out1g!A:B""), 2, FALSE), 0)"),63.0)</f>
        <v>63</v>
      </c>
      <c r="D7607" s="2" t="str">
        <f>IFERROR(__xludf.DUMMYFUNCTION("IFERROR(VLOOKUP(A7607, IMPORTRANGE(""https://docs.google.com/spreadsheets/d/1-3Vjw2Cyy-mry5gbC8ypIR3YVGFfEpyFESummAta6sg/edit"", ""Sheet1!B:D""), 2, FALSE), ""Not Found"")"),"vaɪnəl")</f>
        <v>vaɪnəl</v>
      </c>
      <c r="E7607" s="2" t="str">
        <f>IFERROR(__xludf.DUMMYFUNCTION("IFERROR(VLOOKUP(A7607, IMPORTRANGE(""https://docs.google.com/spreadsheets/d/1-3Vjw2Cyy-mry5gbC8ypIR3YVGFfEpyFESummAta6sg/edit"", ""Sheet1!B:D""), 3, FALSE), ""Not Found"")"),"v a ɪ n ə l ")</f>
        <v>v a ɪ n ə l </v>
      </c>
    </row>
    <row r="7608">
      <c r="A7608" s="1" t="s">
        <v>7610</v>
      </c>
      <c r="B7608" s="1" t="s">
        <v>6138</v>
      </c>
      <c r="C7608" s="2">
        <f>IFERROR(__xludf.DUMMYFUNCTION("IFERROR(VLOOKUP(A7608, IMPORTRANGE(""https://docs.google.com/spreadsheets/d/1AVX9GT0dgogEBStecCXMMQ29tWz3gBrtNB8yIromXbY/edit?gid=741673867"", ""out1g!A:B""), 2, FALSE), 0)"),227.0)</f>
        <v>227</v>
      </c>
      <c r="D7608" s="2" t="str">
        <f>IFERROR(__xludf.DUMMYFUNCTION("IFERROR(VLOOKUP(A7608, IMPORTRANGE(""https://docs.google.com/spreadsheets/d/1-3Vjw2Cyy-mry5gbC8ypIR3YVGFfEpyFESummAta6sg/edit"", ""Sheet1!B:D""), 2, FALSE), ""Not Found"")"),"ʧɛrɪʃ")</f>
        <v>ʧɛrɪʃ</v>
      </c>
      <c r="E7608" s="2" t="str">
        <f>IFERROR(__xludf.DUMMYFUNCTION("IFERROR(VLOOKUP(A7608, IMPORTRANGE(""https://docs.google.com/spreadsheets/d/1-3Vjw2Cyy-mry5gbC8ypIR3YVGFfEpyFESummAta6sg/edit"", ""Sheet1!B:D""), 3, FALSE), ""Not Found"")"),"ʧ ɛ r ɪ ʃ ")</f>
        <v>ʧ ɛ r ɪ ʃ </v>
      </c>
    </row>
    <row r="7609">
      <c r="A7609" s="1" t="s">
        <v>7611</v>
      </c>
      <c r="B7609" s="1" t="s">
        <v>6138</v>
      </c>
      <c r="C7609" s="2">
        <f>IFERROR(__xludf.DUMMYFUNCTION("IFERROR(VLOOKUP(A7609, IMPORTRANGE(""https://docs.google.com/spreadsheets/d/1AVX9GT0dgogEBStecCXMMQ29tWz3gBrtNB8yIromXbY/edit?gid=741673867"", ""out1g!A:B""), 2, FALSE), 0)"),1919.0)</f>
        <v>1919</v>
      </c>
      <c r="D7609" s="2" t="str">
        <f>IFERROR(__xludf.DUMMYFUNCTION("IFERROR(VLOOKUP(A7609, IMPORTRANGE(""https://docs.google.com/spreadsheets/d/1-3Vjw2Cyy-mry5gbC8ypIR3YVGFfEpyFESummAta6sg/edit"", ""Sheet1!B:D""), 2, FALSE), ""Not Found"")"),"sɛlɪŋ")</f>
        <v>sɛlɪŋ</v>
      </c>
      <c r="E7609" s="2" t="str">
        <f>IFERROR(__xludf.DUMMYFUNCTION("IFERROR(VLOOKUP(A7609, IMPORTRANGE(""https://docs.google.com/spreadsheets/d/1-3Vjw2Cyy-mry5gbC8ypIR3YVGFfEpyFESummAta6sg/edit"", ""Sheet1!B:D""), 3, FALSE), ""Not Found"")"),"s ɛ l ɪ ŋ ")</f>
        <v>s ɛ l ɪ ŋ </v>
      </c>
    </row>
    <row r="7610">
      <c r="A7610" s="1" t="s">
        <v>7612</v>
      </c>
      <c r="B7610" s="1" t="s">
        <v>6138</v>
      </c>
      <c r="C7610" s="2">
        <f>IFERROR(__xludf.DUMMYFUNCTION("IFERROR(VLOOKUP(A7610, IMPORTRANGE(""https://docs.google.com/spreadsheets/d/1AVX9GT0dgogEBStecCXMMQ29tWz3gBrtNB8yIromXbY/edit?gid=741673867"", ""out1g!A:B""), 2, FALSE), 0)"),303.0)</f>
        <v>303</v>
      </c>
      <c r="D7610" s="2" t="str">
        <f>IFERROR(__xludf.DUMMYFUNCTION("IFERROR(VLOOKUP(A7610, IMPORTRANGE(""https://docs.google.com/spreadsheets/d/1-3Vjw2Cyy-mry5gbC8ypIR3YVGFfEpyFESummAta6sg/edit"", ""Sheet1!B:D""), 2, FALSE), ""Not Found"")"),"krækɪŋ")</f>
        <v>krækɪŋ</v>
      </c>
      <c r="E7610" s="2" t="str">
        <f>IFERROR(__xludf.DUMMYFUNCTION("IFERROR(VLOOKUP(A7610, IMPORTRANGE(""https://docs.google.com/spreadsheets/d/1-3Vjw2Cyy-mry5gbC8ypIR3YVGFfEpyFESummAta6sg/edit"", ""Sheet1!B:D""), 3, FALSE), ""Not Found"")"),"k r æ k ɪ ŋ ")</f>
        <v>k r æ k ɪ ŋ </v>
      </c>
    </row>
    <row r="7611">
      <c r="A7611" s="1" t="s">
        <v>7613</v>
      </c>
      <c r="B7611" s="1" t="s">
        <v>6138</v>
      </c>
      <c r="C7611" s="2">
        <f>IFERROR(__xludf.DUMMYFUNCTION("IFERROR(VLOOKUP(A7611, IMPORTRANGE(""https://docs.google.com/spreadsheets/d/1AVX9GT0dgogEBStecCXMMQ29tWz3gBrtNB8yIromXbY/edit?gid=741673867"", ""out1g!A:B""), 2, FALSE), 0)"),7983.0)</f>
        <v>7983</v>
      </c>
      <c r="D7611" s="2" t="str">
        <f>IFERROR(__xludf.DUMMYFUNCTION("IFERROR(VLOOKUP(A7611, IMPORTRANGE(""https://docs.google.com/spreadsheets/d/1-3Vjw2Cyy-mry5gbC8ypIR3YVGFfEpyFESummAta6sg/edit"", ""Sheet1!B:D""), 2, FALSE), ""Not Found"")"),"lɪvɪŋ")</f>
        <v>lɪvɪŋ</v>
      </c>
      <c r="E7611" s="2" t="str">
        <f>IFERROR(__xludf.DUMMYFUNCTION("IFERROR(VLOOKUP(A7611, IMPORTRANGE(""https://docs.google.com/spreadsheets/d/1-3Vjw2Cyy-mry5gbC8ypIR3YVGFfEpyFESummAta6sg/edit"", ""Sheet1!B:D""), 3, FALSE), ""Not Found"")"),"l ɪ v ɪ ŋ ")</f>
        <v>l ɪ v ɪ ŋ </v>
      </c>
    </row>
    <row r="7612">
      <c r="A7612" s="1" t="s">
        <v>7614</v>
      </c>
      <c r="B7612" s="1" t="s">
        <v>6138</v>
      </c>
      <c r="C7612" s="2">
        <f>IFERROR(__xludf.DUMMYFUNCTION("IFERROR(VLOOKUP(A7612, IMPORTRANGE(""https://docs.google.com/spreadsheets/d/1AVX9GT0dgogEBStecCXMMQ29tWz3gBrtNB8yIromXbY/edit?gid=741673867"", ""out1g!A:B""), 2, FALSE), 0)"),86.0)</f>
        <v>86</v>
      </c>
      <c r="D7612" s="2" t="str">
        <f>IFERROR(__xludf.DUMMYFUNCTION("IFERROR(VLOOKUP(A7612, IMPORTRANGE(""https://docs.google.com/spreadsheets/d/1-3Vjw2Cyy-mry5gbC8ypIR3YVGFfEpyFESummAta6sg/edit"", ""Sheet1!B:D""), 2, FALSE), ""Not Found"")"),"flæts")</f>
        <v>flæts</v>
      </c>
      <c r="E7612" s="2" t="str">
        <f>IFERROR(__xludf.DUMMYFUNCTION("IFERROR(VLOOKUP(A7612, IMPORTRANGE(""https://docs.google.com/spreadsheets/d/1-3Vjw2Cyy-mry5gbC8ypIR3YVGFfEpyFESummAta6sg/edit"", ""Sheet1!B:D""), 3, FALSE), ""Not Found"")"),"f l æ t s ")</f>
        <v>f l æ t s </v>
      </c>
    </row>
    <row r="7613">
      <c r="A7613" s="1" t="s">
        <v>7615</v>
      </c>
      <c r="B7613" s="1" t="s">
        <v>6138</v>
      </c>
      <c r="C7613" s="2">
        <f>IFERROR(__xludf.DUMMYFUNCTION("IFERROR(VLOOKUP(A7613, IMPORTRANGE(""https://docs.google.com/spreadsheets/d/1AVX9GT0dgogEBStecCXMMQ29tWz3gBrtNB8yIromXbY/edit?gid=741673867"", ""out1g!A:B""), 2, FALSE), 0)"),285.0)</f>
        <v>285</v>
      </c>
      <c r="D7613" s="2" t="str">
        <f>IFERROR(__xludf.DUMMYFUNCTION("IFERROR(VLOOKUP(A7613, IMPORTRANGE(""https://docs.google.com/spreadsheets/d/1-3Vjw2Cyy-mry5gbC8ypIR3YVGFfEpyFESummAta6sg/edit"", ""Sheet1!B:D""), 2, FALSE), ""Not Found"")"),"fɛləni")</f>
        <v>fɛləni</v>
      </c>
      <c r="E7613" s="2" t="str">
        <f>IFERROR(__xludf.DUMMYFUNCTION("IFERROR(VLOOKUP(A7613, IMPORTRANGE(""https://docs.google.com/spreadsheets/d/1-3Vjw2Cyy-mry5gbC8ypIR3YVGFfEpyFESummAta6sg/edit"", ""Sheet1!B:D""), 3, FALSE), ""Not Found"")"),"f ɛ l ə n i ")</f>
        <v>f ɛ l ə n i </v>
      </c>
    </row>
    <row r="7614">
      <c r="A7614" s="1" t="s">
        <v>7616</v>
      </c>
      <c r="B7614" s="1" t="s">
        <v>6138</v>
      </c>
      <c r="C7614" s="2">
        <f>IFERROR(__xludf.DUMMYFUNCTION("IFERROR(VLOOKUP(A7614, IMPORTRANGE(""https://docs.google.com/spreadsheets/d/1AVX9GT0dgogEBStecCXMMQ29tWz3gBrtNB8yIromXbY/edit?gid=741673867"", ""out1g!A:B""), 2, FALSE), 0)"),75.0)</f>
        <v>75</v>
      </c>
      <c r="D7614" s="2" t="str">
        <f>IFERROR(__xludf.DUMMYFUNCTION("IFERROR(VLOOKUP(A7614, IMPORTRANGE(""https://docs.google.com/spreadsheets/d/1-3Vjw2Cyy-mry5gbC8ypIR3YVGFfEpyFESummAta6sg/edit"", ""Sheet1!B:D""), 2, FALSE), ""Not Found"")"),"grenʤər")</f>
        <v>grenʤər</v>
      </c>
      <c r="E7614" s="2" t="str">
        <f>IFERROR(__xludf.DUMMYFUNCTION("IFERROR(VLOOKUP(A7614, IMPORTRANGE(""https://docs.google.com/spreadsheets/d/1-3Vjw2Cyy-mry5gbC8ypIR3YVGFfEpyFESummAta6sg/edit"", ""Sheet1!B:D""), 3, FALSE), ""Not Found"")"),"g r e n ʤ ə r ")</f>
        <v>g r e n ʤ ə r </v>
      </c>
    </row>
    <row r="7615">
      <c r="A7615" s="1" t="s">
        <v>7617</v>
      </c>
      <c r="B7615" s="1" t="s">
        <v>6138</v>
      </c>
      <c r="C7615" s="2">
        <f>IFERROR(__xludf.DUMMYFUNCTION("IFERROR(VLOOKUP(A7615, IMPORTRANGE(""https://docs.google.com/spreadsheets/d/1AVX9GT0dgogEBStecCXMMQ29tWz3gBrtNB8yIromXbY/edit?gid=741673867"", ""out1g!A:B""), 2, FALSE), 0)"),599.0)</f>
        <v>599</v>
      </c>
      <c r="D7615" s="2" t="str">
        <f>IFERROR(__xludf.DUMMYFUNCTION("IFERROR(VLOOKUP(A7615, IMPORTRANGE(""https://docs.google.com/spreadsheets/d/1-3Vjw2Cyy-mry5gbC8ypIR3YVGFfEpyFESummAta6sg/edit"", ""Sheet1!B:D""), 2, FALSE), ""Not Found"")"),"fidɪŋ")</f>
        <v>fidɪŋ</v>
      </c>
      <c r="E7615" s="2" t="str">
        <f>IFERROR(__xludf.DUMMYFUNCTION("IFERROR(VLOOKUP(A7615, IMPORTRANGE(""https://docs.google.com/spreadsheets/d/1-3Vjw2Cyy-mry5gbC8ypIR3YVGFfEpyFESummAta6sg/edit"", ""Sheet1!B:D""), 3, FALSE), ""Not Found"")"),"f i d ɪ ŋ ")</f>
        <v>f i d ɪ ŋ </v>
      </c>
    </row>
    <row r="7616">
      <c r="A7616" s="1" t="s">
        <v>7618</v>
      </c>
      <c r="B7616" s="1" t="s">
        <v>6138</v>
      </c>
      <c r="C7616" s="2">
        <f>IFERROR(__xludf.DUMMYFUNCTION("IFERROR(VLOOKUP(A7616, IMPORTRANGE(""https://docs.google.com/spreadsheets/d/1AVX9GT0dgogEBStecCXMMQ29tWz3gBrtNB8yIromXbY/edit?gid=741673867"", ""out1g!A:B""), 2, FALSE), 0)"),115.0)</f>
        <v>115</v>
      </c>
      <c r="D7616" s="2" t="str">
        <f>IFERROR(__xludf.DUMMYFUNCTION("IFERROR(VLOOKUP(A7616, IMPORTRANGE(""https://docs.google.com/spreadsheets/d/1-3Vjw2Cyy-mry5gbC8ypIR3YVGFfEpyFESummAta6sg/edit"", ""Sheet1!B:D""), 2, FALSE), ""Not Found"")"),"vəlʧərz")</f>
        <v>vəlʧərz</v>
      </c>
      <c r="E7616" s="2" t="str">
        <f>IFERROR(__xludf.DUMMYFUNCTION("IFERROR(VLOOKUP(A7616, IMPORTRANGE(""https://docs.google.com/spreadsheets/d/1-3Vjw2Cyy-mry5gbC8ypIR3YVGFfEpyFESummAta6sg/edit"", ""Sheet1!B:D""), 3, FALSE), ""Not Found"")"),"v ə l ʧ ə r z ")</f>
        <v>v ə l ʧ ə r z </v>
      </c>
    </row>
    <row r="7617">
      <c r="A7617" s="1" t="s">
        <v>7619</v>
      </c>
      <c r="B7617" s="1" t="s">
        <v>6138</v>
      </c>
      <c r="C7617" s="2">
        <f>IFERROR(__xludf.DUMMYFUNCTION("IFERROR(VLOOKUP(A7617, IMPORTRANGE(""https://docs.google.com/spreadsheets/d/1AVX9GT0dgogEBStecCXMMQ29tWz3gBrtNB8yIromXbY/edit?gid=741673867"", ""out1g!A:B""), 2, FALSE), 0)"),263.0)</f>
        <v>263</v>
      </c>
      <c r="D7617" s="2" t="str">
        <f>IFERROR(__xludf.DUMMYFUNCTION("IFERROR(VLOOKUP(A7617, IMPORTRANGE(""https://docs.google.com/spreadsheets/d/1-3Vjw2Cyy-mry5gbC8ypIR3YVGFfEpyFESummAta6sg/edit"", ""Sheet1!B:D""), 2, FALSE), ""Not Found"")"),"frizər")</f>
        <v>frizər</v>
      </c>
      <c r="E7617" s="2" t="str">
        <f>IFERROR(__xludf.DUMMYFUNCTION("IFERROR(VLOOKUP(A7617, IMPORTRANGE(""https://docs.google.com/spreadsheets/d/1-3Vjw2Cyy-mry5gbC8ypIR3YVGFfEpyFESummAta6sg/edit"", ""Sheet1!B:D""), 3, FALSE), ""Not Found"")"),"f r i z ə r ")</f>
        <v>f r i z ə r </v>
      </c>
    </row>
    <row r="7618">
      <c r="A7618" s="1" t="s">
        <v>7620</v>
      </c>
      <c r="B7618" s="1" t="s">
        <v>6138</v>
      </c>
      <c r="C7618" s="2">
        <f>IFERROR(__xludf.DUMMYFUNCTION("IFERROR(VLOOKUP(A7618, IMPORTRANGE(""https://docs.google.com/spreadsheets/d/1AVX9GT0dgogEBStecCXMMQ29tWz3gBrtNB8yIromXbY/edit?gid=741673867"", ""out1g!A:B""), 2, FALSE), 0)"),20.0)</f>
        <v>20</v>
      </c>
      <c r="D7618" s="2" t="str">
        <f>IFERROR(__xludf.DUMMYFUNCTION("IFERROR(VLOOKUP(A7618, IMPORTRANGE(""https://docs.google.com/spreadsheets/d/1-3Vjw2Cyy-mry5gbC8ypIR3YVGFfEpyFESummAta6sg/edit"", ""Sheet1!B:D""), 2, FALSE), ""Not Found"")"),"əpoʊzɪz")</f>
        <v>əpoʊzɪz</v>
      </c>
      <c r="E7618" s="2" t="str">
        <f>IFERROR(__xludf.DUMMYFUNCTION("IFERROR(VLOOKUP(A7618, IMPORTRANGE(""https://docs.google.com/spreadsheets/d/1-3Vjw2Cyy-mry5gbC8ypIR3YVGFfEpyFESummAta6sg/edit"", ""Sheet1!B:D""), 3, FALSE), ""Not Found"")"),"ə p o ʊ z ɪ z ")</f>
        <v>ə p o ʊ z ɪ z </v>
      </c>
    </row>
    <row r="7619">
      <c r="A7619" s="1" t="s">
        <v>7621</v>
      </c>
      <c r="B7619" s="1" t="s">
        <v>6138</v>
      </c>
      <c r="C7619" s="2">
        <f>IFERROR(__xludf.DUMMYFUNCTION("IFERROR(VLOOKUP(A7619, IMPORTRANGE(""https://docs.google.com/spreadsheets/d/1AVX9GT0dgogEBStecCXMMQ29tWz3gBrtNB8yIromXbY/edit?gid=741673867"", ""out1g!A:B""), 2, FALSE), 0)"),754.0)</f>
        <v>754</v>
      </c>
      <c r="D7619" s="2" t="str">
        <f>IFERROR(__xludf.DUMMYFUNCTION("IFERROR(VLOOKUP(A7619, IMPORTRANGE(""https://docs.google.com/spreadsheets/d/1-3Vjw2Cyy-mry5gbC8ypIR3YVGFfEpyFESummAta6sg/edit"", ""Sheet1!B:D""), 2, FALSE), ""Not Found"")"),"wɔrən")</f>
        <v>wɔrən</v>
      </c>
      <c r="E7619" s="2" t="str">
        <f>IFERROR(__xludf.DUMMYFUNCTION("IFERROR(VLOOKUP(A7619, IMPORTRANGE(""https://docs.google.com/spreadsheets/d/1-3Vjw2Cyy-mry5gbC8ypIR3YVGFfEpyFESummAta6sg/edit"", ""Sheet1!B:D""), 3, FALSE), ""Not Found"")"),"w ɔ r ə n ")</f>
        <v>w ɔ r ə n </v>
      </c>
    </row>
    <row r="7620">
      <c r="A7620" s="1" t="s">
        <v>7622</v>
      </c>
      <c r="B7620" s="1" t="s">
        <v>6138</v>
      </c>
      <c r="C7620" s="2">
        <f>IFERROR(__xludf.DUMMYFUNCTION("IFERROR(VLOOKUP(A7620, IMPORTRANGE(""https://docs.google.com/spreadsheets/d/1AVX9GT0dgogEBStecCXMMQ29tWz3gBrtNB8yIromXbY/edit?gid=741673867"", ""out1g!A:B""), 2, FALSE), 0)"),202.0)</f>
        <v>202</v>
      </c>
      <c r="D7620" s="2" t="str">
        <f>IFERROR(__xludf.DUMMYFUNCTION("IFERROR(VLOOKUP(A7620, IMPORTRANGE(""https://docs.google.com/spreadsheets/d/1-3Vjw2Cyy-mry5gbC8ypIR3YVGFfEpyFESummAta6sg/edit"", ""Sheet1!B:D""), 2, FALSE), ""Not Found"")"),"el")</f>
        <v>el</v>
      </c>
      <c r="E7620" s="2" t="str">
        <f>IFERROR(__xludf.DUMMYFUNCTION("IFERROR(VLOOKUP(A7620, IMPORTRANGE(""https://docs.google.com/spreadsheets/d/1-3Vjw2Cyy-mry5gbC8ypIR3YVGFfEpyFESummAta6sg/edit"", ""Sheet1!B:D""), 3, FALSE), ""Not Found"")"),"e l ")</f>
        <v>e l </v>
      </c>
    </row>
    <row r="7621">
      <c r="A7621" s="1" t="s">
        <v>7623</v>
      </c>
      <c r="B7621" s="1" t="s">
        <v>6138</v>
      </c>
      <c r="C7621" s="2">
        <f>IFERROR(__xludf.DUMMYFUNCTION("IFERROR(VLOOKUP(A7621, IMPORTRANGE(""https://docs.google.com/spreadsheets/d/1AVX9GT0dgogEBStecCXMMQ29tWz3gBrtNB8yIromXbY/edit?gid=741673867"", ""out1g!A:B""), 2, FALSE), 0)"),205.0)</f>
        <v>205</v>
      </c>
      <c r="D7621" s="2" t="str">
        <f>IFERROR(__xludf.DUMMYFUNCTION("IFERROR(VLOOKUP(A7621, IMPORTRANGE(""https://docs.google.com/spreadsheets/d/1-3Vjw2Cyy-mry5gbC8ypIR3YVGFfEpyFESummAta6sg/edit"", ""Sheet1!B:D""), 2, FALSE), ""Not Found"")"),"raɪzɪz")</f>
        <v>raɪzɪz</v>
      </c>
      <c r="E7621" s="2" t="str">
        <f>IFERROR(__xludf.DUMMYFUNCTION("IFERROR(VLOOKUP(A7621, IMPORTRANGE(""https://docs.google.com/spreadsheets/d/1-3Vjw2Cyy-mry5gbC8ypIR3YVGFfEpyFESummAta6sg/edit"", ""Sheet1!B:D""), 3, FALSE), ""Not Found"")"),"r a ɪ z ɪ z ")</f>
        <v>r a ɪ z ɪ z </v>
      </c>
    </row>
    <row r="7622">
      <c r="A7622" s="1" t="s">
        <v>7624</v>
      </c>
      <c r="B7622" s="1" t="s">
        <v>6138</v>
      </c>
      <c r="C7622" s="2">
        <f>IFERROR(__xludf.DUMMYFUNCTION("IFERROR(VLOOKUP(A7622, IMPORTRANGE(""https://docs.google.com/spreadsheets/d/1AVX9GT0dgogEBStecCXMMQ29tWz3gBrtNB8yIromXbY/edit?gid=741673867"", ""out1g!A:B""), 2, FALSE), 0)"),219.0)</f>
        <v>219</v>
      </c>
      <c r="D7622" s="2" t="str">
        <f>IFERROR(__xludf.DUMMYFUNCTION("IFERROR(VLOOKUP(A7622, IMPORTRANGE(""https://docs.google.com/spreadsheets/d/1-3Vjw2Cyy-mry5gbC8ypIR3YVGFfEpyFESummAta6sg/edit"", ""Sheet1!B:D""), 2, FALSE), ""Not Found"")"),"plænəts")</f>
        <v>plænəts</v>
      </c>
      <c r="E7622" s="2" t="str">
        <f>IFERROR(__xludf.DUMMYFUNCTION("IFERROR(VLOOKUP(A7622, IMPORTRANGE(""https://docs.google.com/spreadsheets/d/1-3Vjw2Cyy-mry5gbC8ypIR3YVGFfEpyFESummAta6sg/edit"", ""Sheet1!B:D""), 3, FALSE), ""Not Found"")"),"p l æ n ə t s ")</f>
        <v>p l æ n ə t s </v>
      </c>
    </row>
    <row r="7623">
      <c r="A7623" s="1" t="s">
        <v>7625</v>
      </c>
      <c r="B7623" s="1" t="s">
        <v>6138</v>
      </c>
      <c r="C7623" s="2">
        <f>IFERROR(__xludf.DUMMYFUNCTION("IFERROR(VLOOKUP(A7623, IMPORTRANGE(""https://docs.google.com/spreadsheets/d/1AVX9GT0dgogEBStecCXMMQ29tWz3gBrtNB8yIromXbY/edit?gid=741673867"", ""out1g!A:B""), 2, FALSE), 0)"),134.0)</f>
        <v>134</v>
      </c>
      <c r="D7623" s="2" t="str">
        <f>IFERROR(__xludf.DUMMYFUNCTION("IFERROR(VLOOKUP(A7623, IMPORTRANGE(""https://docs.google.com/spreadsheets/d/1-3Vjw2Cyy-mry5gbC8ypIR3YVGFfEpyFESummAta6sg/edit"", ""Sheet1!B:D""), 2, FALSE), ""Not Found"")"),"prɪfərz")</f>
        <v>prɪfərz</v>
      </c>
      <c r="E7623" s="2" t="str">
        <f>IFERROR(__xludf.DUMMYFUNCTION("IFERROR(VLOOKUP(A7623, IMPORTRANGE(""https://docs.google.com/spreadsheets/d/1-3Vjw2Cyy-mry5gbC8ypIR3YVGFfEpyFESummAta6sg/edit"", ""Sheet1!B:D""), 3, FALSE), ""Not Found"")"),"p r ɪ f ə r z ")</f>
        <v>p r ɪ f ə r z </v>
      </c>
    </row>
    <row r="7624">
      <c r="A7624" s="1" t="s">
        <v>7626</v>
      </c>
      <c r="B7624" s="1" t="s">
        <v>6138</v>
      </c>
      <c r="C7624" s="2">
        <f>IFERROR(__xludf.DUMMYFUNCTION("IFERROR(VLOOKUP(A7624, IMPORTRANGE(""https://docs.google.com/spreadsheets/d/1AVX9GT0dgogEBStecCXMMQ29tWz3gBrtNB8yIromXbY/edit?gid=741673867"", ""out1g!A:B""), 2, FALSE), 0)"),178.0)</f>
        <v>178</v>
      </c>
      <c r="D7624" s="2" t="str">
        <f>IFERROR(__xludf.DUMMYFUNCTION("IFERROR(VLOOKUP(A7624, IMPORTRANGE(""https://docs.google.com/spreadsheets/d/1-3Vjw2Cyy-mry5gbC8ypIR3YVGFfEpyFESummAta6sg/edit"", ""Sheet1!B:D""), 2, FALSE), ""Not Found"")"),"kɔrki")</f>
        <v>kɔrki</v>
      </c>
      <c r="E7624" s="2" t="str">
        <f>IFERROR(__xludf.DUMMYFUNCTION("IFERROR(VLOOKUP(A7624, IMPORTRANGE(""https://docs.google.com/spreadsheets/d/1-3Vjw2Cyy-mry5gbC8ypIR3YVGFfEpyFESummAta6sg/edit"", ""Sheet1!B:D""), 3, FALSE), ""Not Found"")"),"k ɔ r k i ")</f>
        <v>k ɔ r k i </v>
      </c>
    </row>
    <row r="7625">
      <c r="A7625" s="1" t="s">
        <v>7627</v>
      </c>
      <c r="B7625" s="1" t="s">
        <v>6138</v>
      </c>
      <c r="C7625" s="2">
        <f>IFERROR(__xludf.DUMMYFUNCTION("IFERROR(VLOOKUP(A7625, IMPORTRANGE(""https://docs.google.com/spreadsheets/d/1AVX9GT0dgogEBStecCXMMQ29tWz3gBrtNB8yIromXbY/edit?gid=741673867"", ""out1g!A:B""), 2, FALSE), 0)"),177.0)</f>
        <v>177</v>
      </c>
      <c r="D7625" s="2" t="str">
        <f>IFERROR(__xludf.DUMMYFUNCTION("IFERROR(VLOOKUP(A7625, IMPORTRANGE(""https://docs.google.com/spreadsheets/d/1-3Vjw2Cyy-mry5gbC8ypIR3YVGFfEpyFESummAta6sg/edit"", ""Sheet1!B:D""), 2, FALSE), ""Not Found"")"),"səfərz")</f>
        <v>səfərz</v>
      </c>
      <c r="E7625" s="2" t="str">
        <f>IFERROR(__xludf.DUMMYFUNCTION("IFERROR(VLOOKUP(A7625, IMPORTRANGE(""https://docs.google.com/spreadsheets/d/1-3Vjw2Cyy-mry5gbC8ypIR3YVGFfEpyFESummAta6sg/edit"", ""Sheet1!B:D""), 3, FALSE), ""Not Found"")"),"s ə f ə r z ")</f>
        <v>s ə f ə r z </v>
      </c>
    </row>
    <row r="7626">
      <c r="A7626" s="1" t="s">
        <v>7628</v>
      </c>
      <c r="B7626" s="1" t="s">
        <v>6138</v>
      </c>
      <c r="C7626" s="2">
        <f>IFERROR(__xludf.DUMMYFUNCTION("IFERROR(VLOOKUP(A7626, IMPORTRANGE(""https://docs.google.com/spreadsheets/d/1AVX9GT0dgogEBStecCXMMQ29tWz3gBrtNB8yIromXbY/edit?gid=741673867"", ""out1g!A:B""), 2, FALSE), 0)"),275.0)</f>
        <v>275</v>
      </c>
      <c r="D7626" s="2" t="str">
        <f>IFERROR(__xludf.DUMMYFUNCTION("IFERROR(VLOOKUP(A7626, IMPORTRANGE(""https://docs.google.com/spreadsheets/d/1-3Vjw2Cyy-mry5gbC8ypIR3YVGFfEpyFESummAta6sg/edit"", ""Sheet1!B:D""), 2, FALSE), ""Not Found"")"),"taʊərz")</f>
        <v>taʊərz</v>
      </c>
      <c r="E7626" s="2" t="str">
        <f>IFERROR(__xludf.DUMMYFUNCTION("IFERROR(VLOOKUP(A7626, IMPORTRANGE(""https://docs.google.com/spreadsheets/d/1-3Vjw2Cyy-mry5gbC8ypIR3YVGFfEpyFESummAta6sg/edit"", ""Sheet1!B:D""), 3, FALSE), ""Not Found"")"),"t a ʊ ə r z ")</f>
        <v>t a ʊ ə r z </v>
      </c>
    </row>
    <row r="7627">
      <c r="A7627" s="1" t="s">
        <v>7629</v>
      </c>
      <c r="B7627" s="1" t="s">
        <v>6138</v>
      </c>
      <c r="C7627" s="2">
        <f>IFERROR(__xludf.DUMMYFUNCTION("IFERROR(VLOOKUP(A7627, IMPORTRANGE(""https://docs.google.com/spreadsheets/d/1AVX9GT0dgogEBStecCXMMQ29tWz3gBrtNB8yIromXbY/edit?gid=741673867"", ""out1g!A:B""), 2, FALSE), 0)"),107.0)</f>
        <v>107</v>
      </c>
      <c r="D7627" s="2" t="str">
        <f>IFERROR(__xludf.DUMMYFUNCTION("IFERROR(VLOOKUP(A7627, IMPORTRANGE(""https://docs.google.com/spreadsheets/d/1-3Vjw2Cyy-mry5gbC8ypIR3YVGFfEpyFESummAta6sg/edit"", ""Sheet1!B:D""), 2, FALSE), ""Not Found"")"),"dudəl")</f>
        <v>dudəl</v>
      </c>
      <c r="E7627" s="2" t="str">
        <f>IFERROR(__xludf.DUMMYFUNCTION("IFERROR(VLOOKUP(A7627, IMPORTRANGE(""https://docs.google.com/spreadsheets/d/1-3Vjw2Cyy-mry5gbC8ypIR3YVGFfEpyFESummAta6sg/edit"", ""Sheet1!B:D""), 3, FALSE), ""Not Found"")"),"d u d ə l ")</f>
        <v>d u d ə l </v>
      </c>
    </row>
    <row r="7628">
      <c r="A7628" s="1" t="s">
        <v>7630</v>
      </c>
      <c r="B7628" s="1" t="s">
        <v>6138</v>
      </c>
      <c r="C7628" s="2">
        <f>IFERROR(__xludf.DUMMYFUNCTION("IFERROR(VLOOKUP(A7628, IMPORTRANGE(""https://docs.google.com/spreadsheets/d/1AVX9GT0dgogEBStecCXMMQ29tWz3gBrtNB8yIromXbY/edit?gid=741673867"", ""out1g!A:B""), 2, FALSE), 0)"),53.0)</f>
        <v>53</v>
      </c>
      <c r="D7628" s="2" t="str">
        <f>IFERROR(__xludf.DUMMYFUNCTION("IFERROR(VLOOKUP(A7628, IMPORTRANGE(""https://docs.google.com/spreadsheets/d/1-3Vjw2Cyy-mry5gbC8ypIR3YVGFfEpyFESummAta6sg/edit"", ""Sheet1!B:D""), 2, FALSE), ""Not Found"")"),"sɔrɪŋ")</f>
        <v>sɔrɪŋ</v>
      </c>
      <c r="E7628" s="2" t="str">
        <f>IFERROR(__xludf.DUMMYFUNCTION("IFERROR(VLOOKUP(A7628, IMPORTRANGE(""https://docs.google.com/spreadsheets/d/1-3Vjw2Cyy-mry5gbC8ypIR3YVGFfEpyFESummAta6sg/edit"", ""Sheet1!B:D""), 3, FALSE), ""Not Found"")"),"s ɔ r ɪ ŋ ")</f>
        <v>s ɔ r ɪ ŋ </v>
      </c>
    </row>
    <row r="7629">
      <c r="A7629" s="1" t="s">
        <v>7631</v>
      </c>
      <c r="B7629" s="1" t="s">
        <v>6138</v>
      </c>
      <c r="C7629" s="2">
        <f>IFERROR(__xludf.DUMMYFUNCTION("IFERROR(VLOOKUP(A7629, IMPORTRANGE(""https://docs.google.com/spreadsheets/d/1AVX9GT0dgogEBStecCXMMQ29tWz3gBrtNB8yIromXbY/edit?gid=741673867"", ""out1g!A:B""), 2, FALSE), 0)"),57.0)</f>
        <v>57</v>
      </c>
      <c r="D7629" s="2" t="str">
        <f>IFERROR(__xludf.DUMMYFUNCTION("IFERROR(VLOOKUP(A7629, IMPORTRANGE(""https://docs.google.com/spreadsheets/d/1-3Vjw2Cyy-mry5gbC8ypIR3YVGFfEpyFESummAta6sg/edit"", ""Sheet1!B:D""), 2, FALSE), ""Not Found"")"),"ɑrmɪŋ")</f>
        <v>ɑrmɪŋ</v>
      </c>
      <c r="E7629" s="2" t="str">
        <f>IFERROR(__xludf.DUMMYFUNCTION("IFERROR(VLOOKUP(A7629, IMPORTRANGE(""https://docs.google.com/spreadsheets/d/1-3Vjw2Cyy-mry5gbC8ypIR3YVGFfEpyFESummAta6sg/edit"", ""Sheet1!B:D""), 3, FALSE), ""Not Found"")"),"ɑ r m ɪ ŋ ")</f>
        <v>ɑ r m ɪ ŋ </v>
      </c>
    </row>
    <row r="7630">
      <c r="A7630" s="1" t="s">
        <v>7632</v>
      </c>
      <c r="B7630" s="1" t="s">
        <v>6138</v>
      </c>
      <c r="C7630" s="2">
        <f>IFERROR(__xludf.DUMMYFUNCTION("IFERROR(VLOOKUP(A7630, IMPORTRANGE(""https://docs.google.com/spreadsheets/d/1AVX9GT0dgogEBStecCXMMQ29tWz3gBrtNB8yIromXbY/edit?gid=741673867"", ""out1g!A:B""), 2, FALSE), 0)"),53.0)</f>
        <v>53</v>
      </c>
      <c r="D7630" s="2" t="str">
        <f>IFERROR(__xludf.DUMMYFUNCTION("IFERROR(VLOOKUP(A7630, IMPORTRANGE(""https://docs.google.com/spreadsheets/d/1-3Vjw2Cyy-mry5gbC8ypIR3YVGFfEpyFESummAta6sg/edit"", ""Sheet1!B:D""), 2, FALSE), ""Not Found"")"),"skwɪʃ")</f>
        <v>skwɪʃ</v>
      </c>
      <c r="E7630" s="2" t="str">
        <f>IFERROR(__xludf.DUMMYFUNCTION("IFERROR(VLOOKUP(A7630, IMPORTRANGE(""https://docs.google.com/spreadsheets/d/1-3Vjw2Cyy-mry5gbC8ypIR3YVGFfEpyFESummAta6sg/edit"", ""Sheet1!B:D""), 3, FALSE), ""Not Found"")"),"s k w ɪ ʃ ")</f>
        <v>s k w ɪ ʃ </v>
      </c>
    </row>
    <row r="7631">
      <c r="A7631" s="1" t="s">
        <v>7633</v>
      </c>
      <c r="B7631" s="1" t="s">
        <v>6138</v>
      </c>
      <c r="C7631" s="2">
        <f>IFERROR(__xludf.DUMMYFUNCTION("IFERROR(VLOOKUP(A7631, IMPORTRANGE(""https://docs.google.com/spreadsheets/d/1AVX9GT0dgogEBStecCXMMQ29tWz3gBrtNB8yIromXbY/edit?gid=741673867"", ""out1g!A:B""), 2, FALSE), 0)"),47.0)</f>
        <v>47</v>
      </c>
      <c r="D7631" s="2" t="str">
        <f>IFERROR(__xludf.DUMMYFUNCTION("IFERROR(VLOOKUP(A7631, IMPORTRANGE(""https://docs.google.com/spreadsheets/d/1-3Vjw2Cyy-mry5gbC8ypIR3YVGFfEpyFESummAta6sg/edit"", ""Sheet1!B:D""), 2, FALSE), ""Not Found"")"),"əsɛnd")</f>
        <v>əsɛnd</v>
      </c>
      <c r="E7631" s="2" t="str">
        <f>IFERROR(__xludf.DUMMYFUNCTION("IFERROR(VLOOKUP(A7631, IMPORTRANGE(""https://docs.google.com/spreadsheets/d/1-3Vjw2Cyy-mry5gbC8ypIR3YVGFfEpyFESummAta6sg/edit"", ""Sheet1!B:D""), 3, FALSE), ""Not Found"")"),"ə s ɛ n d ")</f>
        <v>ə s ɛ n d </v>
      </c>
    </row>
    <row r="7632">
      <c r="A7632" s="1" t="s">
        <v>7634</v>
      </c>
      <c r="B7632" s="1" t="s">
        <v>6138</v>
      </c>
      <c r="C7632" s="2">
        <f>IFERROR(__xludf.DUMMYFUNCTION("IFERROR(VLOOKUP(A7632, IMPORTRANGE(""https://docs.google.com/spreadsheets/d/1AVX9GT0dgogEBStecCXMMQ29tWz3gBrtNB8yIromXbY/edit?gid=741673867"", ""out1g!A:B""), 2, FALSE), 0)"),102.0)</f>
        <v>102</v>
      </c>
      <c r="D7632" s="2" t="str">
        <f>IFERROR(__xludf.DUMMYFUNCTION("IFERROR(VLOOKUP(A7632, IMPORTRANGE(""https://docs.google.com/spreadsheets/d/1-3Vjw2Cyy-mry5gbC8ypIR3YVGFfEpyFESummAta6sg/edit"", ""Sheet1!B:D""), 2, FALSE), ""Not Found"")"),"roʊʧɪz")</f>
        <v>roʊʧɪz</v>
      </c>
      <c r="E7632" s="2" t="str">
        <f>IFERROR(__xludf.DUMMYFUNCTION("IFERROR(VLOOKUP(A7632, IMPORTRANGE(""https://docs.google.com/spreadsheets/d/1-3Vjw2Cyy-mry5gbC8ypIR3YVGFfEpyFESummAta6sg/edit"", ""Sheet1!B:D""), 3, FALSE), ""Not Found"")"),"r o ʊ ʧ ɪ z ")</f>
        <v>r o ʊ ʧ ɪ z </v>
      </c>
    </row>
    <row r="7633">
      <c r="A7633" s="1" t="s">
        <v>7635</v>
      </c>
      <c r="B7633" s="1" t="s">
        <v>6138</v>
      </c>
      <c r="C7633" s="2">
        <f>IFERROR(__xludf.DUMMYFUNCTION("IFERROR(VLOOKUP(A7633, IMPORTRANGE(""https://docs.google.com/spreadsheets/d/1AVX9GT0dgogEBStecCXMMQ29tWz3gBrtNB8yIromXbY/edit?gid=741673867"", ""out1g!A:B""), 2, FALSE), 0)"),172.0)</f>
        <v>172</v>
      </c>
      <c r="D7633" s="2" t="str">
        <f>IFERROR(__xludf.DUMMYFUNCTION("IFERROR(VLOOKUP(A7633, IMPORTRANGE(""https://docs.google.com/spreadsheets/d/1-3Vjw2Cyy-mry5gbC8ypIR3YVGFfEpyFESummAta6sg/edit"", ""Sheet1!B:D""), 2, FALSE), ""Not Found"")"),"drɪpɪŋ")</f>
        <v>drɪpɪŋ</v>
      </c>
      <c r="E7633" s="2" t="str">
        <f>IFERROR(__xludf.DUMMYFUNCTION("IFERROR(VLOOKUP(A7633, IMPORTRANGE(""https://docs.google.com/spreadsheets/d/1-3Vjw2Cyy-mry5gbC8ypIR3YVGFfEpyFESummAta6sg/edit"", ""Sheet1!B:D""), 3, FALSE), ""Not Found"")"),"d r ɪ p ɪ ŋ ")</f>
        <v>d r ɪ p ɪ ŋ </v>
      </c>
    </row>
    <row r="7634">
      <c r="A7634" s="1" t="s">
        <v>7636</v>
      </c>
      <c r="B7634" s="1" t="s">
        <v>6138</v>
      </c>
      <c r="C7634" s="2">
        <f>IFERROR(__xludf.DUMMYFUNCTION("IFERROR(VLOOKUP(A7634, IMPORTRANGE(""https://docs.google.com/spreadsheets/d/1AVX9GT0dgogEBStecCXMMQ29tWz3gBrtNB8yIromXbY/edit?gid=741673867"", ""out1g!A:B""), 2, FALSE), 0)"),479.0)</f>
        <v>479</v>
      </c>
      <c r="D7634" s="2" t="str">
        <f>IFERROR(__xludf.DUMMYFUNCTION("IFERROR(VLOOKUP(A7634, IMPORTRANGE(""https://docs.google.com/spreadsheets/d/1-3Vjw2Cyy-mry5gbC8ypIR3YVGFfEpyFESummAta6sg/edit"", ""Sheet1!B:D""), 2, FALSE), ""Not Found"")"),"trɪpəl")</f>
        <v>trɪpəl</v>
      </c>
      <c r="E7634" s="2" t="str">
        <f>IFERROR(__xludf.DUMMYFUNCTION("IFERROR(VLOOKUP(A7634, IMPORTRANGE(""https://docs.google.com/spreadsheets/d/1-3Vjw2Cyy-mry5gbC8ypIR3YVGFfEpyFESummAta6sg/edit"", ""Sheet1!B:D""), 3, FALSE), ""Not Found"")"),"t r ɪ p ə l ")</f>
        <v>t r ɪ p ə l </v>
      </c>
    </row>
    <row r="7635">
      <c r="A7635" s="1" t="s">
        <v>7637</v>
      </c>
      <c r="B7635" s="1" t="s">
        <v>6138</v>
      </c>
      <c r="C7635" s="2">
        <f>IFERROR(__xludf.DUMMYFUNCTION("IFERROR(VLOOKUP(A7635, IMPORTRANGE(""https://docs.google.com/spreadsheets/d/1AVX9GT0dgogEBStecCXMMQ29tWz3gBrtNB8yIromXbY/edit?gid=741673867"", ""out1g!A:B""), 2, FALSE), 0)"),183.0)</f>
        <v>183</v>
      </c>
      <c r="D7635" s="2" t="str">
        <f>IFERROR(__xludf.DUMMYFUNCTION("IFERROR(VLOOKUP(A7635, IMPORTRANGE(""https://docs.google.com/spreadsheets/d/1-3Vjw2Cyy-mry5gbC8ypIR3YVGFfEpyFESummAta6sg/edit"", ""Sheet1!B:D""), 2, FALSE), ""Not Found"")"),"strɪpt")</f>
        <v>strɪpt</v>
      </c>
      <c r="E7635" s="2" t="str">
        <f>IFERROR(__xludf.DUMMYFUNCTION("IFERROR(VLOOKUP(A7635, IMPORTRANGE(""https://docs.google.com/spreadsheets/d/1-3Vjw2Cyy-mry5gbC8ypIR3YVGFfEpyFESummAta6sg/edit"", ""Sheet1!B:D""), 3, FALSE), ""Not Found"")"),"s t r ɪ p t ")</f>
        <v>s t r ɪ p t </v>
      </c>
    </row>
    <row r="7636">
      <c r="A7636" s="1" t="s">
        <v>7638</v>
      </c>
      <c r="B7636" s="1" t="s">
        <v>6138</v>
      </c>
      <c r="C7636" s="2">
        <f>IFERROR(__xludf.DUMMYFUNCTION("IFERROR(VLOOKUP(A7636, IMPORTRANGE(""https://docs.google.com/spreadsheets/d/1AVX9GT0dgogEBStecCXMMQ29tWz3gBrtNB8yIromXbY/edit?gid=741673867"", ""out1g!A:B""), 2, FALSE), 0)"),596.0)</f>
        <v>596</v>
      </c>
      <c r="D7636" s="2" t="str">
        <f>IFERROR(__xludf.DUMMYFUNCTION("IFERROR(VLOOKUP(A7636, IMPORTRANGE(""https://docs.google.com/spreadsheets/d/1-3Vjw2Cyy-mry5gbC8ypIR3YVGFfEpyFESummAta6sg/edit"", ""Sheet1!B:D""), 2, FALSE), ""Not Found"")"),"bu")</f>
        <v>bu</v>
      </c>
      <c r="E7636" s="2" t="str">
        <f>IFERROR(__xludf.DUMMYFUNCTION("IFERROR(VLOOKUP(A7636, IMPORTRANGE(""https://docs.google.com/spreadsheets/d/1-3Vjw2Cyy-mry5gbC8ypIR3YVGFfEpyFESummAta6sg/edit"", ""Sheet1!B:D""), 3, FALSE), ""Not Found"")"),"b u ")</f>
        <v>b u </v>
      </c>
    </row>
    <row r="7637">
      <c r="A7637" s="1" t="s">
        <v>7639</v>
      </c>
      <c r="B7637" s="1" t="s">
        <v>6138</v>
      </c>
      <c r="C7637" s="2">
        <f>IFERROR(__xludf.DUMMYFUNCTION("IFERROR(VLOOKUP(A7637, IMPORTRANGE(""https://docs.google.com/spreadsheets/d/1AVX9GT0dgogEBStecCXMMQ29tWz3gBrtNB8yIromXbY/edit?gid=741673867"", ""out1g!A:B""), 2, FALSE), 0)"),122.0)</f>
        <v>122</v>
      </c>
      <c r="D7637" s="2" t="str">
        <f>IFERROR(__xludf.DUMMYFUNCTION("IFERROR(VLOOKUP(A7637, IMPORTRANGE(""https://docs.google.com/spreadsheets/d/1-3Vjw2Cyy-mry5gbC8ypIR3YVGFfEpyFESummAta6sg/edit"", ""Sheet1!B:D""), 2, FALSE), ""Not Found"")"),"nægɪŋ")</f>
        <v>nægɪŋ</v>
      </c>
      <c r="E7637" s="2" t="str">
        <f>IFERROR(__xludf.DUMMYFUNCTION("IFERROR(VLOOKUP(A7637, IMPORTRANGE(""https://docs.google.com/spreadsheets/d/1-3Vjw2Cyy-mry5gbC8ypIR3YVGFfEpyFESummAta6sg/edit"", ""Sheet1!B:D""), 3, FALSE), ""Not Found"")"),"n æ g ɪ ŋ ")</f>
        <v>n æ g ɪ ŋ </v>
      </c>
    </row>
    <row r="7638">
      <c r="A7638" s="1" t="s">
        <v>7640</v>
      </c>
      <c r="B7638" s="1" t="s">
        <v>6138</v>
      </c>
      <c r="C7638" s="2">
        <f>IFERROR(__xludf.DUMMYFUNCTION("IFERROR(VLOOKUP(A7638, IMPORTRANGE(""https://docs.google.com/spreadsheets/d/1AVX9GT0dgogEBStecCXMMQ29tWz3gBrtNB8yIromXbY/edit?gid=741673867"", ""out1g!A:B""), 2, FALSE), 0)"),48.0)</f>
        <v>48</v>
      </c>
      <c r="D7638" s="2" t="str">
        <f>IFERROR(__xludf.DUMMYFUNCTION("IFERROR(VLOOKUP(A7638, IMPORTRANGE(""https://docs.google.com/spreadsheets/d/1-3Vjw2Cyy-mry5gbC8ypIR3YVGFfEpyFESummAta6sg/edit"", ""Sheet1!B:D""), 2, FALSE), ""Not Found"")"),"pɪlərz")</f>
        <v>pɪlərz</v>
      </c>
      <c r="E7638" s="2" t="str">
        <f>IFERROR(__xludf.DUMMYFUNCTION("IFERROR(VLOOKUP(A7638, IMPORTRANGE(""https://docs.google.com/spreadsheets/d/1-3Vjw2Cyy-mry5gbC8ypIR3YVGFfEpyFESummAta6sg/edit"", ""Sheet1!B:D""), 3, FALSE), ""Not Found"")"),"p ɪ l ə r z ")</f>
        <v>p ɪ l ə r z </v>
      </c>
    </row>
    <row r="7639">
      <c r="A7639" s="1" t="s">
        <v>7641</v>
      </c>
      <c r="B7639" s="1" t="s">
        <v>6138</v>
      </c>
      <c r="C7639" s="2">
        <f>IFERROR(__xludf.DUMMYFUNCTION("IFERROR(VLOOKUP(A7639, IMPORTRANGE(""https://docs.google.com/spreadsheets/d/1AVX9GT0dgogEBStecCXMMQ29tWz3gBrtNB8yIromXbY/edit?gid=741673867"", ""out1g!A:B""), 2, FALSE), 0)"),374.0)</f>
        <v>374</v>
      </c>
      <c r="D7639" s="2" t="str">
        <f>IFERROR(__xludf.DUMMYFUNCTION("IFERROR(VLOOKUP(A7639, IMPORTRANGE(""https://docs.google.com/spreadsheets/d/1-3Vjw2Cyy-mry5gbC8ypIR3YVGFfEpyFESummAta6sg/edit"", ""Sheet1!B:D""), 2, FALSE), ""Not Found"")"),"pəzəl")</f>
        <v>pəzəl</v>
      </c>
      <c r="E7639" s="2" t="str">
        <f>IFERROR(__xludf.DUMMYFUNCTION("IFERROR(VLOOKUP(A7639, IMPORTRANGE(""https://docs.google.com/spreadsheets/d/1-3Vjw2Cyy-mry5gbC8ypIR3YVGFfEpyFESummAta6sg/edit"", ""Sheet1!B:D""), 3, FALSE), ""Not Found"")"),"p ə z ə l ")</f>
        <v>p ə z ə l </v>
      </c>
    </row>
    <row r="7640">
      <c r="A7640" s="1" t="s">
        <v>7642</v>
      </c>
      <c r="B7640" s="1" t="s">
        <v>6138</v>
      </c>
      <c r="C7640" s="2">
        <f>IFERROR(__xludf.DUMMYFUNCTION("IFERROR(VLOOKUP(A7640, IMPORTRANGE(""https://docs.google.com/spreadsheets/d/1AVX9GT0dgogEBStecCXMMQ29tWz3gBrtNB8yIromXbY/edit?gid=741673867"", ""out1g!A:B""), 2, FALSE), 0)"),738.0)</f>
        <v>738</v>
      </c>
      <c r="D7640" s="2" t="str">
        <f>IFERROR(__xludf.DUMMYFUNCTION("IFERROR(VLOOKUP(A7640, IMPORTRANGE(""https://docs.google.com/spreadsheets/d/1-3Vjw2Cyy-mry5gbC8ypIR3YVGFfEpyFESummAta6sg/edit"", ""Sheet1!B:D""), 2, FALSE), ""Not Found"")"),"hɛrɪs")</f>
        <v>hɛrɪs</v>
      </c>
      <c r="E7640" s="2" t="str">
        <f>IFERROR(__xludf.DUMMYFUNCTION("IFERROR(VLOOKUP(A7640, IMPORTRANGE(""https://docs.google.com/spreadsheets/d/1-3Vjw2Cyy-mry5gbC8ypIR3YVGFfEpyFESummAta6sg/edit"", ""Sheet1!B:D""), 3, FALSE), ""Not Found"")"),"h ɛ r ɪ s ")</f>
        <v>h ɛ r ɪ s </v>
      </c>
    </row>
    <row r="7641">
      <c r="A7641" s="1" t="s">
        <v>7643</v>
      </c>
      <c r="B7641" s="1" t="s">
        <v>6138</v>
      </c>
      <c r="C7641" s="2">
        <f>IFERROR(__xludf.DUMMYFUNCTION("IFERROR(VLOOKUP(A7641, IMPORTRANGE(""https://docs.google.com/spreadsheets/d/1AVX9GT0dgogEBStecCXMMQ29tWz3gBrtNB8yIromXbY/edit?gid=741673867"", ""out1g!A:B""), 2, FALSE), 0)"),263.0)</f>
        <v>263</v>
      </c>
      <c r="D7641" s="2" t="str">
        <f>IFERROR(__xludf.DUMMYFUNCTION("IFERROR(VLOOKUP(A7641, IMPORTRANGE(""https://docs.google.com/spreadsheets/d/1-3Vjw2Cyy-mry5gbC8ypIR3YVGFfEpyFESummAta6sg/edit"", ""Sheet1!B:D""), 2, FALSE), ""Not Found"")"),"həŋk")</f>
        <v>həŋk</v>
      </c>
      <c r="E7641" s="2" t="str">
        <f>IFERROR(__xludf.DUMMYFUNCTION("IFERROR(VLOOKUP(A7641, IMPORTRANGE(""https://docs.google.com/spreadsheets/d/1-3Vjw2Cyy-mry5gbC8ypIR3YVGFfEpyFESummAta6sg/edit"", ""Sheet1!B:D""), 3, FALSE), ""Not Found"")"),"h ə ŋ k ")</f>
        <v>h ə ŋ k </v>
      </c>
    </row>
    <row r="7642">
      <c r="A7642" s="1" t="s">
        <v>7644</v>
      </c>
      <c r="B7642" s="1" t="s">
        <v>6138</v>
      </c>
      <c r="C7642" s="2">
        <f>IFERROR(__xludf.DUMMYFUNCTION("IFERROR(VLOOKUP(A7642, IMPORTRANGE(""https://docs.google.com/spreadsheets/d/1AVX9GT0dgogEBStecCXMMQ29tWz3gBrtNB8yIromXbY/edit?gid=741673867"", ""out1g!A:B""), 2, FALSE), 0)"),75.0)</f>
        <v>75</v>
      </c>
      <c r="D7642" s="2" t="str">
        <f>IFERROR(__xludf.DUMMYFUNCTION("IFERROR(VLOOKUP(A7642, IMPORTRANGE(""https://docs.google.com/spreadsheets/d/1-3Vjw2Cyy-mry5gbC8ypIR3YVGFfEpyFESummAta6sg/edit"", ""Sheet1!B:D""), 2, FALSE), ""Not Found"")"),"pərsivd")</f>
        <v>pərsivd</v>
      </c>
      <c r="E7642" s="2" t="str">
        <f>IFERROR(__xludf.DUMMYFUNCTION("IFERROR(VLOOKUP(A7642, IMPORTRANGE(""https://docs.google.com/spreadsheets/d/1-3Vjw2Cyy-mry5gbC8ypIR3YVGFfEpyFESummAta6sg/edit"", ""Sheet1!B:D""), 3, FALSE), ""Not Found"")"),"p ə r s i v d ")</f>
        <v>p ə r s i v d </v>
      </c>
    </row>
    <row r="7643">
      <c r="A7643" s="1" t="s">
        <v>7645</v>
      </c>
      <c r="B7643" s="1" t="s">
        <v>6138</v>
      </c>
      <c r="C7643" s="2">
        <f>IFERROR(__xludf.DUMMYFUNCTION("IFERROR(VLOOKUP(A7643, IMPORTRANGE(""https://docs.google.com/spreadsheets/d/1AVX9GT0dgogEBStecCXMMQ29tWz3gBrtNB8yIromXbY/edit?gid=741673867"", ""out1g!A:B""), 2, FALSE), 0)"),436.0)</f>
        <v>436</v>
      </c>
      <c r="D7643" s="2" t="str">
        <f>IFERROR(__xludf.DUMMYFUNCTION("IFERROR(VLOOKUP(A7643, IMPORTRANGE(""https://docs.google.com/spreadsheets/d/1-3Vjw2Cyy-mry5gbC8ypIR3YVGFfEpyFESummAta6sg/edit"", ""Sheet1!B:D""), 2, FALSE), ""Not Found"")"),"sitɪd")</f>
        <v>sitɪd</v>
      </c>
      <c r="E7643" s="2" t="str">
        <f>IFERROR(__xludf.DUMMYFUNCTION("IFERROR(VLOOKUP(A7643, IMPORTRANGE(""https://docs.google.com/spreadsheets/d/1-3Vjw2Cyy-mry5gbC8ypIR3YVGFfEpyFESummAta6sg/edit"", ""Sheet1!B:D""), 3, FALSE), ""Not Found"")"),"s i t ɪ d ")</f>
        <v>s i t ɪ d </v>
      </c>
    </row>
    <row r="7644">
      <c r="A7644" s="1" t="s">
        <v>7646</v>
      </c>
      <c r="B7644" s="1" t="s">
        <v>6138</v>
      </c>
      <c r="C7644" s="2">
        <f>IFERROR(__xludf.DUMMYFUNCTION("IFERROR(VLOOKUP(A7644, IMPORTRANGE(""https://docs.google.com/spreadsheets/d/1AVX9GT0dgogEBStecCXMMQ29tWz3gBrtNB8yIromXbY/edit?gid=741673867"", ""out1g!A:B""), 2, FALSE), 0)"),218.0)</f>
        <v>218</v>
      </c>
      <c r="D7644" s="2" t="str">
        <f>IFERROR(__xludf.DUMMYFUNCTION("IFERROR(VLOOKUP(A7644, IMPORTRANGE(""https://docs.google.com/spreadsheets/d/1-3Vjw2Cyy-mry5gbC8ypIR3YVGFfEpyFESummAta6sg/edit"", ""Sheet1!B:D""), 2, FALSE), ""Not Found"")"),"mɛlən")</f>
        <v>mɛlən</v>
      </c>
      <c r="E7644" s="2" t="str">
        <f>IFERROR(__xludf.DUMMYFUNCTION("IFERROR(VLOOKUP(A7644, IMPORTRANGE(""https://docs.google.com/spreadsheets/d/1-3Vjw2Cyy-mry5gbC8ypIR3YVGFfEpyFESummAta6sg/edit"", ""Sheet1!B:D""), 3, FALSE), ""Not Found"")"),"m ɛ l ə n ")</f>
        <v>m ɛ l ə n </v>
      </c>
    </row>
    <row r="7645">
      <c r="A7645" s="1" t="s">
        <v>7647</v>
      </c>
      <c r="B7645" s="1" t="s">
        <v>6138</v>
      </c>
      <c r="C7645" s="2">
        <f>IFERROR(__xludf.DUMMYFUNCTION("IFERROR(VLOOKUP(A7645, IMPORTRANGE(""https://docs.google.com/spreadsheets/d/1AVX9GT0dgogEBStecCXMMQ29tWz3gBrtNB8yIromXbY/edit?gid=741673867"", ""out1g!A:B""), 2, FALSE), 0)"),1821.0)</f>
        <v>1821</v>
      </c>
      <c r="D7645" s="2" t="str">
        <f>IFERROR(__xludf.DUMMYFUNCTION("IFERROR(VLOOKUP(A7645, IMPORTRANGE(""https://docs.google.com/spreadsheets/d/1-3Vjw2Cyy-mry5gbC8ypIR3YVGFfEpyFESummAta6sg/edit"", ""Sheet1!B:D""), 2, FALSE), ""Not Found"")"),"pɑkət")</f>
        <v>pɑkət</v>
      </c>
      <c r="E7645" s="2" t="str">
        <f>IFERROR(__xludf.DUMMYFUNCTION("IFERROR(VLOOKUP(A7645, IMPORTRANGE(""https://docs.google.com/spreadsheets/d/1-3Vjw2Cyy-mry5gbC8ypIR3YVGFfEpyFESummAta6sg/edit"", ""Sheet1!B:D""), 3, FALSE), ""Not Found"")"),"p ɑ k ə t ")</f>
        <v>p ɑ k ə t </v>
      </c>
    </row>
    <row r="7646">
      <c r="A7646" s="1" t="s">
        <v>7648</v>
      </c>
      <c r="B7646" s="1" t="s">
        <v>6138</v>
      </c>
      <c r="C7646" s="2">
        <f>IFERROR(__xludf.DUMMYFUNCTION("IFERROR(VLOOKUP(A7646, IMPORTRANGE(""https://docs.google.com/spreadsheets/d/1AVX9GT0dgogEBStecCXMMQ29tWz3gBrtNB8yIromXbY/edit?gid=741673867"", ""out1g!A:B""), 2, FALSE), 0)"),1612.0)</f>
        <v>1612</v>
      </c>
      <c r="D7646" s="2" t="str">
        <f>IFERROR(__xludf.DUMMYFUNCTION("IFERROR(VLOOKUP(A7646, IMPORTRANGE(""https://docs.google.com/spreadsheets/d/1-3Vjw2Cyy-mry5gbC8ypIR3YVGFfEpyFESummAta6sg/edit"", ""Sheet1!B:D""), 2, FALSE), ""Not Found"")"),"kəvərd")</f>
        <v>kəvərd</v>
      </c>
      <c r="E7646" s="2" t="str">
        <f>IFERROR(__xludf.DUMMYFUNCTION("IFERROR(VLOOKUP(A7646, IMPORTRANGE(""https://docs.google.com/spreadsheets/d/1-3Vjw2Cyy-mry5gbC8ypIR3YVGFfEpyFESummAta6sg/edit"", ""Sheet1!B:D""), 3, FALSE), ""Not Found"")"),"k ə v ə r d ")</f>
        <v>k ə v ə r d </v>
      </c>
    </row>
    <row r="7647">
      <c r="A7647" s="1" t="s">
        <v>7649</v>
      </c>
      <c r="B7647" s="1" t="s">
        <v>6138</v>
      </c>
      <c r="C7647" s="2">
        <f>IFERROR(__xludf.DUMMYFUNCTION("IFERROR(VLOOKUP(A7647, IMPORTRANGE(""https://docs.google.com/spreadsheets/d/1AVX9GT0dgogEBStecCXMMQ29tWz3gBrtNB8yIromXbY/edit?gid=741673867"", ""out1g!A:B""), 2, FALSE), 0)"),488.0)</f>
        <v>488</v>
      </c>
      <c r="D7647" s="2" t="str">
        <f>IFERROR(__xludf.DUMMYFUNCTION("IFERROR(VLOOKUP(A7647, IMPORTRANGE(""https://docs.google.com/spreadsheets/d/1-3Vjw2Cyy-mry5gbC8ypIR3YVGFfEpyFESummAta6sg/edit"", ""Sheet1!B:D""), 2, FALSE), ""Not Found"")"),"mɔrtəl")</f>
        <v>mɔrtəl</v>
      </c>
      <c r="E7647" s="2" t="str">
        <f>IFERROR(__xludf.DUMMYFUNCTION("IFERROR(VLOOKUP(A7647, IMPORTRANGE(""https://docs.google.com/spreadsheets/d/1-3Vjw2Cyy-mry5gbC8ypIR3YVGFfEpyFESummAta6sg/edit"", ""Sheet1!B:D""), 3, FALSE), ""Not Found"")"),"m ɔ r t ə l ")</f>
        <v>m ɔ r t ə l </v>
      </c>
    </row>
    <row r="7648">
      <c r="A7648" s="1" t="s">
        <v>7650</v>
      </c>
      <c r="B7648" s="1" t="s">
        <v>6138</v>
      </c>
      <c r="C7648" s="2">
        <f>IFERROR(__xludf.DUMMYFUNCTION("IFERROR(VLOOKUP(A7648, IMPORTRANGE(""https://docs.google.com/spreadsheets/d/1AVX9GT0dgogEBStecCXMMQ29tWz3gBrtNB8yIromXbY/edit?gid=741673867"", ""out1g!A:B""), 2, FALSE), 0)"),13358.0)</f>
        <v>13358</v>
      </c>
      <c r="D7648" s="2" t="str">
        <f>IFERROR(__xludf.DUMMYFUNCTION("IFERROR(VLOOKUP(A7648, IMPORTRANGE(""https://docs.google.com/spreadsheets/d/1-3Vjw2Cyy-mry5gbC8ypIR3YVGFfEpyFESummAta6sg/edit"", ""Sheet1!B:D""), 2, FALSE), ""Not Found"")"),"əndər")</f>
        <v>əndər</v>
      </c>
      <c r="E7648" s="2" t="str">
        <f>IFERROR(__xludf.DUMMYFUNCTION("IFERROR(VLOOKUP(A7648, IMPORTRANGE(""https://docs.google.com/spreadsheets/d/1-3Vjw2Cyy-mry5gbC8ypIR3YVGFfEpyFESummAta6sg/edit"", ""Sheet1!B:D""), 3, FALSE), ""Not Found"")"),"ə n d ə r ")</f>
        <v>ə n d ə r </v>
      </c>
    </row>
    <row r="7649">
      <c r="A7649" s="1" t="s">
        <v>7651</v>
      </c>
      <c r="B7649" s="1" t="s">
        <v>6138</v>
      </c>
      <c r="C7649" s="2">
        <f>IFERROR(__xludf.DUMMYFUNCTION("IFERROR(VLOOKUP(A7649, IMPORTRANGE(""https://docs.google.com/spreadsheets/d/1AVX9GT0dgogEBStecCXMMQ29tWz3gBrtNB8yIromXbY/edit?gid=741673867"", ""out1g!A:B""), 2, FALSE), 0)"),127.0)</f>
        <v>127</v>
      </c>
      <c r="D7649" s="2" t="str">
        <f>IFERROR(__xludf.DUMMYFUNCTION("IFERROR(VLOOKUP(A7649, IMPORTRANGE(""https://docs.google.com/spreadsheets/d/1-3Vjw2Cyy-mry5gbC8ypIR3YVGFfEpyFESummAta6sg/edit"", ""Sheet1!B:D""), 2, FALSE), ""Not Found"")"),"brɪŋk")</f>
        <v>brɪŋk</v>
      </c>
      <c r="E7649" s="2" t="str">
        <f>IFERROR(__xludf.DUMMYFUNCTION("IFERROR(VLOOKUP(A7649, IMPORTRANGE(""https://docs.google.com/spreadsheets/d/1-3Vjw2Cyy-mry5gbC8ypIR3YVGFfEpyFESummAta6sg/edit"", ""Sheet1!B:D""), 3, FALSE), ""Not Found"")"),"b r ɪ ŋ k ")</f>
        <v>b r ɪ ŋ k </v>
      </c>
    </row>
    <row r="7650">
      <c r="A7650" s="1" t="s">
        <v>7652</v>
      </c>
      <c r="B7650" s="1" t="s">
        <v>6138</v>
      </c>
      <c r="C7650" s="2">
        <f>IFERROR(__xludf.DUMMYFUNCTION("IFERROR(VLOOKUP(A7650, IMPORTRANGE(""https://docs.google.com/spreadsheets/d/1AVX9GT0dgogEBStecCXMMQ29tWz3gBrtNB8yIromXbY/edit?gid=741673867"", ""out1g!A:B""), 2, FALSE), 0)"),75.0)</f>
        <v>75</v>
      </c>
      <c r="D7650" s="2" t="str">
        <f>IFERROR(__xludf.DUMMYFUNCTION("IFERROR(VLOOKUP(A7650, IMPORTRANGE(""https://docs.google.com/spreadsheets/d/1-3Vjw2Cyy-mry5gbC8ypIR3YVGFfEpyFESummAta6sg/edit"", ""Sheet1!B:D""), 2, FALSE), ""Not Found"")"),"vel")</f>
        <v>vel</v>
      </c>
      <c r="E7650" s="2" t="str">
        <f>IFERROR(__xludf.DUMMYFUNCTION("IFERROR(VLOOKUP(A7650, IMPORTRANGE(""https://docs.google.com/spreadsheets/d/1-3Vjw2Cyy-mry5gbC8ypIR3YVGFfEpyFESummAta6sg/edit"", ""Sheet1!B:D""), 3, FALSE), ""Not Found"")"),"v e l ")</f>
        <v>v e l </v>
      </c>
    </row>
    <row r="7651">
      <c r="A7651" s="1" t="s">
        <v>7653</v>
      </c>
      <c r="B7651" s="1" t="s">
        <v>6138</v>
      </c>
      <c r="C7651" s="2">
        <f>IFERROR(__xludf.DUMMYFUNCTION("IFERROR(VLOOKUP(A7651, IMPORTRANGE(""https://docs.google.com/spreadsheets/d/1AVX9GT0dgogEBStecCXMMQ29tWz3gBrtNB8yIromXbY/edit?gid=741673867"", ""out1g!A:B""), 2, FALSE), 0)"),97.0)</f>
        <v>97</v>
      </c>
      <c r="D7651" s="2" t="str">
        <f>IFERROR(__xludf.DUMMYFUNCTION("IFERROR(VLOOKUP(A7651, IMPORTRANGE(""https://docs.google.com/spreadsheets/d/1-3Vjw2Cyy-mry5gbC8ypIR3YVGFfEpyFESummAta6sg/edit"", ""Sheet1!B:D""), 2, FALSE), ""Not Found"")"),"rezɪz")</f>
        <v>rezɪz</v>
      </c>
      <c r="E7651" s="2" t="str">
        <f>IFERROR(__xludf.DUMMYFUNCTION("IFERROR(VLOOKUP(A7651, IMPORTRANGE(""https://docs.google.com/spreadsheets/d/1-3Vjw2Cyy-mry5gbC8ypIR3YVGFfEpyFESummAta6sg/edit"", ""Sheet1!B:D""), 3, FALSE), ""Not Found"")"),"r e z ɪ z ")</f>
        <v>r e z ɪ z </v>
      </c>
    </row>
    <row r="7652">
      <c r="A7652" s="1" t="s">
        <v>7654</v>
      </c>
      <c r="B7652" s="1" t="s">
        <v>6138</v>
      </c>
      <c r="C7652" s="2">
        <f>IFERROR(__xludf.DUMMYFUNCTION("IFERROR(VLOOKUP(A7652, IMPORTRANGE(""https://docs.google.com/spreadsheets/d/1AVX9GT0dgogEBStecCXMMQ29tWz3gBrtNB8yIromXbY/edit?gid=741673867"", ""out1g!A:B""), 2, FALSE), 0)"),60.0)</f>
        <v>60</v>
      </c>
      <c r="D7652" s="2" t="str">
        <f>IFERROR(__xludf.DUMMYFUNCTION("IFERROR(VLOOKUP(A7652, IMPORTRANGE(""https://docs.google.com/spreadsheets/d/1-3Vjw2Cyy-mry5gbC8ypIR3YVGFfEpyFESummAta6sg/edit"", ""Sheet1!B:D""), 2, FALSE), ""Not Found"")"),"wikən")</f>
        <v>wikən</v>
      </c>
      <c r="E7652" s="2" t="str">
        <f>IFERROR(__xludf.DUMMYFUNCTION("IFERROR(VLOOKUP(A7652, IMPORTRANGE(""https://docs.google.com/spreadsheets/d/1-3Vjw2Cyy-mry5gbC8ypIR3YVGFfEpyFESummAta6sg/edit"", ""Sheet1!B:D""), 3, FALSE), ""Not Found"")"),"w i k ə n ")</f>
        <v>w i k ə n </v>
      </c>
    </row>
    <row r="7653">
      <c r="A7653" s="1" t="s">
        <v>7655</v>
      </c>
      <c r="B7653" s="1" t="s">
        <v>6138</v>
      </c>
      <c r="C7653" s="2">
        <f>IFERROR(__xludf.DUMMYFUNCTION("IFERROR(VLOOKUP(A7653, IMPORTRANGE(""https://docs.google.com/spreadsheets/d/1AVX9GT0dgogEBStecCXMMQ29tWz3gBrtNB8yIromXbY/edit?gid=741673867"", ""out1g!A:B""), 2, FALSE), 0)"),324.0)</f>
        <v>324</v>
      </c>
      <c r="D7653" s="2" t="str">
        <f>IFERROR(__xludf.DUMMYFUNCTION("IFERROR(VLOOKUP(A7653, IMPORTRANGE(""https://docs.google.com/spreadsheets/d/1-3Vjw2Cyy-mry5gbC8ypIR3YVGFfEpyFESummAta6sg/edit"", ""Sheet1!B:D""), 2, FALSE), ""Not Found"")"),"ʃɛrz")</f>
        <v>ʃɛrz</v>
      </c>
      <c r="E7653" s="2" t="str">
        <f>IFERROR(__xludf.DUMMYFUNCTION("IFERROR(VLOOKUP(A7653, IMPORTRANGE(""https://docs.google.com/spreadsheets/d/1-3Vjw2Cyy-mry5gbC8ypIR3YVGFfEpyFESummAta6sg/edit"", ""Sheet1!B:D""), 3, FALSE), ""Not Found"")"),"ʃ ɛ r z ")</f>
        <v>ʃ ɛ r z </v>
      </c>
    </row>
    <row r="7654">
      <c r="A7654" s="1" t="s">
        <v>7656</v>
      </c>
      <c r="B7654" s="1" t="s">
        <v>6138</v>
      </c>
      <c r="C7654" s="2">
        <f>IFERROR(__xludf.DUMMYFUNCTION("IFERROR(VLOOKUP(A7654, IMPORTRANGE(""https://docs.google.com/spreadsheets/d/1AVX9GT0dgogEBStecCXMMQ29tWz3gBrtNB8yIromXbY/edit?gid=741673867"", ""out1g!A:B""), 2, FALSE), 0)"),85.0)</f>
        <v>85</v>
      </c>
      <c r="D7654" s="2" t="str">
        <f>IFERROR(__xludf.DUMMYFUNCTION("IFERROR(VLOOKUP(A7654, IMPORTRANGE(""https://docs.google.com/spreadsheets/d/1-3Vjw2Cyy-mry5gbC8ypIR3YVGFfEpyFESummAta6sg/edit"", ""Sheet1!B:D""), 2, FALSE), ""Not Found"")"),"lɑtoʊ")</f>
        <v>lɑtoʊ</v>
      </c>
      <c r="E7654" s="2" t="str">
        <f>IFERROR(__xludf.DUMMYFUNCTION("IFERROR(VLOOKUP(A7654, IMPORTRANGE(""https://docs.google.com/spreadsheets/d/1-3Vjw2Cyy-mry5gbC8ypIR3YVGFfEpyFESummAta6sg/edit"", ""Sheet1!B:D""), 3, FALSE), ""Not Found"")"),"l ɑ t o ʊ ")</f>
        <v>l ɑ t o ʊ </v>
      </c>
    </row>
    <row r="7655">
      <c r="A7655" s="1" t="s">
        <v>7657</v>
      </c>
      <c r="B7655" s="1" t="s">
        <v>6138</v>
      </c>
      <c r="C7655" s="2">
        <f>IFERROR(__xludf.DUMMYFUNCTION("IFERROR(VLOOKUP(A7655, IMPORTRANGE(""https://docs.google.com/spreadsheets/d/1AVX9GT0dgogEBStecCXMMQ29tWz3gBrtNB8yIromXbY/edit?gid=741673867"", ""out1g!A:B""), 2, FALSE), 0)"),20.0)</f>
        <v>20</v>
      </c>
      <c r="D7655" s="2" t="str">
        <f>IFERROR(__xludf.DUMMYFUNCTION("IFERROR(VLOOKUP(A7655, IMPORTRANGE(""https://docs.google.com/spreadsheets/d/1-3Vjw2Cyy-mry5gbC8ypIR3YVGFfEpyFESummAta6sg/edit"", ""Sheet1!B:D""), 2, FALSE), ""Not Found"")"),"vælez")</f>
        <v>vælez</v>
      </c>
      <c r="E7655" s="2" t="str">
        <f>IFERROR(__xludf.DUMMYFUNCTION("IFERROR(VLOOKUP(A7655, IMPORTRANGE(""https://docs.google.com/spreadsheets/d/1-3Vjw2Cyy-mry5gbC8ypIR3YVGFfEpyFESummAta6sg/edit"", ""Sheet1!B:D""), 3, FALSE), ""Not Found"")"),"v æ l e z ")</f>
        <v>v æ l e z </v>
      </c>
    </row>
    <row r="7656">
      <c r="A7656" s="1" t="s">
        <v>7658</v>
      </c>
      <c r="B7656" s="1" t="s">
        <v>6138</v>
      </c>
      <c r="C7656" s="2">
        <f>IFERROR(__xludf.DUMMYFUNCTION("IFERROR(VLOOKUP(A7656, IMPORTRANGE(""https://docs.google.com/spreadsheets/d/1AVX9GT0dgogEBStecCXMMQ29tWz3gBrtNB8yIromXbY/edit?gid=741673867"", ""out1g!A:B""), 2, FALSE), 0)"),82.0)</f>
        <v>82</v>
      </c>
      <c r="D7656" s="2" t="str">
        <f>IFERROR(__xludf.DUMMYFUNCTION("IFERROR(VLOOKUP(A7656, IMPORTRANGE(""https://docs.google.com/spreadsheets/d/1-3Vjw2Cyy-mry5gbC8ypIR3YVGFfEpyFESummAta6sg/edit"", ""Sheet1!B:D""), 2, FALSE), ""Not Found"")"),"hoʊldər")</f>
        <v>hoʊldər</v>
      </c>
      <c r="E7656" s="2" t="str">
        <f>IFERROR(__xludf.DUMMYFUNCTION("IFERROR(VLOOKUP(A7656, IMPORTRANGE(""https://docs.google.com/spreadsheets/d/1-3Vjw2Cyy-mry5gbC8ypIR3YVGFfEpyFESummAta6sg/edit"", ""Sheet1!B:D""), 3, FALSE), ""Not Found"")"),"h o ʊ l d ə r ")</f>
        <v>h o ʊ l d ə r </v>
      </c>
    </row>
    <row r="7657">
      <c r="A7657" s="1" t="s">
        <v>7659</v>
      </c>
      <c r="B7657" s="1" t="s">
        <v>6138</v>
      </c>
      <c r="C7657" s="2">
        <f>IFERROR(__xludf.DUMMYFUNCTION("IFERROR(VLOOKUP(A7657, IMPORTRANGE(""https://docs.google.com/spreadsheets/d/1AVX9GT0dgogEBStecCXMMQ29tWz3gBrtNB8yIromXbY/edit?gid=741673867"", ""out1g!A:B""), 2, FALSE), 0)"),130.0)</f>
        <v>130</v>
      </c>
      <c r="D7657" s="2" t="str">
        <f>IFERROR(__xludf.DUMMYFUNCTION("IFERROR(VLOOKUP(A7657, IMPORTRANGE(""https://docs.google.com/spreadsheets/d/1-3Vjw2Cyy-mry5gbC8ypIR3YVGFfEpyFESummAta6sg/edit"", ""Sheet1!B:D""), 2, FALSE), ""Not Found"")"),"skriʧɪŋ")</f>
        <v>skriʧɪŋ</v>
      </c>
      <c r="E7657" s="2" t="str">
        <f>IFERROR(__xludf.DUMMYFUNCTION("IFERROR(VLOOKUP(A7657, IMPORTRANGE(""https://docs.google.com/spreadsheets/d/1-3Vjw2Cyy-mry5gbC8ypIR3YVGFfEpyFESummAta6sg/edit"", ""Sheet1!B:D""), 3, FALSE), ""Not Found"")"),"s k r i ʧ ɪ ŋ ")</f>
        <v>s k r i ʧ ɪ ŋ </v>
      </c>
    </row>
    <row r="7658">
      <c r="A7658" s="1" t="s">
        <v>7660</v>
      </c>
      <c r="B7658" s="1" t="s">
        <v>6138</v>
      </c>
      <c r="C7658" s="2">
        <f>IFERROR(__xludf.DUMMYFUNCTION("IFERROR(VLOOKUP(A7658, IMPORTRANGE(""https://docs.google.com/spreadsheets/d/1AVX9GT0dgogEBStecCXMMQ29tWz3gBrtNB8yIromXbY/edit?gid=741673867"", ""out1g!A:B""), 2, FALSE), 0)"),161.0)</f>
        <v>161</v>
      </c>
      <c r="D7658" s="2" t="str">
        <f>IFERROR(__xludf.DUMMYFUNCTION("IFERROR(VLOOKUP(A7658, IMPORTRANGE(""https://docs.google.com/spreadsheets/d/1-3Vjw2Cyy-mry5gbC8ypIR3YVGFfEpyFESummAta6sg/edit"", ""Sheet1!B:D""), 2, FALSE), ""Not Found"")"),"pɪloʊz")</f>
        <v>pɪloʊz</v>
      </c>
      <c r="E7658" s="2" t="str">
        <f>IFERROR(__xludf.DUMMYFUNCTION("IFERROR(VLOOKUP(A7658, IMPORTRANGE(""https://docs.google.com/spreadsheets/d/1-3Vjw2Cyy-mry5gbC8ypIR3YVGFfEpyFESummAta6sg/edit"", ""Sheet1!B:D""), 3, FALSE), ""Not Found"")"),"p ɪ l o ʊ z ")</f>
        <v>p ɪ l o ʊ z </v>
      </c>
    </row>
    <row r="7659">
      <c r="A7659" s="1" t="s">
        <v>7661</v>
      </c>
      <c r="B7659" s="1" t="s">
        <v>6138</v>
      </c>
      <c r="C7659" s="2">
        <f>IFERROR(__xludf.DUMMYFUNCTION("IFERROR(VLOOKUP(A7659, IMPORTRANGE(""https://docs.google.com/spreadsheets/d/1AVX9GT0dgogEBStecCXMMQ29tWz3gBrtNB8yIromXbY/edit?gid=741673867"", ""out1g!A:B""), 2, FALSE), 0)"),161.0)</f>
        <v>161</v>
      </c>
      <c r="D7659" s="2" t="str">
        <f>IFERROR(__xludf.DUMMYFUNCTION("IFERROR(VLOOKUP(A7659, IMPORTRANGE(""https://docs.google.com/spreadsheets/d/1-3Vjw2Cyy-mry5gbC8ypIR3YVGFfEpyFESummAta6sg/edit"", ""Sheet1!B:D""), 2, FALSE), ""Not Found"")"),"kɑlərz")</f>
        <v>kɑlərz</v>
      </c>
      <c r="E7659" s="2" t="str">
        <f>IFERROR(__xludf.DUMMYFUNCTION("IFERROR(VLOOKUP(A7659, IMPORTRANGE(""https://docs.google.com/spreadsheets/d/1-3Vjw2Cyy-mry5gbC8ypIR3YVGFfEpyFESummAta6sg/edit"", ""Sheet1!B:D""), 3, FALSE), ""Not Found"")"),"k ɑ l ə r z ")</f>
        <v>k ɑ l ə r z </v>
      </c>
    </row>
    <row r="7660">
      <c r="A7660" s="1" t="s">
        <v>7662</v>
      </c>
      <c r="B7660" s="1" t="s">
        <v>6138</v>
      </c>
      <c r="C7660" s="2">
        <f>IFERROR(__xludf.DUMMYFUNCTION("IFERROR(VLOOKUP(A7660, IMPORTRANGE(""https://docs.google.com/spreadsheets/d/1AVX9GT0dgogEBStecCXMMQ29tWz3gBrtNB8yIromXbY/edit?gid=741673867"", ""out1g!A:B""), 2, FALSE), 0)"),152.0)</f>
        <v>152</v>
      </c>
      <c r="D7660" s="2" t="str">
        <f>IFERROR(__xludf.DUMMYFUNCTION("IFERROR(VLOOKUP(A7660, IMPORTRANGE(""https://docs.google.com/spreadsheets/d/1-3Vjw2Cyy-mry5gbC8ypIR3YVGFfEpyFESummAta6sg/edit"", ""Sheet1!B:D""), 2, FALSE), ""Not Found"")"),"sutɪd")</f>
        <v>sutɪd</v>
      </c>
      <c r="E7660" s="2" t="str">
        <f>IFERROR(__xludf.DUMMYFUNCTION("IFERROR(VLOOKUP(A7660, IMPORTRANGE(""https://docs.google.com/spreadsheets/d/1-3Vjw2Cyy-mry5gbC8ypIR3YVGFfEpyFESummAta6sg/edit"", ""Sheet1!B:D""), 3, FALSE), ""Not Found"")"),"s u t ɪ d ")</f>
        <v>s u t ɪ d </v>
      </c>
    </row>
    <row r="7661">
      <c r="A7661" s="1" t="s">
        <v>7663</v>
      </c>
      <c r="B7661" s="1" t="s">
        <v>6138</v>
      </c>
      <c r="C7661" s="2">
        <f>IFERROR(__xludf.DUMMYFUNCTION("IFERROR(VLOOKUP(A7661, IMPORTRANGE(""https://docs.google.com/spreadsheets/d/1AVX9GT0dgogEBStecCXMMQ29tWz3gBrtNB8yIromXbY/edit?gid=741673867"", ""out1g!A:B""), 2, FALSE), 0)"),257.0)</f>
        <v>257</v>
      </c>
      <c r="D7661" s="2" t="str">
        <f>IFERROR(__xludf.DUMMYFUNCTION("IFERROR(VLOOKUP(A7661, IMPORTRANGE(""https://docs.google.com/spreadsheets/d/1-3Vjw2Cyy-mry5gbC8ypIR3YVGFfEpyFESummAta6sg/edit"", ""Sheet1!B:D""), 2, FALSE), ""Not Found"")"),"bəkəl")</f>
        <v>bəkəl</v>
      </c>
      <c r="E7661" s="2" t="str">
        <f>IFERROR(__xludf.DUMMYFUNCTION("IFERROR(VLOOKUP(A7661, IMPORTRANGE(""https://docs.google.com/spreadsheets/d/1-3Vjw2Cyy-mry5gbC8ypIR3YVGFfEpyFESummAta6sg/edit"", ""Sheet1!B:D""), 3, FALSE), ""Not Found"")"),"b ə k ə l ")</f>
        <v>b ə k ə l </v>
      </c>
    </row>
    <row r="7662">
      <c r="A7662" s="1" t="s">
        <v>7664</v>
      </c>
      <c r="B7662" s="1" t="s">
        <v>6138</v>
      </c>
      <c r="C7662" s="2">
        <f>IFERROR(__xludf.DUMMYFUNCTION("IFERROR(VLOOKUP(A7662, IMPORTRANGE(""https://docs.google.com/spreadsheets/d/1AVX9GT0dgogEBStecCXMMQ29tWz3gBrtNB8yIromXbY/edit?gid=741673867"", ""out1g!A:B""), 2, FALSE), 0)"),231.0)</f>
        <v>231</v>
      </c>
      <c r="D7662" s="2" t="str">
        <f>IFERROR(__xludf.DUMMYFUNCTION("IFERROR(VLOOKUP(A7662, IMPORTRANGE(""https://docs.google.com/spreadsheets/d/1-3Vjw2Cyy-mry5gbC8ypIR3YVGFfEpyFESummAta6sg/edit"", ""Sheet1!B:D""), 2, FALSE), ""Not Found"")"),"rɑbərz")</f>
        <v>rɑbərz</v>
      </c>
      <c r="E7662" s="2" t="str">
        <f>IFERROR(__xludf.DUMMYFUNCTION("IFERROR(VLOOKUP(A7662, IMPORTRANGE(""https://docs.google.com/spreadsheets/d/1-3Vjw2Cyy-mry5gbC8ypIR3YVGFfEpyFESummAta6sg/edit"", ""Sheet1!B:D""), 3, FALSE), ""Not Found"")"),"r ɑ b ə r z ")</f>
        <v>r ɑ b ə r z </v>
      </c>
    </row>
    <row r="7663">
      <c r="A7663" s="1" t="s">
        <v>7665</v>
      </c>
      <c r="B7663" s="1" t="s">
        <v>6138</v>
      </c>
      <c r="C7663" s="2">
        <f>IFERROR(__xludf.DUMMYFUNCTION("IFERROR(VLOOKUP(A7663, IMPORTRANGE(""https://docs.google.com/spreadsheets/d/1AVX9GT0dgogEBStecCXMMQ29tWz3gBrtNB8yIromXbY/edit?gid=741673867"", ""out1g!A:B""), 2, FALSE), 0)"),1363.0)</f>
        <v>1363</v>
      </c>
      <c r="D7663" s="2" t="str">
        <f>IFERROR(__xludf.DUMMYFUNCTION("IFERROR(VLOOKUP(A7663, IMPORTRANGE(""https://docs.google.com/spreadsheets/d/1-3Vjw2Cyy-mry5gbC8ypIR3YVGFfEpyFESummAta6sg/edit"", ""Sheet1!B:D""), 2, FALSE), ""Not Found"")"),"fesɪz")</f>
        <v>fesɪz</v>
      </c>
      <c r="E7663" s="2" t="str">
        <f>IFERROR(__xludf.DUMMYFUNCTION("IFERROR(VLOOKUP(A7663, IMPORTRANGE(""https://docs.google.com/spreadsheets/d/1-3Vjw2Cyy-mry5gbC8ypIR3YVGFfEpyFESummAta6sg/edit"", ""Sheet1!B:D""), 3, FALSE), ""Not Found"")"),"f e s ɪ z ")</f>
        <v>f e s ɪ z </v>
      </c>
    </row>
    <row r="7664">
      <c r="A7664" s="1" t="s">
        <v>7666</v>
      </c>
      <c r="B7664" s="1" t="s">
        <v>6138</v>
      </c>
      <c r="C7664" s="2">
        <f>IFERROR(__xludf.DUMMYFUNCTION("IFERROR(VLOOKUP(A7664, IMPORTRANGE(""https://docs.google.com/spreadsheets/d/1AVX9GT0dgogEBStecCXMMQ29tWz3gBrtNB8yIromXbY/edit?gid=741673867"", ""out1g!A:B""), 2, FALSE), 0)"),97.0)</f>
        <v>97</v>
      </c>
      <c r="D7664" s="2" t="str">
        <f>IFERROR(__xludf.DUMMYFUNCTION("IFERROR(VLOOKUP(A7664, IMPORTRANGE(""https://docs.google.com/spreadsheets/d/1-3Vjw2Cyy-mry5gbC8ypIR3YVGFfEpyFESummAta6sg/edit"", ""Sheet1!B:D""), 2, FALSE), ""Not Found"")"),"sɛnsɪŋ")</f>
        <v>sɛnsɪŋ</v>
      </c>
      <c r="E7664" s="2" t="str">
        <f>IFERROR(__xludf.DUMMYFUNCTION("IFERROR(VLOOKUP(A7664, IMPORTRANGE(""https://docs.google.com/spreadsheets/d/1-3Vjw2Cyy-mry5gbC8ypIR3YVGFfEpyFESummAta6sg/edit"", ""Sheet1!B:D""), 3, FALSE), ""Not Found"")"),"s ɛ n s ɪ ŋ ")</f>
        <v>s ɛ n s ɪ ŋ </v>
      </c>
    </row>
    <row r="7665">
      <c r="A7665" s="1" t="s">
        <v>7667</v>
      </c>
      <c r="B7665" s="1" t="s">
        <v>6138</v>
      </c>
      <c r="C7665" s="2">
        <f>IFERROR(__xludf.DUMMYFUNCTION("IFERROR(VLOOKUP(A7665, IMPORTRANGE(""https://docs.google.com/spreadsheets/d/1AVX9GT0dgogEBStecCXMMQ29tWz3gBrtNB8yIromXbY/edit?gid=741673867"", ""out1g!A:B""), 2, FALSE), 0)"),46.0)</f>
        <v>46</v>
      </c>
      <c r="D7665" s="2" t="str">
        <f>IFERROR(__xludf.DUMMYFUNCTION("IFERROR(VLOOKUP(A7665, IMPORTRANGE(""https://docs.google.com/spreadsheets/d/1-3Vjw2Cyy-mry5gbC8ypIR3YVGFfEpyFESummAta6sg/edit"", ""Sheet1!B:D""), 2, FALSE), ""Not Found"")"),"snɑrlɪŋ")</f>
        <v>snɑrlɪŋ</v>
      </c>
      <c r="E7665" s="2" t="str">
        <f>IFERROR(__xludf.DUMMYFUNCTION("IFERROR(VLOOKUP(A7665, IMPORTRANGE(""https://docs.google.com/spreadsheets/d/1-3Vjw2Cyy-mry5gbC8ypIR3YVGFfEpyFESummAta6sg/edit"", ""Sheet1!B:D""), 3, FALSE), ""Not Found"")"),"s n ɑ r l ɪ ŋ ")</f>
        <v>s n ɑ r l ɪ ŋ </v>
      </c>
    </row>
    <row r="7666">
      <c r="A7666" s="1" t="s">
        <v>7668</v>
      </c>
      <c r="B7666" s="1" t="s">
        <v>6138</v>
      </c>
      <c r="C7666" s="2">
        <f>IFERROR(__xludf.DUMMYFUNCTION("IFERROR(VLOOKUP(A7666, IMPORTRANGE(""https://docs.google.com/spreadsheets/d/1AVX9GT0dgogEBStecCXMMQ29tWz3gBrtNB8yIromXbY/edit?gid=741673867"", ""out1g!A:B""), 2, FALSE), 0)"),17.0)</f>
        <v>17</v>
      </c>
      <c r="D7666" s="2" t="str">
        <f>IFERROR(__xludf.DUMMYFUNCTION("IFERROR(VLOOKUP(A7666, IMPORTRANGE(""https://docs.google.com/spreadsheets/d/1-3Vjw2Cyy-mry5gbC8ypIR3YVGFfEpyFESummAta6sg/edit"", ""Sheet1!B:D""), 2, FALSE), ""Not Found"")"),"wɛbd")</f>
        <v>wɛbd</v>
      </c>
      <c r="E7666" s="2" t="str">
        <f>IFERROR(__xludf.DUMMYFUNCTION("IFERROR(VLOOKUP(A7666, IMPORTRANGE(""https://docs.google.com/spreadsheets/d/1-3Vjw2Cyy-mry5gbC8ypIR3YVGFfEpyFESummAta6sg/edit"", ""Sheet1!B:D""), 3, FALSE), ""Not Found"")"),"w ɛ b d ")</f>
        <v>w ɛ b d </v>
      </c>
    </row>
    <row r="7667">
      <c r="A7667" s="1" t="s">
        <v>7669</v>
      </c>
      <c r="B7667" s="1" t="s">
        <v>6138</v>
      </c>
      <c r="C7667" s="2">
        <f>IFERROR(__xludf.DUMMYFUNCTION("IFERROR(VLOOKUP(A7667, IMPORTRANGE(""https://docs.google.com/spreadsheets/d/1AVX9GT0dgogEBStecCXMMQ29tWz3gBrtNB8yIromXbY/edit?gid=741673867"", ""out1g!A:B""), 2, FALSE), 0)"),30.0)</f>
        <v>30</v>
      </c>
      <c r="D7667" s="2" t="str">
        <f>IFERROR(__xludf.DUMMYFUNCTION("IFERROR(VLOOKUP(A7667, IMPORTRANGE(""https://docs.google.com/spreadsheets/d/1-3Vjw2Cyy-mry5gbC8ypIR3YVGFfEpyFESummAta6sg/edit"", ""Sheet1!B:D""), 2, FALSE), ""Not Found"")"),"dɪsɛnt")</f>
        <v>dɪsɛnt</v>
      </c>
      <c r="E7667" s="2" t="str">
        <f>IFERROR(__xludf.DUMMYFUNCTION("IFERROR(VLOOKUP(A7667, IMPORTRANGE(""https://docs.google.com/spreadsheets/d/1-3Vjw2Cyy-mry5gbC8ypIR3YVGFfEpyFESummAta6sg/edit"", ""Sheet1!B:D""), 3, FALSE), ""Not Found"")"),"d ɪ s ɛ n t ")</f>
        <v>d ɪ s ɛ n t </v>
      </c>
    </row>
    <row r="7668">
      <c r="A7668" s="1" t="s">
        <v>7670</v>
      </c>
      <c r="B7668" s="1" t="s">
        <v>6138</v>
      </c>
      <c r="C7668" s="2">
        <f>IFERROR(__xludf.DUMMYFUNCTION("IFERROR(VLOOKUP(A7668, IMPORTRANGE(""https://docs.google.com/spreadsheets/d/1AVX9GT0dgogEBStecCXMMQ29tWz3gBrtNB8yIromXbY/edit?gid=741673867"", ""out1g!A:B""), 2, FALSE), 0)"),3602.0)</f>
        <v>3602</v>
      </c>
      <c r="D7668" s="2" t="str">
        <f>IFERROR(__xludf.DUMMYFUNCTION("IFERROR(VLOOKUP(A7668, IMPORTRANGE(""https://docs.google.com/spreadsheets/d/1-3Vjw2Cyy-mry5gbC8ypIR3YVGFfEpyFESummAta6sg/edit"", ""Sheet1!B:D""), 2, FALSE), ""Not Found"")"),"ʤel")</f>
        <v>ʤel</v>
      </c>
      <c r="E7668" s="2" t="str">
        <f>IFERROR(__xludf.DUMMYFUNCTION("IFERROR(VLOOKUP(A7668, IMPORTRANGE(""https://docs.google.com/spreadsheets/d/1-3Vjw2Cyy-mry5gbC8ypIR3YVGFfEpyFESummAta6sg/edit"", ""Sheet1!B:D""), 3, FALSE), ""Not Found"")"),"ʤ e l ")</f>
        <v>ʤ e l </v>
      </c>
    </row>
    <row r="7669">
      <c r="A7669" s="1" t="s">
        <v>7671</v>
      </c>
      <c r="B7669" s="1" t="s">
        <v>6138</v>
      </c>
      <c r="C7669" s="2">
        <f>IFERROR(__xludf.DUMMYFUNCTION("IFERROR(VLOOKUP(A7669, IMPORTRANGE(""https://docs.google.com/spreadsheets/d/1AVX9GT0dgogEBStecCXMMQ29tWz3gBrtNB8yIromXbY/edit?gid=741673867"", ""out1g!A:B""), 2, FALSE), 0)"),89.0)</f>
        <v>89</v>
      </c>
      <c r="D7669" s="2" t="str">
        <f>IFERROR(__xludf.DUMMYFUNCTION("IFERROR(VLOOKUP(A7669, IMPORTRANGE(""https://docs.google.com/spreadsheets/d/1-3Vjw2Cyy-mry5gbC8ypIR3YVGFfEpyFESummAta6sg/edit"", ""Sheet1!B:D""), 2, FALSE), ""Not Found"")"),"saɪnəs")</f>
        <v>saɪnəs</v>
      </c>
      <c r="E7669" s="2" t="str">
        <f>IFERROR(__xludf.DUMMYFUNCTION("IFERROR(VLOOKUP(A7669, IMPORTRANGE(""https://docs.google.com/spreadsheets/d/1-3Vjw2Cyy-mry5gbC8ypIR3YVGFfEpyFESummAta6sg/edit"", ""Sheet1!B:D""), 3, FALSE), ""Not Found"")"),"s a ɪ n ə s ")</f>
        <v>s a ɪ n ə s </v>
      </c>
    </row>
    <row r="7670">
      <c r="A7670" s="1" t="s">
        <v>7672</v>
      </c>
      <c r="B7670" s="1" t="s">
        <v>6138</v>
      </c>
      <c r="C7670" s="2">
        <f>IFERROR(__xludf.DUMMYFUNCTION("IFERROR(VLOOKUP(A7670, IMPORTRANGE(""https://docs.google.com/spreadsheets/d/1AVX9GT0dgogEBStecCXMMQ29tWz3gBrtNB8yIromXbY/edit?gid=741673867"", ""out1g!A:B""), 2, FALSE), 0)"),12.0)</f>
        <v>12</v>
      </c>
      <c r="D7670" s="2" t="str">
        <f>IFERROR(__xludf.DUMMYFUNCTION("IFERROR(VLOOKUP(A7670, IMPORTRANGE(""https://docs.google.com/spreadsheets/d/1-3Vjw2Cyy-mry5gbC8ypIR3YVGFfEpyFESummAta6sg/edit"", ""Sheet1!B:D""), 2, FALSE), ""Not Found"")"),"dɪŋgəl")</f>
        <v>dɪŋgəl</v>
      </c>
      <c r="E7670" s="2" t="str">
        <f>IFERROR(__xludf.DUMMYFUNCTION("IFERROR(VLOOKUP(A7670, IMPORTRANGE(""https://docs.google.com/spreadsheets/d/1-3Vjw2Cyy-mry5gbC8ypIR3YVGFfEpyFESummAta6sg/edit"", ""Sheet1!B:D""), 3, FALSE), ""Not Found"")"),"d ɪ ŋ g ə l ")</f>
        <v>d ɪ ŋ g ə l </v>
      </c>
    </row>
    <row r="7671">
      <c r="A7671" s="1" t="s">
        <v>7673</v>
      </c>
      <c r="B7671" s="1" t="s">
        <v>6138</v>
      </c>
      <c r="C7671" s="2">
        <f>IFERROR(__xludf.DUMMYFUNCTION("IFERROR(VLOOKUP(A7671, IMPORTRANGE(""https://docs.google.com/spreadsheets/d/1AVX9GT0dgogEBStecCXMMQ29tWz3gBrtNB8yIromXbY/edit?gid=741673867"", ""out1g!A:B""), 2, FALSE), 0)"),299.0)</f>
        <v>299</v>
      </c>
      <c r="D7671" s="2" t="str">
        <f>IFERROR(__xludf.DUMMYFUNCTION("IFERROR(VLOOKUP(A7671, IMPORTRANGE(""https://docs.google.com/spreadsheets/d/1-3Vjw2Cyy-mry5gbC8ypIR3YVGFfEpyFESummAta6sg/edit"", ""Sheet1!B:D""), 2, FALSE), ""Not Found"")"),"wɑndər")</f>
        <v>wɑndər</v>
      </c>
      <c r="E7671" s="2" t="str">
        <f>IFERROR(__xludf.DUMMYFUNCTION("IFERROR(VLOOKUP(A7671, IMPORTRANGE(""https://docs.google.com/spreadsheets/d/1-3Vjw2Cyy-mry5gbC8ypIR3YVGFfEpyFESummAta6sg/edit"", ""Sheet1!B:D""), 3, FALSE), ""Not Found"")"),"w ɑ n d ə r ")</f>
        <v>w ɑ n d ə r </v>
      </c>
    </row>
    <row r="7672">
      <c r="A7672" s="1" t="s">
        <v>7674</v>
      </c>
      <c r="B7672" s="1" t="s">
        <v>6138</v>
      </c>
      <c r="C7672" s="2">
        <f>IFERROR(__xludf.DUMMYFUNCTION("IFERROR(VLOOKUP(A7672, IMPORTRANGE(""https://docs.google.com/spreadsheets/d/1AVX9GT0dgogEBStecCXMMQ29tWz3gBrtNB8yIromXbY/edit?gid=741673867"", ""out1g!A:B""), 2, FALSE), 0)"),50.0)</f>
        <v>50</v>
      </c>
      <c r="D7672" s="2" t="str">
        <f>IFERROR(__xludf.DUMMYFUNCTION("IFERROR(VLOOKUP(A7672, IMPORTRANGE(""https://docs.google.com/spreadsheets/d/1-3Vjw2Cyy-mry5gbC8ypIR3YVGFfEpyFESummAta6sg/edit"", ""Sheet1!B:D""), 2, FALSE), ""Not Found"")"),"grenz")</f>
        <v>grenz</v>
      </c>
      <c r="E7672" s="2" t="str">
        <f>IFERROR(__xludf.DUMMYFUNCTION("IFERROR(VLOOKUP(A7672, IMPORTRANGE(""https://docs.google.com/spreadsheets/d/1-3Vjw2Cyy-mry5gbC8ypIR3YVGFfEpyFESummAta6sg/edit"", ""Sheet1!B:D""), 3, FALSE), ""Not Found"")"),"g r e n z ")</f>
        <v>g r e n z </v>
      </c>
    </row>
    <row r="7673">
      <c r="A7673" s="1" t="s">
        <v>7675</v>
      </c>
      <c r="B7673" s="1" t="s">
        <v>6138</v>
      </c>
      <c r="C7673" s="2">
        <f>IFERROR(__xludf.DUMMYFUNCTION("IFERROR(VLOOKUP(A7673, IMPORTRANGE(""https://docs.google.com/spreadsheets/d/1AVX9GT0dgogEBStecCXMMQ29tWz3gBrtNB8yIromXbY/edit?gid=741673867"", ""out1g!A:B""), 2, FALSE), 0)"),339.0)</f>
        <v>339</v>
      </c>
      <c r="D7673" s="2" t="str">
        <f>IFERROR(__xludf.DUMMYFUNCTION("IFERROR(VLOOKUP(A7673, IMPORTRANGE(""https://docs.google.com/spreadsheets/d/1-3Vjw2Cyy-mry5gbC8ypIR3YVGFfEpyFESummAta6sg/edit"", ""Sheet1!B:D""), 2, FALSE), ""Not Found"")"),"breks")</f>
        <v>breks</v>
      </c>
      <c r="E7673" s="2" t="str">
        <f>IFERROR(__xludf.DUMMYFUNCTION("IFERROR(VLOOKUP(A7673, IMPORTRANGE(""https://docs.google.com/spreadsheets/d/1-3Vjw2Cyy-mry5gbC8ypIR3YVGFfEpyFESummAta6sg/edit"", ""Sheet1!B:D""), 3, FALSE), ""Not Found"")"),"b r e k s ")</f>
        <v>b r e k s </v>
      </c>
    </row>
    <row r="7674">
      <c r="A7674" s="1" t="s">
        <v>7676</v>
      </c>
      <c r="B7674" s="1" t="s">
        <v>6138</v>
      </c>
      <c r="C7674" s="2">
        <f>IFERROR(__xludf.DUMMYFUNCTION("IFERROR(VLOOKUP(A7674, IMPORTRANGE(""https://docs.google.com/spreadsheets/d/1AVX9GT0dgogEBStecCXMMQ29tWz3gBrtNB8yIromXbY/edit?gid=741673867"", ""out1g!A:B""), 2, FALSE), 0)"),276.0)</f>
        <v>276</v>
      </c>
      <c r="D7674" s="2" t="str">
        <f>IFERROR(__xludf.DUMMYFUNCTION("IFERROR(VLOOKUP(A7674, IMPORTRANGE(""https://docs.google.com/spreadsheets/d/1-3Vjw2Cyy-mry5gbC8ypIR3YVGFfEpyFESummAta6sg/edit"", ""Sheet1!B:D""), 2, FALSE), ""Not Found"")"),"fɔrsɪŋ")</f>
        <v>fɔrsɪŋ</v>
      </c>
      <c r="E7674" s="2" t="str">
        <f>IFERROR(__xludf.DUMMYFUNCTION("IFERROR(VLOOKUP(A7674, IMPORTRANGE(""https://docs.google.com/spreadsheets/d/1-3Vjw2Cyy-mry5gbC8ypIR3YVGFfEpyFESummAta6sg/edit"", ""Sheet1!B:D""), 3, FALSE), ""Not Found"")"),"f ɔ r s ɪ ŋ ")</f>
        <v>f ɔ r s ɪ ŋ </v>
      </c>
    </row>
    <row r="7675">
      <c r="A7675" s="1" t="s">
        <v>7677</v>
      </c>
      <c r="B7675" s="1" t="s">
        <v>6138</v>
      </c>
      <c r="C7675" s="2">
        <f>IFERROR(__xludf.DUMMYFUNCTION("IFERROR(VLOOKUP(A7675, IMPORTRANGE(""https://docs.google.com/spreadsheets/d/1AVX9GT0dgogEBStecCXMMQ29tWz3gBrtNB8yIromXbY/edit?gid=741673867"", ""out1g!A:B""), 2, FALSE), 0)"),139.0)</f>
        <v>139</v>
      </c>
      <c r="D7675" s="2" t="str">
        <f>IFERROR(__xludf.DUMMYFUNCTION("IFERROR(VLOOKUP(A7675, IMPORTRANGE(""https://docs.google.com/spreadsheets/d/1-3Vjw2Cyy-mry5gbC8ypIR3YVGFfEpyFESummAta6sg/edit"", ""Sheet1!B:D""), 2, FALSE), ""Not Found"")"),"skutər")</f>
        <v>skutər</v>
      </c>
      <c r="E7675" s="2" t="str">
        <f>IFERROR(__xludf.DUMMYFUNCTION("IFERROR(VLOOKUP(A7675, IMPORTRANGE(""https://docs.google.com/spreadsheets/d/1-3Vjw2Cyy-mry5gbC8ypIR3YVGFfEpyFESummAta6sg/edit"", ""Sheet1!B:D""), 3, FALSE), ""Not Found"")"),"s k u t ə r ")</f>
        <v>s k u t ə r </v>
      </c>
    </row>
    <row r="7676">
      <c r="A7676" s="1" t="s">
        <v>7678</v>
      </c>
      <c r="B7676" s="1" t="s">
        <v>6138</v>
      </c>
      <c r="C7676" s="2">
        <f>IFERROR(__xludf.DUMMYFUNCTION("IFERROR(VLOOKUP(A7676, IMPORTRANGE(""https://docs.google.com/spreadsheets/d/1AVX9GT0dgogEBStecCXMMQ29tWz3gBrtNB8yIromXbY/edit?gid=741673867"", ""out1g!A:B""), 2, FALSE), 0)"),64.0)</f>
        <v>64</v>
      </c>
      <c r="D7676" s="2" t="str">
        <f>IFERROR(__xludf.DUMMYFUNCTION("IFERROR(VLOOKUP(A7676, IMPORTRANGE(""https://docs.google.com/spreadsheets/d/1-3Vjw2Cyy-mry5gbC8ypIR3YVGFfEpyFESummAta6sg/edit"", ""Sheet1!B:D""), 2, FALSE), ""Not Found"")"),"kəstərd")</f>
        <v>kəstərd</v>
      </c>
      <c r="E7676" s="2" t="str">
        <f>IFERROR(__xludf.DUMMYFUNCTION("IFERROR(VLOOKUP(A7676, IMPORTRANGE(""https://docs.google.com/spreadsheets/d/1-3Vjw2Cyy-mry5gbC8ypIR3YVGFfEpyFESummAta6sg/edit"", ""Sheet1!B:D""), 3, FALSE), ""Not Found"")"),"k ə s t ə r d ")</f>
        <v>k ə s t ə r d </v>
      </c>
    </row>
    <row r="7677">
      <c r="A7677" s="1" t="s">
        <v>7679</v>
      </c>
      <c r="B7677" s="1" t="s">
        <v>6138</v>
      </c>
      <c r="C7677" s="2">
        <f>IFERROR(__xludf.DUMMYFUNCTION("IFERROR(VLOOKUP(A7677, IMPORTRANGE(""https://docs.google.com/spreadsheets/d/1AVX9GT0dgogEBStecCXMMQ29tWz3gBrtNB8yIromXbY/edit?gid=741673867"", ""out1g!A:B""), 2, FALSE), 0)"),211.0)</f>
        <v>211</v>
      </c>
      <c r="D7677" s="2" t="str">
        <f>IFERROR(__xludf.DUMMYFUNCTION("IFERROR(VLOOKUP(A7677, IMPORTRANGE(""https://docs.google.com/spreadsheets/d/1-3Vjw2Cyy-mry5gbC8ypIR3YVGFfEpyFESummAta6sg/edit"", ""Sheet1!B:D""), 2, FALSE), ""Not Found"")"),"ɑnərz")</f>
        <v>ɑnərz</v>
      </c>
      <c r="E7677" s="2" t="str">
        <f>IFERROR(__xludf.DUMMYFUNCTION("IFERROR(VLOOKUP(A7677, IMPORTRANGE(""https://docs.google.com/spreadsheets/d/1-3Vjw2Cyy-mry5gbC8ypIR3YVGFfEpyFESummAta6sg/edit"", ""Sheet1!B:D""), 3, FALSE), ""Not Found"")"),"ɑ n ə r z ")</f>
        <v>ɑ n ə r z </v>
      </c>
    </row>
    <row r="7678">
      <c r="A7678" s="1" t="s">
        <v>7680</v>
      </c>
      <c r="B7678" s="1" t="s">
        <v>6138</v>
      </c>
      <c r="C7678" s="2">
        <f>IFERROR(__xludf.DUMMYFUNCTION("IFERROR(VLOOKUP(A7678, IMPORTRANGE(""https://docs.google.com/spreadsheets/d/1AVX9GT0dgogEBStecCXMMQ29tWz3gBrtNB8yIromXbY/edit?gid=741673867"", ""out1g!A:B""), 2, FALSE), 0)"),146.0)</f>
        <v>146</v>
      </c>
      <c r="D7678" s="2" t="str">
        <f>IFERROR(__xludf.DUMMYFUNCTION("IFERROR(VLOOKUP(A7678, IMPORTRANGE(""https://docs.google.com/spreadsheets/d/1-3Vjw2Cyy-mry5gbC8ypIR3YVGFfEpyFESummAta6sg/edit"", ""Sheet1!B:D""), 2, FALSE), ""Not Found"")"),"bændɪʤ")</f>
        <v>bændɪʤ</v>
      </c>
      <c r="E7678" s="2" t="str">
        <f>IFERROR(__xludf.DUMMYFUNCTION("IFERROR(VLOOKUP(A7678, IMPORTRANGE(""https://docs.google.com/spreadsheets/d/1-3Vjw2Cyy-mry5gbC8ypIR3YVGFfEpyFESummAta6sg/edit"", ""Sheet1!B:D""), 3, FALSE), ""Not Found"")"),"b æ n d ɪ ʤ ")</f>
        <v>b æ n d ɪ ʤ </v>
      </c>
    </row>
    <row r="7679">
      <c r="A7679" s="1" t="s">
        <v>7681</v>
      </c>
      <c r="B7679" s="1" t="s">
        <v>6138</v>
      </c>
      <c r="C7679" s="2">
        <f>IFERROR(__xludf.DUMMYFUNCTION("IFERROR(VLOOKUP(A7679, IMPORTRANGE(""https://docs.google.com/spreadsheets/d/1AVX9GT0dgogEBStecCXMMQ29tWz3gBrtNB8yIromXbY/edit?gid=741673867"", ""out1g!A:B""), 2, FALSE), 0)"),308.0)</f>
        <v>308</v>
      </c>
      <c r="D7679" s="2" t="str">
        <f>IFERROR(__xludf.DUMMYFUNCTION("IFERROR(VLOOKUP(A7679, IMPORTRANGE(""https://docs.google.com/spreadsheets/d/1-3Vjw2Cyy-mry5gbC8ypIR3YVGFfEpyFESummAta6sg/edit"", ""Sheet1!B:D""), 2, FALSE), ""Not Found"")"),"kjʊrd")</f>
        <v>kjʊrd</v>
      </c>
      <c r="E7679" s="2" t="str">
        <f>IFERROR(__xludf.DUMMYFUNCTION("IFERROR(VLOOKUP(A7679, IMPORTRANGE(""https://docs.google.com/spreadsheets/d/1-3Vjw2Cyy-mry5gbC8ypIR3YVGFfEpyFESummAta6sg/edit"", ""Sheet1!B:D""), 3, FALSE), ""Not Found"")"),"k j ʊ r d ")</f>
        <v>k j ʊ r d </v>
      </c>
    </row>
    <row r="7680">
      <c r="A7680" s="1" t="s">
        <v>7682</v>
      </c>
      <c r="B7680" s="1" t="s">
        <v>6138</v>
      </c>
      <c r="C7680" s="2">
        <f>IFERROR(__xludf.DUMMYFUNCTION("IFERROR(VLOOKUP(A7680, IMPORTRANGE(""https://docs.google.com/spreadsheets/d/1AVX9GT0dgogEBStecCXMMQ29tWz3gBrtNB8yIromXbY/edit?gid=741673867"", ""out1g!A:B""), 2, FALSE), 0)"),4555.0)</f>
        <v>4555</v>
      </c>
      <c r="D7680" s="2" t="str">
        <f>IFERROR(__xludf.DUMMYFUNCTION("IFERROR(VLOOKUP(A7680, IMPORTRANGE(""https://docs.google.com/spreadsheets/d/1-3Vjw2Cyy-mry5gbC8ypIR3YVGFfEpyFESummAta6sg/edit"", ""Sheet1!B:D""), 2, FALSE), ""Not Found"")"),"sɪmpəl")</f>
        <v>sɪmpəl</v>
      </c>
      <c r="E7680" s="2" t="str">
        <f>IFERROR(__xludf.DUMMYFUNCTION("IFERROR(VLOOKUP(A7680, IMPORTRANGE(""https://docs.google.com/spreadsheets/d/1-3Vjw2Cyy-mry5gbC8ypIR3YVGFfEpyFESummAta6sg/edit"", ""Sheet1!B:D""), 3, FALSE), ""Not Found"")"),"s ɪ m p ə l ")</f>
        <v>s ɪ m p ə l </v>
      </c>
    </row>
    <row r="7681">
      <c r="A7681" s="1" t="s">
        <v>7683</v>
      </c>
      <c r="B7681" s="1" t="s">
        <v>6138</v>
      </c>
      <c r="C7681" s="2">
        <f>IFERROR(__xludf.DUMMYFUNCTION("IFERROR(VLOOKUP(A7681, IMPORTRANGE(""https://docs.google.com/spreadsheets/d/1AVX9GT0dgogEBStecCXMMQ29tWz3gBrtNB8yIromXbY/edit?gid=741673867"", ""out1g!A:B""), 2, FALSE), 0)"),331.0)</f>
        <v>331</v>
      </c>
      <c r="D7681" s="2" t="str">
        <f>IFERROR(__xludf.DUMMYFUNCTION("IFERROR(VLOOKUP(A7681, IMPORTRANGE(""https://docs.google.com/spreadsheets/d/1-3Vjw2Cyy-mry5gbC8ypIR3YVGFfEpyFESummAta6sg/edit"", ""Sheet1!B:D""), 2, FALSE), ""Not Found"")"),"klɪrɪŋ")</f>
        <v>klɪrɪŋ</v>
      </c>
      <c r="E7681" s="2" t="str">
        <f>IFERROR(__xludf.DUMMYFUNCTION("IFERROR(VLOOKUP(A7681, IMPORTRANGE(""https://docs.google.com/spreadsheets/d/1-3Vjw2Cyy-mry5gbC8ypIR3YVGFfEpyFESummAta6sg/edit"", ""Sheet1!B:D""), 3, FALSE), ""Not Found"")"),"k l ɪ r ɪ ŋ ")</f>
        <v>k l ɪ r ɪ ŋ </v>
      </c>
    </row>
    <row r="7682">
      <c r="A7682" s="1" t="s">
        <v>7684</v>
      </c>
      <c r="B7682" s="1" t="s">
        <v>6138</v>
      </c>
      <c r="C7682" s="2">
        <f>IFERROR(__xludf.DUMMYFUNCTION("IFERROR(VLOOKUP(A7682, IMPORTRANGE(""https://docs.google.com/spreadsheets/d/1AVX9GT0dgogEBStecCXMMQ29tWz3gBrtNB8yIromXbY/edit?gid=741673867"", ""out1g!A:B""), 2, FALSE), 0)"),74.0)</f>
        <v>74</v>
      </c>
      <c r="D7682" s="2" t="str">
        <f>IFERROR(__xludf.DUMMYFUNCTION("IFERROR(VLOOKUP(A7682, IMPORTRANGE(""https://docs.google.com/spreadsheets/d/1-3Vjw2Cyy-mry5gbC8ypIR3YVGFfEpyFESummAta6sg/edit"", ""Sheet1!B:D""), 2, FALSE), ""Not Found"")"),"kru")</f>
        <v>kru</v>
      </c>
      <c r="E7682" s="2" t="str">
        <f>IFERROR(__xludf.DUMMYFUNCTION("IFERROR(VLOOKUP(A7682, IMPORTRANGE(""https://docs.google.com/spreadsheets/d/1-3Vjw2Cyy-mry5gbC8ypIR3YVGFfEpyFESummAta6sg/edit"", ""Sheet1!B:D""), 3, FALSE), ""Not Found"")"),"k r u ")</f>
        <v>k r u </v>
      </c>
    </row>
    <row r="7683">
      <c r="A7683" s="1" t="s">
        <v>7685</v>
      </c>
      <c r="B7683" s="1" t="s">
        <v>6138</v>
      </c>
      <c r="C7683" s="2">
        <f>IFERROR(__xludf.DUMMYFUNCTION("IFERROR(VLOOKUP(A7683, IMPORTRANGE(""https://docs.google.com/spreadsheets/d/1AVX9GT0dgogEBStecCXMMQ29tWz3gBrtNB8yIromXbY/edit?gid=741673867"", ""out1g!A:B""), 2, FALSE), 0)"),262.0)</f>
        <v>262</v>
      </c>
      <c r="D7683" s="2" t="str">
        <f>IFERROR(__xludf.DUMMYFUNCTION("IFERROR(VLOOKUP(A7683, IMPORTRANGE(""https://docs.google.com/spreadsheets/d/1-3Vjw2Cyy-mry5gbC8ypIR3YVGFfEpyFESummAta6sg/edit"", ""Sheet1!B:D""), 2, FALSE), ""Not Found"")"),"səlun")</f>
        <v>səlun</v>
      </c>
      <c r="E7683" s="2" t="str">
        <f>IFERROR(__xludf.DUMMYFUNCTION("IFERROR(VLOOKUP(A7683, IMPORTRANGE(""https://docs.google.com/spreadsheets/d/1-3Vjw2Cyy-mry5gbC8ypIR3YVGFfEpyFESummAta6sg/edit"", ""Sheet1!B:D""), 3, FALSE), ""Not Found"")"),"s ə l u n ")</f>
        <v>s ə l u n </v>
      </c>
    </row>
    <row r="7684">
      <c r="A7684" s="1" t="s">
        <v>7686</v>
      </c>
      <c r="B7684" s="1" t="s">
        <v>6138</v>
      </c>
      <c r="C7684" s="2">
        <f>IFERROR(__xludf.DUMMYFUNCTION("IFERROR(VLOOKUP(A7684, IMPORTRANGE(""https://docs.google.com/spreadsheets/d/1AVX9GT0dgogEBStecCXMMQ29tWz3gBrtNB8yIromXbY/edit?gid=741673867"", ""out1g!A:B""), 2, FALSE), 0)"),83.0)</f>
        <v>83</v>
      </c>
      <c r="D7684" s="2" t="str">
        <f>IFERROR(__xludf.DUMMYFUNCTION("IFERROR(VLOOKUP(A7684, IMPORTRANGE(""https://docs.google.com/spreadsheets/d/1-3Vjw2Cyy-mry5gbC8ypIR3YVGFfEpyFESummAta6sg/edit"", ""Sheet1!B:D""), 2, FALSE), ""Not Found"")"),"strɪps")</f>
        <v>strɪps</v>
      </c>
      <c r="E7684" s="2" t="str">
        <f>IFERROR(__xludf.DUMMYFUNCTION("IFERROR(VLOOKUP(A7684, IMPORTRANGE(""https://docs.google.com/spreadsheets/d/1-3Vjw2Cyy-mry5gbC8ypIR3YVGFfEpyFESummAta6sg/edit"", ""Sheet1!B:D""), 3, FALSE), ""Not Found"")"),"s t r ɪ p s ")</f>
        <v>s t r ɪ p s </v>
      </c>
    </row>
    <row r="7685">
      <c r="A7685" s="1" t="s">
        <v>7687</v>
      </c>
      <c r="B7685" s="1" t="s">
        <v>6138</v>
      </c>
      <c r="C7685" s="2">
        <f>IFERROR(__xludf.DUMMYFUNCTION("IFERROR(VLOOKUP(A7685, IMPORTRANGE(""https://docs.google.com/spreadsheets/d/1AVX9GT0dgogEBStecCXMMQ29tWz3gBrtNB8yIromXbY/edit?gid=741673867"", ""out1g!A:B""), 2, FALSE), 0)"),157.0)</f>
        <v>157</v>
      </c>
      <c r="D7685" s="2" t="str">
        <f>IFERROR(__xludf.DUMMYFUNCTION("IFERROR(VLOOKUP(A7685, IMPORTRANGE(""https://docs.google.com/spreadsheets/d/1-3Vjw2Cyy-mry5gbC8ypIR3YVGFfEpyFESummAta6sg/edit"", ""Sheet1!B:D""), 2, FALSE), ""Not Found"")"),"mætərd")</f>
        <v>mætərd</v>
      </c>
      <c r="E7685" s="2" t="str">
        <f>IFERROR(__xludf.DUMMYFUNCTION("IFERROR(VLOOKUP(A7685, IMPORTRANGE(""https://docs.google.com/spreadsheets/d/1-3Vjw2Cyy-mry5gbC8ypIR3YVGFfEpyFESummAta6sg/edit"", ""Sheet1!B:D""), 3, FALSE), ""Not Found"")"),"m æ t ə r d ")</f>
        <v>m æ t ə r d </v>
      </c>
    </row>
    <row r="7686">
      <c r="A7686" s="1" t="s">
        <v>7688</v>
      </c>
      <c r="B7686" s="1" t="s">
        <v>6138</v>
      </c>
      <c r="C7686" s="2">
        <f>IFERROR(__xludf.DUMMYFUNCTION("IFERROR(VLOOKUP(A7686, IMPORTRANGE(""https://docs.google.com/spreadsheets/d/1AVX9GT0dgogEBStecCXMMQ29tWz3gBrtNB8yIromXbY/edit?gid=741673867"", ""out1g!A:B""), 2, FALSE), 0)"),110.0)</f>
        <v>110</v>
      </c>
      <c r="D7686" s="2" t="str">
        <f>IFERROR(__xludf.DUMMYFUNCTION("IFERROR(VLOOKUP(A7686, IMPORTRANGE(""https://docs.google.com/spreadsheets/d/1-3Vjw2Cyy-mry5gbC8ypIR3YVGFfEpyFESummAta6sg/edit"", ""Sheet1!B:D""), 2, FALSE), ""Not Found"")"),"sæŋk")</f>
        <v>sæŋk</v>
      </c>
      <c r="E7686" s="2" t="str">
        <f>IFERROR(__xludf.DUMMYFUNCTION("IFERROR(VLOOKUP(A7686, IMPORTRANGE(""https://docs.google.com/spreadsheets/d/1-3Vjw2Cyy-mry5gbC8ypIR3YVGFfEpyFESummAta6sg/edit"", ""Sheet1!B:D""), 3, FALSE), ""Not Found"")"),"s æ ŋ k ")</f>
        <v>s æ ŋ k </v>
      </c>
    </row>
    <row r="7687">
      <c r="A7687" s="1" t="s">
        <v>7689</v>
      </c>
      <c r="B7687" s="1" t="s">
        <v>6138</v>
      </c>
      <c r="C7687" s="2">
        <f>IFERROR(__xludf.DUMMYFUNCTION("IFERROR(VLOOKUP(A7687, IMPORTRANGE(""https://docs.google.com/spreadsheets/d/1AVX9GT0dgogEBStecCXMMQ29tWz3gBrtNB8yIromXbY/edit?gid=741673867"", ""out1g!A:B""), 2, FALSE), 0)"),231.0)</f>
        <v>231</v>
      </c>
      <c r="D7687" s="2" t="str">
        <f>IFERROR(__xludf.DUMMYFUNCTION("IFERROR(VLOOKUP(A7687, IMPORTRANGE(""https://docs.google.com/spreadsheets/d/1-3Vjw2Cyy-mry5gbC8ypIR3YVGFfEpyFESummAta6sg/edit"", ""Sheet1!B:D""), 2, FALSE), ""Not Found"")"),"rɪdəl")</f>
        <v>rɪdəl</v>
      </c>
      <c r="E7687" s="2" t="str">
        <f>IFERROR(__xludf.DUMMYFUNCTION("IFERROR(VLOOKUP(A7687, IMPORTRANGE(""https://docs.google.com/spreadsheets/d/1-3Vjw2Cyy-mry5gbC8ypIR3YVGFfEpyFESummAta6sg/edit"", ""Sheet1!B:D""), 3, FALSE), ""Not Found"")"),"r ɪ d ə l ")</f>
        <v>r ɪ d ə l </v>
      </c>
    </row>
    <row r="7688">
      <c r="A7688" s="1" t="s">
        <v>7690</v>
      </c>
      <c r="B7688" s="1" t="s">
        <v>6138</v>
      </c>
      <c r="C7688" s="2">
        <f>IFERROR(__xludf.DUMMYFUNCTION("IFERROR(VLOOKUP(A7688, IMPORTRANGE(""https://docs.google.com/spreadsheets/d/1AVX9GT0dgogEBStecCXMMQ29tWz3gBrtNB8yIromXbY/edit?gid=741673867"", ""out1g!A:B""), 2, FALSE), 0)"),92.0)</f>
        <v>92</v>
      </c>
      <c r="D7688" s="2" t="str">
        <f>IFERROR(__xludf.DUMMYFUNCTION("IFERROR(VLOOKUP(A7688, IMPORTRANGE(""https://docs.google.com/spreadsheets/d/1-3Vjw2Cyy-mry5gbC8ypIR3YVGFfEpyFESummAta6sg/edit"", ""Sheet1!B:D""), 2, FALSE), ""Not Found"")"),"sləgz")</f>
        <v>sləgz</v>
      </c>
      <c r="E7688" s="2" t="str">
        <f>IFERROR(__xludf.DUMMYFUNCTION("IFERROR(VLOOKUP(A7688, IMPORTRANGE(""https://docs.google.com/spreadsheets/d/1-3Vjw2Cyy-mry5gbC8ypIR3YVGFfEpyFESummAta6sg/edit"", ""Sheet1!B:D""), 3, FALSE), ""Not Found"")"),"s l ə g z ")</f>
        <v>s l ə g z </v>
      </c>
    </row>
    <row r="7689">
      <c r="A7689" s="1" t="s">
        <v>7691</v>
      </c>
      <c r="B7689" s="1" t="s">
        <v>6138</v>
      </c>
      <c r="C7689" s="2">
        <f>IFERROR(__xludf.DUMMYFUNCTION("IFERROR(VLOOKUP(A7689, IMPORTRANGE(""https://docs.google.com/spreadsheets/d/1AVX9GT0dgogEBStecCXMMQ29tWz3gBrtNB8yIromXbY/edit?gid=741673867"", ""out1g!A:B""), 2, FALSE), 0)"),125.0)</f>
        <v>125</v>
      </c>
      <c r="D7689" s="2" t="str">
        <f>IFERROR(__xludf.DUMMYFUNCTION("IFERROR(VLOOKUP(A7689, IMPORTRANGE(""https://docs.google.com/spreadsheets/d/1-3Vjw2Cyy-mry5gbC8ypIR3YVGFfEpyFESummAta6sg/edit"", ""Sheet1!B:D""), 2, FALSE), ""Not Found"")"),"əndən")</f>
        <v>əndən</v>
      </c>
      <c r="E7689" s="2" t="str">
        <f>IFERROR(__xludf.DUMMYFUNCTION("IFERROR(VLOOKUP(A7689, IMPORTRANGE(""https://docs.google.com/spreadsheets/d/1-3Vjw2Cyy-mry5gbC8ypIR3YVGFfEpyFESummAta6sg/edit"", ""Sheet1!B:D""), 3, FALSE), ""Not Found"")"),"ə n d ə n ")</f>
        <v>ə n d ə n </v>
      </c>
    </row>
    <row r="7690">
      <c r="A7690" s="1" t="s">
        <v>7692</v>
      </c>
      <c r="B7690" s="1" t="s">
        <v>6138</v>
      </c>
      <c r="C7690" s="2">
        <f>IFERROR(__xludf.DUMMYFUNCTION("IFERROR(VLOOKUP(A7690, IMPORTRANGE(""https://docs.google.com/spreadsheets/d/1AVX9GT0dgogEBStecCXMMQ29tWz3gBrtNB8yIromXbY/edit?gid=741673867"", ""out1g!A:B""), 2, FALSE), 0)"),131.0)</f>
        <v>131</v>
      </c>
      <c r="D7690" s="2" t="str">
        <f>IFERROR(__xludf.DUMMYFUNCTION("IFERROR(VLOOKUP(A7690, IMPORTRANGE(""https://docs.google.com/spreadsheets/d/1-3Vjw2Cyy-mry5gbC8ypIR3YVGFfEpyFESummAta6sg/edit"", ""Sheet1!B:D""), 2, FALSE), ""Not Found"")"),"ʤɔgɪŋ")</f>
        <v>ʤɔgɪŋ</v>
      </c>
      <c r="E7690" s="2" t="str">
        <f>IFERROR(__xludf.DUMMYFUNCTION("IFERROR(VLOOKUP(A7690, IMPORTRANGE(""https://docs.google.com/spreadsheets/d/1-3Vjw2Cyy-mry5gbC8ypIR3YVGFfEpyFESummAta6sg/edit"", ""Sheet1!B:D""), 3, FALSE), ""Not Found"")"),"ʤ ɔ g ɪ ŋ ")</f>
        <v>ʤ ɔ g ɪ ŋ </v>
      </c>
    </row>
    <row r="7691">
      <c r="A7691" s="1" t="s">
        <v>7693</v>
      </c>
      <c r="B7691" s="1" t="s">
        <v>6138</v>
      </c>
      <c r="C7691" s="2">
        <f>IFERROR(__xludf.DUMMYFUNCTION("IFERROR(VLOOKUP(A7691, IMPORTRANGE(""https://docs.google.com/spreadsheets/d/1AVX9GT0dgogEBStecCXMMQ29tWz3gBrtNB8yIromXbY/edit?gid=741673867"", ""out1g!A:B""), 2, FALSE), 0)"),11.0)</f>
        <v>11</v>
      </c>
      <c r="D7691" s="2" t="str">
        <f>IFERROR(__xludf.DUMMYFUNCTION("IFERROR(VLOOKUP(A7691, IMPORTRANGE(""https://docs.google.com/spreadsheets/d/1-3Vjw2Cyy-mry5gbC8ypIR3YVGFfEpyFESummAta6sg/edit"", ""Sheet1!B:D""), 2, FALSE), ""Not Found"")"),"haɪfən")</f>
        <v>haɪfən</v>
      </c>
      <c r="E7691" s="2" t="str">
        <f>IFERROR(__xludf.DUMMYFUNCTION("IFERROR(VLOOKUP(A7691, IMPORTRANGE(""https://docs.google.com/spreadsheets/d/1-3Vjw2Cyy-mry5gbC8ypIR3YVGFfEpyFESummAta6sg/edit"", ""Sheet1!B:D""), 3, FALSE), ""Not Found"")"),"h a ɪ f ə n ")</f>
        <v>h a ɪ f ə n </v>
      </c>
    </row>
    <row r="7692">
      <c r="A7692" s="1" t="s">
        <v>7694</v>
      </c>
      <c r="B7692" s="1" t="s">
        <v>6138</v>
      </c>
      <c r="C7692" s="2">
        <f>IFERROR(__xludf.DUMMYFUNCTION("IFERROR(VLOOKUP(A7692, IMPORTRANGE(""https://docs.google.com/spreadsheets/d/1AVX9GT0dgogEBStecCXMMQ29tWz3gBrtNB8yIromXbY/edit?gid=741673867"", ""out1g!A:B""), 2, FALSE), 0)"),55.0)</f>
        <v>55</v>
      </c>
      <c r="D7692" s="2" t="str">
        <f>IFERROR(__xludf.DUMMYFUNCTION("IFERROR(VLOOKUP(A7692, IMPORTRANGE(""https://docs.google.com/spreadsheets/d/1-3Vjw2Cyy-mry5gbC8ypIR3YVGFfEpyFESummAta6sg/edit"", ""Sheet1!B:D""), 2, FALSE), ""Not Found"")"),"tɪŋkəlz")</f>
        <v>tɪŋkəlz</v>
      </c>
      <c r="E7692" s="2" t="str">
        <f>IFERROR(__xludf.DUMMYFUNCTION("IFERROR(VLOOKUP(A7692, IMPORTRANGE(""https://docs.google.com/spreadsheets/d/1-3Vjw2Cyy-mry5gbC8ypIR3YVGFfEpyFESummAta6sg/edit"", ""Sheet1!B:D""), 3, FALSE), ""Not Found"")"),"t ɪ ŋ k ə l z ")</f>
        <v>t ɪ ŋ k ə l z </v>
      </c>
    </row>
    <row r="7693">
      <c r="A7693" s="1" t="s">
        <v>7695</v>
      </c>
      <c r="B7693" s="1" t="s">
        <v>6138</v>
      </c>
      <c r="C7693" s="2">
        <f>IFERROR(__xludf.DUMMYFUNCTION("IFERROR(VLOOKUP(A7693, IMPORTRANGE(""https://docs.google.com/spreadsheets/d/1AVX9GT0dgogEBStecCXMMQ29tWz3gBrtNB8yIromXbY/edit?gid=741673867"", ""out1g!A:B""), 2, FALSE), 0)"),110.0)</f>
        <v>110</v>
      </c>
      <c r="D7693" s="2" t="str">
        <f>IFERROR(__xludf.DUMMYFUNCTION("IFERROR(VLOOKUP(A7693, IMPORTRANGE(""https://docs.google.com/spreadsheets/d/1-3Vjw2Cyy-mry5gbC8ypIR3YVGFfEpyFESummAta6sg/edit"", ""Sheet1!B:D""), 2, FALSE), ""Not Found"")"),"stɔrmz")</f>
        <v>stɔrmz</v>
      </c>
      <c r="E7693" s="2" t="str">
        <f>IFERROR(__xludf.DUMMYFUNCTION("IFERROR(VLOOKUP(A7693, IMPORTRANGE(""https://docs.google.com/spreadsheets/d/1-3Vjw2Cyy-mry5gbC8ypIR3YVGFfEpyFESummAta6sg/edit"", ""Sheet1!B:D""), 3, FALSE), ""Not Found"")"),"s t ɔ r m z ")</f>
        <v>s t ɔ r m z </v>
      </c>
    </row>
    <row r="7694">
      <c r="A7694" s="1" t="s">
        <v>7696</v>
      </c>
      <c r="B7694" s="1" t="s">
        <v>6138</v>
      </c>
      <c r="C7694" s="2">
        <f>IFERROR(__xludf.DUMMYFUNCTION("IFERROR(VLOOKUP(A7694, IMPORTRANGE(""https://docs.google.com/spreadsheets/d/1AVX9GT0dgogEBStecCXMMQ29tWz3gBrtNB8yIromXbY/edit?gid=741673867"", ""out1g!A:B""), 2, FALSE), 0)"),67.0)</f>
        <v>67</v>
      </c>
      <c r="D7694" s="2" t="str">
        <f>IFERROR(__xludf.DUMMYFUNCTION("IFERROR(VLOOKUP(A7694, IMPORTRANGE(""https://docs.google.com/spreadsheets/d/1-3Vjw2Cyy-mry5gbC8ypIR3YVGFfEpyFESummAta6sg/edit"", ""Sheet1!B:D""), 2, FALSE), ""Not Found"")"),"gɑrtər")</f>
        <v>gɑrtər</v>
      </c>
      <c r="E7694" s="2" t="str">
        <f>IFERROR(__xludf.DUMMYFUNCTION("IFERROR(VLOOKUP(A7694, IMPORTRANGE(""https://docs.google.com/spreadsheets/d/1-3Vjw2Cyy-mry5gbC8ypIR3YVGFfEpyFESummAta6sg/edit"", ""Sheet1!B:D""), 3, FALSE), ""Not Found"")"),"g ɑ r t ə r ")</f>
        <v>g ɑ r t ə r </v>
      </c>
    </row>
    <row r="7695">
      <c r="A7695" s="1" t="s">
        <v>7697</v>
      </c>
      <c r="B7695" s="1" t="s">
        <v>6138</v>
      </c>
      <c r="C7695" s="2">
        <f>IFERROR(__xludf.DUMMYFUNCTION("IFERROR(VLOOKUP(A7695, IMPORTRANGE(""https://docs.google.com/spreadsheets/d/1AVX9GT0dgogEBStecCXMMQ29tWz3gBrtNB8yIromXbY/edit?gid=741673867"", ""out1g!A:B""), 2, FALSE), 0)"),143.0)</f>
        <v>143</v>
      </c>
      <c r="D7695" s="2" t="str">
        <f>IFERROR(__xludf.DUMMYFUNCTION("IFERROR(VLOOKUP(A7695, IMPORTRANGE(""https://docs.google.com/spreadsheets/d/1-3Vjw2Cyy-mry5gbC8ypIR3YVGFfEpyFESummAta6sg/edit"", ""Sheet1!B:D""), 2, FALSE), ""Not Found"")"),"vjuərz")</f>
        <v>vjuərz</v>
      </c>
      <c r="E7695" s="2" t="str">
        <f>IFERROR(__xludf.DUMMYFUNCTION("IFERROR(VLOOKUP(A7695, IMPORTRANGE(""https://docs.google.com/spreadsheets/d/1-3Vjw2Cyy-mry5gbC8ypIR3YVGFfEpyFESummAta6sg/edit"", ""Sheet1!B:D""), 3, FALSE), ""Not Found"")"),"v j u ə r z ")</f>
        <v>v j u ə r z </v>
      </c>
    </row>
    <row r="7696">
      <c r="A7696" s="1" t="s">
        <v>7698</v>
      </c>
      <c r="B7696" s="1" t="s">
        <v>6138</v>
      </c>
      <c r="C7696" s="2">
        <f>IFERROR(__xludf.DUMMYFUNCTION("IFERROR(VLOOKUP(A7696, IMPORTRANGE(""https://docs.google.com/spreadsheets/d/1AVX9GT0dgogEBStecCXMMQ29tWz3gBrtNB8yIromXbY/edit?gid=741673867"", ""out1g!A:B""), 2, FALSE), 0)"),57.0)</f>
        <v>57</v>
      </c>
      <c r="D7696" s="2" t="str">
        <f>IFERROR(__xludf.DUMMYFUNCTION("IFERROR(VLOOKUP(A7696, IMPORTRANGE(""https://docs.google.com/spreadsheets/d/1-3Vjw2Cyy-mry5gbC8ypIR3YVGFfEpyFESummAta6sg/edit"", ""Sheet1!B:D""), 2, FALSE), ""Not Found"")"),"mægz")</f>
        <v>mægz</v>
      </c>
      <c r="E7696" s="2" t="str">
        <f>IFERROR(__xludf.DUMMYFUNCTION("IFERROR(VLOOKUP(A7696, IMPORTRANGE(""https://docs.google.com/spreadsheets/d/1-3Vjw2Cyy-mry5gbC8ypIR3YVGFfEpyFESummAta6sg/edit"", ""Sheet1!B:D""), 3, FALSE), ""Not Found"")"),"m æ g z ")</f>
        <v>m æ g z </v>
      </c>
    </row>
    <row r="7697">
      <c r="A7697" s="1" t="s">
        <v>7699</v>
      </c>
      <c r="B7697" s="1" t="s">
        <v>6138</v>
      </c>
      <c r="C7697" s="2">
        <f>IFERROR(__xludf.DUMMYFUNCTION("IFERROR(VLOOKUP(A7697, IMPORTRANGE(""https://docs.google.com/spreadsheets/d/1AVX9GT0dgogEBStecCXMMQ29tWz3gBrtNB8yIromXbY/edit?gid=741673867"", ""out1g!A:B""), 2, FALSE), 0)"),197.0)</f>
        <v>197</v>
      </c>
      <c r="D7697" s="2" t="str">
        <f>IFERROR(__xludf.DUMMYFUNCTION("IFERROR(VLOOKUP(A7697, IMPORTRANGE(""https://docs.google.com/spreadsheets/d/1-3Vjw2Cyy-mry5gbC8ypIR3YVGFfEpyFESummAta6sg/edit"", ""Sheet1!B:D""), 2, FALSE), ""Not Found"")"),"skruʤ")</f>
        <v>skruʤ</v>
      </c>
      <c r="E7697" s="2" t="str">
        <f>IFERROR(__xludf.DUMMYFUNCTION("IFERROR(VLOOKUP(A7697, IMPORTRANGE(""https://docs.google.com/spreadsheets/d/1-3Vjw2Cyy-mry5gbC8ypIR3YVGFfEpyFESummAta6sg/edit"", ""Sheet1!B:D""), 3, FALSE), ""Not Found"")"),"s k r u ʤ ")</f>
        <v>s k r u ʤ </v>
      </c>
    </row>
    <row r="7698">
      <c r="A7698" s="1" t="s">
        <v>7700</v>
      </c>
      <c r="B7698" s="1" t="s">
        <v>6138</v>
      </c>
      <c r="C7698" s="2">
        <f>IFERROR(__xludf.DUMMYFUNCTION("IFERROR(VLOOKUP(A7698, IMPORTRANGE(""https://docs.google.com/spreadsheets/d/1AVX9GT0dgogEBStecCXMMQ29tWz3gBrtNB8yIromXbY/edit?gid=741673867"", ""out1g!A:B""), 2, FALSE), 0)"),66.0)</f>
        <v>66</v>
      </c>
      <c r="D7698" s="2" t="str">
        <f>IFERROR(__xludf.DUMMYFUNCTION("IFERROR(VLOOKUP(A7698, IMPORTRANGE(""https://docs.google.com/spreadsheets/d/1-3Vjw2Cyy-mry5gbC8ypIR3YVGFfEpyFESummAta6sg/edit"", ""Sheet1!B:D""), 2, FALSE), ""Not Found"")"),"dɔriən")</f>
        <v>dɔriən</v>
      </c>
      <c r="E7698" s="2" t="str">
        <f>IFERROR(__xludf.DUMMYFUNCTION("IFERROR(VLOOKUP(A7698, IMPORTRANGE(""https://docs.google.com/spreadsheets/d/1-3Vjw2Cyy-mry5gbC8ypIR3YVGFfEpyFESummAta6sg/edit"", ""Sheet1!B:D""), 3, FALSE), ""Not Found"")"),"d ɔ r i ə n ")</f>
        <v>d ɔ r i ə n </v>
      </c>
    </row>
    <row r="7699">
      <c r="A7699" s="1" t="s">
        <v>7701</v>
      </c>
      <c r="B7699" s="1" t="s">
        <v>6138</v>
      </c>
      <c r="C7699" s="2">
        <f>IFERROR(__xludf.DUMMYFUNCTION("IFERROR(VLOOKUP(A7699, IMPORTRANGE(""https://docs.google.com/spreadsheets/d/1AVX9GT0dgogEBStecCXMMQ29tWz3gBrtNB8yIromXbY/edit?gid=741673867"", ""out1g!A:B""), 2, FALSE), 0)"),96.0)</f>
        <v>96</v>
      </c>
      <c r="D7699" s="2" t="str">
        <f>IFERROR(__xludf.DUMMYFUNCTION("IFERROR(VLOOKUP(A7699, IMPORTRANGE(""https://docs.google.com/spreadsheets/d/1-3Vjw2Cyy-mry5gbC8ypIR3YVGFfEpyFESummAta6sg/edit"", ""Sheet1!B:D""), 2, FALSE), ""Not Found"")"),"poʊstəl")</f>
        <v>poʊstəl</v>
      </c>
      <c r="E7699" s="2" t="str">
        <f>IFERROR(__xludf.DUMMYFUNCTION("IFERROR(VLOOKUP(A7699, IMPORTRANGE(""https://docs.google.com/spreadsheets/d/1-3Vjw2Cyy-mry5gbC8ypIR3YVGFfEpyFESummAta6sg/edit"", ""Sheet1!B:D""), 3, FALSE), ""Not Found"")"),"p o ʊ s t ə l ")</f>
        <v>p o ʊ s t ə l </v>
      </c>
    </row>
    <row r="7700">
      <c r="A7700" s="1" t="s">
        <v>7702</v>
      </c>
      <c r="B7700" s="1" t="s">
        <v>6138</v>
      </c>
      <c r="C7700" s="2">
        <f>IFERROR(__xludf.DUMMYFUNCTION("IFERROR(VLOOKUP(A7700, IMPORTRANGE(""https://docs.google.com/spreadsheets/d/1AVX9GT0dgogEBStecCXMMQ29tWz3gBrtNB8yIromXbY/edit?gid=741673867"", ""out1g!A:B""), 2, FALSE), 0)"),46.0)</f>
        <v>46</v>
      </c>
      <c r="D7700" s="2" t="str">
        <f>IFERROR(__xludf.DUMMYFUNCTION("IFERROR(VLOOKUP(A7700, IMPORTRANGE(""https://docs.google.com/spreadsheets/d/1-3Vjw2Cyy-mry5gbC8ypIR3YVGFfEpyFESummAta6sg/edit"", ""Sheet1!B:D""), 2, FALSE), ""Not Found"")"),"bɑrtər")</f>
        <v>bɑrtər</v>
      </c>
      <c r="E7700" s="2" t="str">
        <f>IFERROR(__xludf.DUMMYFUNCTION("IFERROR(VLOOKUP(A7700, IMPORTRANGE(""https://docs.google.com/spreadsheets/d/1-3Vjw2Cyy-mry5gbC8ypIR3YVGFfEpyFESummAta6sg/edit"", ""Sheet1!B:D""), 3, FALSE), ""Not Found"")"),"b ɑ r t ə r ")</f>
        <v>b ɑ r t ə r </v>
      </c>
    </row>
    <row r="7701">
      <c r="A7701" s="1" t="s">
        <v>7703</v>
      </c>
      <c r="B7701" s="1" t="s">
        <v>6138</v>
      </c>
      <c r="C7701" s="2">
        <f>IFERROR(__xludf.DUMMYFUNCTION("IFERROR(VLOOKUP(A7701, IMPORTRANGE(""https://docs.google.com/spreadsheets/d/1AVX9GT0dgogEBStecCXMMQ29tWz3gBrtNB8yIromXbY/edit?gid=741673867"", ""out1g!A:B""), 2, FALSE), 0)"),132.0)</f>
        <v>132</v>
      </c>
      <c r="D7701" s="2" t="str">
        <f>IFERROR(__xludf.DUMMYFUNCTION("IFERROR(VLOOKUP(A7701, IMPORTRANGE(""https://docs.google.com/spreadsheets/d/1-3Vjw2Cyy-mry5gbC8ypIR3YVGFfEpyFESummAta6sg/edit"", ""Sheet1!B:D""), 2, FALSE), ""Not Found"")"),"pɛrɪʃ")</f>
        <v>pɛrɪʃ</v>
      </c>
      <c r="E7701" s="2" t="str">
        <f>IFERROR(__xludf.DUMMYFUNCTION("IFERROR(VLOOKUP(A7701, IMPORTRANGE(""https://docs.google.com/spreadsheets/d/1-3Vjw2Cyy-mry5gbC8ypIR3YVGFfEpyFESummAta6sg/edit"", ""Sheet1!B:D""), 3, FALSE), ""Not Found"")"),"p ɛ r ɪ ʃ ")</f>
        <v>p ɛ r ɪ ʃ </v>
      </c>
    </row>
    <row r="7702">
      <c r="A7702" s="1" t="s">
        <v>7704</v>
      </c>
      <c r="B7702" s="1" t="s">
        <v>6138</v>
      </c>
      <c r="C7702" s="2">
        <f>IFERROR(__xludf.DUMMYFUNCTION("IFERROR(VLOOKUP(A7702, IMPORTRANGE(""https://docs.google.com/spreadsheets/d/1AVX9GT0dgogEBStecCXMMQ29tWz3gBrtNB8yIromXbY/edit?gid=741673867"", ""out1g!A:B""), 2, FALSE), 0)"),123.0)</f>
        <v>123</v>
      </c>
      <c r="D7702" s="2" t="str">
        <f>IFERROR(__xludf.DUMMYFUNCTION("IFERROR(VLOOKUP(A7702, IMPORTRANGE(""https://docs.google.com/spreadsheets/d/1-3Vjw2Cyy-mry5gbC8ypIR3YVGFfEpyFESummAta6sg/edit"", ""Sheet1!B:D""), 2, FALSE), ""Not Found"")"),"braʊnɪŋ")</f>
        <v>braʊnɪŋ</v>
      </c>
      <c r="E7702" s="2" t="str">
        <f>IFERROR(__xludf.DUMMYFUNCTION("IFERROR(VLOOKUP(A7702, IMPORTRANGE(""https://docs.google.com/spreadsheets/d/1-3Vjw2Cyy-mry5gbC8ypIR3YVGFfEpyFESummAta6sg/edit"", ""Sheet1!B:D""), 3, FALSE), ""Not Found"")"),"b r a ʊ n ɪ ŋ ")</f>
        <v>b r a ʊ n ɪ ŋ </v>
      </c>
    </row>
    <row r="7703">
      <c r="A7703" s="1" t="s">
        <v>7705</v>
      </c>
      <c r="B7703" s="1" t="s">
        <v>6138</v>
      </c>
      <c r="C7703" s="2">
        <f>IFERROR(__xludf.DUMMYFUNCTION("IFERROR(VLOOKUP(A7703, IMPORTRANGE(""https://docs.google.com/spreadsheets/d/1AVX9GT0dgogEBStecCXMMQ29tWz3gBrtNB8yIromXbY/edit?gid=741673867"", ""out1g!A:B""), 2, FALSE), 0)"),634.0)</f>
        <v>634</v>
      </c>
      <c r="D7703" s="2" t="str">
        <f>IFERROR(__xludf.DUMMYFUNCTION("IFERROR(VLOOKUP(A7703, IMPORTRANGE(""https://docs.google.com/spreadsheets/d/1-3Vjw2Cyy-mry5gbC8ypIR3YVGFfEpyFESummAta6sg/edit"", ""Sheet1!B:D""), 2, FALSE), ""Not Found"")"),"lɛnərd")</f>
        <v>lɛnərd</v>
      </c>
      <c r="E7703" s="2" t="str">
        <f>IFERROR(__xludf.DUMMYFUNCTION("IFERROR(VLOOKUP(A7703, IMPORTRANGE(""https://docs.google.com/spreadsheets/d/1-3Vjw2Cyy-mry5gbC8ypIR3YVGFfEpyFESummAta6sg/edit"", ""Sheet1!B:D""), 3, FALSE), ""Not Found"")"),"l ɛ n ə r d ")</f>
        <v>l ɛ n ə r d </v>
      </c>
    </row>
    <row r="7704">
      <c r="A7704" s="1" t="s">
        <v>7706</v>
      </c>
      <c r="B7704" s="1" t="s">
        <v>6138</v>
      </c>
      <c r="C7704" s="2">
        <f>IFERROR(__xludf.DUMMYFUNCTION("IFERROR(VLOOKUP(A7704, IMPORTRANGE(""https://docs.google.com/spreadsheets/d/1AVX9GT0dgogEBStecCXMMQ29tWz3gBrtNB8yIromXbY/edit?gid=741673867"", ""out1g!A:B""), 2, FALSE), 0)"),140.0)</f>
        <v>140</v>
      </c>
      <c r="D7704" s="2" t="str">
        <f>IFERROR(__xludf.DUMMYFUNCTION("IFERROR(VLOOKUP(A7704, IMPORTRANGE(""https://docs.google.com/spreadsheets/d/1-3Vjw2Cyy-mry5gbC8ypIR3YVGFfEpyFESummAta6sg/edit"", ""Sheet1!B:D""), 2, FALSE), ""Not Found"")"),"ætəm")</f>
        <v>ætəm</v>
      </c>
      <c r="E7704" s="2" t="str">
        <f>IFERROR(__xludf.DUMMYFUNCTION("IFERROR(VLOOKUP(A7704, IMPORTRANGE(""https://docs.google.com/spreadsheets/d/1-3Vjw2Cyy-mry5gbC8ypIR3YVGFfEpyFESummAta6sg/edit"", ""Sheet1!B:D""), 3, FALSE), ""Not Found"")"),"æ t ə m ")</f>
        <v>æ t ə m </v>
      </c>
    </row>
    <row r="7705">
      <c r="A7705" s="1" t="s">
        <v>7707</v>
      </c>
      <c r="B7705" s="1" t="s">
        <v>6138</v>
      </c>
      <c r="C7705" s="2">
        <f>IFERROR(__xludf.DUMMYFUNCTION("IFERROR(VLOOKUP(A7705, IMPORTRANGE(""https://docs.google.com/spreadsheets/d/1AVX9GT0dgogEBStecCXMMQ29tWz3gBrtNB8yIromXbY/edit?gid=741673867"", ""out1g!A:B""), 2, FALSE), 0)"),197.0)</f>
        <v>197</v>
      </c>
      <c r="D7705" s="2" t="str">
        <f>IFERROR(__xludf.DUMMYFUNCTION("IFERROR(VLOOKUP(A7705, IMPORTRANGE(""https://docs.google.com/spreadsheets/d/1-3Vjw2Cyy-mry5gbC8ypIR3YVGFfEpyFESummAta6sg/edit"", ""Sheet1!B:D""), 2, FALSE), ""Not Found"")"),"θrəst")</f>
        <v>θrəst</v>
      </c>
      <c r="E7705" s="2" t="str">
        <f>IFERROR(__xludf.DUMMYFUNCTION("IFERROR(VLOOKUP(A7705, IMPORTRANGE(""https://docs.google.com/spreadsheets/d/1-3Vjw2Cyy-mry5gbC8ypIR3YVGFfEpyFESummAta6sg/edit"", ""Sheet1!B:D""), 3, FALSE), ""Not Found"")"),"θ r ə s t ")</f>
        <v>θ r ə s t </v>
      </c>
    </row>
    <row r="7706">
      <c r="A7706" s="1" t="s">
        <v>7708</v>
      </c>
      <c r="B7706" s="1" t="s">
        <v>6138</v>
      </c>
      <c r="C7706" s="2">
        <f>IFERROR(__xludf.DUMMYFUNCTION("IFERROR(VLOOKUP(A7706, IMPORTRANGE(""https://docs.google.com/spreadsheets/d/1AVX9GT0dgogEBStecCXMMQ29tWz3gBrtNB8yIromXbY/edit?gid=741673867"", ""out1g!A:B""), 2, FALSE), 0)"),935.0)</f>
        <v>935</v>
      </c>
      <c r="D7706" s="2" t="str">
        <f>IFERROR(__xludf.DUMMYFUNCTION("IFERROR(VLOOKUP(A7706, IMPORTRANGE(""https://docs.google.com/spreadsheets/d/1-3Vjw2Cyy-mry5gbC8ypIR3YVGFfEpyFESummAta6sg/edit"", ""Sheet1!B:D""), 2, FALSE), ""Not Found"")"),"baɪbəl")</f>
        <v>baɪbəl</v>
      </c>
      <c r="E7706" s="2" t="str">
        <f>IFERROR(__xludf.DUMMYFUNCTION("IFERROR(VLOOKUP(A7706, IMPORTRANGE(""https://docs.google.com/spreadsheets/d/1-3Vjw2Cyy-mry5gbC8ypIR3YVGFfEpyFESummAta6sg/edit"", ""Sheet1!B:D""), 3, FALSE), ""Not Found"")"),"b a ɪ b ə l ")</f>
        <v>b a ɪ b ə l </v>
      </c>
    </row>
    <row r="7707">
      <c r="A7707" s="1" t="s">
        <v>7709</v>
      </c>
      <c r="B7707" s="1" t="s">
        <v>6138</v>
      </c>
      <c r="C7707" s="2">
        <f>IFERROR(__xludf.DUMMYFUNCTION("IFERROR(VLOOKUP(A7707, IMPORTRANGE(""https://docs.google.com/spreadsheets/d/1AVX9GT0dgogEBStecCXMMQ29tWz3gBrtNB8yIromXbY/edit?gid=741673867"", ""out1g!A:B""), 2, FALSE), 0)"),80.0)</f>
        <v>80</v>
      </c>
      <c r="D7707" s="2" t="str">
        <f>IFERROR(__xludf.DUMMYFUNCTION("IFERROR(VLOOKUP(A7707, IMPORTRANGE(""https://docs.google.com/spreadsheets/d/1-3Vjw2Cyy-mry5gbC8ypIR3YVGFfEpyFESummAta6sg/edit"", ""Sheet1!B:D""), 2, FALSE), ""Not Found"")"),"bɑndɪd")</f>
        <v>bɑndɪd</v>
      </c>
      <c r="E7707" s="2" t="str">
        <f>IFERROR(__xludf.DUMMYFUNCTION("IFERROR(VLOOKUP(A7707, IMPORTRANGE(""https://docs.google.com/spreadsheets/d/1-3Vjw2Cyy-mry5gbC8ypIR3YVGFfEpyFESummAta6sg/edit"", ""Sheet1!B:D""), 3, FALSE), ""Not Found"")"),"b ɑ n d ɪ d ")</f>
        <v>b ɑ n d ɪ d </v>
      </c>
    </row>
    <row r="7708">
      <c r="A7708" s="1" t="s">
        <v>7710</v>
      </c>
      <c r="B7708" s="1" t="s">
        <v>6138</v>
      </c>
      <c r="C7708" s="2">
        <f>IFERROR(__xludf.DUMMYFUNCTION("IFERROR(VLOOKUP(A7708, IMPORTRANGE(""https://docs.google.com/spreadsheets/d/1AVX9GT0dgogEBStecCXMMQ29tWz3gBrtNB8yIromXbY/edit?gid=741673867"", ""out1g!A:B""), 2, FALSE), 0)"),90.0)</f>
        <v>90</v>
      </c>
      <c r="D7708" s="2" t="str">
        <f>IFERROR(__xludf.DUMMYFUNCTION("IFERROR(VLOOKUP(A7708, IMPORTRANGE(""https://docs.google.com/spreadsheets/d/1-3Vjw2Cyy-mry5gbC8ypIR3YVGFfEpyFESummAta6sg/edit"", ""Sheet1!B:D""), 2, FALSE), ""Not Found"")"),"trup")</f>
        <v>trup</v>
      </c>
      <c r="E7708" s="2" t="str">
        <f>IFERROR(__xludf.DUMMYFUNCTION("IFERROR(VLOOKUP(A7708, IMPORTRANGE(""https://docs.google.com/spreadsheets/d/1-3Vjw2Cyy-mry5gbC8ypIR3YVGFfEpyFESummAta6sg/edit"", ""Sheet1!B:D""), 3, FALSE), ""Not Found"")"),"t r u p ")</f>
        <v>t r u p </v>
      </c>
    </row>
    <row r="7709">
      <c r="A7709" s="1" t="s">
        <v>7711</v>
      </c>
      <c r="B7709" s="1" t="s">
        <v>6138</v>
      </c>
      <c r="C7709" s="2">
        <f>IFERROR(__xludf.DUMMYFUNCTION("IFERROR(VLOOKUP(A7709, IMPORTRANGE(""https://docs.google.com/spreadsheets/d/1AVX9GT0dgogEBStecCXMMQ29tWz3gBrtNB8yIromXbY/edit?gid=741673867"", ""out1g!A:B""), 2, FALSE), 0)"),622.0)</f>
        <v>622</v>
      </c>
      <c r="D7709" s="2" t="str">
        <f>IFERROR(__xludf.DUMMYFUNCTION("IFERROR(VLOOKUP(A7709, IMPORTRANGE(""https://docs.google.com/spreadsheets/d/1-3Vjw2Cyy-mry5gbC8ypIR3YVGFfEpyFESummAta6sg/edit"", ""Sheet1!B:D""), 2, FALSE), ""Not Found"")"),"məðərz")</f>
        <v>məðərz</v>
      </c>
      <c r="E7709" s="2" t="str">
        <f>IFERROR(__xludf.DUMMYFUNCTION("IFERROR(VLOOKUP(A7709, IMPORTRANGE(""https://docs.google.com/spreadsheets/d/1-3Vjw2Cyy-mry5gbC8ypIR3YVGFfEpyFESummAta6sg/edit"", ""Sheet1!B:D""), 3, FALSE), ""Not Found"")"),"m ə ð ə r z ")</f>
        <v>m ə ð ə r z </v>
      </c>
    </row>
    <row r="7710">
      <c r="A7710" s="1" t="s">
        <v>7712</v>
      </c>
      <c r="B7710" s="1" t="s">
        <v>6138</v>
      </c>
      <c r="C7710" s="2">
        <f>IFERROR(__xludf.DUMMYFUNCTION("IFERROR(VLOOKUP(A7710, IMPORTRANGE(""https://docs.google.com/spreadsheets/d/1AVX9GT0dgogEBStecCXMMQ29tWz3gBrtNB8yIromXbY/edit?gid=741673867"", ""out1g!A:B""), 2, FALSE), 0)"),63.0)</f>
        <v>63</v>
      </c>
      <c r="D7710" s="2" t="str">
        <f>IFERROR(__xludf.DUMMYFUNCTION("IFERROR(VLOOKUP(A7710, IMPORTRANGE(""https://docs.google.com/spreadsheets/d/1-3Vjw2Cyy-mry5gbC8ypIR3YVGFfEpyFESummAta6sg/edit"", ""Sheet1!B:D""), 2, FALSE), ""Not Found"")"),"rɪvaɪzd")</f>
        <v>rɪvaɪzd</v>
      </c>
      <c r="E7710" s="2" t="str">
        <f>IFERROR(__xludf.DUMMYFUNCTION("IFERROR(VLOOKUP(A7710, IMPORTRANGE(""https://docs.google.com/spreadsheets/d/1-3Vjw2Cyy-mry5gbC8ypIR3YVGFfEpyFESummAta6sg/edit"", ""Sheet1!B:D""), 3, FALSE), ""Not Found"")"),"r ɪ v a ɪ z d ")</f>
        <v>r ɪ v a ɪ z d </v>
      </c>
    </row>
    <row r="7711">
      <c r="A7711" s="1" t="s">
        <v>7713</v>
      </c>
      <c r="B7711" s="1" t="s">
        <v>6138</v>
      </c>
      <c r="C7711" s="2">
        <f>IFERROR(__xludf.DUMMYFUNCTION("IFERROR(VLOOKUP(A7711, IMPORTRANGE(""https://docs.google.com/spreadsheets/d/1AVX9GT0dgogEBStecCXMMQ29tWz3gBrtNB8yIromXbY/edit?gid=741673867"", ""out1g!A:B""), 2, FALSE), 0)"),90.0)</f>
        <v>90</v>
      </c>
      <c r="D7711" s="2" t="str">
        <f>IFERROR(__xludf.DUMMYFUNCTION("IFERROR(VLOOKUP(A7711, IMPORTRANGE(""https://docs.google.com/spreadsheets/d/1-3Vjw2Cyy-mry5gbC8ypIR3YVGFfEpyFESummAta6sg/edit"", ""Sheet1!B:D""), 2, FALSE), ""Not Found"")"),"ru")</f>
        <v>ru</v>
      </c>
      <c r="E7711" s="2" t="str">
        <f>IFERROR(__xludf.DUMMYFUNCTION("IFERROR(VLOOKUP(A7711, IMPORTRANGE(""https://docs.google.com/spreadsheets/d/1-3Vjw2Cyy-mry5gbC8ypIR3YVGFfEpyFESummAta6sg/edit"", ""Sheet1!B:D""), 3, FALSE), ""Not Found"")"),"r u ")</f>
        <v>r u </v>
      </c>
    </row>
    <row r="7712">
      <c r="A7712" s="1" t="s">
        <v>7714</v>
      </c>
      <c r="B7712" s="1" t="s">
        <v>6138</v>
      </c>
      <c r="C7712" s="2">
        <f>IFERROR(__xludf.DUMMYFUNCTION("IFERROR(VLOOKUP(A7712, IMPORTRANGE(""https://docs.google.com/spreadsheets/d/1AVX9GT0dgogEBStecCXMMQ29tWz3gBrtNB8yIromXbY/edit?gid=741673867"", ""out1g!A:B""), 2, FALSE), 0)"),99.0)</f>
        <v>99</v>
      </c>
      <c r="D7712" s="2" t="str">
        <f>IFERROR(__xludf.DUMMYFUNCTION("IFERROR(VLOOKUP(A7712, IMPORTRANGE(""https://docs.google.com/spreadsheets/d/1-3Vjw2Cyy-mry5gbC8ypIR3YVGFfEpyFESummAta6sg/edit"", ""Sheet1!B:D""), 2, FALSE), ""Not Found"")"),"lɛvi")</f>
        <v>lɛvi</v>
      </c>
      <c r="E7712" s="2" t="str">
        <f>IFERROR(__xludf.DUMMYFUNCTION("IFERROR(VLOOKUP(A7712, IMPORTRANGE(""https://docs.google.com/spreadsheets/d/1-3Vjw2Cyy-mry5gbC8ypIR3YVGFfEpyFESummAta6sg/edit"", ""Sheet1!B:D""), 3, FALSE), ""Not Found"")"),"l ɛ v i ")</f>
        <v>l ɛ v i </v>
      </c>
    </row>
    <row r="7713">
      <c r="A7713" s="1" t="s">
        <v>7715</v>
      </c>
      <c r="B7713" s="1" t="s">
        <v>6138</v>
      </c>
      <c r="C7713" s="2">
        <f>IFERROR(__xludf.DUMMYFUNCTION("IFERROR(VLOOKUP(A7713, IMPORTRANGE(""https://docs.google.com/spreadsheets/d/1AVX9GT0dgogEBStecCXMMQ29tWz3gBrtNB8yIromXbY/edit?gid=741673867"", ""out1g!A:B""), 2, FALSE), 0)"),52.0)</f>
        <v>52</v>
      </c>
      <c r="D7713" s="2" t="str">
        <f>IFERROR(__xludf.DUMMYFUNCTION("IFERROR(VLOOKUP(A7713, IMPORTRANGE(""https://docs.google.com/spreadsheets/d/1-3Vjw2Cyy-mry5gbC8ypIR3YVGFfEpyFESummAta6sg/edit"", ""Sheet1!B:D""), 2, FALSE), ""Not Found"")"),"nu")</f>
        <v>nu</v>
      </c>
      <c r="E7713" s="2" t="str">
        <f>IFERROR(__xludf.DUMMYFUNCTION("IFERROR(VLOOKUP(A7713, IMPORTRANGE(""https://docs.google.com/spreadsheets/d/1-3Vjw2Cyy-mry5gbC8ypIR3YVGFfEpyFESummAta6sg/edit"", ""Sheet1!B:D""), 3, FALSE), ""Not Found"")"),"n u ")</f>
        <v>n u </v>
      </c>
    </row>
    <row r="7714">
      <c r="A7714" s="1" t="s">
        <v>7716</v>
      </c>
      <c r="B7714" s="1" t="s">
        <v>6138</v>
      </c>
      <c r="C7714" s="2">
        <f>IFERROR(__xludf.DUMMYFUNCTION("IFERROR(VLOOKUP(A7714, IMPORTRANGE(""https://docs.google.com/spreadsheets/d/1AVX9GT0dgogEBStecCXMMQ29tWz3gBrtNB8yIromXbY/edit?gid=741673867"", ""out1g!A:B""), 2, FALSE), 0)"),48.0)</f>
        <v>48</v>
      </c>
      <c r="D7714" s="2" t="str">
        <f>IFERROR(__xludf.DUMMYFUNCTION("IFERROR(VLOOKUP(A7714, IMPORTRANGE(""https://docs.google.com/spreadsheets/d/1-3Vjw2Cyy-mry5gbC8ypIR3YVGFfEpyFESummAta6sg/edit"", ""Sheet1!B:D""), 2, FALSE), ""Not Found"")"),"strimɪŋ")</f>
        <v>strimɪŋ</v>
      </c>
      <c r="E7714" s="2" t="str">
        <f>IFERROR(__xludf.DUMMYFUNCTION("IFERROR(VLOOKUP(A7714, IMPORTRANGE(""https://docs.google.com/spreadsheets/d/1-3Vjw2Cyy-mry5gbC8ypIR3YVGFfEpyFESummAta6sg/edit"", ""Sheet1!B:D""), 3, FALSE), ""Not Found"")"),"s t r i m ɪ ŋ ")</f>
        <v>s t r i m ɪ ŋ </v>
      </c>
    </row>
    <row r="7715">
      <c r="A7715" s="1" t="s">
        <v>7717</v>
      </c>
      <c r="B7715" s="1" t="s">
        <v>6138</v>
      </c>
      <c r="C7715" s="2">
        <f>IFERROR(__xludf.DUMMYFUNCTION("IFERROR(VLOOKUP(A7715, IMPORTRANGE(""https://docs.google.com/spreadsheets/d/1AVX9GT0dgogEBStecCXMMQ29tWz3gBrtNB8yIromXbY/edit?gid=741673867"", ""out1g!A:B""), 2, FALSE), 0)"),2706.0)</f>
        <v>2706</v>
      </c>
      <c r="D7715" s="2" t="str">
        <f>IFERROR(__xludf.DUMMYFUNCTION("IFERROR(VLOOKUP(A7715, IMPORTRANGE(""https://docs.google.com/spreadsheets/d/1-3Vjw2Cyy-mry5gbC8ypIR3YVGFfEpyFESummAta6sg/edit"", ""Sheet1!B:D""), 2, FALSE), ""Not Found"")"),"plesɪz")</f>
        <v>plesɪz</v>
      </c>
      <c r="E7715" s="2" t="str">
        <f>IFERROR(__xludf.DUMMYFUNCTION("IFERROR(VLOOKUP(A7715, IMPORTRANGE(""https://docs.google.com/spreadsheets/d/1-3Vjw2Cyy-mry5gbC8ypIR3YVGFfEpyFESummAta6sg/edit"", ""Sheet1!B:D""), 3, FALSE), ""Not Found"")"),"p l e s ɪ z ")</f>
        <v>p l e s ɪ z </v>
      </c>
    </row>
    <row r="7716">
      <c r="A7716" s="1" t="s">
        <v>7718</v>
      </c>
      <c r="B7716" s="1" t="s">
        <v>6138</v>
      </c>
      <c r="C7716" s="2">
        <f>IFERROR(__xludf.DUMMYFUNCTION("IFERROR(VLOOKUP(A7716, IMPORTRANGE(""https://docs.google.com/spreadsheets/d/1AVX9GT0dgogEBStecCXMMQ29tWz3gBrtNB8yIromXbY/edit?gid=741673867"", ""out1g!A:B""), 2, FALSE), 0)"),184.0)</f>
        <v>184</v>
      </c>
      <c r="D7716" s="2" t="str">
        <f>IFERROR(__xludf.DUMMYFUNCTION("IFERROR(VLOOKUP(A7716, IMPORTRANGE(""https://docs.google.com/spreadsheets/d/1-3Vjw2Cyy-mry5gbC8ypIR3YVGFfEpyFESummAta6sg/edit"", ""Sheet1!B:D""), 2, FALSE), ""Not Found"")"),"laɪərz")</f>
        <v>laɪərz</v>
      </c>
      <c r="E7716" s="2" t="str">
        <f>IFERROR(__xludf.DUMMYFUNCTION("IFERROR(VLOOKUP(A7716, IMPORTRANGE(""https://docs.google.com/spreadsheets/d/1-3Vjw2Cyy-mry5gbC8ypIR3YVGFfEpyFESummAta6sg/edit"", ""Sheet1!B:D""), 3, FALSE), ""Not Found"")"),"l a ɪ ə r z ")</f>
        <v>l a ɪ ə r z </v>
      </c>
    </row>
    <row r="7717">
      <c r="A7717" s="1" t="s">
        <v>7719</v>
      </c>
      <c r="B7717" s="1" t="s">
        <v>6138</v>
      </c>
      <c r="C7717" s="2">
        <f>IFERROR(__xludf.DUMMYFUNCTION("IFERROR(VLOOKUP(A7717, IMPORTRANGE(""https://docs.google.com/spreadsheets/d/1AVX9GT0dgogEBStecCXMMQ29tWz3gBrtNB8yIromXbY/edit?gid=741673867"", ""out1g!A:B""), 2, FALSE), 0)"),93.0)</f>
        <v>93</v>
      </c>
      <c r="D7717" s="2" t="str">
        <f>IFERROR(__xludf.DUMMYFUNCTION("IFERROR(VLOOKUP(A7717, IMPORTRANGE(""https://docs.google.com/spreadsheets/d/1-3Vjw2Cyy-mry5gbC8ypIR3YVGFfEpyFESummAta6sg/edit"", ""Sheet1!B:D""), 2, FALSE), ""Not Found"")"),"wɑʃɪz")</f>
        <v>wɑʃɪz</v>
      </c>
      <c r="E7717" s="2" t="str">
        <f>IFERROR(__xludf.DUMMYFUNCTION("IFERROR(VLOOKUP(A7717, IMPORTRANGE(""https://docs.google.com/spreadsheets/d/1-3Vjw2Cyy-mry5gbC8ypIR3YVGFfEpyFESummAta6sg/edit"", ""Sheet1!B:D""), 3, FALSE), ""Not Found"")"),"w ɑ ʃ ɪ z ")</f>
        <v>w ɑ ʃ ɪ z </v>
      </c>
    </row>
    <row r="7718">
      <c r="A7718" s="1" t="s">
        <v>7720</v>
      </c>
      <c r="B7718" s="1" t="s">
        <v>6138</v>
      </c>
      <c r="C7718" s="2">
        <f>IFERROR(__xludf.DUMMYFUNCTION("IFERROR(VLOOKUP(A7718, IMPORTRANGE(""https://docs.google.com/spreadsheets/d/1AVX9GT0dgogEBStecCXMMQ29tWz3gBrtNB8yIromXbY/edit?gid=741673867"", ""out1g!A:B""), 2, FALSE), 0)"),127.0)</f>
        <v>127</v>
      </c>
      <c r="D7718" s="2" t="str">
        <f>IFERROR(__xludf.DUMMYFUNCTION("IFERROR(VLOOKUP(A7718, IMPORTRANGE(""https://docs.google.com/spreadsheets/d/1-3Vjw2Cyy-mry5gbC8ypIR3YVGFfEpyFESummAta6sg/edit"", ""Sheet1!B:D""), 2, FALSE), ""Not Found"")"),"koʊldər")</f>
        <v>koʊldər</v>
      </c>
      <c r="E7718" s="2" t="str">
        <f>IFERROR(__xludf.DUMMYFUNCTION("IFERROR(VLOOKUP(A7718, IMPORTRANGE(""https://docs.google.com/spreadsheets/d/1-3Vjw2Cyy-mry5gbC8ypIR3YVGFfEpyFESummAta6sg/edit"", ""Sheet1!B:D""), 3, FALSE), ""Not Found"")"),"k o ʊ l d ə r ")</f>
        <v>k o ʊ l d ə r </v>
      </c>
    </row>
    <row r="7719">
      <c r="A7719" s="1" t="s">
        <v>7721</v>
      </c>
      <c r="B7719" s="1" t="s">
        <v>6138</v>
      </c>
      <c r="C7719" s="2">
        <f>IFERROR(__xludf.DUMMYFUNCTION("IFERROR(VLOOKUP(A7719, IMPORTRANGE(""https://docs.google.com/spreadsheets/d/1AVX9GT0dgogEBStecCXMMQ29tWz3gBrtNB8yIromXbY/edit?gid=741673867"", ""out1g!A:B""), 2, FALSE), 0)"),85.0)</f>
        <v>85</v>
      </c>
      <c r="D7719" s="2" t="str">
        <f>IFERROR(__xludf.DUMMYFUNCTION("IFERROR(VLOOKUP(A7719, IMPORTRANGE(""https://docs.google.com/spreadsheets/d/1-3Vjw2Cyy-mry5gbC8ypIR3YVGFfEpyFESummAta6sg/edit"", ""Sheet1!B:D""), 2, FALSE), ""Not Found"")"),"səməri")</f>
        <v>səməri</v>
      </c>
      <c r="E7719" s="2" t="str">
        <f>IFERROR(__xludf.DUMMYFUNCTION("IFERROR(VLOOKUP(A7719, IMPORTRANGE(""https://docs.google.com/spreadsheets/d/1-3Vjw2Cyy-mry5gbC8ypIR3YVGFfEpyFESummAta6sg/edit"", ""Sheet1!B:D""), 3, FALSE), ""Not Found"")"),"s ə m ə r i ")</f>
        <v>s ə m ə r i </v>
      </c>
    </row>
    <row r="7720">
      <c r="A7720" s="1" t="s">
        <v>7722</v>
      </c>
      <c r="B7720" s="1" t="s">
        <v>6138</v>
      </c>
      <c r="C7720" s="2">
        <f>IFERROR(__xludf.DUMMYFUNCTION("IFERROR(VLOOKUP(A7720, IMPORTRANGE(""https://docs.google.com/spreadsheets/d/1AVX9GT0dgogEBStecCXMMQ29tWz3gBrtNB8yIromXbY/edit?gid=741673867"", ""out1g!A:B""), 2, FALSE), 0)"),328715.0)</f>
        <v>328715</v>
      </c>
      <c r="D7720" s="2" t="str">
        <f>IFERROR(__xludf.DUMMYFUNCTION("IFERROR(VLOOKUP(A7720, IMPORTRANGE(""https://docs.google.com/spreadsheets/d/1-3Vjw2Cyy-mry5gbC8ypIR3YVGFfEpyFESummAta6sg/edit"", ""Sheet1!B:D""), 2, FALSE), ""Not Found"")"),"jʊr")</f>
        <v>jʊr</v>
      </c>
      <c r="E7720" s="2" t="str">
        <f>IFERROR(__xludf.DUMMYFUNCTION("IFERROR(VLOOKUP(A7720, IMPORTRANGE(""https://docs.google.com/spreadsheets/d/1-3Vjw2Cyy-mry5gbC8ypIR3YVGFfEpyFESummAta6sg/edit"", ""Sheet1!B:D""), 3, FALSE), ""Not Found"")"),"j ʊ r ")</f>
        <v>j ʊ r </v>
      </c>
    </row>
    <row r="7721">
      <c r="A7721" s="1" t="s">
        <v>7723</v>
      </c>
      <c r="B7721" s="1" t="s">
        <v>6138</v>
      </c>
      <c r="C7721" s="2">
        <f>IFERROR(__xludf.DUMMYFUNCTION("IFERROR(VLOOKUP(A7721, IMPORTRANGE(""https://docs.google.com/spreadsheets/d/1AVX9GT0dgogEBStecCXMMQ29tWz3gBrtNB8yIromXbY/edit?gid=741673867"", ""out1g!A:B""), 2, FALSE), 0)"),696.0)</f>
        <v>696</v>
      </c>
      <c r="D7721" s="2" t="str">
        <f>IFERROR(__xludf.DUMMYFUNCTION("IFERROR(VLOOKUP(A7721, IMPORTRANGE(""https://docs.google.com/spreadsheets/d/1-3Vjw2Cyy-mry5gbC8ypIR3YVGFfEpyFESummAta6sg/edit"", ""Sheet1!B:D""), 2, FALSE), ""Not Found"")"),"zu")</f>
        <v>zu</v>
      </c>
      <c r="E7721" s="2" t="str">
        <f>IFERROR(__xludf.DUMMYFUNCTION("IFERROR(VLOOKUP(A7721, IMPORTRANGE(""https://docs.google.com/spreadsheets/d/1-3Vjw2Cyy-mry5gbC8ypIR3YVGFfEpyFESummAta6sg/edit"", ""Sheet1!B:D""), 3, FALSE), ""Not Found"")"),"z u ")</f>
        <v>z u </v>
      </c>
    </row>
    <row r="7722">
      <c r="A7722" s="1" t="s">
        <v>7724</v>
      </c>
      <c r="B7722" s="1" t="s">
        <v>6138</v>
      </c>
      <c r="C7722" s="2">
        <f>IFERROR(__xludf.DUMMYFUNCTION("IFERROR(VLOOKUP(A7722, IMPORTRANGE(""https://docs.google.com/spreadsheets/d/1AVX9GT0dgogEBStecCXMMQ29tWz3gBrtNB8yIromXbY/edit?gid=741673867"", ""out1g!A:B""), 2, FALSE), 0)"),348.0)</f>
        <v>348</v>
      </c>
      <c r="D7722" s="2" t="str">
        <f>IFERROR(__xludf.DUMMYFUNCTION("IFERROR(VLOOKUP(A7722, IMPORTRANGE(""https://docs.google.com/spreadsheets/d/1-3Vjw2Cyy-mry5gbC8ypIR3YVGFfEpyFESummAta6sg/edit"", ""Sheet1!B:D""), 2, FALSE), ""Not Found"")"),"resɪz")</f>
        <v>resɪz</v>
      </c>
      <c r="E7722" s="2" t="str">
        <f>IFERROR(__xludf.DUMMYFUNCTION("IFERROR(VLOOKUP(A7722, IMPORTRANGE(""https://docs.google.com/spreadsheets/d/1-3Vjw2Cyy-mry5gbC8ypIR3YVGFfEpyFESummAta6sg/edit"", ""Sheet1!B:D""), 3, FALSE), ""Not Found"")"),"r e s ɪ z ")</f>
        <v>r e s ɪ z </v>
      </c>
    </row>
    <row r="7723">
      <c r="A7723" s="1" t="s">
        <v>7725</v>
      </c>
      <c r="B7723" s="1" t="s">
        <v>6138</v>
      </c>
      <c r="C7723" s="2">
        <f>IFERROR(__xludf.DUMMYFUNCTION("IFERROR(VLOOKUP(A7723, IMPORTRANGE(""https://docs.google.com/spreadsheets/d/1AVX9GT0dgogEBStecCXMMQ29tWz3gBrtNB8yIromXbY/edit?gid=741673867"", ""out1g!A:B""), 2, FALSE), 0)"),55.0)</f>
        <v>55</v>
      </c>
      <c r="D7723" s="2" t="str">
        <f>IFERROR(__xludf.DUMMYFUNCTION("IFERROR(VLOOKUP(A7723, IMPORTRANGE(""https://docs.google.com/spreadsheets/d/1-3Vjw2Cyy-mry5gbC8ypIR3YVGFfEpyFESummAta6sg/edit"", ""Sheet1!B:D""), 2, FALSE), ""Not Found"")"),"pɪmpɪŋ")</f>
        <v>pɪmpɪŋ</v>
      </c>
      <c r="E7723" s="2" t="str">
        <f>IFERROR(__xludf.DUMMYFUNCTION("IFERROR(VLOOKUP(A7723, IMPORTRANGE(""https://docs.google.com/spreadsheets/d/1-3Vjw2Cyy-mry5gbC8ypIR3YVGFfEpyFESummAta6sg/edit"", ""Sheet1!B:D""), 3, FALSE), ""Not Found"")"),"p ɪ m p ɪ ŋ ")</f>
        <v>p ɪ m p ɪ ŋ </v>
      </c>
    </row>
    <row r="7724">
      <c r="A7724" s="1" t="s">
        <v>7726</v>
      </c>
      <c r="B7724" s="1" t="s">
        <v>6138</v>
      </c>
      <c r="C7724" s="2">
        <f>IFERROR(__xludf.DUMMYFUNCTION("IFERROR(VLOOKUP(A7724, IMPORTRANGE(""https://docs.google.com/spreadsheets/d/1AVX9GT0dgogEBStecCXMMQ29tWz3gBrtNB8yIromXbY/edit?gid=741673867"", ""out1g!A:B""), 2, FALSE), 0)"),90.0)</f>
        <v>90</v>
      </c>
      <c r="D7724" s="2" t="str">
        <f>IFERROR(__xludf.DUMMYFUNCTION("IFERROR(VLOOKUP(A7724, IMPORTRANGE(""https://docs.google.com/spreadsheets/d/1-3Vjw2Cyy-mry5gbC8ypIR3YVGFfEpyFESummAta6sg/edit"", ""Sheet1!B:D""), 2, FALSE), ""Not Found"")"),"raʊndɪŋ")</f>
        <v>raʊndɪŋ</v>
      </c>
      <c r="E7724" s="2" t="str">
        <f>IFERROR(__xludf.DUMMYFUNCTION("IFERROR(VLOOKUP(A7724, IMPORTRANGE(""https://docs.google.com/spreadsheets/d/1-3Vjw2Cyy-mry5gbC8ypIR3YVGFfEpyFESummAta6sg/edit"", ""Sheet1!B:D""), 3, FALSE), ""Not Found"")"),"r a ʊ n d ɪ ŋ ")</f>
        <v>r a ʊ n d ɪ ŋ </v>
      </c>
    </row>
    <row r="7725">
      <c r="A7725" s="1" t="s">
        <v>7727</v>
      </c>
      <c r="B7725" s="1" t="s">
        <v>6138</v>
      </c>
      <c r="C7725" s="2">
        <f>IFERROR(__xludf.DUMMYFUNCTION("IFERROR(VLOOKUP(A7725, IMPORTRANGE(""https://docs.google.com/spreadsheets/d/1AVX9GT0dgogEBStecCXMMQ29tWz3gBrtNB8yIromXbY/edit?gid=741673867"", ""out1g!A:B""), 2, FALSE), 0)"),158.0)</f>
        <v>158</v>
      </c>
      <c r="D7725" s="2" t="str">
        <f>IFERROR(__xludf.DUMMYFUNCTION("IFERROR(VLOOKUP(A7725, IMPORTRANGE(""https://docs.google.com/spreadsheets/d/1-3Vjw2Cyy-mry5gbC8ypIR3YVGFfEpyFESummAta6sg/edit"", ""Sheet1!B:D""), 2, FALSE), ""Not Found"")"),"raɪdərz")</f>
        <v>raɪdərz</v>
      </c>
      <c r="E7725" s="2" t="str">
        <f>IFERROR(__xludf.DUMMYFUNCTION("IFERROR(VLOOKUP(A7725, IMPORTRANGE(""https://docs.google.com/spreadsheets/d/1-3Vjw2Cyy-mry5gbC8ypIR3YVGFfEpyFESummAta6sg/edit"", ""Sheet1!B:D""), 3, FALSE), ""Not Found"")"),"r a ɪ d ə r z ")</f>
        <v>r a ɪ d ə r z </v>
      </c>
    </row>
    <row r="7726">
      <c r="A7726" s="1" t="s">
        <v>7728</v>
      </c>
      <c r="B7726" s="1" t="s">
        <v>6138</v>
      </c>
      <c r="C7726" s="2">
        <f>IFERROR(__xludf.DUMMYFUNCTION("IFERROR(VLOOKUP(A7726, IMPORTRANGE(""https://docs.google.com/spreadsheets/d/1AVX9GT0dgogEBStecCXMMQ29tWz3gBrtNB8yIromXbY/edit?gid=741673867"", ""out1g!A:B""), 2, FALSE), 0)"),182.0)</f>
        <v>182</v>
      </c>
      <c r="D7726" s="2" t="str">
        <f>IFERROR(__xludf.DUMMYFUNCTION("IFERROR(VLOOKUP(A7726, IMPORTRANGE(""https://docs.google.com/spreadsheets/d/1-3Vjw2Cyy-mry5gbC8ypIR3YVGFfEpyFESummAta6sg/edit"", ""Sheet1!B:D""), 2, FALSE), ""Not Found"")"),"prɪnɪŋ")</f>
        <v>prɪnɪŋ</v>
      </c>
      <c r="E7726" s="2" t="str">
        <f>IFERROR(__xludf.DUMMYFUNCTION("IFERROR(VLOOKUP(A7726, IMPORTRANGE(""https://docs.google.com/spreadsheets/d/1-3Vjw2Cyy-mry5gbC8ypIR3YVGFfEpyFESummAta6sg/edit"", ""Sheet1!B:D""), 3, FALSE), ""Not Found"")"),"p r ɪ n ɪ ŋ ")</f>
        <v>p r ɪ n ɪ ŋ </v>
      </c>
    </row>
    <row r="7727">
      <c r="A7727" s="1" t="s">
        <v>7729</v>
      </c>
      <c r="B7727" s="1" t="s">
        <v>6138</v>
      </c>
      <c r="C7727" s="2">
        <f>IFERROR(__xludf.DUMMYFUNCTION("IFERROR(VLOOKUP(A7727, IMPORTRANGE(""https://docs.google.com/spreadsheets/d/1AVX9GT0dgogEBStecCXMMQ29tWz3gBrtNB8yIromXbY/edit?gid=741673867"", ""out1g!A:B""), 2, FALSE), 0)"),99.0)</f>
        <v>99</v>
      </c>
      <c r="D7727" s="2" t="str">
        <f>IFERROR(__xludf.DUMMYFUNCTION("IFERROR(VLOOKUP(A7727, IMPORTRANGE(""https://docs.google.com/spreadsheets/d/1-3Vjw2Cyy-mry5gbC8ypIR3YVGFfEpyFESummAta6sg/edit"", ""Sheet1!B:D""), 2, FALSE), ""Not Found"")"),"mɑrvəl")</f>
        <v>mɑrvəl</v>
      </c>
      <c r="E7727" s="2" t="str">
        <f>IFERROR(__xludf.DUMMYFUNCTION("IFERROR(VLOOKUP(A7727, IMPORTRANGE(""https://docs.google.com/spreadsheets/d/1-3Vjw2Cyy-mry5gbC8ypIR3YVGFfEpyFESummAta6sg/edit"", ""Sheet1!B:D""), 3, FALSE), ""Not Found"")"),"m ɑ r v ə l ")</f>
        <v>m ɑ r v ə l </v>
      </c>
    </row>
    <row r="7728">
      <c r="A7728" s="1" t="s">
        <v>7730</v>
      </c>
      <c r="B7728" s="1" t="s">
        <v>6138</v>
      </c>
      <c r="C7728" s="2">
        <f>IFERROR(__xludf.DUMMYFUNCTION("IFERROR(VLOOKUP(A7728, IMPORTRANGE(""https://docs.google.com/spreadsheets/d/1AVX9GT0dgogEBStecCXMMQ29tWz3gBrtNB8yIromXbY/edit?gid=741673867"", ""out1g!A:B""), 2, FALSE), 0)"),17.0)</f>
        <v>17</v>
      </c>
      <c r="D7728" s="2" t="str">
        <f>IFERROR(__xludf.DUMMYFUNCTION("IFERROR(VLOOKUP(A7728, IMPORTRANGE(""https://docs.google.com/spreadsheets/d/1-3Vjw2Cyy-mry5gbC8ypIR3YVGFfEpyFESummAta6sg/edit"", ""Sheet1!B:D""), 2, FALSE), ""Not Found"")"),"twɪʧɪz")</f>
        <v>twɪʧɪz</v>
      </c>
      <c r="E7728" s="2" t="str">
        <f>IFERROR(__xludf.DUMMYFUNCTION("IFERROR(VLOOKUP(A7728, IMPORTRANGE(""https://docs.google.com/spreadsheets/d/1-3Vjw2Cyy-mry5gbC8ypIR3YVGFfEpyFESummAta6sg/edit"", ""Sheet1!B:D""), 3, FALSE), ""Not Found"")"),"t w ɪ ʧ ɪ z ")</f>
        <v>t w ɪ ʧ ɪ z </v>
      </c>
    </row>
    <row r="7729">
      <c r="A7729" s="1" t="s">
        <v>7731</v>
      </c>
      <c r="B7729" s="1" t="s">
        <v>6138</v>
      </c>
      <c r="C7729" s="2">
        <f>IFERROR(__xludf.DUMMYFUNCTION("IFERROR(VLOOKUP(A7729, IMPORTRANGE(""https://docs.google.com/spreadsheets/d/1AVX9GT0dgogEBStecCXMMQ29tWz3gBrtNB8yIromXbY/edit?gid=741673867"", ""out1g!A:B""), 2, FALSE), 0)"),20.0)</f>
        <v>20</v>
      </c>
      <c r="D7729" s="2" t="str">
        <f>IFERROR(__xludf.DUMMYFUNCTION("IFERROR(VLOOKUP(A7729, IMPORTRANGE(""https://docs.google.com/spreadsheets/d/1-3Vjw2Cyy-mry5gbC8ypIR3YVGFfEpyFESummAta6sg/edit"", ""Sheet1!B:D""), 2, FALSE), ""Not Found"")"),"flɑkɪŋ")</f>
        <v>flɑkɪŋ</v>
      </c>
      <c r="E7729" s="2" t="str">
        <f>IFERROR(__xludf.DUMMYFUNCTION("IFERROR(VLOOKUP(A7729, IMPORTRANGE(""https://docs.google.com/spreadsheets/d/1-3Vjw2Cyy-mry5gbC8ypIR3YVGFfEpyFESummAta6sg/edit"", ""Sheet1!B:D""), 3, FALSE), ""Not Found"")"),"f l ɑ k ɪ ŋ ")</f>
        <v>f l ɑ k ɪ ŋ </v>
      </c>
    </row>
    <row r="7730">
      <c r="A7730" s="1" t="s">
        <v>7732</v>
      </c>
      <c r="B7730" s="1" t="s">
        <v>6138</v>
      </c>
      <c r="C7730" s="2">
        <f>IFERROR(__xludf.DUMMYFUNCTION("IFERROR(VLOOKUP(A7730, IMPORTRANGE(""https://docs.google.com/spreadsheets/d/1AVX9GT0dgogEBStecCXMMQ29tWz3gBrtNB8yIromXbY/edit?gid=741673867"", ""out1g!A:B""), 2, FALSE), 0)"),899.0)</f>
        <v>899</v>
      </c>
      <c r="D7730" s="2" t="str">
        <f>IFERROR(__xludf.DUMMYFUNCTION("IFERROR(VLOOKUP(A7730, IMPORTRANGE(""https://docs.google.com/spreadsheets/d/1-3Vjw2Cyy-mry5gbC8ypIR3YVGFfEpyFESummAta6sg/edit"", ""Sheet1!B:D""), 2, FALSE), ""Not Found"")"),"rɪŋɪŋ")</f>
        <v>rɪŋɪŋ</v>
      </c>
      <c r="E7730" s="2" t="str">
        <f>IFERROR(__xludf.DUMMYFUNCTION("IFERROR(VLOOKUP(A7730, IMPORTRANGE(""https://docs.google.com/spreadsheets/d/1-3Vjw2Cyy-mry5gbC8ypIR3YVGFfEpyFESummAta6sg/edit"", ""Sheet1!B:D""), 3, FALSE), ""Not Found"")"),"r ɪ ŋ ɪ ŋ ")</f>
        <v>r ɪ ŋ ɪ ŋ </v>
      </c>
    </row>
    <row r="7731">
      <c r="A7731" s="1" t="s">
        <v>7733</v>
      </c>
      <c r="B7731" s="1" t="s">
        <v>6138</v>
      </c>
      <c r="C7731" s="2">
        <f>IFERROR(__xludf.DUMMYFUNCTION("IFERROR(VLOOKUP(A7731, IMPORTRANGE(""https://docs.google.com/spreadsheets/d/1AVX9GT0dgogEBStecCXMMQ29tWz3gBrtNB8yIromXbY/edit?gid=741673867"", ""out1g!A:B""), 2, FALSE), 0)"),357.0)</f>
        <v>357</v>
      </c>
      <c r="D7731" s="2" t="str">
        <f>IFERROR(__xludf.DUMMYFUNCTION("IFERROR(VLOOKUP(A7731, IMPORTRANGE(""https://docs.google.com/spreadsheets/d/1-3Vjw2Cyy-mry5gbC8ypIR3YVGFfEpyFESummAta6sg/edit"", ""Sheet1!B:D""), 2, FALSE), ""Not Found"")"),"kloʊzɪz")</f>
        <v>kloʊzɪz</v>
      </c>
      <c r="E7731" s="2" t="str">
        <f>IFERROR(__xludf.DUMMYFUNCTION("IFERROR(VLOOKUP(A7731, IMPORTRANGE(""https://docs.google.com/spreadsheets/d/1-3Vjw2Cyy-mry5gbC8ypIR3YVGFfEpyFESummAta6sg/edit"", ""Sheet1!B:D""), 3, FALSE), ""Not Found"")"),"k l o ʊ z ɪ z ")</f>
        <v>k l o ʊ z ɪ z </v>
      </c>
    </row>
    <row r="7732">
      <c r="A7732" s="1" t="s">
        <v>7734</v>
      </c>
      <c r="B7732" s="1" t="s">
        <v>6138</v>
      </c>
      <c r="C7732" s="2">
        <f>IFERROR(__xludf.DUMMYFUNCTION("IFERROR(VLOOKUP(A7732, IMPORTRANGE(""https://docs.google.com/spreadsheets/d/1AVX9GT0dgogEBStecCXMMQ29tWz3gBrtNB8yIromXbY/edit?gid=741673867"", ""out1g!A:B""), 2, FALSE), 0)"),48.0)</f>
        <v>48</v>
      </c>
      <c r="D7732" s="2" t="str">
        <f>IFERROR(__xludf.DUMMYFUNCTION("IFERROR(VLOOKUP(A7732, IMPORTRANGE(""https://docs.google.com/spreadsheets/d/1-3Vjw2Cyy-mry5gbC8ypIR3YVGFfEpyFESummAta6sg/edit"", ""Sheet1!B:D""), 2, FALSE), ""Not Found"")"),"skwɑʃt")</f>
        <v>skwɑʃt</v>
      </c>
      <c r="E7732" s="2" t="str">
        <f>IFERROR(__xludf.DUMMYFUNCTION("IFERROR(VLOOKUP(A7732, IMPORTRANGE(""https://docs.google.com/spreadsheets/d/1-3Vjw2Cyy-mry5gbC8ypIR3YVGFfEpyFESummAta6sg/edit"", ""Sheet1!B:D""), 3, FALSE), ""Not Found"")"),"s k w ɑ ʃ t ")</f>
        <v>s k w ɑ ʃ t </v>
      </c>
    </row>
    <row r="7733">
      <c r="A7733" s="1" t="s">
        <v>7735</v>
      </c>
      <c r="B7733" s="1" t="s">
        <v>6138</v>
      </c>
      <c r="C7733" s="2">
        <f>IFERROR(__xludf.DUMMYFUNCTION("IFERROR(VLOOKUP(A7733, IMPORTRANGE(""https://docs.google.com/spreadsheets/d/1AVX9GT0dgogEBStecCXMMQ29tWz3gBrtNB8yIromXbY/edit?gid=741673867"", ""out1g!A:B""), 2, FALSE), 0)"),99.0)</f>
        <v>99</v>
      </c>
      <c r="D7733" s="2" t="str">
        <f>IFERROR(__xludf.DUMMYFUNCTION("IFERROR(VLOOKUP(A7733, IMPORTRANGE(""https://docs.google.com/spreadsheets/d/1-3Vjw2Cyy-mry5gbC8ypIR3YVGFfEpyFESummAta6sg/edit"", ""Sheet1!B:D""), 2, FALSE), ""Not Found"")"),"fræŋks")</f>
        <v>fræŋks</v>
      </c>
      <c r="E7733" s="2" t="str">
        <f>IFERROR(__xludf.DUMMYFUNCTION("IFERROR(VLOOKUP(A7733, IMPORTRANGE(""https://docs.google.com/spreadsheets/d/1-3Vjw2Cyy-mry5gbC8ypIR3YVGFfEpyFESummAta6sg/edit"", ""Sheet1!B:D""), 3, FALSE), ""Not Found"")"),"f r æ ŋ k s ")</f>
        <v>f r æ ŋ k s </v>
      </c>
    </row>
    <row r="7734">
      <c r="A7734" s="1" t="s">
        <v>7736</v>
      </c>
      <c r="B7734" s="1" t="s">
        <v>6138</v>
      </c>
      <c r="C7734" s="2">
        <f>IFERROR(__xludf.DUMMYFUNCTION("IFERROR(VLOOKUP(A7734, IMPORTRANGE(""https://docs.google.com/spreadsheets/d/1AVX9GT0dgogEBStecCXMMQ29tWz3gBrtNB8yIromXbY/edit?gid=741673867"", ""out1g!A:B""), 2, FALSE), 0)"),143.0)</f>
        <v>143</v>
      </c>
      <c r="D7734" s="2" t="str">
        <f>IFERROR(__xludf.DUMMYFUNCTION("IFERROR(VLOOKUP(A7734, IMPORTRANGE(""https://docs.google.com/spreadsheets/d/1-3Vjw2Cyy-mry5gbC8ypIR3YVGFfEpyFESummAta6sg/edit"", ""Sheet1!B:D""), 2, FALSE), ""Not Found"")"),"brɑnz")</f>
        <v>brɑnz</v>
      </c>
      <c r="E7734" s="2" t="str">
        <f>IFERROR(__xludf.DUMMYFUNCTION("IFERROR(VLOOKUP(A7734, IMPORTRANGE(""https://docs.google.com/spreadsheets/d/1-3Vjw2Cyy-mry5gbC8ypIR3YVGFfEpyFESummAta6sg/edit"", ""Sheet1!B:D""), 3, FALSE), ""Not Found"")"),"b r ɑ n z ")</f>
        <v>b r ɑ n z </v>
      </c>
    </row>
    <row r="7735">
      <c r="A7735" s="1" t="s">
        <v>7737</v>
      </c>
      <c r="B7735" s="1" t="s">
        <v>6138</v>
      </c>
      <c r="C7735" s="2">
        <f>IFERROR(__xludf.DUMMYFUNCTION("IFERROR(VLOOKUP(A7735, IMPORTRANGE(""https://docs.google.com/spreadsheets/d/1AVX9GT0dgogEBStecCXMMQ29tWz3gBrtNB8yIromXbY/edit?gid=741673867"", ""out1g!A:B""), 2, FALSE), 0)"),47.0)</f>
        <v>47</v>
      </c>
      <c r="D7735" s="2" t="str">
        <f>IFERROR(__xludf.DUMMYFUNCTION("IFERROR(VLOOKUP(A7735, IMPORTRANGE(""https://docs.google.com/spreadsheets/d/1-3Vjw2Cyy-mry5gbC8ypIR3YVGFfEpyFESummAta6sg/edit"", ""Sheet1!B:D""), 2, FALSE), ""Not Found"")"),"ɑriən")</f>
        <v>ɑriən</v>
      </c>
      <c r="E7735" s="2" t="str">
        <f>IFERROR(__xludf.DUMMYFUNCTION("IFERROR(VLOOKUP(A7735, IMPORTRANGE(""https://docs.google.com/spreadsheets/d/1-3Vjw2Cyy-mry5gbC8ypIR3YVGFfEpyFESummAta6sg/edit"", ""Sheet1!B:D""), 3, FALSE), ""Not Found"")"),"ɑ r i ə n ")</f>
        <v>ɑ r i ə n </v>
      </c>
    </row>
    <row r="7736">
      <c r="A7736" s="1" t="s">
        <v>7738</v>
      </c>
      <c r="B7736" s="1" t="s">
        <v>6138</v>
      </c>
      <c r="C7736" s="2">
        <f>IFERROR(__xludf.DUMMYFUNCTION("IFERROR(VLOOKUP(A7736, IMPORTRANGE(""https://docs.google.com/spreadsheets/d/1AVX9GT0dgogEBStecCXMMQ29tWz3gBrtNB8yIromXbY/edit?gid=741673867"", ""out1g!A:B""), 2, FALSE), 0)"),294.0)</f>
        <v>294</v>
      </c>
      <c r="D7736" s="2" t="str">
        <f>IFERROR(__xludf.DUMMYFUNCTION("IFERROR(VLOOKUP(A7736, IMPORTRANGE(""https://docs.google.com/spreadsheets/d/1-3Vjw2Cyy-mry5gbC8ypIR3YVGFfEpyFESummAta6sg/edit"", ""Sheet1!B:D""), 2, FALSE), ""Not Found"")"),"krækər")</f>
        <v>krækər</v>
      </c>
      <c r="E7736" s="2" t="str">
        <f>IFERROR(__xludf.DUMMYFUNCTION("IFERROR(VLOOKUP(A7736, IMPORTRANGE(""https://docs.google.com/spreadsheets/d/1-3Vjw2Cyy-mry5gbC8ypIR3YVGFfEpyFESummAta6sg/edit"", ""Sheet1!B:D""), 3, FALSE), ""Not Found"")"),"k r æ k ə r ")</f>
        <v>k r æ k ə r </v>
      </c>
    </row>
    <row r="7737">
      <c r="A7737" s="1" t="s">
        <v>7739</v>
      </c>
      <c r="B7737" s="1" t="s">
        <v>6138</v>
      </c>
      <c r="C7737" s="2">
        <f>IFERROR(__xludf.DUMMYFUNCTION("IFERROR(VLOOKUP(A7737, IMPORTRANGE(""https://docs.google.com/spreadsheets/d/1AVX9GT0dgogEBStecCXMMQ29tWz3gBrtNB8yIromXbY/edit?gid=741673867"", ""out1g!A:B""), 2, FALSE), 0)"),54.0)</f>
        <v>54</v>
      </c>
      <c r="D7737" s="2" t="str">
        <f>IFERROR(__xludf.DUMMYFUNCTION("IFERROR(VLOOKUP(A7737, IMPORTRANGE(""https://docs.google.com/spreadsheets/d/1-3Vjw2Cyy-mry5gbC8ypIR3YVGFfEpyFESummAta6sg/edit"", ""Sheet1!B:D""), 2, FALSE), ""Not Found"")"),"skjuz")</f>
        <v>skjuz</v>
      </c>
      <c r="E7737" s="2" t="str">
        <f>IFERROR(__xludf.DUMMYFUNCTION("IFERROR(VLOOKUP(A7737, IMPORTRANGE(""https://docs.google.com/spreadsheets/d/1-3Vjw2Cyy-mry5gbC8ypIR3YVGFfEpyFESummAta6sg/edit"", ""Sheet1!B:D""), 3, FALSE), ""Not Found"")"),"s k j u z ")</f>
        <v>s k j u z </v>
      </c>
    </row>
    <row r="7738">
      <c r="A7738" s="1" t="s">
        <v>7740</v>
      </c>
      <c r="B7738" s="1" t="s">
        <v>6138</v>
      </c>
      <c r="C7738" s="2">
        <f>IFERROR(__xludf.DUMMYFUNCTION("IFERROR(VLOOKUP(A7738, IMPORTRANGE(""https://docs.google.com/spreadsheets/d/1AVX9GT0dgogEBStecCXMMQ29tWz3gBrtNB8yIromXbY/edit?gid=741673867"", ""out1g!A:B""), 2, FALSE), 0)"),3234.0)</f>
        <v>3234</v>
      </c>
      <c r="D7738" s="2" t="str">
        <f>IFERROR(__xludf.DUMMYFUNCTION("IFERROR(VLOOKUP(A7738, IMPORTRANGE(""https://docs.google.com/spreadsheets/d/1-3Vjw2Cyy-mry5gbC8ypIR3YVGFfEpyFESummAta6sg/edit"", ""Sheet1!B:D""), 2, FALSE), ""Not Found"")"),"ɔfəl")</f>
        <v>ɔfəl</v>
      </c>
      <c r="E7738" s="2" t="str">
        <f>IFERROR(__xludf.DUMMYFUNCTION("IFERROR(VLOOKUP(A7738, IMPORTRANGE(""https://docs.google.com/spreadsheets/d/1-3Vjw2Cyy-mry5gbC8ypIR3YVGFfEpyFESummAta6sg/edit"", ""Sheet1!B:D""), 3, FALSE), ""Not Found"")"),"ɔ f ə l ")</f>
        <v>ɔ f ə l </v>
      </c>
    </row>
    <row r="7739">
      <c r="A7739" s="1" t="s">
        <v>7741</v>
      </c>
      <c r="B7739" s="1" t="s">
        <v>6138</v>
      </c>
      <c r="C7739" s="2">
        <f>IFERROR(__xludf.DUMMYFUNCTION("IFERROR(VLOOKUP(A7739, IMPORTRANGE(""https://docs.google.com/spreadsheets/d/1AVX9GT0dgogEBStecCXMMQ29tWz3gBrtNB8yIromXbY/edit?gid=741673867"", ""out1g!A:B""), 2, FALSE), 0)"),181.0)</f>
        <v>181</v>
      </c>
      <c r="D7739" s="2" t="str">
        <f>IFERROR(__xludf.DUMMYFUNCTION("IFERROR(VLOOKUP(A7739, IMPORTRANGE(""https://docs.google.com/spreadsheets/d/1-3Vjw2Cyy-mry5gbC8ypIR3YVGFfEpyFESummAta6sg/edit"", ""Sheet1!B:D""), 2, FALSE), ""Not Found"")"),"tægz")</f>
        <v>tægz</v>
      </c>
      <c r="E7739" s="2" t="str">
        <f>IFERROR(__xludf.DUMMYFUNCTION("IFERROR(VLOOKUP(A7739, IMPORTRANGE(""https://docs.google.com/spreadsheets/d/1-3Vjw2Cyy-mry5gbC8ypIR3YVGFfEpyFESummAta6sg/edit"", ""Sheet1!B:D""), 3, FALSE), ""Not Found"")"),"t æ g z ")</f>
        <v>t æ g z </v>
      </c>
    </row>
    <row r="7740">
      <c r="A7740" s="1" t="s">
        <v>7742</v>
      </c>
      <c r="B7740" s="1" t="s">
        <v>6138</v>
      </c>
      <c r="C7740" s="2">
        <f>IFERROR(__xludf.DUMMYFUNCTION("IFERROR(VLOOKUP(A7740, IMPORTRANGE(""https://docs.google.com/spreadsheets/d/1AVX9GT0dgogEBStecCXMMQ29tWz3gBrtNB8yIromXbY/edit?gid=741673867"", ""out1g!A:B""), 2, FALSE), 0)"),6327.0)</f>
        <v>6327</v>
      </c>
      <c r="D7740" s="2" t="str">
        <f>IFERROR(__xludf.DUMMYFUNCTION("IFERROR(VLOOKUP(A7740, IMPORTRANGE(""https://docs.google.com/spreadsheets/d/1-3Vjw2Cyy-mry5gbC8ypIR3YVGFfEpyFESummAta6sg/edit"", ""Sheet1!B:D""), 2, FALSE), ""Not Found"")"),"əŋkəl")</f>
        <v>əŋkəl</v>
      </c>
      <c r="E7740" s="2" t="str">
        <f>IFERROR(__xludf.DUMMYFUNCTION("IFERROR(VLOOKUP(A7740, IMPORTRANGE(""https://docs.google.com/spreadsheets/d/1-3Vjw2Cyy-mry5gbC8ypIR3YVGFfEpyFESummAta6sg/edit"", ""Sheet1!B:D""), 3, FALSE), ""Not Found"")"),"ə ŋ k ə l ")</f>
        <v>ə ŋ k ə l </v>
      </c>
    </row>
    <row r="7741">
      <c r="A7741" s="1" t="s">
        <v>7743</v>
      </c>
      <c r="B7741" s="1" t="s">
        <v>6138</v>
      </c>
      <c r="C7741" s="2">
        <f>IFERROR(__xludf.DUMMYFUNCTION("IFERROR(VLOOKUP(A7741, IMPORTRANGE(""https://docs.google.com/spreadsheets/d/1AVX9GT0dgogEBStecCXMMQ29tWz3gBrtNB8yIromXbY/edit?gid=741673867"", ""out1g!A:B""), 2, FALSE), 0)"),136.0)</f>
        <v>136</v>
      </c>
      <c r="D7741" s="2" t="str">
        <f>IFERROR(__xludf.DUMMYFUNCTION("IFERROR(VLOOKUP(A7741, IMPORTRANGE(""https://docs.google.com/spreadsheets/d/1-3Vjw2Cyy-mry5gbC8ypIR3YVGFfEpyFESummAta6sg/edit"", ""Sheet1!B:D""), 2, FALSE), ""Not Found"")"),"stɑmp")</f>
        <v>stɑmp</v>
      </c>
      <c r="E7741" s="2" t="str">
        <f>IFERROR(__xludf.DUMMYFUNCTION("IFERROR(VLOOKUP(A7741, IMPORTRANGE(""https://docs.google.com/spreadsheets/d/1-3Vjw2Cyy-mry5gbC8ypIR3YVGFfEpyFESummAta6sg/edit"", ""Sheet1!B:D""), 3, FALSE), ""Not Found"")"),"s t ɑ m p ")</f>
        <v>s t ɑ m p </v>
      </c>
    </row>
    <row r="7742">
      <c r="A7742" s="1" t="s">
        <v>7744</v>
      </c>
      <c r="B7742" s="1" t="s">
        <v>6138</v>
      </c>
      <c r="C7742" s="2">
        <f>IFERROR(__xludf.DUMMYFUNCTION("IFERROR(VLOOKUP(A7742, IMPORTRANGE(""https://docs.google.com/spreadsheets/d/1AVX9GT0dgogEBStecCXMMQ29tWz3gBrtNB8yIromXbY/edit?gid=741673867"", ""out1g!A:B""), 2, FALSE), 0)"),5529.0)</f>
        <v>5529</v>
      </c>
      <c r="D7742" s="2" t="str">
        <f>IFERROR(__xludf.DUMMYFUNCTION("IFERROR(VLOOKUP(A7742, IMPORTRANGE(""https://docs.google.com/spreadsheets/d/1-3Vjw2Cyy-mry5gbC8ypIR3YVGFfEpyFESummAta6sg/edit"", ""Sheet1!B:D""), 2, FALSE), ""Not Found"")"),"hændəl")</f>
        <v>hændəl</v>
      </c>
      <c r="E7742" s="2" t="str">
        <f>IFERROR(__xludf.DUMMYFUNCTION("IFERROR(VLOOKUP(A7742, IMPORTRANGE(""https://docs.google.com/spreadsheets/d/1-3Vjw2Cyy-mry5gbC8ypIR3YVGFfEpyFESummAta6sg/edit"", ""Sheet1!B:D""), 3, FALSE), ""Not Found"")"),"h æ n d ə l ")</f>
        <v>h æ n d ə l </v>
      </c>
    </row>
    <row r="7743">
      <c r="A7743" s="1" t="s">
        <v>7745</v>
      </c>
      <c r="B7743" s="1" t="s">
        <v>6138</v>
      </c>
      <c r="C7743" s="2">
        <f>IFERROR(__xludf.DUMMYFUNCTION("IFERROR(VLOOKUP(A7743, IMPORTRANGE(""https://docs.google.com/spreadsheets/d/1AVX9GT0dgogEBStecCXMMQ29tWz3gBrtNB8yIromXbY/edit?gid=741673867"", ""out1g!A:B""), 2, FALSE), 0)"),292.0)</f>
        <v>292</v>
      </c>
      <c r="D7743" s="2" t="str">
        <f>IFERROR(__xludf.DUMMYFUNCTION("IFERROR(VLOOKUP(A7743, IMPORTRANGE(""https://docs.google.com/spreadsheets/d/1-3Vjw2Cyy-mry5gbC8ypIR3YVGFfEpyFESummAta6sg/edit"", ""Sheet1!B:D""), 2, FALSE), ""Not Found"")"),"oʊnərz")</f>
        <v>oʊnərz</v>
      </c>
      <c r="E7743" s="2" t="str">
        <f>IFERROR(__xludf.DUMMYFUNCTION("IFERROR(VLOOKUP(A7743, IMPORTRANGE(""https://docs.google.com/spreadsheets/d/1-3Vjw2Cyy-mry5gbC8ypIR3YVGFfEpyFESummAta6sg/edit"", ""Sheet1!B:D""), 3, FALSE), ""Not Found"")"),"o ʊ n ə r z ")</f>
        <v>o ʊ n ə r z </v>
      </c>
    </row>
    <row r="7744">
      <c r="A7744" s="1" t="s">
        <v>7746</v>
      </c>
      <c r="B7744" s="1" t="s">
        <v>6138</v>
      </c>
      <c r="C7744" s="2">
        <f>IFERROR(__xludf.DUMMYFUNCTION("IFERROR(VLOOKUP(A7744, IMPORTRANGE(""https://docs.google.com/spreadsheets/d/1AVX9GT0dgogEBStecCXMMQ29tWz3gBrtNB8yIromXbY/edit?gid=741673867"", ""out1g!A:B""), 2, FALSE), 0)"),89.0)</f>
        <v>89</v>
      </c>
      <c r="D7744" s="2" t="str">
        <f>IFERROR(__xludf.DUMMYFUNCTION("IFERROR(VLOOKUP(A7744, IMPORTRANGE(""https://docs.google.com/spreadsheets/d/1-3Vjw2Cyy-mry5gbC8ypIR3YVGFfEpyFESummAta6sg/edit"", ""Sheet1!B:D""), 2, FALSE), ""Not Found"")"),"koʊʧɪz")</f>
        <v>koʊʧɪz</v>
      </c>
      <c r="E7744" s="2" t="str">
        <f>IFERROR(__xludf.DUMMYFUNCTION("IFERROR(VLOOKUP(A7744, IMPORTRANGE(""https://docs.google.com/spreadsheets/d/1-3Vjw2Cyy-mry5gbC8ypIR3YVGFfEpyFESummAta6sg/edit"", ""Sheet1!B:D""), 3, FALSE), ""Not Found"")"),"k o ʊ ʧ ɪ z ")</f>
        <v>k o ʊ ʧ ɪ z </v>
      </c>
    </row>
    <row r="7745">
      <c r="A7745" s="1" t="s">
        <v>7747</v>
      </c>
      <c r="B7745" s="1" t="s">
        <v>6138</v>
      </c>
      <c r="C7745" s="2">
        <f>IFERROR(__xludf.DUMMYFUNCTION("IFERROR(VLOOKUP(A7745, IMPORTRANGE(""https://docs.google.com/spreadsheets/d/1AVX9GT0dgogEBStecCXMMQ29tWz3gBrtNB8yIromXbY/edit?gid=741673867"", ""out1g!A:B""), 2, FALSE), 0)"),1277.0)</f>
        <v>1277</v>
      </c>
      <c r="D7745" s="2" t="str">
        <f>IFERROR(__xludf.DUMMYFUNCTION("IFERROR(VLOOKUP(A7745, IMPORTRANGE(""https://docs.google.com/spreadsheets/d/1-3Vjw2Cyy-mry5gbC8ypIR3YVGFfEpyFESummAta6sg/edit"", ""Sheet1!B:D""), 2, FALSE), ""Not Found"")"),"dru")</f>
        <v>dru</v>
      </c>
      <c r="E7745" s="2" t="str">
        <f>IFERROR(__xludf.DUMMYFUNCTION("IFERROR(VLOOKUP(A7745, IMPORTRANGE(""https://docs.google.com/spreadsheets/d/1-3Vjw2Cyy-mry5gbC8ypIR3YVGFfEpyFESummAta6sg/edit"", ""Sheet1!B:D""), 3, FALSE), ""Not Found"")"),"d r u ")</f>
        <v>d r u </v>
      </c>
    </row>
    <row r="7746">
      <c r="A7746" s="1" t="s">
        <v>7748</v>
      </c>
      <c r="B7746" s="1" t="s">
        <v>6138</v>
      </c>
      <c r="C7746" s="2">
        <f>IFERROR(__xludf.DUMMYFUNCTION("IFERROR(VLOOKUP(A7746, IMPORTRANGE(""https://docs.google.com/spreadsheets/d/1AVX9GT0dgogEBStecCXMMQ29tWz3gBrtNB8yIromXbY/edit?gid=741673867"", ""out1g!A:B""), 2, FALSE), 0)"),154.0)</f>
        <v>154</v>
      </c>
      <c r="D7746" s="2" t="str">
        <f>IFERROR(__xludf.DUMMYFUNCTION("IFERROR(VLOOKUP(A7746, IMPORTRANGE(""https://docs.google.com/spreadsheets/d/1-3Vjw2Cyy-mry5gbC8ypIR3YVGFfEpyFESummAta6sg/edit"", ""Sheet1!B:D""), 2, FALSE), ""Not Found"")"),"θæŋkɪŋ")</f>
        <v>θæŋkɪŋ</v>
      </c>
      <c r="E7746" s="2" t="str">
        <f>IFERROR(__xludf.DUMMYFUNCTION("IFERROR(VLOOKUP(A7746, IMPORTRANGE(""https://docs.google.com/spreadsheets/d/1-3Vjw2Cyy-mry5gbC8ypIR3YVGFfEpyFESummAta6sg/edit"", ""Sheet1!B:D""), 3, FALSE), ""Not Found"")"),"θ æ ŋ k ɪ ŋ ")</f>
        <v>θ æ ŋ k ɪ ŋ </v>
      </c>
    </row>
    <row r="7747">
      <c r="A7747" s="1" t="s">
        <v>7749</v>
      </c>
      <c r="B7747" s="1" t="s">
        <v>6138</v>
      </c>
      <c r="C7747" s="2">
        <f>IFERROR(__xludf.DUMMYFUNCTION("IFERROR(VLOOKUP(A7747, IMPORTRANGE(""https://docs.google.com/spreadsheets/d/1AVX9GT0dgogEBStecCXMMQ29tWz3gBrtNB8yIromXbY/edit?gid=741673867"", ""out1g!A:B""), 2, FALSE), 0)"),74.0)</f>
        <v>74</v>
      </c>
      <c r="D7747" s="2" t="str">
        <f>IFERROR(__xludf.DUMMYFUNCTION("IFERROR(VLOOKUP(A7747, IMPORTRANGE(""https://docs.google.com/spreadsheets/d/1-3Vjw2Cyy-mry5gbC8ypIR3YVGFfEpyFESummAta6sg/edit"", ""Sheet1!B:D""), 2, FALSE), ""Not Found"")"),"ɪndʊrd")</f>
        <v>ɪndʊrd</v>
      </c>
      <c r="E7747" s="2" t="str">
        <f>IFERROR(__xludf.DUMMYFUNCTION("IFERROR(VLOOKUP(A7747, IMPORTRANGE(""https://docs.google.com/spreadsheets/d/1-3Vjw2Cyy-mry5gbC8ypIR3YVGFfEpyFESummAta6sg/edit"", ""Sheet1!B:D""), 3, FALSE), ""Not Found"")"),"ɪ n d ʊ r d ")</f>
        <v>ɪ n d ʊ r d </v>
      </c>
    </row>
    <row r="7748">
      <c r="A7748" s="1" t="s">
        <v>7750</v>
      </c>
      <c r="B7748" s="1" t="s">
        <v>6138</v>
      </c>
      <c r="C7748" s="2">
        <f>IFERROR(__xludf.DUMMYFUNCTION("IFERROR(VLOOKUP(A7748, IMPORTRANGE(""https://docs.google.com/spreadsheets/d/1AVX9GT0dgogEBStecCXMMQ29tWz3gBrtNB8yIromXbY/edit?gid=741673867"", ""out1g!A:B""), 2, FALSE), 0)"),290.0)</f>
        <v>290</v>
      </c>
      <c r="D7748" s="2" t="str">
        <f>IFERROR(__xludf.DUMMYFUNCTION("IFERROR(VLOOKUP(A7748, IMPORTRANGE(""https://docs.google.com/spreadsheets/d/1-3Vjw2Cyy-mry5gbC8ypIR3YVGFfEpyFESummAta6sg/edit"", ""Sheet1!B:D""), 2, FALSE), ""Not Found"")"),"əkjuz")</f>
        <v>əkjuz</v>
      </c>
      <c r="E7748" s="2" t="str">
        <f>IFERROR(__xludf.DUMMYFUNCTION("IFERROR(VLOOKUP(A7748, IMPORTRANGE(""https://docs.google.com/spreadsheets/d/1-3Vjw2Cyy-mry5gbC8ypIR3YVGFfEpyFESummAta6sg/edit"", ""Sheet1!B:D""), 3, FALSE), ""Not Found"")"),"ə k j u z ")</f>
        <v>ə k j u z </v>
      </c>
    </row>
    <row r="7749">
      <c r="A7749" s="1" t="s">
        <v>7751</v>
      </c>
      <c r="B7749" s="1" t="s">
        <v>6138</v>
      </c>
      <c r="C7749" s="2">
        <f>IFERROR(__xludf.DUMMYFUNCTION("IFERROR(VLOOKUP(A7749, IMPORTRANGE(""https://docs.google.com/spreadsheets/d/1AVX9GT0dgogEBStecCXMMQ29tWz3gBrtNB8yIromXbY/edit?gid=741673867"", ""out1g!A:B""), 2, FALSE), 0)"),63.0)</f>
        <v>63</v>
      </c>
      <c r="D7749" s="2" t="str">
        <f>IFERROR(__xludf.DUMMYFUNCTION("IFERROR(VLOOKUP(A7749, IMPORTRANGE(""https://docs.google.com/spreadsheets/d/1-3Vjw2Cyy-mry5gbC8ypIR3YVGFfEpyFESummAta6sg/edit"", ""Sheet1!B:D""), 2, FALSE), ""Not Found"")"),"frɪkʃən")</f>
        <v>frɪkʃən</v>
      </c>
      <c r="E7749" s="2" t="str">
        <f>IFERROR(__xludf.DUMMYFUNCTION("IFERROR(VLOOKUP(A7749, IMPORTRANGE(""https://docs.google.com/spreadsheets/d/1-3Vjw2Cyy-mry5gbC8ypIR3YVGFfEpyFESummAta6sg/edit"", ""Sheet1!B:D""), 3, FALSE), ""Not Found"")"),"f r ɪ k ʃ ə n ")</f>
        <v>f r ɪ k ʃ ə n </v>
      </c>
    </row>
    <row r="7750">
      <c r="A7750" s="1" t="s">
        <v>7752</v>
      </c>
      <c r="B7750" s="1" t="s">
        <v>6138</v>
      </c>
      <c r="C7750" s="2">
        <f>IFERROR(__xludf.DUMMYFUNCTION("IFERROR(VLOOKUP(A7750, IMPORTRANGE(""https://docs.google.com/spreadsheets/d/1AVX9GT0dgogEBStecCXMMQ29tWz3gBrtNB8yIromXbY/edit?gid=741673867"", ""out1g!A:B""), 2, FALSE), 0)"),56877.0)</f>
        <v>56877</v>
      </c>
      <c r="D7750" s="2" t="str">
        <f>IFERROR(__xludf.DUMMYFUNCTION("IFERROR(VLOOKUP(A7750, IMPORTRANGE(""https://docs.google.com/spreadsheets/d/1-3Vjw2Cyy-mry5gbC8ypIR3YVGFfEpyFESummAta6sg/edit"", ""Sheet1!B:D""), 2, FALSE), ""Not Found"")"),"θæŋk")</f>
        <v>θæŋk</v>
      </c>
      <c r="E7750" s="2" t="str">
        <f>IFERROR(__xludf.DUMMYFUNCTION("IFERROR(VLOOKUP(A7750, IMPORTRANGE(""https://docs.google.com/spreadsheets/d/1-3Vjw2Cyy-mry5gbC8ypIR3YVGFfEpyFESummAta6sg/edit"", ""Sheet1!B:D""), 3, FALSE), ""Not Found"")"),"θ æ ŋ k ")</f>
        <v>θ æ ŋ k </v>
      </c>
    </row>
    <row r="7751">
      <c r="A7751" s="1" t="s">
        <v>7753</v>
      </c>
      <c r="B7751" s="1" t="s">
        <v>6138</v>
      </c>
      <c r="C7751" s="2">
        <f>IFERROR(__xludf.DUMMYFUNCTION("IFERROR(VLOOKUP(A7751, IMPORTRANGE(""https://docs.google.com/spreadsheets/d/1AVX9GT0dgogEBStecCXMMQ29tWz3gBrtNB8yIromXbY/edit?gid=741673867"", ""out1g!A:B""), 2, FALSE), 0)"),200.0)</f>
        <v>200</v>
      </c>
      <c r="D7751" s="2" t="str">
        <f>IFERROR(__xludf.DUMMYFUNCTION("IFERROR(VLOOKUP(A7751, IMPORTRANGE(""https://docs.google.com/spreadsheets/d/1-3Vjw2Cyy-mry5gbC8ypIR3YVGFfEpyFESummAta6sg/edit"", ""Sheet1!B:D""), 2, FALSE), ""Not Found"")"),"brɪks")</f>
        <v>brɪks</v>
      </c>
      <c r="E7751" s="2" t="str">
        <f>IFERROR(__xludf.DUMMYFUNCTION("IFERROR(VLOOKUP(A7751, IMPORTRANGE(""https://docs.google.com/spreadsheets/d/1-3Vjw2Cyy-mry5gbC8ypIR3YVGFfEpyFESummAta6sg/edit"", ""Sheet1!B:D""), 3, FALSE), ""Not Found"")"),"b r ɪ k s ")</f>
        <v>b r ɪ k s </v>
      </c>
    </row>
    <row r="7752">
      <c r="A7752" s="1" t="s">
        <v>7754</v>
      </c>
      <c r="B7752" s="1" t="s">
        <v>6138</v>
      </c>
      <c r="C7752" s="2">
        <f>IFERROR(__xludf.DUMMYFUNCTION("IFERROR(VLOOKUP(A7752, IMPORTRANGE(""https://docs.google.com/spreadsheets/d/1AVX9GT0dgogEBStecCXMMQ29tWz3gBrtNB8yIromXbY/edit?gid=741673867"", ""out1g!A:B""), 2, FALSE), 0)"),90.0)</f>
        <v>90</v>
      </c>
      <c r="D7752" s="2" t="str">
        <f>IFERROR(__xludf.DUMMYFUNCTION("IFERROR(VLOOKUP(A7752, IMPORTRANGE(""https://docs.google.com/spreadsheets/d/1-3Vjw2Cyy-mry5gbC8ypIR3YVGFfEpyFESummAta6sg/edit"", ""Sheet1!B:D""), 2, FALSE), ""Not Found"")"),"pɑrlər")</f>
        <v>pɑrlər</v>
      </c>
      <c r="E7752" s="2" t="str">
        <f>IFERROR(__xludf.DUMMYFUNCTION("IFERROR(VLOOKUP(A7752, IMPORTRANGE(""https://docs.google.com/spreadsheets/d/1-3Vjw2Cyy-mry5gbC8ypIR3YVGFfEpyFESummAta6sg/edit"", ""Sheet1!B:D""), 3, FALSE), ""Not Found"")"),"p ɑ r l ə r ")</f>
        <v>p ɑ r l ə r </v>
      </c>
    </row>
    <row r="7753">
      <c r="A7753" s="1" t="s">
        <v>7755</v>
      </c>
      <c r="B7753" s="1" t="s">
        <v>6138</v>
      </c>
      <c r="C7753" s="2">
        <f>IFERROR(__xludf.DUMMYFUNCTION("IFERROR(VLOOKUP(A7753, IMPORTRANGE(""https://docs.google.com/spreadsheets/d/1AVX9GT0dgogEBStecCXMMQ29tWz3gBrtNB8yIromXbY/edit?gid=741673867"", ""out1g!A:B""), 2, FALSE), 0)"),22752.0)</f>
        <v>22752</v>
      </c>
      <c r="D7753" s="2" t="str">
        <f>IFERROR(__xludf.DUMMYFUNCTION("IFERROR(VLOOKUP(A7753, IMPORTRANGE(""https://docs.google.com/spreadsheets/d/1-3Vjw2Cyy-mry5gbC8ypIR3YVGFfEpyFESummAta6sg/edit"", ""Sheet1!B:D""), 2, FALSE), ""Not Found"")"),"səmwən")</f>
        <v>səmwən</v>
      </c>
      <c r="E7753" s="2" t="str">
        <f>IFERROR(__xludf.DUMMYFUNCTION("IFERROR(VLOOKUP(A7753, IMPORTRANGE(""https://docs.google.com/spreadsheets/d/1-3Vjw2Cyy-mry5gbC8ypIR3YVGFfEpyFESummAta6sg/edit"", ""Sheet1!B:D""), 3, FALSE), ""Not Found"")"),"s ə m w ə n ")</f>
        <v>s ə m w ə n </v>
      </c>
    </row>
    <row r="7754">
      <c r="A7754" s="1" t="s">
        <v>7756</v>
      </c>
      <c r="B7754" s="1" t="s">
        <v>6138</v>
      </c>
      <c r="C7754" s="2">
        <f>IFERROR(__xludf.DUMMYFUNCTION("IFERROR(VLOOKUP(A7754, IMPORTRANGE(""https://docs.google.com/spreadsheets/d/1AVX9GT0dgogEBStecCXMMQ29tWz3gBrtNB8yIromXbY/edit?gid=741673867"", ""out1g!A:B""), 2, FALSE), 0)"),948.0)</f>
        <v>948</v>
      </c>
      <c r="D7754" s="2" t="str">
        <f>IFERROR(__xludf.DUMMYFUNCTION("IFERROR(VLOOKUP(A7754, IMPORTRANGE(""https://docs.google.com/spreadsheets/d/1-3Vjw2Cyy-mry5gbC8ypIR3YVGFfEpyFESummAta6sg/edit"", ""Sheet1!B:D""), 2, FALSE), ""Not Found"")"),"ʧitɪŋ")</f>
        <v>ʧitɪŋ</v>
      </c>
      <c r="E7754" s="2" t="str">
        <f>IFERROR(__xludf.DUMMYFUNCTION("IFERROR(VLOOKUP(A7754, IMPORTRANGE(""https://docs.google.com/spreadsheets/d/1-3Vjw2Cyy-mry5gbC8ypIR3YVGFfEpyFESummAta6sg/edit"", ""Sheet1!B:D""), 3, FALSE), ""Not Found"")"),"ʧ i t ɪ ŋ ")</f>
        <v>ʧ i t ɪ ŋ </v>
      </c>
    </row>
    <row r="7755">
      <c r="A7755" s="1" t="s">
        <v>7757</v>
      </c>
      <c r="B7755" s="1" t="s">
        <v>6138</v>
      </c>
      <c r="C7755" s="2">
        <f>IFERROR(__xludf.DUMMYFUNCTION("IFERROR(VLOOKUP(A7755, IMPORTRANGE(""https://docs.google.com/spreadsheets/d/1AVX9GT0dgogEBStecCXMMQ29tWz3gBrtNB8yIromXbY/edit?gid=741673867"", ""out1g!A:B""), 2, FALSE), 0)"),15393.0)</f>
        <v>15393</v>
      </c>
      <c r="D7755" s="2" t="str">
        <f>IFERROR(__xludf.DUMMYFUNCTION("IFERROR(VLOOKUP(A7755, IMPORTRANGE(""https://docs.google.com/spreadsheets/d/1-3Vjw2Cyy-mry5gbC8ypIR3YVGFfEpyFESummAta6sg/edit"", ""Sheet1!B:D""), 2, FALSE), ""Not Found"")"),"fju")</f>
        <v>fju</v>
      </c>
      <c r="E7755" s="2" t="str">
        <f>IFERROR(__xludf.DUMMYFUNCTION("IFERROR(VLOOKUP(A7755, IMPORTRANGE(""https://docs.google.com/spreadsheets/d/1-3Vjw2Cyy-mry5gbC8ypIR3YVGFfEpyFESummAta6sg/edit"", ""Sheet1!B:D""), 3, FALSE), ""Not Found"")"),"f j u ")</f>
        <v>f j u </v>
      </c>
    </row>
    <row r="7756">
      <c r="A7756" s="1" t="s">
        <v>7758</v>
      </c>
      <c r="B7756" s="1" t="s">
        <v>6138</v>
      </c>
      <c r="C7756" s="2">
        <f>IFERROR(__xludf.DUMMYFUNCTION("IFERROR(VLOOKUP(A7756, IMPORTRANGE(""https://docs.google.com/spreadsheets/d/1AVX9GT0dgogEBStecCXMMQ29tWz3gBrtNB8yIromXbY/edit?gid=741673867"", ""out1g!A:B""), 2, FALSE), 0)"),1095.0)</f>
        <v>1095</v>
      </c>
      <c r="D7756" s="2" t="str">
        <f>IFERROR(__xludf.DUMMYFUNCTION("IFERROR(VLOOKUP(A7756, IMPORTRANGE(""https://docs.google.com/spreadsheets/d/1-3Vjw2Cyy-mry5gbC8ypIR3YVGFfEpyFESummAta6sg/edit"", ""Sheet1!B:D""), 2, FALSE), ""Not Found"")"),"mænɪʤ")</f>
        <v>mænɪʤ</v>
      </c>
      <c r="E7756" s="2" t="str">
        <f>IFERROR(__xludf.DUMMYFUNCTION("IFERROR(VLOOKUP(A7756, IMPORTRANGE(""https://docs.google.com/spreadsheets/d/1-3Vjw2Cyy-mry5gbC8ypIR3YVGFfEpyFESummAta6sg/edit"", ""Sheet1!B:D""), 3, FALSE), ""Not Found"")"),"m æ n ɪ ʤ ")</f>
        <v>m æ n ɪ ʤ </v>
      </c>
    </row>
    <row r="7757">
      <c r="A7757" s="1" t="s">
        <v>7759</v>
      </c>
      <c r="B7757" s="1" t="s">
        <v>6138</v>
      </c>
      <c r="C7757" s="2">
        <f>IFERROR(__xludf.DUMMYFUNCTION("IFERROR(VLOOKUP(A7757, IMPORTRANGE(""https://docs.google.com/spreadsheets/d/1AVX9GT0dgogEBStecCXMMQ29tWz3gBrtNB8yIromXbY/edit?gid=741673867"", ""out1g!A:B""), 2, FALSE), 0)"),121.0)</f>
        <v>121</v>
      </c>
      <c r="D7757" s="2" t="str">
        <f>IFERROR(__xludf.DUMMYFUNCTION("IFERROR(VLOOKUP(A7757, IMPORTRANGE(""https://docs.google.com/spreadsheets/d/1-3Vjw2Cyy-mry5gbC8ypIR3YVGFfEpyFESummAta6sg/edit"", ""Sheet1!B:D""), 2, FALSE), ""Not Found"")"),"skwik")</f>
        <v>skwik</v>
      </c>
      <c r="E7757" s="2" t="str">
        <f>IFERROR(__xludf.DUMMYFUNCTION("IFERROR(VLOOKUP(A7757, IMPORTRANGE(""https://docs.google.com/spreadsheets/d/1-3Vjw2Cyy-mry5gbC8ypIR3YVGFfEpyFESummAta6sg/edit"", ""Sheet1!B:D""), 3, FALSE), ""Not Found"")"),"s k w i k ")</f>
        <v>s k w i k </v>
      </c>
    </row>
    <row r="7758">
      <c r="A7758" s="1" t="s">
        <v>7760</v>
      </c>
      <c r="B7758" s="1" t="s">
        <v>6138</v>
      </c>
      <c r="C7758" s="2">
        <f>IFERROR(__xludf.DUMMYFUNCTION("IFERROR(VLOOKUP(A7758, IMPORTRANGE(""https://docs.google.com/spreadsheets/d/1AVX9GT0dgogEBStecCXMMQ29tWz3gBrtNB8yIromXbY/edit?gid=741673867"", ""out1g!A:B""), 2, FALSE), 0)"),1612.0)</f>
        <v>1612</v>
      </c>
      <c r="D7758" s="2" t="str">
        <f>IFERROR(__xludf.DUMMYFUNCTION("IFERROR(VLOOKUP(A7758, IMPORTRANGE(""https://docs.google.com/spreadsheets/d/1-3Vjw2Cyy-mry5gbC8ypIR3YVGFfEpyFESummAta6sg/edit"", ""Sheet1!B:D""), 2, FALSE), ""Not Found"")"),"fimel")</f>
        <v>fimel</v>
      </c>
      <c r="E7758" s="2" t="str">
        <f>IFERROR(__xludf.DUMMYFUNCTION("IFERROR(VLOOKUP(A7758, IMPORTRANGE(""https://docs.google.com/spreadsheets/d/1-3Vjw2Cyy-mry5gbC8ypIR3YVGFfEpyFESummAta6sg/edit"", ""Sheet1!B:D""), 3, FALSE), ""Not Found"")"),"f i m e l ")</f>
        <v>f i m e l </v>
      </c>
    </row>
    <row r="7759">
      <c r="A7759" s="1" t="s">
        <v>7761</v>
      </c>
      <c r="B7759" s="1" t="s">
        <v>6138</v>
      </c>
      <c r="C7759" s="2">
        <f>IFERROR(__xludf.DUMMYFUNCTION("IFERROR(VLOOKUP(A7759, IMPORTRANGE(""https://docs.google.com/spreadsheets/d/1AVX9GT0dgogEBStecCXMMQ29tWz3gBrtNB8yIromXbY/edit?gid=741673867"", ""out1g!A:B""), 2, FALSE), 0)"),760.0)</f>
        <v>760</v>
      </c>
      <c r="D7759" s="2" t="str">
        <f>IFERROR(__xludf.DUMMYFUNCTION("IFERROR(VLOOKUP(A7759, IMPORTRANGE(""https://docs.google.com/spreadsheets/d/1-3Vjw2Cyy-mry5gbC8ypIR3YVGFfEpyFESummAta6sg/edit"", ""Sheet1!B:D""), 2, FALSE), ""Not Found"")"),"jɑrdz")</f>
        <v>jɑrdz</v>
      </c>
      <c r="E7759" s="2" t="str">
        <f>IFERROR(__xludf.DUMMYFUNCTION("IFERROR(VLOOKUP(A7759, IMPORTRANGE(""https://docs.google.com/spreadsheets/d/1-3Vjw2Cyy-mry5gbC8ypIR3YVGFfEpyFESummAta6sg/edit"", ""Sheet1!B:D""), 3, FALSE), ""Not Found"")"),"j ɑ r d z ")</f>
        <v>j ɑ r d z </v>
      </c>
    </row>
    <row r="7760">
      <c r="A7760" s="1" t="s">
        <v>7762</v>
      </c>
      <c r="B7760" s="1" t="s">
        <v>6138</v>
      </c>
      <c r="C7760" s="2">
        <f>IFERROR(__xludf.DUMMYFUNCTION("IFERROR(VLOOKUP(A7760, IMPORTRANGE(""https://docs.google.com/spreadsheets/d/1AVX9GT0dgogEBStecCXMMQ29tWz3gBrtNB8yIromXbY/edit?gid=741673867"", ""out1g!A:B""), 2, FALSE), 0)"),1190.0)</f>
        <v>1190</v>
      </c>
      <c r="D7760" s="2" t="str">
        <f>IFERROR(__xludf.DUMMYFUNCTION("IFERROR(VLOOKUP(A7760, IMPORTRANGE(""https://docs.google.com/spreadsheets/d/1-3Vjw2Cyy-mry5gbC8ypIR3YVGFfEpyFESummAta6sg/edit"", ""Sheet1!B:D""), 2, FALSE), ""Not Found"")"),"wɪndoʊz")</f>
        <v>wɪndoʊz</v>
      </c>
      <c r="E7760" s="2" t="str">
        <f>IFERROR(__xludf.DUMMYFUNCTION("IFERROR(VLOOKUP(A7760, IMPORTRANGE(""https://docs.google.com/spreadsheets/d/1-3Vjw2Cyy-mry5gbC8ypIR3YVGFfEpyFESummAta6sg/edit"", ""Sheet1!B:D""), 3, FALSE), ""Not Found"")"),"w ɪ n d o ʊ z ")</f>
        <v>w ɪ n d o ʊ z </v>
      </c>
    </row>
    <row r="7761">
      <c r="A7761" s="1" t="s">
        <v>7763</v>
      </c>
      <c r="B7761" s="1" t="s">
        <v>6138</v>
      </c>
      <c r="C7761" s="2">
        <f>IFERROR(__xludf.DUMMYFUNCTION("IFERROR(VLOOKUP(A7761, IMPORTRANGE(""https://docs.google.com/spreadsheets/d/1AVX9GT0dgogEBStecCXMMQ29tWz3gBrtNB8yIromXbY/edit?gid=741673867"", ""out1g!A:B""), 2, FALSE), 0)"),717.0)</f>
        <v>717</v>
      </c>
      <c r="D7761" s="2" t="str">
        <f>IFERROR(__xludf.DUMMYFUNCTION("IFERROR(VLOOKUP(A7761, IMPORTRANGE(""https://docs.google.com/spreadsheets/d/1-3Vjw2Cyy-mry5gbC8ypIR3YVGFfEpyFESummAta6sg/edit"", ""Sheet1!B:D""), 2, FALSE), ""Not Found"")"),"səplaɪz")</f>
        <v>səplaɪz</v>
      </c>
      <c r="E7761" s="2" t="str">
        <f>IFERROR(__xludf.DUMMYFUNCTION("IFERROR(VLOOKUP(A7761, IMPORTRANGE(""https://docs.google.com/spreadsheets/d/1-3Vjw2Cyy-mry5gbC8ypIR3YVGFfEpyFESummAta6sg/edit"", ""Sheet1!B:D""), 3, FALSE), ""Not Found"")"),"s ə p l a ɪ z ")</f>
        <v>s ə p l a ɪ z </v>
      </c>
    </row>
    <row r="7762">
      <c r="A7762" s="1" t="s">
        <v>7764</v>
      </c>
      <c r="B7762" s="1" t="s">
        <v>6138</v>
      </c>
      <c r="C7762" s="2">
        <f>IFERROR(__xludf.DUMMYFUNCTION("IFERROR(VLOOKUP(A7762, IMPORTRANGE(""https://docs.google.com/spreadsheets/d/1AVX9GT0dgogEBStecCXMMQ29tWz3gBrtNB8yIromXbY/edit?gid=741673867"", ""out1g!A:B""), 2, FALSE), 0)"),47.0)</f>
        <v>47</v>
      </c>
      <c r="D7762" s="2" t="str">
        <f>IFERROR(__xludf.DUMMYFUNCTION("IFERROR(VLOOKUP(A7762, IMPORTRANGE(""https://docs.google.com/spreadsheets/d/1-3Vjw2Cyy-mry5gbC8ypIR3YVGFfEpyFESummAta6sg/edit"", ""Sheet1!B:D""), 2, FALSE), ""Not Found"")"),"snɪpi")</f>
        <v>snɪpi</v>
      </c>
      <c r="E7762" s="2" t="str">
        <f>IFERROR(__xludf.DUMMYFUNCTION("IFERROR(VLOOKUP(A7762, IMPORTRANGE(""https://docs.google.com/spreadsheets/d/1-3Vjw2Cyy-mry5gbC8ypIR3YVGFfEpyFESummAta6sg/edit"", ""Sheet1!B:D""), 3, FALSE), ""Not Found"")"),"s n ɪ p i ")</f>
        <v>s n ɪ p i </v>
      </c>
    </row>
    <row r="7763">
      <c r="A7763" s="1" t="s">
        <v>7765</v>
      </c>
      <c r="B7763" s="1" t="s">
        <v>6138</v>
      </c>
      <c r="C7763" s="2">
        <f>IFERROR(__xludf.DUMMYFUNCTION("IFERROR(VLOOKUP(A7763, IMPORTRANGE(""https://docs.google.com/spreadsheets/d/1AVX9GT0dgogEBStecCXMMQ29tWz3gBrtNB8yIromXbY/edit?gid=741673867"", ""out1g!A:B""), 2, FALSE), 0)"),456.0)</f>
        <v>456</v>
      </c>
      <c r="D7763" s="2" t="str">
        <f>IFERROR(__xludf.DUMMYFUNCTION("IFERROR(VLOOKUP(A7763, IMPORTRANGE(""https://docs.google.com/spreadsheets/d/1-3Vjw2Cyy-mry5gbC8ypIR3YVGFfEpyFESummAta6sg/edit"", ""Sheet1!B:D""), 2, FALSE), ""Not Found"")"),"gæmbəl")</f>
        <v>gæmbəl</v>
      </c>
      <c r="E7763" s="2" t="str">
        <f>IFERROR(__xludf.DUMMYFUNCTION("IFERROR(VLOOKUP(A7763, IMPORTRANGE(""https://docs.google.com/spreadsheets/d/1-3Vjw2Cyy-mry5gbC8ypIR3YVGFfEpyFESummAta6sg/edit"", ""Sheet1!B:D""), 3, FALSE), ""Not Found"")"),"g æ m b ə l ")</f>
        <v>g æ m b ə l </v>
      </c>
    </row>
    <row r="7764">
      <c r="A7764" s="1" t="s">
        <v>7766</v>
      </c>
      <c r="B7764" s="1" t="s">
        <v>6138</v>
      </c>
      <c r="C7764" s="2">
        <f>IFERROR(__xludf.DUMMYFUNCTION("IFERROR(VLOOKUP(A7764, IMPORTRANGE(""https://docs.google.com/spreadsheets/d/1AVX9GT0dgogEBStecCXMMQ29tWz3gBrtNB8yIromXbY/edit?gid=741673867"", ""out1g!A:B""), 2, FALSE), 0)"),45.0)</f>
        <v>45</v>
      </c>
      <c r="D7764" s="2" t="str">
        <f>IFERROR(__xludf.DUMMYFUNCTION("IFERROR(VLOOKUP(A7764, IMPORTRANGE(""https://docs.google.com/spreadsheets/d/1-3Vjw2Cyy-mry5gbC8ypIR3YVGFfEpyFESummAta6sg/edit"", ""Sheet1!B:D""), 2, FALSE), ""Not Found"")"),"ʧɪzəl")</f>
        <v>ʧɪzəl</v>
      </c>
      <c r="E7764" s="2" t="str">
        <f>IFERROR(__xludf.DUMMYFUNCTION("IFERROR(VLOOKUP(A7764, IMPORTRANGE(""https://docs.google.com/spreadsheets/d/1-3Vjw2Cyy-mry5gbC8ypIR3YVGFfEpyFESummAta6sg/edit"", ""Sheet1!B:D""), 3, FALSE), ""Not Found"")"),"ʧ ɪ z ə l ")</f>
        <v>ʧ ɪ z ə l </v>
      </c>
    </row>
    <row r="7765">
      <c r="A7765" s="1" t="s">
        <v>7767</v>
      </c>
      <c r="B7765" s="1" t="s">
        <v>6138</v>
      </c>
      <c r="C7765" s="2">
        <f>IFERROR(__xludf.DUMMYFUNCTION("IFERROR(VLOOKUP(A7765, IMPORTRANGE(""https://docs.google.com/spreadsheets/d/1AVX9GT0dgogEBStecCXMMQ29tWz3gBrtNB8yIromXbY/edit?gid=741673867"", ""out1g!A:B""), 2, FALSE), 0)"),1622.0)</f>
        <v>1622</v>
      </c>
      <c r="D7765" s="2" t="str">
        <f>IFERROR(__xludf.DUMMYFUNCTION("IFERROR(VLOOKUP(A7765, IMPORTRANGE(""https://docs.google.com/spreadsheets/d/1-3Vjw2Cyy-mry5gbC8ypIR3YVGFfEpyFESummAta6sg/edit"", ""Sheet1!B:D""), 2, FALSE), ""Not Found"")"),"swɪm")</f>
        <v>swɪm</v>
      </c>
      <c r="E7765" s="2" t="str">
        <f>IFERROR(__xludf.DUMMYFUNCTION("IFERROR(VLOOKUP(A7765, IMPORTRANGE(""https://docs.google.com/spreadsheets/d/1-3Vjw2Cyy-mry5gbC8ypIR3YVGFfEpyFESummAta6sg/edit"", ""Sheet1!B:D""), 3, FALSE), ""Not Found"")"),"s w ɪ m ")</f>
        <v>s w ɪ m </v>
      </c>
    </row>
    <row r="7766">
      <c r="A7766" s="1" t="s">
        <v>7768</v>
      </c>
      <c r="B7766" s="1" t="s">
        <v>6138</v>
      </c>
      <c r="C7766" s="2">
        <f>IFERROR(__xludf.DUMMYFUNCTION("IFERROR(VLOOKUP(A7766, IMPORTRANGE(""https://docs.google.com/spreadsheets/d/1AVX9GT0dgogEBStecCXMMQ29tWz3gBrtNB8yIromXbY/edit?gid=741673867"", ""out1g!A:B""), 2, FALSE), 0)"),236.0)</f>
        <v>236</v>
      </c>
      <c r="D7766" s="2" t="str">
        <f>IFERROR(__xludf.DUMMYFUNCTION("IFERROR(VLOOKUP(A7766, IMPORTRANGE(""https://docs.google.com/spreadsheets/d/1-3Vjw2Cyy-mry5gbC8ypIR3YVGFfEpyFESummAta6sg/edit"", ""Sheet1!B:D""), 2, FALSE), ""Not Found"")"),"flæŋk")</f>
        <v>flæŋk</v>
      </c>
      <c r="E7766" s="2" t="str">
        <f>IFERROR(__xludf.DUMMYFUNCTION("IFERROR(VLOOKUP(A7766, IMPORTRANGE(""https://docs.google.com/spreadsheets/d/1-3Vjw2Cyy-mry5gbC8ypIR3YVGFfEpyFESummAta6sg/edit"", ""Sheet1!B:D""), 3, FALSE), ""Not Found"")"),"f l æ ŋ k ")</f>
        <v>f l æ ŋ k </v>
      </c>
    </row>
    <row r="7767">
      <c r="A7767" s="1" t="s">
        <v>7769</v>
      </c>
      <c r="B7767" s="1" t="s">
        <v>6138</v>
      </c>
      <c r="C7767" s="2">
        <f>IFERROR(__xludf.DUMMYFUNCTION("IFERROR(VLOOKUP(A7767, IMPORTRANGE(""https://docs.google.com/spreadsheets/d/1AVX9GT0dgogEBStecCXMMQ29tWz3gBrtNB8yIromXbY/edit?gid=741673867"", ""out1g!A:B""), 2, FALSE), 0)"),272.0)</f>
        <v>272</v>
      </c>
      <c r="D7767" s="2" t="str">
        <f>IFERROR(__xludf.DUMMYFUNCTION("IFERROR(VLOOKUP(A7767, IMPORTRANGE(""https://docs.google.com/spreadsheets/d/1-3Vjw2Cyy-mry5gbC8ypIR3YVGFfEpyFESummAta6sg/edit"", ""Sheet1!B:D""), 2, FALSE), ""Not Found"")"),"dænsərz")</f>
        <v>dænsərz</v>
      </c>
      <c r="E7767" s="2" t="str">
        <f>IFERROR(__xludf.DUMMYFUNCTION("IFERROR(VLOOKUP(A7767, IMPORTRANGE(""https://docs.google.com/spreadsheets/d/1-3Vjw2Cyy-mry5gbC8ypIR3YVGFfEpyFESummAta6sg/edit"", ""Sheet1!B:D""), 3, FALSE), ""Not Found"")"),"d æ n s ə r z ")</f>
        <v>d æ n s ə r z </v>
      </c>
    </row>
    <row r="7768">
      <c r="A7768" s="1" t="s">
        <v>7770</v>
      </c>
      <c r="B7768" s="1" t="s">
        <v>6138</v>
      </c>
      <c r="C7768" s="2">
        <f>IFERROR(__xludf.DUMMYFUNCTION("IFERROR(VLOOKUP(A7768, IMPORTRANGE(""https://docs.google.com/spreadsheets/d/1AVX9GT0dgogEBStecCXMMQ29tWz3gBrtNB8yIromXbY/edit?gid=741673867"", ""out1g!A:B""), 2, FALSE), 0)"),61.0)</f>
        <v>61</v>
      </c>
      <c r="D7768" s="2" t="str">
        <f>IFERROR(__xludf.DUMMYFUNCTION("IFERROR(VLOOKUP(A7768, IMPORTRANGE(""https://docs.google.com/spreadsheets/d/1-3Vjw2Cyy-mry5gbC8ypIR3YVGFfEpyFESummAta6sg/edit"", ""Sheet1!B:D""), 2, FALSE), ""Not Found"")"),"stɪkəp")</f>
        <v>stɪkəp</v>
      </c>
      <c r="E7768" s="2" t="str">
        <f>IFERROR(__xludf.DUMMYFUNCTION("IFERROR(VLOOKUP(A7768, IMPORTRANGE(""https://docs.google.com/spreadsheets/d/1-3Vjw2Cyy-mry5gbC8ypIR3YVGFfEpyFESummAta6sg/edit"", ""Sheet1!B:D""), 3, FALSE), ""Not Found"")"),"s t ɪ k ə p ")</f>
        <v>s t ɪ k ə p </v>
      </c>
    </row>
    <row r="7769">
      <c r="A7769" s="1" t="s">
        <v>7771</v>
      </c>
      <c r="B7769" s="1" t="s">
        <v>6138</v>
      </c>
      <c r="C7769" s="2">
        <f>IFERROR(__xludf.DUMMYFUNCTION("IFERROR(VLOOKUP(A7769, IMPORTRANGE(""https://docs.google.com/spreadsheets/d/1AVX9GT0dgogEBStecCXMMQ29tWz3gBrtNB8yIromXbY/edit?gid=741673867"", ""out1g!A:B""), 2, FALSE), 0)"),203.0)</f>
        <v>203</v>
      </c>
      <c r="D7769" s="2" t="str">
        <f>IFERROR(__xludf.DUMMYFUNCTION("IFERROR(VLOOKUP(A7769, IMPORTRANGE(""https://docs.google.com/spreadsheets/d/1-3Vjw2Cyy-mry5gbC8ypIR3YVGFfEpyFESummAta6sg/edit"", ""Sheet1!B:D""), 2, FALSE), ""Not Found"")"),"wɔrmɪŋ")</f>
        <v>wɔrmɪŋ</v>
      </c>
      <c r="E7769" s="2" t="str">
        <f>IFERROR(__xludf.DUMMYFUNCTION("IFERROR(VLOOKUP(A7769, IMPORTRANGE(""https://docs.google.com/spreadsheets/d/1-3Vjw2Cyy-mry5gbC8ypIR3YVGFfEpyFESummAta6sg/edit"", ""Sheet1!B:D""), 3, FALSE), ""Not Found"")"),"w ɔ r m ɪ ŋ ")</f>
        <v>w ɔ r m ɪ ŋ </v>
      </c>
    </row>
    <row r="7770">
      <c r="A7770" s="1" t="s">
        <v>7772</v>
      </c>
      <c r="B7770" s="1" t="s">
        <v>6138</v>
      </c>
      <c r="C7770" s="2">
        <f>IFERROR(__xludf.DUMMYFUNCTION("IFERROR(VLOOKUP(A7770, IMPORTRANGE(""https://docs.google.com/spreadsheets/d/1AVX9GT0dgogEBStecCXMMQ29tWz3gBrtNB8yIromXbY/edit?gid=741673867"", ""out1g!A:B""), 2, FALSE), 0)"),106.0)</f>
        <v>106</v>
      </c>
      <c r="D7770" s="2" t="str">
        <f>IFERROR(__xludf.DUMMYFUNCTION("IFERROR(VLOOKUP(A7770, IMPORTRANGE(""https://docs.google.com/spreadsheets/d/1-3Vjw2Cyy-mry5gbC8ypIR3YVGFfEpyFESummAta6sg/edit"", ""Sheet1!B:D""), 2, FALSE), ""Not Found"")"),"imel")</f>
        <v>imel</v>
      </c>
      <c r="E7770" s="2" t="str">
        <f>IFERROR(__xludf.DUMMYFUNCTION("IFERROR(VLOOKUP(A7770, IMPORTRANGE(""https://docs.google.com/spreadsheets/d/1-3Vjw2Cyy-mry5gbC8ypIR3YVGFfEpyFESummAta6sg/edit"", ""Sheet1!B:D""), 3, FALSE), ""Not Found"")"),"i m e l ")</f>
        <v>i m e l </v>
      </c>
    </row>
    <row r="7771">
      <c r="A7771" s="1" t="s">
        <v>7773</v>
      </c>
      <c r="B7771" s="1" t="s">
        <v>6138</v>
      </c>
      <c r="C7771" s="2">
        <f>IFERROR(__xludf.DUMMYFUNCTION("IFERROR(VLOOKUP(A7771, IMPORTRANGE(""https://docs.google.com/spreadsheets/d/1AVX9GT0dgogEBStecCXMMQ29tWz3gBrtNB8yIromXbY/edit?gid=741673867"", ""out1g!A:B""), 2, FALSE), 0)"),230.0)</f>
        <v>230</v>
      </c>
      <c r="D7771" s="2" t="str">
        <f>IFERROR(__xludf.DUMMYFUNCTION("IFERROR(VLOOKUP(A7771, IMPORTRANGE(""https://docs.google.com/spreadsheets/d/1-3Vjw2Cyy-mry5gbC8ypIR3YVGFfEpyFESummAta6sg/edit"", ""Sheet1!B:D""), 2, FALSE), ""Not Found"")"),"roʊbəts")</f>
        <v>roʊbəts</v>
      </c>
      <c r="E7771" s="2" t="str">
        <f>IFERROR(__xludf.DUMMYFUNCTION("IFERROR(VLOOKUP(A7771, IMPORTRANGE(""https://docs.google.com/spreadsheets/d/1-3Vjw2Cyy-mry5gbC8ypIR3YVGFfEpyFESummAta6sg/edit"", ""Sheet1!B:D""), 3, FALSE), ""Not Found"")"),"r o ʊ b ə t s ")</f>
        <v>r o ʊ b ə t s </v>
      </c>
    </row>
    <row r="7772">
      <c r="A7772" s="1" t="s">
        <v>7774</v>
      </c>
      <c r="B7772" s="1" t="s">
        <v>6138</v>
      </c>
      <c r="C7772" s="2">
        <f>IFERROR(__xludf.DUMMYFUNCTION("IFERROR(VLOOKUP(A7772, IMPORTRANGE(""https://docs.google.com/spreadsheets/d/1AVX9GT0dgogEBStecCXMMQ29tWz3gBrtNB8yIromXbY/edit?gid=741673867"", ""out1g!A:B""), 2, FALSE), 0)"),155.0)</f>
        <v>155</v>
      </c>
      <c r="D7772" s="2" t="str">
        <f>IFERROR(__xludf.DUMMYFUNCTION("IFERROR(VLOOKUP(A7772, IMPORTRANGE(""https://docs.google.com/spreadsheets/d/1-3Vjw2Cyy-mry5gbC8ypIR3YVGFfEpyFESummAta6sg/edit"", ""Sheet1!B:D""), 2, FALSE), ""Not Found"")"),"mædli")</f>
        <v>mædli</v>
      </c>
      <c r="E7772" s="2" t="str">
        <f>IFERROR(__xludf.DUMMYFUNCTION("IFERROR(VLOOKUP(A7772, IMPORTRANGE(""https://docs.google.com/spreadsheets/d/1-3Vjw2Cyy-mry5gbC8ypIR3YVGFfEpyFESummAta6sg/edit"", ""Sheet1!B:D""), 3, FALSE), ""Not Found"")"),"m æ d l i ")</f>
        <v>m æ d l i </v>
      </c>
    </row>
    <row r="7773">
      <c r="A7773" s="1" t="s">
        <v>7775</v>
      </c>
      <c r="B7773" s="1" t="s">
        <v>6138</v>
      </c>
      <c r="C7773" s="2">
        <f>IFERROR(__xludf.DUMMYFUNCTION("IFERROR(VLOOKUP(A7773, IMPORTRANGE(""https://docs.google.com/spreadsheets/d/1AVX9GT0dgogEBStecCXMMQ29tWz3gBrtNB8yIromXbY/edit?gid=741673867"", ""out1g!A:B""), 2, FALSE), 0)"),52.0)</f>
        <v>52</v>
      </c>
      <c r="D7773" s="2" t="str">
        <f>IFERROR(__xludf.DUMMYFUNCTION("IFERROR(VLOOKUP(A7773, IMPORTRANGE(""https://docs.google.com/spreadsheets/d/1-3Vjw2Cyy-mry5gbC8ypIR3YVGFfEpyFESummAta6sg/edit"", ""Sheet1!B:D""), 2, FALSE), ""Not Found"")"),"dæmnɪt")</f>
        <v>dæmnɪt</v>
      </c>
      <c r="E7773" s="2" t="str">
        <f>IFERROR(__xludf.DUMMYFUNCTION("IFERROR(VLOOKUP(A7773, IMPORTRANGE(""https://docs.google.com/spreadsheets/d/1-3Vjw2Cyy-mry5gbC8ypIR3YVGFfEpyFESummAta6sg/edit"", ""Sheet1!B:D""), 3, FALSE), ""Not Found"")"),"d æ m n ɪ t ")</f>
        <v>d æ m n ɪ t </v>
      </c>
    </row>
    <row r="7774">
      <c r="A7774" s="1" t="s">
        <v>7776</v>
      </c>
      <c r="B7774" s="1" t="s">
        <v>6138</v>
      </c>
      <c r="C7774" s="2">
        <f>IFERROR(__xludf.DUMMYFUNCTION("IFERROR(VLOOKUP(A7774, IMPORTRANGE(""https://docs.google.com/spreadsheets/d/1AVX9GT0dgogEBStecCXMMQ29tWz3gBrtNB8yIromXbY/edit?gid=741673867"", ""out1g!A:B""), 2, FALSE), 0)"),14353.0)</f>
        <v>14353</v>
      </c>
      <c r="D7774" s="2" t="str">
        <f>IFERROR(__xludf.DUMMYFUNCTION("IFERROR(VLOOKUP(A7774, IMPORTRANGE(""https://docs.google.com/spreadsheets/d/1-3Vjw2Cyy-mry5gbC8ypIR3YVGFfEpyFESummAta6sg/edit"", ""Sheet1!B:D""), 2, FALSE), ""Not Found"")"),"θɪŋkɪŋ")</f>
        <v>θɪŋkɪŋ</v>
      </c>
      <c r="E7774" s="2" t="str">
        <f>IFERROR(__xludf.DUMMYFUNCTION("IFERROR(VLOOKUP(A7774, IMPORTRANGE(""https://docs.google.com/spreadsheets/d/1-3Vjw2Cyy-mry5gbC8ypIR3YVGFfEpyFESummAta6sg/edit"", ""Sheet1!B:D""), 3, FALSE), ""Not Found"")"),"θ ɪ ŋ k ɪ ŋ ")</f>
        <v>θ ɪ ŋ k ɪ ŋ </v>
      </c>
    </row>
    <row r="7775">
      <c r="A7775" s="1" t="s">
        <v>7777</v>
      </c>
      <c r="B7775" s="1" t="s">
        <v>6138</v>
      </c>
      <c r="C7775" s="2">
        <f>IFERROR(__xludf.DUMMYFUNCTION("IFERROR(VLOOKUP(A7775, IMPORTRANGE(""https://docs.google.com/spreadsheets/d/1AVX9GT0dgogEBStecCXMMQ29tWz3gBrtNB8yIromXbY/edit?gid=741673867"", ""out1g!A:B""), 2, FALSE), 0)"),124.0)</f>
        <v>124</v>
      </c>
      <c r="D7775" s="2" t="str">
        <f>IFERROR(__xludf.DUMMYFUNCTION("IFERROR(VLOOKUP(A7775, IMPORTRANGE(""https://docs.google.com/spreadsheets/d/1-3Vjw2Cyy-mry5gbC8ypIR3YVGFfEpyFESummAta6sg/edit"", ""Sheet1!B:D""), 2, FALSE), ""Not Found"")"),"keʤɪz")</f>
        <v>keʤɪz</v>
      </c>
      <c r="E7775" s="2" t="str">
        <f>IFERROR(__xludf.DUMMYFUNCTION("IFERROR(VLOOKUP(A7775, IMPORTRANGE(""https://docs.google.com/spreadsheets/d/1-3Vjw2Cyy-mry5gbC8ypIR3YVGFfEpyFESummAta6sg/edit"", ""Sheet1!B:D""), 3, FALSE), ""Not Found"")"),"k e ʤ ɪ z ")</f>
        <v>k e ʤ ɪ z </v>
      </c>
    </row>
    <row r="7776">
      <c r="A7776" s="1" t="s">
        <v>7778</v>
      </c>
      <c r="B7776" s="1" t="s">
        <v>6138</v>
      </c>
      <c r="C7776" s="2">
        <f>IFERROR(__xludf.DUMMYFUNCTION("IFERROR(VLOOKUP(A7776, IMPORTRANGE(""https://docs.google.com/spreadsheets/d/1AVX9GT0dgogEBStecCXMMQ29tWz3gBrtNB8yIromXbY/edit?gid=741673867"", ""out1g!A:B""), 2, FALSE), 0)"),519.0)</f>
        <v>519</v>
      </c>
      <c r="D7776" s="2" t="str">
        <f>IFERROR(__xludf.DUMMYFUNCTION("IFERROR(VLOOKUP(A7776, IMPORTRANGE(""https://docs.google.com/spreadsheets/d/1-3Vjw2Cyy-mry5gbC8ypIR3YVGFfEpyFESummAta6sg/edit"", ""Sheet1!B:D""), 2, FALSE), ""Not Found"")"),"bɑroʊd")</f>
        <v>bɑroʊd</v>
      </c>
      <c r="E7776" s="2" t="str">
        <f>IFERROR(__xludf.DUMMYFUNCTION("IFERROR(VLOOKUP(A7776, IMPORTRANGE(""https://docs.google.com/spreadsheets/d/1-3Vjw2Cyy-mry5gbC8ypIR3YVGFfEpyFESummAta6sg/edit"", ""Sheet1!B:D""), 3, FALSE), ""Not Found"")"),"b ɑ r o ʊ d ")</f>
        <v>b ɑ r o ʊ d </v>
      </c>
    </row>
    <row r="7777">
      <c r="A7777" s="1" t="s">
        <v>7779</v>
      </c>
      <c r="B7777" s="1" t="s">
        <v>6138</v>
      </c>
      <c r="C7777" s="2">
        <f>IFERROR(__xludf.DUMMYFUNCTION("IFERROR(VLOOKUP(A7777, IMPORTRANGE(""https://docs.google.com/spreadsheets/d/1AVX9GT0dgogEBStecCXMMQ29tWz3gBrtNB8yIromXbY/edit?gid=741673867"", ""out1g!A:B""), 2, FALSE), 0)"),293.0)</f>
        <v>293</v>
      </c>
      <c r="D7777" s="2" t="str">
        <f>IFERROR(__xludf.DUMMYFUNCTION("IFERROR(VLOOKUP(A7777, IMPORTRANGE(""https://docs.google.com/spreadsheets/d/1-3Vjw2Cyy-mry5gbC8ypIR3YVGFfEpyFESummAta6sg/edit"", ""Sheet1!B:D""), 2, FALSE), ""Not Found"")"),"blɑkɪŋ")</f>
        <v>blɑkɪŋ</v>
      </c>
      <c r="E7777" s="2" t="str">
        <f>IFERROR(__xludf.DUMMYFUNCTION("IFERROR(VLOOKUP(A7777, IMPORTRANGE(""https://docs.google.com/spreadsheets/d/1-3Vjw2Cyy-mry5gbC8ypIR3YVGFfEpyFESummAta6sg/edit"", ""Sheet1!B:D""), 3, FALSE), ""Not Found"")"),"b l ɑ k ɪ ŋ ")</f>
        <v>b l ɑ k ɪ ŋ </v>
      </c>
    </row>
    <row r="7778">
      <c r="A7778" s="1" t="s">
        <v>7780</v>
      </c>
      <c r="B7778" s="1" t="s">
        <v>6138</v>
      </c>
      <c r="C7778" s="2">
        <f>IFERROR(__xludf.DUMMYFUNCTION("IFERROR(VLOOKUP(A7778, IMPORTRANGE(""https://docs.google.com/spreadsheets/d/1AVX9GT0dgogEBStecCXMMQ29tWz3gBrtNB8yIromXbY/edit?gid=741673867"", ""out1g!A:B""), 2, FALSE), 0)"),71.0)</f>
        <v>71</v>
      </c>
      <c r="D7778" s="2" t="str">
        <f>IFERROR(__xludf.DUMMYFUNCTION("IFERROR(VLOOKUP(A7778, IMPORTRANGE(""https://docs.google.com/spreadsheets/d/1-3Vjw2Cyy-mry5gbC8ypIR3YVGFfEpyFESummAta6sg/edit"", ""Sheet1!B:D""), 2, FALSE), ""Not Found"")"),"hju")</f>
        <v>hju</v>
      </c>
      <c r="E7778" s="2" t="str">
        <f>IFERROR(__xludf.DUMMYFUNCTION("IFERROR(VLOOKUP(A7778, IMPORTRANGE(""https://docs.google.com/spreadsheets/d/1-3Vjw2Cyy-mry5gbC8ypIR3YVGFfEpyFESummAta6sg/edit"", ""Sheet1!B:D""), 3, FALSE), ""Not Found"")"),"h j u ")</f>
        <v>h j u </v>
      </c>
    </row>
    <row r="7779">
      <c r="A7779" s="1" t="s">
        <v>7781</v>
      </c>
      <c r="B7779" s="1" t="s">
        <v>6138</v>
      </c>
      <c r="C7779" s="2">
        <f>IFERROR(__xludf.DUMMYFUNCTION("IFERROR(VLOOKUP(A7779, IMPORTRANGE(""https://docs.google.com/spreadsheets/d/1AVX9GT0dgogEBStecCXMMQ29tWz3gBrtNB8yIromXbY/edit?gid=741673867"", ""out1g!A:B""), 2, FALSE), 0)"),47.0)</f>
        <v>47</v>
      </c>
      <c r="D7779" s="2" t="str">
        <f>IFERROR(__xludf.DUMMYFUNCTION("IFERROR(VLOOKUP(A7779, IMPORTRANGE(""https://docs.google.com/spreadsheets/d/1-3Vjw2Cyy-mry5gbC8ypIR3YVGFfEpyFESummAta6sg/edit"", ""Sheet1!B:D""), 2, FALSE), ""Not Found"")"),"tɪŋkəl")</f>
        <v>tɪŋkəl</v>
      </c>
      <c r="E7779" s="2" t="str">
        <f>IFERROR(__xludf.DUMMYFUNCTION("IFERROR(VLOOKUP(A7779, IMPORTRANGE(""https://docs.google.com/spreadsheets/d/1-3Vjw2Cyy-mry5gbC8ypIR3YVGFfEpyFESummAta6sg/edit"", ""Sheet1!B:D""), 3, FALSE), ""Not Found"")"),"t ɪ ŋ k ə l ")</f>
        <v>t ɪ ŋ k ə l </v>
      </c>
    </row>
    <row r="7780">
      <c r="A7780" s="1" t="s">
        <v>7782</v>
      </c>
      <c r="B7780" s="1" t="s">
        <v>6138</v>
      </c>
      <c r="C7780" s="2">
        <f>IFERROR(__xludf.DUMMYFUNCTION("IFERROR(VLOOKUP(A7780, IMPORTRANGE(""https://docs.google.com/spreadsheets/d/1AVX9GT0dgogEBStecCXMMQ29tWz3gBrtNB8yIromXbY/edit?gid=741673867"", ""out1g!A:B""), 2, FALSE), 0)"),130.0)</f>
        <v>130</v>
      </c>
      <c r="D7780" s="2" t="str">
        <f>IFERROR(__xludf.DUMMYFUNCTION("IFERROR(VLOOKUP(A7780, IMPORTRANGE(""https://docs.google.com/spreadsheets/d/1-3Vjw2Cyy-mry5gbC8ypIR3YVGFfEpyFESummAta6sg/edit"", ""Sheet1!B:D""), 2, FALSE), ""Not Found"")"),"kɔrmən")</f>
        <v>kɔrmən</v>
      </c>
      <c r="E7780" s="2" t="str">
        <f>IFERROR(__xludf.DUMMYFUNCTION("IFERROR(VLOOKUP(A7780, IMPORTRANGE(""https://docs.google.com/spreadsheets/d/1-3Vjw2Cyy-mry5gbC8ypIR3YVGFfEpyFESummAta6sg/edit"", ""Sheet1!B:D""), 3, FALSE), ""Not Found"")"),"k ɔ r m ə n ")</f>
        <v>k ɔ r m ə n </v>
      </c>
    </row>
    <row r="7781">
      <c r="A7781" s="1" t="s">
        <v>7783</v>
      </c>
      <c r="B7781" s="1" t="s">
        <v>6138</v>
      </c>
      <c r="C7781" s="2">
        <f>IFERROR(__xludf.DUMMYFUNCTION("IFERROR(VLOOKUP(A7781, IMPORTRANGE(""https://docs.google.com/spreadsheets/d/1AVX9GT0dgogEBStecCXMMQ29tWz3gBrtNB8yIromXbY/edit?gid=741673867"", ""out1g!A:B""), 2, FALSE), 0)"),301.0)</f>
        <v>301</v>
      </c>
      <c r="D7781" s="2" t="str">
        <f>IFERROR(__xludf.DUMMYFUNCTION("IFERROR(VLOOKUP(A7781, IMPORTRANGE(""https://docs.google.com/spreadsheets/d/1-3Vjw2Cyy-mry5gbC8ypIR3YVGFfEpyFESummAta6sg/edit"", ""Sheet1!B:D""), 2, FALSE), ""Not Found"")"),"ʃæloʊ")</f>
        <v>ʃæloʊ</v>
      </c>
      <c r="E7781" s="2" t="str">
        <f>IFERROR(__xludf.DUMMYFUNCTION("IFERROR(VLOOKUP(A7781, IMPORTRANGE(""https://docs.google.com/spreadsheets/d/1-3Vjw2Cyy-mry5gbC8ypIR3YVGFfEpyFESummAta6sg/edit"", ""Sheet1!B:D""), 3, FALSE), ""Not Found"")"),"ʃ æ l o ʊ ")</f>
        <v>ʃ æ l o ʊ </v>
      </c>
    </row>
    <row r="7782">
      <c r="A7782" s="1" t="s">
        <v>7784</v>
      </c>
      <c r="B7782" s="1" t="s">
        <v>6138</v>
      </c>
      <c r="C7782" s="2">
        <f>IFERROR(__xludf.DUMMYFUNCTION("IFERROR(VLOOKUP(A7782, IMPORTRANGE(""https://docs.google.com/spreadsheets/d/1AVX9GT0dgogEBStecCXMMQ29tWz3gBrtNB8yIromXbY/edit?gid=741673867"", ""out1g!A:B""), 2, FALSE), 0)"),136.0)</f>
        <v>136</v>
      </c>
      <c r="D7782" s="2" t="str">
        <f>IFERROR(__xludf.DUMMYFUNCTION("IFERROR(VLOOKUP(A7782, IMPORTRANGE(""https://docs.google.com/spreadsheets/d/1-3Vjw2Cyy-mry5gbC8ypIR3YVGFfEpyFESummAta6sg/edit"", ""Sheet1!B:D""), 2, FALSE), ""Not Found"")"),"staɪlz")</f>
        <v>staɪlz</v>
      </c>
      <c r="E7782" s="2" t="str">
        <f>IFERROR(__xludf.DUMMYFUNCTION("IFERROR(VLOOKUP(A7782, IMPORTRANGE(""https://docs.google.com/spreadsheets/d/1-3Vjw2Cyy-mry5gbC8ypIR3YVGFfEpyFESummAta6sg/edit"", ""Sheet1!B:D""), 3, FALSE), ""Not Found"")"),"s t a ɪ l z ")</f>
        <v>s t a ɪ l z </v>
      </c>
    </row>
    <row r="7783">
      <c r="A7783" s="1" t="s">
        <v>7785</v>
      </c>
      <c r="B7783" s="1" t="s">
        <v>6138</v>
      </c>
      <c r="C7783" s="2">
        <f>IFERROR(__xludf.DUMMYFUNCTION("IFERROR(VLOOKUP(A7783, IMPORTRANGE(""https://docs.google.com/spreadsheets/d/1AVX9GT0dgogEBStecCXMMQ29tWz3gBrtNB8yIromXbY/edit?gid=741673867"", ""out1g!A:B""), 2, FALSE), 0)"),1630.0)</f>
        <v>1630</v>
      </c>
      <c r="D7783" s="2" t="str">
        <f>IFERROR(__xludf.DUMMYFUNCTION("IFERROR(VLOOKUP(A7783, IMPORTRANGE(""https://docs.google.com/spreadsheets/d/1-3Vjw2Cyy-mry5gbC8ypIR3YVGFfEpyFESummAta6sg/edit"", ""Sheet1!B:D""), 2, FALSE), ""Not Found"")"),"wɔrnɪŋ")</f>
        <v>wɔrnɪŋ</v>
      </c>
      <c r="E7783" s="2" t="str">
        <f>IFERROR(__xludf.DUMMYFUNCTION("IFERROR(VLOOKUP(A7783, IMPORTRANGE(""https://docs.google.com/spreadsheets/d/1-3Vjw2Cyy-mry5gbC8ypIR3YVGFfEpyFESummAta6sg/edit"", ""Sheet1!B:D""), 3, FALSE), ""Not Found"")"),"w ɔ r n ɪ ŋ ")</f>
        <v>w ɔ r n ɪ ŋ </v>
      </c>
    </row>
    <row r="7784">
      <c r="A7784" s="1" t="s">
        <v>7786</v>
      </c>
      <c r="B7784" s="1" t="s">
        <v>6138</v>
      </c>
      <c r="C7784" s="2">
        <f>IFERROR(__xludf.DUMMYFUNCTION("IFERROR(VLOOKUP(A7784, IMPORTRANGE(""https://docs.google.com/spreadsheets/d/1AVX9GT0dgogEBStecCXMMQ29tWz3gBrtNB8yIromXbY/edit?gid=741673867"", ""out1g!A:B""), 2, FALSE), 0)"),413.0)</f>
        <v>413</v>
      </c>
      <c r="D7784" s="2" t="str">
        <f>IFERROR(__xludf.DUMMYFUNCTION("IFERROR(VLOOKUP(A7784, IMPORTRANGE(""https://docs.google.com/spreadsheets/d/1-3Vjw2Cyy-mry5gbC8ypIR3YVGFfEpyFESummAta6sg/edit"", ""Sheet1!B:D""), 2, FALSE), ""Not Found"")"),"slips")</f>
        <v>slips</v>
      </c>
      <c r="E7784" s="2" t="str">
        <f>IFERROR(__xludf.DUMMYFUNCTION("IFERROR(VLOOKUP(A7784, IMPORTRANGE(""https://docs.google.com/spreadsheets/d/1-3Vjw2Cyy-mry5gbC8ypIR3YVGFfEpyFESummAta6sg/edit"", ""Sheet1!B:D""), 3, FALSE), ""Not Found"")"),"s l i p s ")</f>
        <v>s l i p s </v>
      </c>
    </row>
    <row r="7785">
      <c r="A7785" s="1" t="s">
        <v>7787</v>
      </c>
      <c r="B7785" s="1" t="s">
        <v>6138</v>
      </c>
      <c r="C7785" s="2">
        <f>IFERROR(__xludf.DUMMYFUNCTION("IFERROR(VLOOKUP(A7785, IMPORTRANGE(""https://docs.google.com/spreadsheets/d/1AVX9GT0dgogEBStecCXMMQ29tWz3gBrtNB8yIromXbY/edit?gid=741673867"", ""out1g!A:B""), 2, FALSE), 0)"),9.0)</f>
        <v>9</v>
      </c>
      <c r="D7785" s="2" t="str">
        <f>IFERROR(__xludf.DUMMYFUNCTION("IFERROR(VLOOKUP(A7785, IMPORTRANGE(""https://docs.google.com/spreadsheets/d/1-3Vjw2Cyy-mry5gbC8ypIR3YVGFfEpyFESummAta6sg/edit"", ""Sheet1!B:D""), 2, FALSE), ""Not Found"")"),"ɑrte")</f>
        <v>ɑrte</v>
      </c>
      <c r="E7785" s="2" t="str">
        <f>IFERROR(__xludf.DUMMYFUNCTION("IFERROR(VLOOKUP(A7785, IMPORTRANGE(""https://docs.google.com/spreadsheets/d/1-3Vjw2Cyy-mry5gbC8ypIR3YVGFfEpyFESummAta6sg/edit"", ""Sheet1!B:D""), 3, FALSE), ""Not Found"")"),"ɑ r t e ")</f>
        <v>ɑ r t e </v>
      </c>
    </row>
    <row r="7786">
      <c r="A7786" s="1" t="s">
        <v>7788</v>
      </c>
      <c r="B7786" s="1" t="s">
        <v>6138</v>
      </c>
      <c r="C7786" s="2">
        <f>IFERROR(__xludf.DUMMYFUNCTION("IFERROR(VLOOKUP(A7786, IMPORTRANGE(""https://docs.google.com/spreadsheets/d/1AVX9GT0dgogEBStecCXMMQ29tWz3gBrtNB8yIromXbY/edit?gid=741673867"", ""out1g!A:B""), 2, FALSE), 0)"),211.0)</f>
        <v>211</v>
      </c>
      <c r="D7786" s="2" t="str">
        <f>IFERROR(__xludf.DUMMYFUNCTION("IFERROR(VLOOKUP(A7786, IMPORTRANGE(""https://docs.google.com/spreadsheets/d/1-3Vjw2Cyy-mry5gbC8ypIR3YVGFfEpyFESummAta6sg/edit"", ""Sheet1!B:D""), 2, FALSE), ""Not Found"")"),"ʧəŋk")</f>
        <v>ʧəŋk</v>
      </c>
      <c r="E7786" s="2" t="str">
        <f>IFERROR(__xludf.DUMMYFUNCTION("IFERROR(VLOOKUP(A7786, IMPORTRANGE(""https://docs.google.com/spreadsheets/d/1-3Vjw2Cyy-mry5gbC8ypIR3YVGFfEpyFESummAta6sg/edit"", ""Sheet1!B:D""), 3, FALSE), ""Not Found"")"),"ʧ ə ŋ k ")</f>
        <v>ʧ ə ŋ k </v>
      </c>
    </row>
    <row r="7787">
      <c r="A7787" s="1" t="s">
        <v>7789</v>
      </c>
      <c r="B7787" s="1" t="s">
        <v>6138</v>
      </c>
      <c r="C7787" s="2">
        <f>IFERROR(__xludf.DUMMYFUNCTION("IFERROR(VLOOKUP(A7787, IMPORTRANGE(""https://docs.google.com/spreadsheets/d/1AVX9GT0dgogEBStecCXMMQ29tWz3gBrtNB8yIromXbY/edit?gid=741673867"", ""out1g!A:B""), 2, FALSE), 0)"),54.0)</f>
        <v>54</v>
      </c>
      <c r="D7787" s="2" t="str">
        <f>IFERROR(__xludf.DUMMYFUNCTION("IFERROR(VLOOKUP(A7787, IMPORTRANGE(""https://docs.google.com/spreadsheets/d/1-3Vjw2Cyy-mry5gbC8ypIR3YVGFfEpyFESummAta6sg/edit"", ""Sheet1!B:D""), 2, FALSE), ""Not Found"")"),"kraʊnz")</f>
        <v>kraʊnz</v>
      </c>
      <c r="E7787" s="2" t="str">
        <f>IFERROR(__xludf.DUMMYFUNCTION("IFERROR(VLOOKUP(A7787, IMPORTRANGE(""https://docs.google.com/spreadsheets/d/1-3Vjw2Cyy-mry5gbC8ypIR3YVGFfEpyFESummAta6sg/edit"", ""Sheet1!B:D""), 3, FALSE), ""Not Found"")"),"k r a ʊ n z ")</f>
        <v>k r a ʊ n z </v>
      </c>
    </row>
    <row r="7788">
      <c r="A7788" s="1" t="s">
        <v>7790</v>
      </c>
      <c r="B7788" s="1" t="s">
        <v>6138</v>
      </c>
      <c r="C7788" s="2">
        <f>IFERROR(__xludf.DUMMYFUNCTION("IFERROR(VLOOKUP(A7788, IMPORTRANGE(""https://docs.google.com/spreadsheets/d/1AVX9GT0dgogEBStecCXMMQ29tWz3gBrtNB8yIromXbY/edit?gid=741673867"", ""out1g!A:B""), 2, FALSE), 0)"),311.0)</f>
        <v>311</v>
      </c>
      <c r="D7788" s="2" t="str">
        <f>IFERROR(__xludf.DUMMYFUNCTION("IFERROR(VLOOKUP(A7788, IMPORTRANGE(""https://docs.google.com/spreadsheets/d/1-3Vjw2Cyy-mry5gbC8ypIR3YVGFfEpyFESummAta6sg/edit"", ""Sheet1!B:D""), 2, FALSE), ""Not Found"")"),"ʧɑrmd")</f>
        <v>ʧɑrmd</v>
      </c>
      <c r="E7788" s="2" t="str">
        <f>IFERROR(__xludf.DUMMYFUNCTION("IFERROR(VLOOKUP(A7788, IMPORTRANGE(""https://docs.google.com/spreadsheets/d/1-3Vjw2Cyy-mry5gbC8ypIR3YVGFfEpyFESummAta6sg/edit"", ""Sheet1!B:D""), 3, FALSE), ""Not Found"")"),"ʧ ɑ r m d ")</f>
        <v>ʧ ɑ r m d </v>
      </c>
    </row>
    <row r="7789">
      <c r="A7789" s="1" t="s">
        <v>7791</v>
      </c>
      <c r="B7789" s="1" t="s">
        <v>6138</v>
      </c>
      <c r="C7789" s="2">
        <f>IFERROR(__xludf.DUMMYFUNCTION("IFERROR(VLOOKUP(A7789, IMPORTRANGE(""https://docs.google.com/spreadsheets/d/1AVX9GT0dgogEBStecCXMMQ29tWz3gBrtNB8yIromXbY/edit?gid=741673867"", ""out1g!A:B""), 2, FALSE), 0)"),409.0)</f>
        <v>409</v>
      </c>
      <c r="D7789" s="2" t="str">
        <f>IFERROR(__xludf.DUMMYFUNCTION("IFERROR(VLOOKUP(A7789, IMPORTRANGE(""https://docs.google.com/spreadsheets/d/1-3Vjw2Cyy-mry5gbC8ypIR3YVGFfEpyFESummAta6sg/edit"", ""Sheet1!B:D""), 2, FALSE), ""Not Found"")"),"dɪfɛns")</f>
        <v>dɪfɛns</v>
      </c>
      <c r="E7789" s="2" t="str">
        <f>IFERROR(__xludf.DUMMYFUNCTION("IFERROR(VLOOKUP(A7789, IMPORTRANGE(""https://docs.google.com/spreadsheets/d/1-3Vjw2Cyy-mry5gbC8ypIR3YVGFfEpyFESummAta6sg/edit"", ""Sheet1!B:D""), 3, FALSE), ""Not Found"")"),"d ɪ f ɛ n s ")</f>
        <v>d ɪ f ɛ n s </v>
      </c>
    </row>
    <row r="7790">
      <c r="A7790" s="1" t="s">
        <v>7792</v>
      </c>
      <c r="B7790" s="1" t="s">
        <v>6138</v>
      </c>
      <c r="C7790" s="2">
        <f>IFERROR(__xludf.DUMMYFUNCTION("IFERROR(VLOOKUP(A7790, IMPORTRANGE(""https://docs.google.com/spreadsheets/d/1AVX9GT0dgogEBStecCXMMQ29tWz3gBrtNB8yIromXbY/edit?gid=741673867"", ""out1g!A:B""), 2, FALSE), 0)"),148.0)</f>
        <v>148</v>
      </c>
      <c r="D7790" s="2" t="str">
        <f>IFERROR(__xludf.DUMMYFUNCTION("IFERROR(VLOOKUP(A7790, IMPORTRANGE(""https://docs.google.com/spreadsheets/d/1-3Vjw2Cyy-mry5gbC8ypIR3YVGFfEpyFESummAta6sg/edit"", ""Sheet1!B:D""), 2, FALSE), ""Not Found"")"),"bɛkɪt")</f>
        <v>bɛkɪt</v>
      </c>
      <c r="E7790" s="2" t="str">
        <f>IFERROR(__xludf.DUMMYFUNCTION("IFERROR(VLOOKUP(A7790, IMPORTRANGE(""https://docs.google.com/spreadsheets/d/1-3Vjw2Cyy-mry5gbC8ypIR3YVGFfEpyFESummAta6sg/edit"", ""Sheet1!B:D""), 3, FALSE), ""Not Found"")"),"b ɛ k ɪ t ")</f>
        <v>b ɛ k ɪ t </v>
      </c>
    </row>
    <row r="7791">
      <c r="A7791" s="1" t="s">
        <v>7793</v>
      </c>
      <c r="B7791" s="1" t="s">
        <v>6138</v>
      </c>
      <c r="C7791" s="2">
        <f>IFERROR(__xludf.DUMMYFUNCTION("IFERROR(VLOOKUP(A7791, IMPORTRANGE(""https://docs.google.com/spreadsheets/d/1AVX9GT0dgogEBStecCXMMQ29tWz3gBrtNB8yIromXbY/edit?gid=741673867"", ""out1g!A:B""), 2, FALSE), 0)"),451.0)</f>
        <v>451</v>
      </c>
      <c r="D7791" s="2" t="str">
        <f>IFERROR(__xludf.DUMMYFUNCTION("IFERROR(VLOOKUP(A7791, IMPORTRANGE(""https://docs.google.com/spreadsheets/d/1-3Vjw2Cyy-mry5gbC8ypIR3YVGFfEpyFESummAta6sg/edit"", ""Sheet1!B:D""), 2, FALSE), ""Not Found"")"),"gredz")</f>
        <v>gredz</v>
      </c>
      <c r="E7791" s="2" t="str">
        <f>IFERROR(__xludf.DUMMYFUNCTION("IFERROR(VLOOKUP(A7791, IMPORTRANGE(""https://docs.google.com/spreadsheets/d/1-3Vjw2Cyy-mry5gbC8ypIR3YVGFfEpyFESummAta6sg/edit"", ""Sheet1!B:D""), 3, FALSE), ""Not Found"")"),"g r e d z ")</f>
        <v>g r e d z </v>
      </c>
    </row>
    <row r="7792">
      <c r="A7792" s="1" t="s">
        <v>7794</v>
      </c>
      <c r="B7792" s="1" t="s">
        <v>6138</v>
      </c>
      <c r="C7792" s="2">
        <f>IFERROR(__xludf.DUMMYFUNCTION("IFERROR(VLOOKUP(A7792, IMPORTRANGE(""https://docs.google.com/spreadsheets/d/1AVX9GT0dgogEBStecCXMMQ29tWz3gBrtNB8yIromXbY/edit?gid=741673867"", ""out1g!A:B""), 2, FALSE), 0)"),55.0)</f>
        <v>55</v>
      </c>
      <c r="D7792" s="2" t="str">
        <f>IFERROR(__xludf.DUMMYFUNCTION("IFERROR(VLOOKUP(A7792, IMPORTRANGE(""https://docs.google.com/spreadsheets/d/1-3Vjw2Cyy-mry5gbC8ypIR3YVGFfEpyFESummAta6sg/edit"", ""Sheet1!B:D""), 2, FALSE), ""Not Found"")"),"sedəst")</f>
        <v>sedəst</v>
      </c>
      <c r="E7792" s="2" t="str">
        <f>IFERROR(__xludf.DUMMYFUNCTION("IFERROR(VLOOKUP(A7792, IMPORTRANGE(""https://docs.google.com/spreadsheets/d/1-3Vjw2Cyy-mry5gbC8ypIR3YVGFfEpyFESummAta6sg/edit"", ""Sheet1!B:D""), 3, FALSE), ""Not Found"")"),"s e d ə s t ")</f>
        <v>s e d ə s t </v>
      </c>
    </row>
    <row r="7793">
      <c r="A7793" s="1" t="s">
        <v>7795</v>
      </c>
      <c r="B7793" s="1" t="s">
        <v>6138</v>
      </c>
      <c r="C7793" s="2">
        <f>IFERROR(__xludf.DUMMYFUNCTION("IFERROR(VLOOKUP(A7793, IMPORTRANGE(""https://docs.google.com/spreadsheets/d/1AVX9GT0dgogEBStecCXMMQ29tWz3gBrtNB8yIromXbY/edit?gid=741673867"", ""out1g!A:B""), 2, FALSE), 0)"),90.0)</f>
        <v>90</v>
      </c>
      <c r="D7793" s="2" t="str">
        <f>IFERROR(__xludf.DUMMYFUNCTION("IFERROR(VLOOKUP(A7793, IMPORTRANGE(""https://docs.google.com/spreadsheets/d/1-3Vjw2Cyy-mry5gbC8ypIR3YVGFfEpyFESummAta6sg/edit"", ""Sheet1!B:D""), 2, FALSE), ""Not Found"")"),"dɪlit")</f>
        <v>dɪlit</v>
      </c>
      <c r="E7793" s="2" t="str">
        <f>IFERROR(__xludf.DUMMYFUNCTION("IFERROR(VLOOKUP(A7793, IMPORTRANGE(""https://docs.google.com/spreadsheets/d/1-3Vjw2Cyy-mry5gbC8ypIR3YVGFfEpyFESummAta6sg/edit"", ""Sheet1!B:D""), 3, FALSE), ""Not Found"")"),"d ɪ l i t ")</f>
        <v>d ɪ l i t </v>
      </c>
    </row>
    <row r="7794">
      <c r="A7794" s="1" t="s">
        <v>7796</v>
      </c>
      <c r="B7794" s="1" t="s">
        <v>6138</v>
      </c>
      <c r="C7794" s="2">
        <f>IFERROR(__xludf.DUMMYFUNCTION("IFERROR(VLOOKUP(A7794, IMPORTRANGE(""https://docs.google.com/spreadsheets/d/1AVX9GT0dgogEBStecCXMMQ29tWz3gBrtNB8yIromXbY/edit?gid=741673867"", ""out1g!A:B""), 2, FALSE), 0)"),75.0)</f>
        <v>75</v>
      </c>
      <c r="D7794" s="2" t="str">
        <f>IFERROR(__xludf.DUMMYFUNCTION("IFERROR(VLOOKUP(A7794, IMPORTRANGE(""https://docs.google.com/spreadsheets/d/1-3Vjw2Cyy-mry5gbC8ypIR3YVGFfEpyFESummAta6sg/edit"", ""Sheet1!B:D""), 2, FALSE), ""Not Found"")"),"aɪərnɪŋ")</f>
        <v>aɪərnɪŋ</v>
      </c>
      <c r="E7794" s="2" t="str">
        <f>IFERROR(__xludf.DUMMYFUNCTION("IFERROR(VLOOKUP(A7794, IMPORTRANGE(""https://docs.google.com/spreadsheets/d/1-3Vjw2Cyy-mry5gbC8ypIR3YVGFfEpyFESummAta6sg/edit"", ""Sheet1!B:D""), 3, FALSE), ""Not Found"")"),"a ɪ ə r n ɪ ŋ ")</f>
        <v>a ɪ ə r n ɪ ŋ </v>
      </c>
    </row>
    <row r="7795">
      <c r="A7795" s="1" t="s">
        <v>7797</v>
      </c>
      <c r="B7795" s="1" t="s">
        <v>6138</v>
      </c>
      <c r="C7795" s="2">
        <f>IFERROR(__xludf.DUMMYFUNCTION("IFERROR(VLOOKUP(A7795, IMPORTRANGE(""https://docs.google.com/spreadsheets/d/1AVX9GT0dgogEBStecCXMMQ29tWz3gBrtNB8yIromXbY/edit?gid=741673867"", ""out1g!A:B""), 2, FALSE), 0)"),856.0)</f>
        <v>856</v>
      </c>
      <c r="D7795" s="2" t="str">
        <f>IFERROR(__xludf.DUMMYFUNCTION("IFERROR(VLOOKUP(A7795, IMPORTRANGE(""https://docs.google.com/spreadsheets/d/1-3Vjw2Cyy-mry5gbC8ypIR3YVGFfEpyFESummAta6sg/edit"", ""Sheet1!B:D""), 2, FALSE), ""Not Found"")"),"sərʧɪŋ")</f>
        <v>sərʧɪŋ</v>
      </c>
      <c r="E7795" s="2" t="str">
        <f>IFERROR(__xludf.DUMMYFUNCTION("IFERROR(VLOOKUP(A7795, IMPORTRANGE(""https://docs.google.com/spreadsheets/d/1-3Vjw2Cyy-mry5gbC8ypIR3YVGFfEpyFESummAta6sg/edit"", ""Sheet1!B:D""), 3, FALSE), ""Not Found"")"),"s ə r ʧ ɪ ŋ ")</f>
        <v>s ə r ʧ ɪ ŋ </v>
      </c>
    </row>
    <row r="7796">
      <c r="A7796" s="1" t="s">
        <v>7798</v>
      </c>
      <c r="B7796" s="1" t="s">
        <v>6138</v>
      </c>
      <c r="C7796" s="2">
        <f>IFERROR(__xludf.DUMMYFUNCTION("IFERROR(VLOOKUP(A7796, IMPORTRANGE(""https://docs.google.com/spreadsheets/d/1AVX9GT0dgogEBStecCXMMQ29tWz3gBrtNB8yIromXbY/edit?gid=741673867"", ""out1g!A:B""), 2, FALSE), 0)"),385.0)</f>
        <v>385</v>
      </c>
      <c r="D7796" s="2" t="str">
        <f>IFERROR(__xludf.DUMMYFUNCTION("IFERROR(VLOOKUP(A7796, IMPORTRANGE(""https://docs.google.com/spreadsheets/d/1-3Vjw2Cyy-mry5gbC8ypIR3YVGFfEpyFESummAta6sg/edit"", ""Sheet1!B:D""), 2, FALSE), ""Not Found"")"),"rɑʤərz")</f>
        <v>rɑʤərz</v>
      </c>
      <c r="E7796" s="2" t="str">
        <f>IFERROR(__xludf.DUMMYFUNCTION("IFERROR(VLOOKUP(A7796, IMPORTRANGE(""https://docs.google.com/spreadsheets/d/1-3Vjw2Cyy-mry5gbC8ypIR3YVGFfEpyFESummAta6sg/edit"", ""Sheet1!B:D""), 3, FALSE), ""Not Found"")"),"r ɑ ʤ ə r z ")</f>
        <v>r ɑ ʤ ə r z </v>
      </c>
    </row>
    <row r="7797">
      <c r="A7797" s="1" t="s">
        <v>7799</v>
      </c>
      <c r="B7797" s="1" t="s">
        <v>6138</v>
      </c>
      <c r="C7797" s="2">
        <f>IFERROR(__xludf.DUMMYFUNCTION("IFERROR(VLOOKUP(A7797, IMPORTRANGE(""https://docs.google.com/spreadsheets/d/1AVX9GT0dgogEBStecCXMMQ29tWz3gBrtNB8yIromXbY/edit?gid=741673867"", ""out1g!A:B""), 2, FALSE), 0)"),66.0)</f>
        <v>66</v>
      </c>
      <c r="D7797" s="2" t="str">
        <f>IFERROR(__xludf.DUMMYFUNCTION("IFERROR(VLOOKUP(A7797, IMPORTRANGE(""https://docs.google.com/spreadsheets/d/1-3Vjw2Cyy-mry5gbC8ypIR3YVGFfEpyFESummAta6sg/edit"", ""Sheet1!B:D""), 2, FALSE), ""Not Found"")"),"hʊvz")</f>
        <v>hʊvz</v>
      </c>
      <c r="E7797" s="2" t="str">
        <f>IFERROR(__xludf.DUMMYFUNCTION("IFERROR(VLOOKUP(A7797, IMPORTRANGE(""https://docs.google.com/spreadsheets/d/1-3Vjw2Cyy-mry5gbC8ypIR3YVGFfEpyFESummAta6sg/edit"", ""Sheet1!B:D""), 3, FALSE), ""Not Found"")"),"h ʊ v z ")</f>
        <v>h ʊ v z </v>
      </c>
    </row>
    <row r="7798">
      <c r="A7798" s="1" t="s">
        <v>7800</v>
      </c>
      <c r="B7798" s="1" t="s">
        <v>6138</v>
      </c>
      <c r="C7798" s="2">
        <f>IFERROR(__xludf.DUMMYFUNCTION("IFERROR(VLOOKUP(A7798, IMPORTRANGE(""https://docs.google.com/spreadsheets/d/1AVX9GT0dgogEBStecCXMMQ29tWz3gBrtNB8yIromXbY/edit?gid=741673867"", ""out1g!A:B""), 2, FALSE), 0)"),390.0)</f>
        <v>390</v>
      </c>
      <c r="D7798" s="2" t="str">
        <f>IFERROR(__xludf.DUMMYFUNCTION("IFERROR(VLOOKUP(A7798, IMPORTRANGE(""https://docs.google.com/spreadsheets/d/1-3Vjw2Cyy-mry5gbC8ypIR3YVGFfEpyFESummAta6sg/edit"", ""Sheet1!B:D""), 2, FALSE), ""Not Found"")"),"groʊnz")</f>
        <v>groʊnz</v>
      </c>
      <c r="E7798" s="2" t="str">
        <f>IFERROR(__xludf.DUMMYFUNCTION("IFERROR(VLOOKUP(A7798, IMPORTRANGE(""https://docs.google.com/spreadsheets/d/1-3Vjw2Cyy-mry5gbC8ypIR3YVGFfEpyFESummAta6sg/edit"", ""Sheet1!B:D""), 3, FALSE), ""Not Found"")"),"g r o ʊ n z ")</f>
        <v>g r o ʊ n z </v>
      </c>
    </row>
    <row r="7799">
      <c r="A7799" s="1" t="s">
        <v>7801</v>
      </c>
      <c r="B7799" s="1" t="s">
        <v>6138</v>
      </c>
      <c r="C7799" s="2">
        <f>IFERROR(__xludf.DUMMYFUNCTION("IFERROR(VLOOKUP(A7799, IMPORTRANGE(""https://docs.google.com/spreadsheets/d/1AVX9GT0dgogEBStecCXMMQ29tWz3gBrtNB8yIromXbY/edit?gid=741673867"", ""out1g!A:B""), 2, FALSE), 0)"),57.0)</f>
        <v>57</v>
      </c>
      <c r="D7799" s="2" t="str">
        <f>IFERROR(__xludf.DUMMYFUNCTION("IFERROR(VLOOKUP(A7799, IMPORTRANGE(""https://docs.google.com/spreadsheets/d/1-3Vjw2Cyy-mry5gbC8ypIR3YVGFfEpyFESummAta6sg/edit"", ""Sheet1!B:D""), 2, FALSE), ""Not Found"")"),"tɑrts")</f>
        <v>tɑrts</v>
      </c>
      <c r="E7799" s="2" t="str">
        <f>IFERROR(__xludf.DUMMYFUNCTION("IFERROR(VLOOKUP(A7799, IMPORTRANGE(""https://docs.google.com/spreadsheets/d/1-3Vjw2Cyy-mry5gbC8ypIR3YVGFfEpyFESummAta6sg/edit"", ""Sheet1!B:D""), 3, FALSE), ""Not Found"")"),"t ɑ r t s ")</f>
        <v>t ɑ r t s </v>
      </c>
    </row>
    <row r="7800">
      <c r="A7800" s="1" t="s">
        <v>7802</v>
      </c>
      <c r="B7800" s="1" t="s">
        <v>6138</v>
      </c>
      <c r="C7800" s="2">
        <f>IFERROR(__xludf.DUMMYFUNCTION("IFERROR(VLOOKUP(A7800, IMPORTRANGE(""https://docs.google.com/spreadsheets/d/1AVX9GT0dgogEBStecCXMMQ29tWz3gBrtNB8yIromXbY/edit?gid=741673867"", ""out1g!A:B""), 2, FALSE), 0)"),142.0)</f>
        <v>142</v>
      </c>
      <c r="D7800" s="2" t="str">
        <f>IFERROR(__xludf.DUMMYFUNCTION("IFERROR(VLOOKUP(A7800, IMPORTRANGE(""https://docs.google.com/spreadsheets/d/1-3Vjw2Cyy-mry5gbC8ypIR3YVGFfEpyFESummAta6sg/edit"", ""Sheet1!B:D""), 2, FALSE), ""Not Found"")"),"krikɪŋ")</f>
        <v>krikɪŋ</v>
      </c>
      <c r="E7800" s="2" t="str">
        <f>IFERROR(__xludf.DUMMYFUNCTION("IFERROR(VLOOKUP(A7800, IMPORTRANGE(""https://docs.google.com/spreadsheets/d/1-3Vjw2Cyy-mry5gbC8ypIR3YVGFfEpyFESummAta6sg/edit"", ""Sheet1!B:D""), 3, FALSE), ""Not Found"")"),"k r i k ɪ ŋ ")</f>
        <v>k r i k ɪ ŋ </v>
      </c>
    </row>
    <row r="7801">
      <c r="A7801" s="1" t="s">
        <v>7803</v>
      </c>
      <c r="B7801" s="1" t="s">
        <v>6138</v>
      </c>
      <c r="C7801" s="2">
        <f>IFERROR(__xludf.DUMMYFUNCTION("IFERROR(VLOOKUP(A7801, IMPORTRANGE(""https://docs.google.com/spreadsheets/d/1AVX9GT0dgogEBStecCXMMQ29tWz3gBrtNB8yIromXbY/edit?gid=741673867"", ""out1g!A:B""), 2, FALSE), 0)"),194.0)</f>
        <v>194</v>
      </c>
      <c r="D7801" s="2" t="str">
        <f>IFERROR(__xludf.DUMMYFUNCTION("IFERROR(VLOOKUP(A7801, IMPORTRANGE(""https://docs.google.com/spreadsheets/d/1-3Vjw2Cyy-mry5gbC8ypIR3YVGFfEpyFESummAta6sg/edit"", ""Sheet1!B:D""), 2, FALSE), ""Not Found"")"),"θæŋkt")</f>
        <v>θæŋkt</v>
      </c>
      <c r="E7801" s="2" t="str">
        <f>IFERROR(__xludf.DUMMYFUNCTION("IFERROR(VLOOKUP(A7801, IMPORTRANGE(""https://docs.google.com/spreadsheets/d/1-3Vjw2Cyy-mry5gbC8ypIR3YVGFfEpyFESummAta6sg/edit"", ""Sheet1!B:D""), 3, FALSE), ""Not Found"")"),"θ æ ŋ k t ")</f>
        <v>θ æ ŋ k t </v>
      </c>
    </row>
    <row r="7802">
      <c r="A7802" s="1" t="s">
        <v>7804</v>
      </c>
      <c r="B7802" s="1" t="s">
        <v>6138</v>
      </c>
      <c r="C7802" s="2">
        <f>IFERROR(__xludf.DUMMYFUNCTION("IFERROR(VLOOKUP(A7802, IMPORTRANGE(""https://docs.google.com/spreadsheets/d/1AVX9GT0dgogEBStecCXMMQ29tWz3gBrtNB8yIromXbY/edit?gid=741673867"", ""out1g!A:B""), 2, FALSE), 0)"),408.0)</f>
        <v>408</v>
      </c>
      <c r="D7802" s="2" t="str">
        <f>IFERROR(__xludf.DUMMYFUNCTION("IFERROR(VLOOKUP(A7802, IMPORTRANGE(""https://docs.google.com/spreadsheets/d/1-3Vjw2Cyy-mry5gbC8ypIR3YVGFfEpyFESummAta6sg/edit"", ""Sheet1!B:D""), 2, FALSE), ""Not Found"")"),"bəbəl")</f>
        <v>bəbəl</v>
      </c>
      <c r="E7802" s="2" t="str">
        <f>IFERROR(__xludf.DUMMYFUNCTION("IFERROR(VLOOKUP(A7802, IMPORTRANGE(""https://docs.google.com/spreadsheets/d/1-3Vjw2Cyy-mry5gbC8ypIR3YVGFfEpyFESummAta6sg/edit"", ""Sheet1!B:D""), 3, FALSE), ""Not Found"")"),"b ə b ə l ")</f>
        <v>b ə b ə l </v>
      </c>
    </row>
    <row r="7803">
      <c r="A7803" s="1" t="s">
        <v>7805</v>
      </c>
      <c r="B7803" s="1" t="s">
        <v>6138</v>
      </c>
      <c r="C7803" s="2">
        <f>IFERROR(__xludf.DUMMYFUNCTION("IFERROR(VLOOKUP(A7803, IMPORTRANGE(""https://docs.google.com/spreadsheets/d/1AVX9GT0dgogEBStecCXMMQ29tWz3gBrtNB8yIromXbY/edit?gid=741673867"", ""out1g!A:B""), 2, FALSE), 0)"),73.0)</f>
        <v>73</v>
      </c>
      <c r="D7803" s="2" t="str">
        <f>IFERROR(__xludf.DUMMYFUNCTION("IFERROR(VLOOKUP(A7803, IMPORTRANGE(""https://docs.google.com/spreadsheets/d/1-3Vjw2Cyy-mry5gbC8ypIR3YVGFfEpyFESummAta6sg/edit"", ""Sheet1!B:D""), 2, FALSE), ""Not Found"")"),"retɪd")</f>
        <v>retɪd</v>
      </c>
      <c r="E7803" s="2" t="str">
        <f>IFERROR(__xludf.DUMMYFUNCTION("IFERROR(VLOOKUP(A7803, IMPORTRANGE(""https://docs.google.com/spreadsheets/d/1-3Vjw2Cyy-mry5gbC8ypIR3YVGFfEpyFESummAta6sg/edit"", ""Sheet1!B:D""), 3, FALSE), ""Not Found"")"),"r e t ɪ d ")</f>
        <v>r e t ɪ d </v>
      </c>
    </row>
    <row r="7804">
      <c r="A7804" s="1" t="s">
        <v>7806</v>
      </c>
      <c r="B7804" s="1" t="s">
        <v>6138</v>
      </c>
      <c r="C7804" s="2">
        <f>IFERROR(__xludf.DUMMYFUNCTION("IFERROR(VLOOKUP(A7804, IMPORTRANGE(""https://docs.google.com/spreadsheets/d/1AVX9GT0dgogEBStecCXMMQ29tWz3gBrtNB8yIromXbY/edit?gid=741673867"", ""out1g!A:B""), 2, FALSE), 0)"),252.0)</f>
        <v>252</v>
      </c>
      <c r="D7804" s="2" t="str">
        <f>IFERROR(__xludf.DUMMYFUNCTION("IFERROR(VLOOKUP(A7804, IMPORTRANGE(""https://docs.google.com/spreadsheets/d/1-3Vjw2Cyy-mry5gbC8ypIR3YVGFfEpyFESummAta6sg/edit"", ""Sheet1!B:D""), 2, FALSE), ""Not Found"")"),"kɔrdi")</f>
        <v>kɔrdi</v>
      </c>
      <c r="E7804" s="2" t="str">
        <f>IFERROR(__xludf.DUMMYFUNCTION("IFERROR(VLOOKUP(A7804, IMPORTRANGE(""https://docs.google.com/spreadsheets/d/1-3Vjw2Cyy-mry5gbC8ypIR3YVGFfEpyFESummAta6sg/edit"", ""Sheet1!B:D""), 3, FALSE), ""Not Found"")"),"k ɔ r d i ")</f>
        <v>k ɔ r d i </v>
      </c>
    </row>
    <row r="7805">
      <c r="A7805" s="1" t="s">
        <v>7807</v>
      </c>
      <c r="B7805" s="1" t="s">
        <v>6138</v>
      </c>
      <c r="C7805" s="2">
        <f>IFERROR(__xludf.DUMMYFUNCTION("IFERROR(VLOOKUP(A7805, IMPORTRANGE(""https://docs.google.com/spreadsheets/d/1AVX9GT0dgogEBStecCXMMQ29tWz3gBrtNB8yIromXbY/edit?gid=741673867"", ""out1g!A:B""), 2, FALSE), 0)"),74.0)</f>
        <v>74</v>
      </c>
      <c r="D7805" s="2" t="str">
        <f>IFERROR(__xludf.DUMMYFUNCTION("IFERROR(VLOOKUP(A7805, IMPORTRANGE(""https://docs.google.com/spreadsheets/d/1-3Vjw2Cyy-mry5gbC8ypIR3YVGFfEpyFESummAta6sg/edit"", ""Sheet1!B:D""), 2, FALSE), ""Not Found"")"),"grɪnɪŋ")</f>
        <v>grɪnɪŋ</v>
      </c>
      <c r="E7805" s="2" t="str">
        <f>IFERROR(__xludf.DUMMYFUNCTION("IFERROR(VLOOKUP(A7805, IMPORTRANGE(""https://docs.google.com/spreadsheets/d/1-3Vjw2Cyy-mry5gbC8ypIR3YVGFfEpyFESummAta6sg/edit"", ""Sheet1!B:D""), 3, FALSE), ""Not Found"")"),"g r ɪ n ɪ ŋ ")</f>
        <v>g r ɪ n ɪ ŋ </v>
      </c>
    </row>
    <row r="7806">
      <c r="A7806" s="1" t="s">
        <v>7808</v>
      </c>
      <c r="B7806" s="1" t="s">
        <v>6138</v>
      </c>
      <c r="C7806" s="2">
        <f>IFERROR(__xludf.DUMMYFUNCTION("IFERROR(VLOOKUP(A7806, IMPORTRANGE(""https://docs.google.com/spreadsheets/d/1AVX9GT0dgogEBStecCXMMQ29tWz3gBrtNB8yIromXbY/edit?gid=741673867"", ""out1g!A:B""), 2, FALSE), 0)"),54.0)</f>
        <v>54</v>
      </c>
      <c r="D7806" s="2" t="str">
        <f>IFERROR(__xludf.DUMMYFUNCTION("IFERROR(VLOOKUP(A7806, IMPORTRANGE(""https://docs.google.com/spreadsheets/d/1-3Vjw2Cyy-mry5gbC8ypIR3YVGFfEpyFESummAta6sg/edit"", ""Sheet1!B:D""), 2, FALSE), ""Not Found"")"),"grænɪŋ")</f>
        <v>grænɪŋ</v>
      </c>
      <c r="E7806" s="2" t="str">
        <f>IFERROR(__xludf.DUMMYFUNCTION("IFERROR(VLOOKUP(A7806, IMPORTRANGE(""https://docs.google.com/spreadsheets/d/1-3Vjw2Cyy-mry5gbC8ypIR3YVGFfEpyFESummAta6sg/edit"", ""Sheet1!B:D""), 3, FALSE), ""Not Found"")"),"g r æ n ɪ ŋ ")</f>
        <v>g r æ n ɪ ŋ </v>
      </c>
    </row>
    <row r="7807">
      <c r="A7807" s="1" t="s">
        <v>7809</v>
      </c>
      <c r="B7807" s="1" t="s">
        <v>6138</v>
      </c>
      <c r="C7807" s="2">
        <f>IFERROR(__xludf.DUMMYFUNCTION("IFERROR(VLOOKUP(A7807, IMPORTRANGE(""https://docs.google.com/spreadsheets/d/1AVX9GT0dgogEBStecCXMMQ29tWz3gBrtNB8yIromXbY/edit?gid=741673867"", ""out1g!A:B""), 2, FALSE), 0)"),46.0)</f>
        <v>46</v>
      </c>
      <c r="D7807" s="2" t="str">
        <f>IFERROR(__xludf.DUMMYFUNCTION("IFERROR(VLOOKUP(A7807, IMPORTRANGE(""https://docs.google.com/spreadsheets/d/1-3Vjw2Cyy-mry5gbC8ypIR3YVGFfEpyFESummAta6sg/edit"", ""Sheet1!B:D""), 2, FALSE), ""Not Found"")"),"friɪŋ")</f>
        <v>friɪŋ</v>
      </c>
      <c r="E7807" s="2" t="str">
        <f>IFERROR(__xludf.DUMMYFUNCTION("IFERROR(VLOOKUP(A7807, IMPORTRANGE(""https://docs.google.com/spreadsheets/d/1-3Vjw2Cyy-mry5gbC8ypIR3YVGFfEpyFESummAta6sg/edit"", ""Sheet1!B:D""), 3, FALSE), ""Not Found"")"),"f r i ɪ ŋ ")</f>
        <v>f r i ɪ ŋ </v>
      </c>
    </row>
    <row r="7808">
      <c r="A7808" s="1" t="s">
        <v>7810</v>
      </c>
      <c r="B7808" s="1" t="s">
        <v>6138</v>
      </c>
      <c r="C7808" s="2">
        <f>IFERROR(__xludf.DUMMYFUNCTION("IFERROR(VLOOKUP(A7808, IMPORTRANGE(""https://docs.google.com/spreadsheets/d/1AVX9GT0dgogEBStecCXMMQ29tWz3gBrtNB8yIromXbY/edit?gid=741673867"", ""out1g!A:B""), 2, FALSE), 0)"),55.0)</f>
        <v>55</v>
      </c>
      <c r="D7808" s="2" t="str">
        <f>IFERROR(__xludf.DUMMYFUNCTION("IFERROR(VLOOKUP(A7808, IMPORTRANGE(""https://docs.google.com/spreadsheets/d/1-3Vjw2Cyy-mry5gbC8ypIR3YVGFfEpyFESummAta6sg/edit"", ""Sheet1!B:D""), 2, FALSE), ""Not Found"")"),"ɑrti")</f>
        <v>ɑrti</v>
      </c>
      <c r="E7808" s="2" t="str">
        <f>IFERROR(__xludf.DUMMYFUNCTION("IFERROR(VLOOKUP(A7808, IMPORTRANGE(""https://docs.google.com/spreadsheets/d/1-3Vjw2Cyy-mry5gbC8ypIR3YVGFfEpyFESummAta6sg/edit"", ""Sheet1!B:D""), 3, FALSE), ""Not Found"")"),"ɑ r t i ")</f>
        <v>ɑ r t i </v>
      </c>
    </row>
    <row r="7809">
      <c r="A7809" s="1" t="s">
        <v>7811</v>
      </c>
      <c r="B7809" s="1" t="s">
        <v>6138</v>
      </c>
      <c r="C7809" s="2">
        <f>IFERROR(__xludf.DUMMYFUNCTION("IFERROR(VLOOKUP(A7809, IMPORTRANGE(""https://docs.google.com/spreadsheets/d/1AVX9GT0dgogEBStecCXMMQ29tWz3gBrtNB8yIromXbY/edit?gid=741673867"", ""out1g!A:B""), 2, FALSE), 0)"),71.0)</f>
        <v>71</v>
      </c>
      <c r="D7809" s="2" t="str">
        <f>IFERROR(__xludf.DUMMYFUNCTION("IFERROR(VLOOKUP(A7809, IMPORTRANGE(""https://docs.google.com/spreadsheets/d/1-3Vjw2Cyy-mry5gbC8ypIR3YVGFfEpyFESummAta6sg/edit"", ""Sheet1!B:D""), 2, FALSE), ""Not Found"")"),"aɪbraʊ")</f>
        <v>aɪbraʊ</v>
      </c>
      <c r="E7809" s="2" t="str">
        <f>IFERROR(__xludf.DUMMYFUNCTION("IFERROR(VLOOKUP(A7809, IMPORTRANGE(""https://docs.google.com/spreadsheets/d/1-3Vjw2Cyy-mry5gbC8ypIR3YVGFfEpyFESummAta6sg/edit"", ""Sheet1!B:D""), 3, FALSE), ""Not Found"")"),"a ɪ b r a ʊ ")</f>
        <v>a ɪ b r a ʊ </v>
      </c>
    </row>
    <row r="7810">
      <c r="A7810" s="1" t="s">
        <v>7812</v>
      </c>
      <c r="B7810" s="1" t="s">
        <v>6138</v>
      </c>
      <c r="C7810" s="2">
        <f>IFERROR(__xludf.DUMMYFUNCTION("IFERROR(VLOOKUP(A7810, IMPORTRANGE(""https://docs.google.com/spreadsheets/d/1AVX9GT0dgogEBStecCXMMQ29tWz3gBrtNB8yIromXbY/edit?gid=741673867"", ""out1g!A:B""), 2, FALSE), 0)"),240.0)</f>
        <v>240</v>
      </c>
      <c r="D7810" s="2" t="str">
        <f>IFERROR(__xludf.DUMMYFUNCTION("IFERROR(VLOOKUP(A7810, IMPORTRANGE(""https://docs.google.com/spreadsheets/d/1-3Vjw2Cyy-mry5gbC8ypIR3YVGFfEpyFESummAta6sg/edit"", ""Sheet1!B:D""), 2, FALSE), ""Not Found"")"),"jæŋk")</f>
        <v>jæŋk</v>
      </c>
      <c r="E7810" s="2" t="str">
        <f>IFERROR(__xludf.DUMMYFUNCTION("IFERROR(VLOOKUP(A7810, IMPORTRANGE(""https://docs.google.com/spreadsheets/d/1-3Vjw2Cyy-mry5gbC8ypIR3YVGFfEpyFESummAta6sg/edit"", ""Sheet1!B:D""), 3, FALSE), ""Not Found"")"),"j æ ŋ k ")</f>
        <v>j æ ŋ k </v>
      </c>
    </row>
    <row r="7811">
      <c r="A7811" s="1" t="s">
        <v>7813</v>
      </c>
      <c r="B7811" s="1" t="s">
        <v>6138</v>
      </c>
      <c r="C7811" s="2">
        <f>IFERROR(__xludf.DUMMYFUNCTION("IFERROR(VLOOKUP(A7811, IMPORTRANGE(""https://docs.google.com/spreadsheets/d/1AVX9GT0dgogEBStecCXMMQ29tWz3gBrtNB8yIromXbY/edit?gid=741673867"", ""out1g!A:B""), 2, FALSE), 0)"),3198.0)</f>
        <v>3198</v>
      </c>
      <c r="D7811" s="2" t="str">
        <f>IFERROR(__xludf.DUMMYFUNCTION("IFERROR(VLOOKUP(A7811, IMPORTRANGE(""https://docs.google.com/spreadsheets/d/1-3Vjw2Cyy-mry5gbC8ypIR3YVGFfEpyFESummAta6sg/edit"", ""Sheet1!B:D""), 2, FALSE), ""Not Found"")"),"dəbəl")</f>
        <v>dəbəl</v>
      </c>
      <c r="E7811" s="2" t="str">
        <f>IFERROR(__xludf.DUMMYFUNCTION("IFERROR(VLOOKUP(A7811, IMPORTRANGE(""https://docs.google.com/spreadsheets/d/1-3Vjw2Cyy-mry5gbC8ypIR3YVGFfEpyFESummAta6sg/edit"", ""Sheet1!B:D""), 3, FALSE), ""Not Found"")"),"d ə b ə l ")</f>
        <v>d ə b ə l </v>
      </c>
    </row>
    <row r="7812">
      <c r="A7812" s="1" t="s">
        <v>7814</v>
      </c>
      <c r="B7812" s="1" t="s">
        <v>6138</v>
      </c>
      <c r="C7812" s="2">
        <f>IFERROR(__xludf.DUMMYFUNCTION("IFERROR(VLOOKUP(A7812, IMPORTRANGE(""https://docs.google.com/spreadsheets/d/1AVX9GT0dgogEBStecCXMMQ29tWz3gBrtNB8yIromXbY/edit?gid=741673867"", ""out1g!A:B""), 2, FALSE), 0)"),116.0)</f>
        <v>116</v>
      </c>
      <c r="D7812" s="2" t="str">
        <f>IFERROR(__xludf.DUMMYFUNCTION("IFERROR(VLOOKUP(A7812, IMPORTRANGE(""https://docs.google.com/spreadsheets/d/1-3Vjw2Cyy-mry5gbC8ypIR3YVGFfEpyFESummAta6sg/edit"", ""Sheet1!B:D""), 2, FALSE), ""Not Found"")"),"ku")</f>
        <v>ku</v>
      </c>
      <c r="E7812" s="2" t="str">
        <f>IFERROR(__xludf.DUMMYFUNCTION("IFERROR(VLOOKUP(A7812, IMPORTRANGE(""https://docs.google.com/spreadsheets/d/1-3Vjw2Cyy-mry5gbC8ypIR3YVGFfEpyFESummAta6sg/edit"", ""Sheet1!B:D""), 3, FALSE), ""Not Found"")"),"k u ")</f>
        <v>k u </v>
      </c>
    </row>
    <row r="7813">
      <c r="A7813" s="1" t="s">
        <v>7815</v>
      </c>
      <c r="B7813" s="1" t="s">
        <v>6138</v>
      </c>
      <c r="C7813" s="2">
        <f>IFERROR(__xludf.DUMMYFUNCTION("IFERROR(VLOOKUP(A7813, IMPORTRANGE(""https://docs.google.com/spreadsheets/d/1AVX9GT0dgogEBStecCXMMQ29tWz3gBrtNB8yIromXbY/edit?gid=741673867"", ""out1g!A:B""), 2, FALSE), 0)"),1644.0)</f>
        <v>1644</v>
      </c>
      <c r="D7813" s="2" t="str">
        <f>IFERROR(__xludf.DUMMYFUNCTION("IFERROR(VLOOKUP(A7813, IMPORTRANGE(""https://docs.google.com/spreadsheets/d/1-3Vjw2Cyy-mry5gbC8ypIR3YVGFfEpyFESummAta6sg/edit"", ""Sheet1!B:D""), 2, FALSE), ""Not Found"")"),"lɛsən")</f>
        <v>lɛsən</v>
      </c>
      <c r="E7813" s="2" t="str">
        <f>IFERROR(__xludf.DUMMYFUNCTION("IFERROR(VLOOKUP(A7813, IMPORTRANGE(""https://docs.google.com/spreadsheets/d/1-3Vjw2Cyy-mry5gbC8ypIR3YVGFfEpyFESummAta6sg/edit"", ""Sheet1!B:D""), 3, FALSE), ""Not Found"")"),"l ɛ s ə n ")</f>
        <v>l ɛ s ə n </v>
      </c>
    </row>
    <row r="7814">
      <c r="A7814" s="1" t="s">
        <v>7816</v>
      </c>
      <c r="B7814" s="1" t="s">
        <v>6138</v>
      </c>
      <c r="C7814" s="2">
        <f>IFERROR(__xludf.DUMMYFUNCTION("IFERROR(VLOOKUP(A7814, IMPORTRANGE(""https://docs.google.com/spreadsheets/d/1AVX9GT0dgogEBStecCXMMQ29tWz3gBrtNB8yIromXbY/edit?gid=741673867"", ""out1g!A:B""), 2, FALSE), 0)"),98.0)</f>
        <v>98</v>
      </c>
      <c r="D7814" s="2" t="str">
        <f>IFERROR(__xludf.DUMMYFUNCTION("IFERROR(VLOOKUP(A7814, IMPORTRANGE(""https://docs.google.com/spreadsheets/d/1-3Vjw2Cyy-mry5gbC8ypIR3YVGFfEpyFESummAta6sg/edit"", ""Sheet1!B:D""), 2, FALSE), ""Not Found"")"),"dɪsɛnd")</f>
        <v>dɪsɛnd</v>
      </c>
      <c r="E7814" s="2" t="str">
        <f>IFERROR(__xludf.DUMMYFUNCTION("IFERROR(VLOOKUP(A7814, IMPORTRANGE(""https://docs.google.com/spreadsheets/d/1-3Vjw2Cyy-mry5gbC8ypIR3YVGFfEpyFESummAta6sg/edit"", ""Sheet1!B:D""), 3, FALSE), ""Not Found"")"),"d ɪ s ɛ n d ")</f>
        <v>d ɪ s ɛ n d </v>
      </c>
    </row>
    <row r="7815">
      <c r="A7815" s="1" t="s">
        <v>7817</v>
      </c>
      <c r="B7815" s="1" t="s">
        <v>6138</v>
      </c>
      <c r="C7815" s="2">
        <f>IFERROR(__xludf.DUMMYFUNCTION("IFERROR(VLOOKUP(A7815, IMPORTRANGE(""https://docs.google.com/spreadsheets/d/1AVX9GT0dgogEBStecCXMMQ29tWz3gBrtNB8yIromXbY/edit?gid=741673867"", ""out1g!A:B""), 2, FALSE), 0)"),862.0)</f>
        <v>862</v>
      </c>
      <c r="D7815" s="2" t="str">
        <f>IFERROR(__xludf.DUMMYFUNCTION("IFERROR(VLOOKUP(A7815, IMPORTRANGE(""https://docs.google.com/spreadsheets/d/1-3Vjw2Cyy-mry5gbC8ypIR3YVGFfEpyFESummAta6sg/edit"", ""Sheet1!B:D""), 2, FALSE), ""Not Found"")"),"bækəp")</f>
        <v>bækəp</v>
      </c>
      <c r="E7815" s="2" t="str">
        <f>IFERROR(__xludf.DUMMYFUNCTION("IFERROR(VLOOKUP(A7815, IMPORTRANGE(""https://docs.google.com/spreadsheets/d/1-3Vjw2Cyy-mry5gbC8ypIR3YVGFfEpyFESummAta6sg/edit"", ""Sheet1!B:D""), 3, FALSE), ""Not Found"")"),"b æ k ə p ")</f>
        <v>b æ k ə p </v>
      </c>
    </row>
    <row r="7816">
      <c r="A7816" s="1" t="s">
        <v>7818</v>
      </c>
      <c r="B7816" s="1" t="s">
        <v>6138</v>
      </c>
      <c r="C7816" s="2">
        <f>IFERROR(__xludf.DUMMYFUNCTION("IFERROR(VLOOKUP(A7816, IMPORTRANGE(""https://docs.google.com/spreadsheets/d/1AVX9GT0dgogEBStecCXMMQ29tWz3gBrtNB8yIromXbY/edit?gid=741673867"", ""out1g!A:B""), 2, FALSE), 0)"),132.0)</f>
        <v>132</v>
      </c>
      <c r="D7816" s="2" t="str">
        <f>IFERROR(__xludf.DUMMYFUNCTION("IFERROR(VLOOKUP(A7816, IMPORTRANGE(""https://docs.google.com/spreadsheets/d/1-3Vjw2Cyy-mry5gbC8ypIR3YVGFfEpyFESummAta6sg/edit"", ""Sheet1!B:D""), 2, FALSE), ""Not Found"")"),"tʊrz")</f>
        <v>tʊrz</v>
      </c>
      <c r="E7816" s="2" t="str">
        <f>IFERROR(__xludf.DUMMYFUNCTION("IFERROR(VLOOKUP(A7816, IMPORTRANGE(""https://docs.google.com/spreadsheets/d/1-3Vjw2Cyy-mry5gbC8ypIR3YVGFfEpyFESummAta6sg/edit"", ""Sheet1!B:D""), 3, FALSE), ""Not Found"")"),"t ʊ r z ")</f>
        <v>t ʊ r z </v>
      </c>
    </row>
    <row r="7817">
      <c r="A7817" s="1" t="s">
        <v>7819</v>
      </c>
      <c r="B7817" s="1" t="s">
        <v>6138</v>
      </c>
      <c r="C7817" s="2">
        <f>IFERROR(__xludf.DUMMYFUNCTION("IFERROR(VLOOKUP(A7817, IMPORTRANGE(""https://docs.google.com/spreadsheets/d/1AVX9GT0dgogEBStecCXMMQ29tWz3gBrtNB8yIromXbY/edit?gid=741673867"", ""out1g!A:B""), 2, FALSE), 0)"),523.0)</f>
        <v>523</v>
      </c>
      <c r="D7817" s="2" t="str">
        <f>IFERROR(__xludf.DUMMYFUNCTION("IFERROR(VLOOKUP(A7817, IMPORTRANGE(""https://docs.google.com/spreadsheets/d/1-3Vjw2Cyy-mry5gbC8ypIR3YVGFfEpyFESummAta6sg/edit"", ""Sheet1!B:D""), 2, FALSE), ""Not Found"")"),"əbjuz")</f>
        <v>əbjuz</v>
      </c>
      <c r="E7817" s="2" t="str">
        <f>IFERROR(__xludf.DUMMYFUNCTION("IFERROR(VLOOKUP(A7817, IMPORTRANGE(""https://docs.google.com/spreadsheets/d/1-3Vjw2Cyy-mry5gbC8ypIR3YVGFfEpyFESummAta6sg/edit"", ""Sheet1!B:D""), 3, FALSE), ""Not Found"")"),"ə b j u z ")</f>
        <v>ə b j u z </v>
      </c>
    </row>
    <row r="7818">
      <c r="A7818" s="1" t="s">
        <v>7820</v>
      </c>
      <c r="B7818" s="1" t="s">
        <v>6138</v>
      </c>
      <c r="C7818" s="2">
        <f>IFERROR(__xludf.DUMMYFUNCTION("IFERROR(VLOOKUP(A7818, IMPORTRANGE(""https://docs.google.com/spreadsheets/d/1AVX9GT0dgogEBStecCXMMQ29tWz3gBrtNB8yIromXbY/edit?gid=741673867"", ""out1g!A:B""), 2, FALSE), 0)"),2310.0)</f>
        <v>2310</v>
      </c>
      <c r="D7818" s="2" t="str">
        <f>IFERROR(__xludf.DUMMYFUNCTION("IFERROR(VLOOKUP(A7818, IMPORTRANGE(""https://docs.google.com/spreadsheets/d/1-3Vjw2Cyy-mry5gbC8ypIR3YVGFfEpyFESummAta6sg/edit"", ""Sheet1!B:D""), 2, FALSE), ""Not Found"")"),"fɑloʊɪŋ")</f>
        <v>fɑloʊɪŋ</v>
      </c>
      <c r="E7818" s="2" t="str">
        <f>IFERROR(__xludf.DUMMYFUNCTION("IFERROR(VLOOKUP(A7818, IMPORTRANGE(""https://docs.google.com/spreadsheets/d/1-3Vjw2Cyy-mry5gbC8ypIR3YVGFfEpyFESummAta6sg/edit"", ""Sheet1!B:D""), 3, FALSE), ""Not Found"")"),"f ɑ l o ʊ ɪ ŋ ")</f>
        <v>f ɑ l o ʊ ɪ ŋ </v>
      </c>
    </row>
    <row r="7819">
      <c r="A7819" s="1" t="s">
        <v>7821</v>
      </c>
      <c r="B7819" s="1" t="s">
        <v>6138</v>
      </c>
      <c r="C7819" s="2">
        <f>IFERROR(__xludf.DUMMYFUNCTION("IFERROR(VLOOKUP(A7819, IMPORTRANGE(""https://docs.google.com/spreadsheets/d/1AVX9GT0dgogEBStecCXMMQ29tWz3gBrtNB8yIromXbY/edit?gid=741673867"", ""out1g!A:B""), 2, FALSE), 0)"),101.0)</f>
        <v>101</v>
      </c>
      <c r="D7819" s="2" t="str">
        <f>IFERROR(__xludf.DUMMYFUNCTION("IFERROR(VLOOKUP(A7819, IMPORTRANGE(""https://docs.google.com/spreadsheets/d/1-3Vjw2Cyy-mry5gbC8ypIR3YVGFfEpyFESummAta6sg/edit"", ""Sheet1!B:D""), 2, FALSE), ""Not Found"")"),"floʊts")</f>
        <v>floʊts</v>
      </c>
      <c r="E7819" s="2" t="str">
        <f>IFERROR(__xludf.DUMMYFUNCTION("IFERROR(VLOOKUP(A7819, IMPORTRANGE(""https://docs.google.com/spreadsheets/d/1-3Vjw2Cyy-mry5gbC8ypIR3YVGFfEpyFESummAta6sg/edit"", ""Sheet1!B:D""), 3, FALSE), ""Not Found"")"),"f l o ʊ t s ")</f>
        <v>f l o ʊ t s </v>
      </c>
    </row>
    <row r="7820">
      <c r="A7820" s="1" t="s">
        <v>7822</v>
      </c>
      <c r="B7820" s="1" t="s">
        <v>6138</v>
      </c>
      <c r="C7820" s="2">
        <f>IFERROR(__xludf.DUMMYFUNCTION("IFERROR(VLOOKUP(A7820, IMPORTRANGE(""https://docs.google.com/spreadsheets/d/1AVX9GT0dgogEBStecCXMMQ29tWz3gBrtNB8yIromXbY/edit?gid=741673867"", ""out1g!A:B""), 2, FALSE), 0)"),128.0)</f>
        <v>128</v>
      </c>
      <c r="D7820" s="2" t="str">
        <f>IFERROR(__xludf.DUMMYFUNCTION("IFERROR(VLOOKUP(A7820, IMPORTRANGE(""https://docs.google.com/spreadsheets/d/1-3Vjw2Cyy-mry5gbC8ypIR3YVGFfEpyFESummAta6sg/edit"", ""Sheet1!B:D""), 2, FALSE), ""Not Found"")"),"fɛlən")</f>
        <v>fɛlən</v>
      </c>
      <c r="E7820" s="2" t="str">
        <f>IFERROR(__xludf.DUMMYFUNCTION("IFERROR(VLOOKUP(A7820, IMPORTRANGE(""https://docs.google.com/spreadsheets/d/1-3Vjw2Cyy-mry5gbC8ypIR3YVGFfEpyFESummAta6sg/edit"", ""Sheet1!B:D""), 3, FALSE), ""Not Found"")"),"f ɛ l ə n ")</f>
        <v>f ɛ l ə n </v>
      </c>
    </row>
    <row r="7821">
      <c r="A7821" s="1" t="s">
        <v>7823</v>
      </c>
      <c r="B7821" s="1" t="s">
        <v>6138</v>
      </c>
      <c r="C7821" s="2">
        <f>IFERROR(__xludf.DUMMYFUNCTION("IFERROR(VLOOKUP(A7821, IMPORTRANGE(""https://docs.google.com/spreadsheets/d/1AVX9GT0dgogEBStecCXMMQ29tWz3gBrtNB8yIromXbY/edit?gid=741673867"", ""out1g!A:B""), 2, FALSE), 0)"),358.0)</f>
        <v>358</v>
      </c>
      <c r="D7821" s="2" t="str">
        <f>IFERROR(__xludf.DUMMYFUNCTION("IFERROR(VLOOKUP(A7821, IMPORTRANGE(""https://docs.google.com/spreadsheets/d/1-3Vjw2Cyy-mry5gbC8ypIR3YVGFfEpyFESummAta6sg/edit"", ""Sheet1!B:D""), 2, FALSE), ""Not Found"")"),"gɑrdiən")</f>
        <v>gɑrdiən</v>
      </c>
      <c r="E7821" s="2" t="str">
        <f>IFERROR(__xludf.DUMMYFUNCTION("IFERROR(VLOOKUP(A7821, IMPORTRANGE(""https://docs.google.com/spreadsheets/d/1-3Vjw2Cyy-mry5gbC8ypIR3YVGFfEpyFESummAta6sg/edit"", ""Sheet1!B:D""), 3, FALSE), ""Not Found"")"),"g ɑ r d i ə n ")</f>
        <v>g ɑ r d i ə n </v>
      </c>
    </row>
    <row r="7822">
      <c r="A7822" s="1" t="s">
        <v>7824</v>
      </c>
      <c r="B7822" s="1" t="s">
        <v>6138</v>
      </c>
      <c r="C7822" s="2">
        <f>IFERROR(__xludf.DUMMYFUNCTION("IFERROR(VLOOKUP(A7822, IMPORTRANGE(""https://docs.google.com/spreadsheets/d/1AVX9GT0dgogEBStecCXMMQ29tWz3gBrtNB8yIromXbY/edit?gid=741673867"", ""out1g!A:B""), 2, FALSE), 0)"),94.0)</f>
        <v>94</v>
      </c>
      <c r="D7822" s="2" t="str">
        <f>IFERROR(__xludf.DUMMYFUNCTION("IFERROR(VLOOKUP(A7822, IMPORTRANGE(""https://docs.google.com/spreadsheets/d/1-3Vjw2Cyy-mry5gbC8ypIR3YVGFfEpyFESummAta6sg/edit"", ""Sheet1!B:D""), 2, FALSE), ""Not Found"")"),"bəmpɪŋ")</f>
        <v>bəmpɪŋ</v>
      </c>
      <c r="E7822" s="2" t="str">
        <f>IFERROR(__xludf.DUMMYFUNCTION("IFERROR(VLOOKUP(A7822, IMPORTRANGE(""https://docs.google.com/spreadsheets/d/1-3Vjw2Cyy-mry5gbC8ypIR3YVGFfEpyFESummAta6sg/edit"", ""Sheet1!B:D""), 3, FALSE), ""Not Found"")"),"b ə m p ɪ ŋ ")</f>
        <v>b ə m p ɪ ŋ </v>
      </c>
    </row>
    <row r="7823">
      <c r="A7823" s="1" t="s">
        <v>7825</v>
      </c>
      <c r="B7823" s="1" t="s">
        <v>6138</v>
      </c>
      <c r="C7823" s="2">
        <f>IFERROR(__xludf.DUMMYFUNCTION("IFERROR(VLOOKUP(A7823, IMPORTRANGE(""https://docs.google.com/spreadsheets/d/1AVX9GT0dgogEBStecCXMMQ29tWz3gBrtNB8yIromXbY/edit?gid=741673867"", ""out1g!A:B""), 2, FALSE), 0)"),194.0)</f>
        <v>194</v>
      </c>
      <c r="D7823" s="2" t="str">
        <f>IFERROR(__xludf.DUMMYFUNCTION("IFERROR(VLOOKUP(A7823, IMPORTRANGE(""https://docs.google.com/spreadsheets/d/1-3Vjw2Cyy-mry5gbC8ypIR3YVGFfEpyFESummAta6sg/edit"", ""Sheet1!B:D""), 2, FALSE), ""Not Found"")"),"stɔlɪŋ")</f>
        <v>stɔlɪŋ</v>
      </c>
      <c r="E7823" s="2" t="str">
        <f>IFERROR(__xludf.DUMMYFUNCTION("IFERROR(VLOOKUP(A7823, IMPORTRANGE(""https://docs.google.com/spreadsheets/d/1-3Vjw2Cyy-mry5gbC8ypIR3YVGFfEpyFESummAta6sg/edit"", ""Sheet1!B:D""), 3, FALSE), ""Not Found"")"),"s t ɔ l ɪ ŋ ")</f>
        <v>s t ɔ l ɪ ŋ </v>
      </c>
    </row>
    <row r="7824">
      <c r="A7824" s="1" t="s">
        <v>7826</v>
      </c>
      <c r="B7824" s="1" t="s">
        <v>6138</v>
      </c>
      <c r="C7824" s="2">
        <f>IFERROR(__xludf.DUMMYFUNCTION("IFERROR(VLOOKUP(A7824, IMPORTRANGE(""https://docs.google.com/spreadsheets/d/1AVX9GT0dgogEBStecCXMMQ29tWz3gBrtNB8yIromXbY/edit?gid=741673867"", ""out1g!A:B""), 2, FALSE), 0)"),458.0)</f>
        <v>458</v>
      </c>
      <c r="D7824" s="2" t="str">
        <f>IFERROR(__xludf.DUMMYFUNCTION("IFERROR(VLOOKUP(A7824, IMPORTRANGE(""https://docs.google.com/spreadsheets/d/1-3Vjw2Cyy-mry5gbC8ypIR3YVGFfEpyFESummAta6sg/edit"", ""Sheet1!B:D""), 2, FALSE), ""Not Found"")"),"kɔrənər")</f>
        <v>kɔrənər</v>
      </c>
      <c r="E7824" s="2" t="str">
        <f>IFERROR(__xludf.DUMMYFUNCTION("IFERROR(VLOOKUP(A7824, IMPORTRANGE(""https://docs.google.com/spreadsheets/d/1-3Vjw2Cyy-mry5gbC8ypIR3YVGFfEpyFESummAta6sg/edit"", ""Sheet1!B:D""), 3, FALSE), ""Not Found"")"),"k ɔ r ə n ə r ")</f>
        <v>k ɔ r ə n ə r </v>
      </c>
    </row>
    <row r="7825">
      <c r="A7825" s="1" t="s">
        <v>7827</v>
      </c>
      <c r="B7825" s="1" t="s">
        <v>6138</v>
      </c>
      <c r="C7825" s="2">
        <f>IFERROR(__xludf.DUMMYFUNCTION("IFERROR(VLOOKUP(A7825, IMPORTRANGE(""https://docs.google.com/spreadsheets/d/1AVX9GT0dgogEBStecCXMMQ29tWz3gBrtNB8yIromXbY/edit?gid=741673867"", ""out1g!A:B""), 2, FALSE), 0)"),235.0)</f>
        <v>235</v>
      </c>
      <c r="D7825" s="2" t="str">
        <f>IFERROR(__xludf.DUMMYFUNCTION("IFERROR(VLOOKUP(A7825, IMPORTRANGE(""https://docs.google.com/spreadsheets/d/1-3Vjw2Cyy-mry5gbC8ypIR3YVGFfEpyFESummAta6sg/edit"", ""Sheet1!B:D""), 2, FALSE), ""Not Found"")"),"sɛʃənz")</f>
        <v>sɛʃənz</v>
      </c>
      <c r="E7825" s="2" t="str">
        <f>IFERROR(__xludf.DUMMYFUNCTION("IFERROR(VLOOKUP(A7825, IMPORTRANGE(""https://docs.google.com/spreadsheets/d/1-3Vjw2Cyy-mry5gbC8ypIR3YVGFfEpyFESummAta6sg/edit"", ""Sheet1!B:D""), 3, FALSE), ""Not Found"")"),"s ɛ ʃ ə n z ")</f>
        <v>s ɛ ʃ ə n z </v>
      </c>
    </row>
    <row r="7826">
      <c r="A7826" s="1" t="s">
        <v>7828</v>
      </c>
      <c r="B7826" s="1" t="s">
        <v>6138</v>
      </c>
      <c r="C7826" s="2">
        <f>IFERROR(__xludf.DUMMYFUNCTION("IFERROR(VLOOKUP(A7826, IMPORTRANGE(""https://docs.google.com/spreadsheets/d/1AVX9GT0dgogEBStecCXMMQ29tWz3gBrtNB8yIromXbY/edit?gid=741673867"", ""out1g!A:B""), 2, FALSE), 0)"),1821.0)</f>
        <v>1821</v>
      </c>
      <c r="D7826" s="2" t="str">
        <f>IFERROR(__xludf.DUMMYFUNCTION("IFERROR(VLOOKUP(A7826, IMPORTRANGE(""https://docs.google.com/spreadsheets/d/1-3Vjw2Cyy-mry5gbC8ypIR3YVGFfEpyFESummAta6sg/edit"", ""Sheet1!B:D""), 2, FALSE), ""Not Found"")"),"ligəl")</f>
        <v>ligəl</v>
      </c>
      <c r="E7826" s="2" t="str">
        <f>IFERROR(__xludf.DUMMYFUNCTION("IFERROR(VLOOKUP(A7826, IMPORTRANGE(""https://docs.google.com/spreadsheets/d/1-3Vjw2Cyy-mry5gbC8ypIR3YVGFfEpyFESummAta6sg/edit"", ""Sheet1!B:D""), 3, FALSE), ""Not Found"")"),"l i g ə l ")</f>
        <v>l i g ə l </v>
      </c>
    </row>
    <row r="7827">
      <c r="A7827" s="1" t="s">
        <v>7829</v>
      </c>
      <c r="B7827" s="1" t="s">
        <v>6138</v>
      </c>
      <c r="C7827" s="2">
        <f>IFERROR(__xludf.DUMMYFUNCTION("IFERROR(VLOOKUP(A7827, IMPORTRANGE(""https://docs.google.com/spreadsheets/d/1AVX9GT0dgogEBStecCXMMQ29tWz3gBrtNB8yIromXbY/edit?gid=741673867"", ""out1g!A:B""), 2, FALSE), 0)"),562.0)</f>
        <v>562</v>
      </c>
      <c r="D7827" s="2" t="str">
        <f>IFERROR(__xludf.DUMMYFUNCTION("IFERROR(VLOOKUP(A7827, IMPORTRANGE(""https://docs.google.com/spreadsheets/d/1-3Vjw2Cyy-mry5gbC8ypIR3YVGFfEpyFESummAta6sg/edit"", ""Sheet1!B:D""), 2, FALSE), ""Not Found"")"),"hɑrbər")</f>
        <v>hɑrbər</v>
      </c>
      <c r="E7827" s="2" t="str">
        <f>IFERROR(__xludf.DUMMYFUNCTION("IFERROR(VLOOKUP(A7827, IMPORTRANGE(""https://docs.google.com/spreadsheets/d/1-3Vjw2Cyy-mry5gbC8ypIR3YVGFfEpyFESummAta6sg/edit"", ""Sheet1!B:D""), 3, FALSE), ""Not Found"")"),"h ɑ r b ə r ")</f>
        <v>h ɑ r b ə r </v>
      </c>
    </row>
    <row r="7828">
      <c r="A7828" s="2" t="str">
        <f>IFERROR(__xludf.DUMMYFUNCTION("to_text(""true"")"),"true")</f>
        <v>true</v>
      </c>
      <c r="B7828" s="1" t="s">
        <v>6138</v>
      </c>
      <c r="C7828" s="2">
        <f>IFERROR(__xludf.DUMMYFUNCTION("IFERROR(VLOOKUP(A7828, IMPORTRANGE(""https://docs.google.com/spreadsheets/d/1AVX9GT0dgogEBStecCXMMQ29tWz3gBrtNB8yIromXbY/edit?gid=741673867"", ""out1g!A:B""), 2, FALSE), 0)"),12921.0)</f>
        <v>12921</v>
      </c>
      <c r="D7828" s="2" t="str">
        <f>IFERROR(__xludf.DUMMYFUNCTION("IFERROR(VLOOKUP(A7828, IMPORTRANGE(""https://docs.google.com/spreadsheets/d/1-3Vjw2Cyy-mry5gbC8ypIR3YVGFfEpyFESummAta6sg/edit"", ""Sheet1!B:D""), 2, FALSE), ""Not Found"")"),"tru")</f>
        <v>tru</v>
      </c>
      <c r="E7828" s="2" t="str">
        <f>IFERROR(__xludf.DUMMYFUNCTION("IFERROR(VLOOKUP(A7828, IMPORTRANGE(""https://docs.google.com/spreadsheets/d/1-3Vjw2Cyy-mry5gbC8ypIR3YVGFfEpyFESummAta6sg/edit"", ""Sheet1!B:D""), 3, FALSE), ""Not Found"")"),"t r u ")</f>
        <v>t r u </v>
      </c>
    </row>
    <row r="7829">
      <c r="A7829" s="1" t="s">
        <v>7830</v>
      </c>
      <c r="B7829" s="1" t="s">
        <v>6138</v>
      </c>
      <c r="C7829" s="2">
        <f>IFERROR(__xludf.DUMMYFUNCTION("IFERROR(VLOOKUP(A7829, IMPORTRANGE(""https://docs.google.com/spreadsheets/d/1AVX9GT0dgogEBStecCXMMQ29tWz3gBrtNB8yIromXbY/edit?gid=741673867"", ""out1g!A:B""), 2, FALSE), 0)"),1923.0)</f>
        <v>1923</v>
      </c>
      <c r="D7829" s="2" t="str">
        <f>IFERROR(__xludf.DUMMYFUNCTION("IFERROR(VLOOKUP(A7829, IMPORTRANGE(""https://docs.google.com/spreadsheets/d/1-3Vjw2Cyy-mry5gbC8ypIR3YVGFfEpyFESummAta6sg/edit"", ""Sheet1!B:D""), 2, FALSE), ""Not Found"")"),"hɛlən")</f>
        <v>hɛlən</v>
      </c>
      <c r="E7829" s="2" t="str">
        <f>IFERROR(__xludf.DUMMYFUNCTION("IFERROR(VLOOKUP(A7829, IMPORTRANGE(""https://docs.google.com/spreadsheets/d/1-3Vjw2Cyy-mry5gbC8ypIR3YVGFfEpyFESummAta6sg/edit"", ""Sheet1!B:D""), 3, FALSE), ""Not Found"")"),"h ɛ l ə n ")</f>
        <v>h ɛ l ə n </v>
      </c>
    </row>
    <row r="7830">
      <c r="A7830" s="1" t="s">
        <v>7831</v>
      </c>
      <c r="B7830" s="1" t="s">
        <v>6138</v>
      </c>
      <c r="C7830" s="2">
        <f>IFERROR(__xludf.DUMMYFUNCTION("IFERROR(VLOOKUP(A7830, IMPORTRANGE(""https://docs.google.com/spreadsheets/d/1AVX9GT0dgogEBStecCXMMQ29tWz3gBrtNB8yIromXbY/edit?gid=741673867"", ""out1g!A:B""), 2, FALSE), 0)"),75.0)</f>
        <v>75</v>
      </c>
      <c r="D7830" s="2" t="str">
        <f>IFERROR(__xludf.DUMMYFUNCTION("IFERROR(VLOOKUP(A7830, IMPORTRANGE(""https://docs.google.com/spreadsheets/d/1-3Vjw2Cyy-mry5gbC8ypIR3YVGFfEpyFESummAta6sg/edit"", ""Sheet1!B:D""), 2, FALSE), ""Not Found"")"),"moʊər")</f>
        <v>moʊər</v>
      </c>
      <c r="E7830" s="2" t="str">
        <f>IFERROR(__xludf.DUMMYFUNCTION("IFERROR(VLOOKUP(A7830, IMPORTRANGE(""https://docs.google.com/spreadsheets/d/1-3Vjw2Cyy-mry5gbC8ypIR3YVGFfEpyFESummAta6sg/edit"", ""Sheet1!B:D""), 3, FALSE), ""Not Found"")"),"m o ʊ ə r ")</f>
        <v>m o ʊ ə r </v>
      </c>
    </row>
    <row r="7831">
      <c r="A7831" s="1" t="s">
        <v>7832</v>
      </c>
      <c r="B7831" s="1" t="s">
        <v>6138</v>
      </c>
      <c r="C7831" s="2">
        <f>IFERROR(__xludf.DUMMYFUNCTION("IFERROR(VLOOKUP(A7831, IMPORTRANGE(""https://docs.google.com/spreadsheets/d/1AVX9GT0dgogEBStecCXMMQ29tWz3gBrtNB8yIromXbY/edit?gid=741673867"", ""out1g!A:B""), 2, FALSE), 0)"),92.0)</f>
        <v>92</v>
      </c>
      <c r="D7831" s="2" t="str">
        <f>IFERROR(__xludf.DUMMYFUNCTION("IFERROR(VLOOKUP(A7831, IMPORTRANGE(""https://docs.google.com/spreadsheets/d/1-3Vjw2Cyy-mry5gbC8ypIR3YVGFfEpyFESummAta6sg/edit"", ""Sheet1!B:D""), 2, FALSE), ""Not Found"")"),"pɛkər")</f>
        <v>pɛkər</v>
      </c>
      <c r="E7831" s="2" t="str">
        <f>IFERROR(__xludf.DUMMYFUNCTION("IFERROR(VLOOKUP(A7831, IMPORTRANGE(""https://docs.google.com/spreadsheets/d/1-3Vjw2Cyy-mry5gbC8ypIR3YVGFfEpyFESummAta6sg/edit"", ""Sheet1!B:D""), 3, FALSE), ""Not Found"")"),"p ɛ k ə r ")</f>
        <v>p ɛ k ə r </v>
      </c>
    </row>
    <row r="7832">
      <c r="A7832" s="1" t="s">
        <v>7833</v>
      </c>
      <c r="B7832" s="1" t="s">
        <v>6138</v>
      </c>
      <c r="C7832" s="2">
        <f>IFERROR(__xludf.DUMMYFUNCTION("IFERROR(VLOOKUP(A7832, IMPORTRANGE(""https://docs.google.com/spreadsheets/d/1AVX9GT0dgogEBStecCXMMQ29tWz3gBrtNB8yIromXbY/edit?gid=741673867"", ""out1g!A:B""), 2, FALSE), 0)"),608.0)</f>
        <v>608</v>
      </c>
      <c r="D7832" s="2" t="str">
        <f>IFERROR(__xludf.DUMMYFUNCTION("IFERROR(VLOOKUP(A7832, IMPORTRANGE(""https://docs.google.com/spreadsheets/d/1-3Vjw2Cyy-mry5gbC8ypIR3YVGFfEpyFESummAta6sg/edit"", ""Sheet1!B:D""), 2, FALSE), ""Not Found"")"),"nidəl")</f>
        <v>nidəl</v>
      </c>
      <c r="E7832" s="2" t="str">
        <f>IFERROR(__xludf.DUMMYFUNCTION("IFERROR(VLOOKUP(A7832, IMPORTRANGE(""https://docs.google.com/spreadsheets/d/1-3Vjw2Cyy-mry5gbC8ypIR3YVGFfEpyFESummAta6sg/edit"", ""Sheet1!B:D""), 3, FALSE), ""Not Found"")"),"n i d ə l ")</f>
        <v>n i d ə l </v>
      </c>
    </row>
    <row r="7833">
      <c r="A7833" s="1" t="s">
        <v>7834</v>
      </c>
      <c r="B7833" s="1" t="s">
        <v>6138</v>
      </c>
      <c r="C7833" s="2">
        <f>IFERROR(__xludf.DUMMYFUNCTION("IFERROR(VLOOKUP(A7833, IMPORTRANGE(""https://docs.google.com/spreadsheets/d/1AVX9GT0dgogEBStecCXMMQ29tWz3gBrtNB8yIromXbY/edit?gid=741673867"", ""out1g!A:B""), 2, FALSE), 0)"),123.0)</f>
        <v>123</v>
      </c>
      <c r="D7833" s="2" t="str">
        <f>IFERROR(__xludf.DUMMYFUNCTION("IFERROR(VLOOKUP(A7833, IMPORTRANGE(""https://docs.google.com/spreadsheets/d/1-3Vjw2Cyy-mry5gbC8ypIR3YVGFfEpyFESummAta6sg/edit"", ""Sheet1!B:D""), 2, FALSE), ""Not Found"")"),"fɔrmərli")</f>
        <v>fɔrmərli</v>
      </c>
      <c r="E7833" s="2" t="str">
        <f>IFERROR(__xludf.DUMMYFUNCTION("IFERROR(VLOOKUP(A7833, IMPORTRANGE(""https://docs.google.com/spreadsheets/d/1-3Vjw2Cyy-mry5gbC8ypIR3YVGFfEpyFESummAta6sg/edit"", ""Sheet1!B:D""), 3, FALSE), ""Not Found"")"),"f ɔ r m ə r l i ")</f>
        <v>f ɔ r m ə r l i </v>
      </c>
    </row>
    <row r="7834">
      <c r="A7834" s="1" t="s">
        <v>7835</v>
      </c>
      <c r="B7834" s="1" t="s">
        <v>6138</v>
      </c>
      <c r="C7834" s="2">
        <f>IFERROR(__xludf.DUMMYFUNCTION("IFERROR(VLOOKUP(A7834, IMPORTRANGE(""https://docs.google.com/spreadsheets/d/1AVX9GT0dgogEBStecCXMMQ29tWz3gBrtNB8yIromXbY/edit?gid=741673867"", ""out1g!A:B""), 2, FALSE), 0)"),336.0)</f>
        <v>336</v>
      </c>
      <c r="D7834" s="2" t="str">
        <f>IFERROR(__xludf.DUMMYFUNCTION("IFERROR(VLOOKUP(A7834, IMPORTRANGE(""https://docs.google.com/spreadsheets/d/1-3Vjw2Cyy-mry5gbC8ypIR3YVGFfEpyFESummAta6sg/edit"", ""Sheet1!B:D""), 2, FALSE), ""Not Found"")"),"kɑpər")</f>
        <v>kɑpər</v>
      </c>
      <c r="E7834" s="2" t="str">
        <f>IFERROR(__xludf.DUMMYFUNCTION("IFERROR(VLOOKUP(A7834, IMPORTRANGE(""https://docs.google.com/spreadsheets/d/1-3Vjw2Cyy-mry5gbC8ypIR3YVGFfEpyFESummAta6sg/edit"", ""Sheet1!B:D""), 3, FALSE), ""Not Found"")"),"k ɑ p ə r ")</f>
        <v>k ɑ p ə r </v>
      </c>
    </row>
    <row r="7835">
      <c r="A7835" s="1" t="s">
        <v>7836</v>
      </c>
      <c r="B7835" s="1" t="s">
        <v>6138</v>
      </c>
      <c r="C7835" s="2">
        <f>IFERROR(__xludf.DUMMYFUNCTION("IFERROR(VLOOKUP(A7835, IMPORTRANGE(""https://docs.google.com/spreadsheets/d/1AVX9GT0dgogEBStecCXMMQ29tWz3gBrtNB8yIromXbY/edit?gid=741673867"", ""out1g!A:B""), 2, FALSE), 0)"),546.0)</f>
        <v>546</v>
      </c>
      <c r="D7835" s="2" t="str">
        <f>IFERROR(__xludf.DUMMYFUNCTION("IFERROR(VLOOKUP(A7835, IMPORTRANGE(""https://docs.google.com/spreadsheets/d/1-3Vjw2Cyy-mry5gbC8ypIR3YVGFfEpyFESummAta6sg/edit"", ""Sheet1!B:D""), 2, FALSE), ""Not Found"")"),"kæmpəs")</f>
        <v>kæmpəs</v>
      </c>
      <c r="E7835" s="2" t="str">
        <f>IFERROR(__xludf.DUMMYFUNCTION("IFERROR(VLOOKUP(A7835, IMPORTRANGE(""https://docs.google.com/spreadsheets/d/1-3Vjw2Cyy-mry5gbC8ypIR3YVGFfEpyFESummAta6sg/edit"", ""Sheet1!B:D""), 3, FALSE), ""Not Found"")"),"k æ m p ə s ")</f>
        <v>k æ m p ə s </v>
      </c>
    </row>
    <row r="7836">
      <c r="A7836" s="1" t="s">
        <v>7837</v>
      </c>
      <c r="B7836" s="1" t="s">
        <v>6138</v>
      </c>
      <c r="C7836" s="2">
        <f>IFERROR(__xludf.DUMMYFUNCTION("IFERROR(VLOOKUP(A7836, IMPORTRANGE(""https://docs.google.com/spreadsheets/d/1AVX9GT0dgogEBStecCXMMQ29tWz3gBrtNB8yIromXbY/edit?gid=741673867"", ""out1g!A:B""), 2, FALSE), 0)"),190.0)</f>
        <v>190</v>
      </c>
      <c r="D7836" s="2" t="str">
        <f>IFERROR(__xludf.DUMMYFUNCTION("IFERROR(VLOOKUP(A7836, IMPORTRANGE(""https://docs.google.com/spreadsheets/d/1-3Vjw2Cyy-mry5gbC8ypIR3YVGFfEpyFESummAta6sg/edit"", ""Sheet1!B:D""), 2, FALSE), ""Not Found"")"),"fæsən")</f>
        <v>fæsən</v>
      </c>
      <c r="E7836" s="2" t="str">
        <f>IFERROR(__xludf.DUMMYFUNCTION("IFERROR(VLOOKUP(A7836, IMPORTRANGE(""https://docs.google.com/spreadsheets/d/1-3Vjw2Cyy-mry5gbC8ypIR3YVGFfEpyFESummAta6sg/edit"", ""Sheet1!B:D""), 3, FALSE), ""Not Found"")"),"f æ s ə n ")</f>
        <v>f æ s ə n </v>
      </c>
    </row>
    <row r="7837">
      <c r="A7837" s="1" t="s">
        <v>7838</v>
      </c>
      <c r="B7837" s="1" t="s">
        <v>6138</v>
      </c>
      <c r="C7837" s="2">
        <f>IFERROR(__xludf.DUMMYFUNCTION("IFERROR(VLOOKUP(A7837, IMPORTRANGE(""https://docs.google.com/spreadsheets/d/1AVX9GT0dgogEBStecCXMMQ29tWz3gBrtNB8yIromXbY/edit?gid=741673867"", ""out1g!A:B""), 2, FALSE), 0)"),31789.0)</f>
        <v>31789</v>
      </c>
      <c r="D7837" s="2" t="str">
        <f>IFERROR(__xludf.DUMMYFUNCTION("IFERROR(VLOOKUP(A7837, IMPORTRANGE(""https://docs.google.com/spreadsheets/d/1-3Vjw2Cyy-mry5gbC8ypIR3YVGFfEpyFESummAta6sg/edit"", ""Sheet1!B:D""), 2, FALSE), ""Not Found"")"),"θæŋks")</f>
        <v>θæŋks</v>
      </c>
      <c r="E7837" s="2" t="str">
        <f>IFERROR(__xludf.DUMMYFUNCTION("IFERROR(VLOOKUP(A7837, IMPORTRANGE(""https://docs.google.com/spreadsheets/d/1-3Vjw2Cyy-mry5gbC8ypIR3YVGFfEpyFESummAta6sg/edit"", ""Sheet1!B:D""), 3, FALSE), ""Not Found"")"),"θ æ ŋ k s ")</f>
        <v>θ æ ŋ k s </v>
      </c>
    </row>
    <row r="7838">
      <c r="A7838" s="1" t="s">
        <v>7839</v>
      </c>
      <c r="B7838" s="1" t="s">
        <v>6138</v>
      </c>
      <c r="C7838" s="2">
        <f>IFERROR(__xludf.DUMMYFUNCTION("IFERROR(VLOOKUP(A7838, IMPORTRANGE(""https://docs.google.com/spreadsheets/d/1AVX9GT0dgogEBStecCXMMQ29tWz3gBrtNB8yIromXbY/edit?gid=741673867"", ""out1g!A:B""), 2, FALSE), 0)"),108.0)</f>
        <v>108</v>
      </c>
      <c r="D7838" s="2" t="str">
        <f>IFERROR(__xludf.DUMMYFUNCTION("IFERROR(VLOOKUP(A7838, IMPORTRANGE(""https://docs.google.com/spreadsheets/d/1-3Vjw2Cyy-mry5gbC8ypIR3YVGFfEpyFESummAta6sg/edit"", ""Sheet1!B:D""), 2, FALSE), ""Not Found"")"),"iθər")</f>
        <v>iθər</v>
      </c>
      <c r="E7838" s="2" t="str">
        <f>IFERROR(__xludf.DUMMYFUNCTION("IFERROR(VLOOKUP(A7838, IMPORTRANGE(""https://docs.google.com/spreadsheets/d/1-3Vjw2Cyy-mry5gbC8ypIR3YVGFfEpyFESummAta6sg/edit"", ""Sheet1!B:D""), 3, FALSE), ""Not Found"")"),"i θ ə r ")</f>
        <v>i θ ə r </v>
      </c>
    </row>
    <row r="7839">
      <c r="A7839" s="1" t="s">
        <v>7840</v>
      </c>
      <c r="B7839" s="1" t="s">
        <v>6138</v>
      </c>
      <c r="C7839" s="2">
        <f>IFERROR(__xludf.DUMMYFUNCTION("IFERROR(VLOOKUP(A7839, IMPORTRANGE(""https://docs.google.com/spreadsheets/d/1AVX9GT0dgogEBStecCXMMQ29tWz3gBrtNB8yIromXbY/edit?gid=741673867"", ""out1g!A:B""), 2, FALSE), 0)"),78.0)</f>
        <v>78</v>
      </c>
      <c r="D7839" s="2" t="str">
        <f>IFERROR(__xludf.DUMMYFUNCTION("IFERROR(VLOOKUP(A7839, IMPORTRANGE(""https://docs.google.com/spreadsheets/d/1-3Vjw2Cyy-mry5gbC8ypIR3YVGFfEpyFESummAta6sg/edit"", ""Sheet1!B:D""), 2, FALSE), ""Not Found"")"),"guru")</f>
        <v>guru</v>
      </c>
      <c r="E7839" s="2" t="str">
        <f>IFERROR(__xludf.DUMMYFUNCTION("IFERROR(VLOOKUP(A7839, IMPORTRANGE(""https://docs.google.com/spreadsheets/d/1-3Vjw2Cyy-mry5gbC8ypIR3YVGFfEpyFESummAta6sg/edit"", ""Sheet1!B:D""), 3, FALSE), ""Not Found"")"),"g u r u ")</f>
        <v>g u r u </v>
      </c>
    </row>
    <row r="7840">
      <c r="A7840" s="1" t="s">
        <v>7841</v>
      </c>
      <c r="B7840" s="1" t="s">
        <v>6138</v>
      </c>
      <c r="C7840" s="2">
        <f>IFERROR(__xludf.DUMMYFUNCTION("IFERROR(VLOOKUP(A7840, IMPORTRANGE(""https://docs.google.com/spreadsheets/d/1AVX9GT0dgogEBStecCXMMQ29tWz3gBrtNB8yIromXbY/edit?gid=741673867"", ""out1g!A:B""), 2, FALSE), 0)"),178.0)</f>
        <v>178</v>
      </c>
      <c r="D7840" s="2" t="str">
        <f>IFERROR(__xludf.DUMMYFUNCTION("IFERROR(VLOOKUP(A7840, IMPORTRANGE(""https://docs.google.com/spreadsheets/d/1-3Vjw2Cyy-mry5gbC8ypIR3YVGFfEpyFESummAta6sg/edit"", ""Sheet1!B:D""), 2, FALSE), ""Not Found"")"),"pɔr")</f>
        <v>pɔr</v>
      </c>
      <c r="E7840" s="2" t="str">
        <f>IFERROR(__xludf.DUMMYFUNCTION("IFERROR(VLOOKUP(A7840, IMPORTRANGE(""https://docs.google.com/spreadsheets/d/1-3Vjw2Cyy-mry5gbC8ypIR3YVGFfEpyFESummAta6sg/edit"", ""Sheet1!B:D""), 3, FALSE), ""Not Found"")"),"p ɔ r ")</f>
        <v>p ɔ r </v>
      </c>
    </row>
    <row r="7841">
      <c r="A7841" s="1" t="s">
        <v>7842</v>
      </c>
      <c r="B7841" s="1" t="s">
        <v>6138</v>
      </c>
      <c r="C7841" s="2">
        <f>IFERROR(__xludf.DUMMYFUNCTION("IFERROR(VLOOKUP(A7841, IMPORTRANGE(""https://docs.google.com/spreadsheets/d/1AVX9GT0dgogEBStecCXMMQ29tWz3gBrtNB8yIromXbY/edit?gid=741673867"", ""out1g!A:B""), 2, FALSE), 0)"),85.0)</f>
        <v>85</v>
      </c>
      <c r="D7841" s="2" t="str">
        <f>IFERROR(__xludf.DUMMYFUNCTION("IFERROR(VLOOKUP(A7841, IMPORTRANGE(""https://docs.google.com/spreadsheets/d/1-3Vjw2Cyy-mry5gbC8ypIR3YVGFfEpyFESummAta6sg/edit"", ""Sheet1!B:D""), 2, FALSE), ""Not Found"")"),"tɑpər")</f>
        <v>tɑpər</v>
      </c>
      <c r="E7841" s="2" t="str">
        <f>IFERROR(__xludf.DUMMYFUNCTION("IFERROR(VLOOKUP(A7841, IMPORTRANGE(""https://docs.google.com/spreadsheets/d/1-3Vjw2Cyy-mry5gbC8ypIR3YVGFfEpyFESummAta6sg/edit"", ""Sheet1!B:D""), 3, FALSE), ""Not Found"")"),"t ɑ p ə r ")</f>
        <v>t ɑ p ə r </v>
      </c>
    </row>
    <row r="7842">
      <c r="A7842" s="1" t="s">
        <v>7843</v>
      </c>
      <c r="B7842" s="1" t="s">
        <v>6138</v>
      </c>
      <c r="C7842" s="2">
        <f>IFERROR(__xludf.DUMMYFUNCTION("IFERROR(VLOOKUP(A7842, IMPORTRANGE(""https://docs.google.com/spreadsheets/d/1AVX9GT0dgogEBStecCXMMQ29tWz3gBrtNB8yIromXbY/edit?gid=741673867"", ""out1g!A:B""), 2, FALSE), 0)"),983.0)</f>
        <v>983</v>
      </c>
      <c r="D7842" s="2" t="str">
        <f>IFERROR(__xludf.DUMMYFUNCTION("IFERROR(VLOOKUP(A7842, IMPORTRANGE(""https://docs.google.com/spreadsheets/d/1-3Vjw2Cyy-mry5gbC8ypIR3YVGFfEpyFESummAta6sg/edit"", ""Sheet1!B:D""), 2, FALSE), ""Not Found"")"),"trups")</f>
        <v>trups</v>
      </c>
      <c r="E7842" s="2" t="str">
        <f>IFERROR(__xludf.DUMMYFUNCTION("IFERROR(VLOOKUP(A7842, IMPORTRANGE(""https://docs.google.com/spreadsheets/d/1-3Vjw2Cyy-mry5gbC8ypIR3YVGFfEpyFESummAta6sg/edit"", ""Sheet1!B:D""), 3, FALSE), ""Not Found"")"),"t r u p s ")</f>
        <v>t r u p s </v>
      </c>
    </row>
    <row r="7843">
      <c r="A7843" s="1" t="s">
        <v>7844</v>
      </c>
      <c r="B7843" s="1" t="s">
        <v>6138</v>
      </c>
      <c r="C7843" s="2">
        <f>IFERROR(__xludf.DUMMYFUNCTION("IFERROR(VLOOKUP(A7843, IMPORTRANGE(""https://docs.google.com/spreadsheets/d/1AVX9GT0dgogEBStecCXMMQ29tWz3gBrtNB8yIromXbY/edit?gid=741673867"", ""out1g!A:B""), 2, FALSE), 0)"),165.0)</f>
        <v>165</v>
      </c>
      <c r="D7843" s="2" t="str">
        <f>IFERROR(__xludf.DUMMYFUNCTION("IFERROR(VLOOKUP(A7843, IMPORTRANGE(""https://docs.google.com/spreadsheets/d/1-3Vjw2Cyy-mry5gbC8ypIR3YVGFfEpyFESummAta6sg/edit"", ""Sheet1!B:D""), 2, FALSE), ""Not Found"")"),"skɪpɪŋ")</f>
        <v>skɪpɪŋ</v>
      </c>
      <c r="E7843" s="2" t="str">
        <f>IFERROR(__xludf.DUMMYFUNCTION("IFERROR(VLOOKUP(A7843, IMPORTRANGE(""https://docs.google.com/spreadsheets/d/1-3Vjw2Cyy-mry5gbC8ypIR3YVGFfEpyFESummAta6sg/edit"", ""Sheet1!B:D""), 3, FALSE), ""Not Found"")"),"s k ɪ p ɪ ŋ ")</f>
        <v>s k ɪ p ɪ ŋ </v>
      </c>
    </row>
    <row r="7844">
      <c r="A7844" s="1" t="s">
        <v>7845</v>
      </c>
      <c r="B7844" s="1" t="s">
        <v>6138</v>
      </c>
      <c r="C7844" s="2">
        <f>IFERROR(__xludf.DUMMYFUNCTION("IFERROR(VLOOKUP(A7844, IMPORTRANGE(""https://docs.google.com/spreadsheets/d/1AVX9GT0dgogEBStecCXMMQ29tWz3gBrtNB8yIromXbY/edit?gid=741673867"", ""out1g!A:B""), 2, FALSE), 0)"),79.0)</f>
        <v>79</v>
      </c>
      <c r="D7844" s="2" t="str">
        <f>IFERROR(__xludf.DUMMYFUNCTION("IFERROR(VLOOKUP(A7844, IMPORTRANGE(""https://docs.google.com/spreadsheets/d/1-3Vjw2Cyy-mry5gbC8ypIR3YVGFfEpyFESummAta6sg/edit"", ""Sheet1!B:D""), 2, FALSE), ""Not Found"")"),"mɪstʊk")</f>
        <v>mɪstʊk</v>
      </c>
      <c r="E7844" s="2" t="str">
        <f>IFERROR(__xludf.DUMMYFUNCTION("IFERROR(VLOOKUP(A7844, IMPORTRANGE(""https://docs.google.com/spreadsheets/d/1-3Vjw2Cyy-mry5gbC8ypIR3YVGFfEpyFESummAta6sg/edit"", ""Sheet1!B:D""), 3, FALSE), ""Not Found"")"),"m ɪ s t ʊ k ")</f>
        <v>m ɪ s t ʊ k </v>
      </c>
    </row>
    <row r="7845">
      <c r="A7845" s="1" t="s">
        <v>7846</v>
      </c>
      <c r="B7845" s="1" t="s">
        <v>6138</v>
      </c>
      <c r="C7845" s="2">
        <f>IFERROR(__xludf.DUMMYFUNCTION("IFERROR(VLOOKUP(A7845, IMPORTRANGE(""https://docs.google.com/spreadsheets/d/1AVX9GT0dgogEBStecCXMMQ29tWz3gBrtNB8yIromXbY/edit?gid=741673867"", ""out1g!A:B""), 2, FALSE), 0)"),92.0)</f>
        <v>92</v>
      </c>
      <c r="D7845" s="2" t="str">
        <f>IFERROR(__xludf.DUMMYFUNCTION("IFERROR(VLOOKUP(A7845, IMPORTRANGE(""https://docs.google.com/spreadsheets/d/1-3Vjw2Cyy-mry5gbC8ypIR3YVGFfEpyFESummAta6sg/edit"", ""Sheet1!B:D""), 2, FALSE), ""Not Found"")"),"stetɪŋ")</f>
        <v>stetɪŋ</v>
      </c>
      <c r="E7845" s="2" t="str">
        <f>IFERROR(__xludf.DUMMYFUNCTION("IFERROR(VLOOKUP(A7845, IMPORTRANGE(""https://docs.google.com/spreadsheets/d/1-3Vjw2Cyy-mry5gbC8ypIR3YVGFfEpyFESummAta6sg/edit"", ""Sheet1!B:D""), 3, FALSE), ""Not Found"")"),"s t e t ɪ ŋ ")</f>
        <v>s t e t ɪ ŋ </v>
      </c>
    </row>
    <row r="7846">
      <c r="A7846" s="1" t="s">
        <v>7847</v>
      </c>
      <c r="B7846" s="1" t="s">
        <v>6138</v>
      </c>
      <c r="C7846" s="2">
        <f>IFERROR(__xludf.DUMMYFUNCTION("IFERROR(VLOOKUP(A7846, IMPORTRANGE(""https://docs.google.com/spreadsheets/d/1AVX9GT0dgogEBStecCXMMQ29tWz3gBrtNB8yIromXbY/edit?gid=741673867"", ""out1g!A:B""), 2, FALSE), 0)"),3530.0)</f>
        <v>3530</v>
      </c>
      <c r="D7846" s="2" t="str">
        <f>IFERROR(__xludf.DUMMYFUNCTION("IFERROR(VLOOKUP(A7846, IMPORTRANGE(""https://docs.google.com/spreadsheets/d/1-3Vjw2Cyy-mry5gbC8ypIR3YVGFfEpyFESummAta6sg/edit"", ""Sheet1!B:D""), 2, FALSE), ""Not Found"")"),"hoʊldɪŋ")</f>
        <v>hoʊldɪŋ</v>
      </c>
      <c r="E7846" s="2" t="str">
        <f>IFERROR(__xludf.DUMMYFUNCTION("IFERROR(VLOOKUP(A7846, IMPORTRANGE(""https://docs.google.com/spreadsheets/d/1-3Vjw2Cyy-mry5gbC8ypIR3YVGFfEpyFESummAta6sg/edit"", ""Sheet1!B:D""), 3, FALSE), ""Not Found"")"),"h o ʊ l d ɪ ŋ ")</f>
        <v>h o ʊ l d ɪ ŋ </v>
      </c>
    </row>
    <row r="7847">
      <c r="A7847" s="1" t="s">
        <v>7848</v>
      </c>
      <c r="B7847" s="1" t="s">
        <v>6138</v>
      </c>
      <c r="C7847" s="2">
        <f>IFERROR(__xludf.DUMMYFUNCTION("IFERROR(VLOOKUP(A7847, IMPORTRANGE(""https://docs.google.com/spreadsheets/d/1AVX9GT0dgogEBStecCXMMQ29tWz3gBrtNB8yIromXbY/edit?gid=741673867"", ""out1g!A:B""), 2, FALSE), 0)"),707.0)</f>
        <v>707</v>
      </c>
      <c r="D7847" s="2" t="str">
        <f>IFERROR(__xludf.DUMMYFUNCTION("IFERROR(VLOOKUP(A7847, IMPORTRANGE(""https://docs.google.com/spreadsheets/d/1-3Vjw2Cyy-mry5gbC8ypIR3YVGFfEpyFESummAta6sg/edit"", ""Sheet1!B:D""), 2, FALSE), ""Not Found"")"),"məʃinz")</f>
        <v>məʃinz</v>
      </c>
      <c r="E7847" s="2" t="str">
        <f>IFERROR(__xludf.DUMMYFUNCTION("IFERROR(VLOOKUP(A7847, IMPORTRANGE(""https://docs.google.com/spreadsheets/d/1-3Vjw2Cyy-mry5gbC8ypIR3YVGFfEpyFESummAta6sg/edit"", ""Sheet1!B:D""), 3, FALSE), ""Not Found"")"),"m ə ʃ i n z ")</f>
        <v>m ə ʃ i n z </v>
      </c>
    </row>
    <row r="7848">
      <c r="A7848" s="1" t="s">
        <v>7849</v>
      </c>
      <c r="B7848" s="1" t="s">
        <v>6138</v>
      </c>
      <c r="C7848" s="2">
        <f>IFERROR(__xludf.DUMMYFUNCTION("IFERROR(VLOOKUP(A7848, IMPORTRANGE(""https://docs.google.com/spreadsheets/d/1AVX9GT0dgogEBStecCXMMQ29tWz3gBrtNB8yIromXbY/edit?gid=741673867"", ""out1g!A:B""), 2, FALSE), 0)"),317.0)</f>
        <v>317</v>
      </c>
      <c r="D7848" s="2" t="str">
        <f>IFERROR(__xludf.DUMMYFUNCTION("IFERROR(VLOOKUP(A7848, IMPORTRANGE(""https://docs.google.com/spreadsheets/d/1-3Vjw2Cyy-mry5gbC8ypIR3YVGFfEpyFESummAta6sg/edit"", ""Sheet1!B:D""), 2, FALSE), ""Not Found"")"),"əʃɔr")</f>
        <v>əʃɔr</v>
      </c>
      <c r="E7848" s="2" t="str">
        <f>IFERROR(__xludf.DUMMYFUNCTION("IFERROR(VLOOKUP(A7848, IMPORTRANGE(""https://docs.google.com/spreadsheets/d/1-3Vjw2Cyy-mry5gbC8ypIR3YVGFfEpyFESummAta6sg/edit"", ""Sheet1!B:D""), 3, FALSE), ""Not Found"")"),"ə ʃ ɔ r ")</f>
        <v>ə ʃ ɔ r </v>
      </c>
    </row>
    <row r="7849">
      <c r="A7849" s="1" t="s">
        <v>7850</v>
      </c>
      <c r="B7849" s="1" t="s">
        <v>6138</v>
      </c>
      <c r="C7849" s="2">
        <f>IFERROR(__xludf.DUMMYFUNCTION("IFERROR(VLOOKUP(A7849, IMPORTRANGE(""https://docs.google.com/spreadsheets/d/1AVX9GT0dgogEBStecCXMMQ29tWz3gBrtNB8yIromXbY/edit?gid=741673867"", ""out1g!A:B""), 2, FALSE), 0)"),164.0)</f>
        <v>164</v>
      </c>
      <c r="D7849" s="2" t="str">
        <f>IFERROR(__xludf.DUMMYFUNCTION("IFERROR(VLOOKUP(A7849, IMPORTRANGE(""https://docs.google.com/spreadsheets/d/1-3Vjw2Cyy-mry5gbC8ypIR3YVGFfEpyFESummAta6sg/edit"", ""Sheet1!B:D""), 2, FALSE), ""Not Found"")"),"bresɪz")</f>
        <v>bresɪz</v>
      </c>
      <c r="E7849" s="2" t="str">
        <f>IFERROR(__xludf.DUMMYFUNCTION("IFERROR(VLOOKUP(A7849, IMPORTRANGE(""https://docs.google.com/spreadsheets/d/1-3Vjw2Cyy-mry5gbC8ypIR3YVGFfEpyFESummAta6sg/edit"", ""Sheet1!B:D""), 3, FALSE), ""Not Found"")"),"b r e s ɪ z ")</f>
        <v>b r e s ɪ z </v>
      </c>
    </row>
    <row r="7850">
      <c r="A7850" s="1" t="s">
        <v>7851</v>
      </c>
      <c r="B7850" s="1" t="s">
        <v>6138</v>
      </c>
      <c r="C7850" s="2">
        <f>IFERROR(__xludf.DUMMYFUNCTION("IFERROR(VLOOKUP(A7850, IMPORTRANGE(""https://docs.google.com/spreadsheets/d/1AVX9GT0dgogEBStecCXMMQ29tWz3gBrtNB8yIromXbY/edit?gid=741673867"", ""out1g!A:B""), 2, FALSE), 0)"),104.0)</f>
        <v>104</v>
      </c>
      <c r="D7850" s="2" t="str">
        <f>IFERROR(__xludf.DUMMYFUNCTION("IFERROR(VLOOKUP(A7850, IMPORTRANGE(""https://docs.google.com/spreadsheets/d/1-3Vjw2Cyy-mry5gbC8ypIR3YVGFfEpyFESummAta6sg/edit"", ""Sheet1!B:D""), 2, FALSE), ""Not Found"")"),"frækʃən")</f>
        <v>frækʃən</v>
      </c>
      <c r="E7850" s="2" t="str">
        <f>IFERROR(__xludf.DUMMYFUNCTION("IFERROR(VLOOKUP(A7850, IMPORTRANGE(""https://docs.google.com/spreadsheets/d/1-3Vjw2Cyy-mry5gbC8ypIR3YVGFfEpyFESummAta6sg/edit"", ""Sheet1!B:D""), 3, FALSE), ""Not Found"")"),"f r æ k ʃ ə n ")</f>
        <v>f r æ k ʃ ə n </v>
      </c>
    </row>
    <row r="7851">
      <c r="A7851" s="1" t="s">
        <v>7852</v>
      </c>
      <c r="B7851" s="1" t="s">
        <v>6138</v>
      </c>
      <c r="C7851" s="2">
        <f>IFERROR(__xludf.DUMMYFUNCTION("IFERROR(VLOOKUP(A7851, IMPORTRANGE(""https://docs.google.com/spreadsheets/d/1AVX9GT0dgogEBStecCXMMQ29tWz3gBrtNB8yIromXbY/edit?gid=741673867"", ""out1g!A:B""), 2, FALSE), 0)"),22849.0)</f>
        <v>22849</v>
      </c>
      <c r="D7851" s="2" t="str">
        <f>IFERROR(__xludf.DUMMYFUNCTION("IFERROR(VLOOKUP(A7851, IMPORTRANGE(""https://docs.google.com/spreadsheets/d/1-3Vjw2Cyy-mry5gbC8ypIR3YVGFfEpyFESummAta6sg/edit"", ""Sheet1!B:D""), 2, FALSE), ""Not Found"")"),"traɪɪŋ")</f>
        <v>traɪɪŋ</v>
      </c>
      <c r="E7851" s="2" t="str">
        <f>IFERROR(__xludf.DUMMYFUNCTION("IFERROR(VLOOKUP(A7851, IMPORTRANGE(""https://docs.google.com/spreadsheets/d/1-3Vjw2Cyy-mry5gbC8ypIR3YVGFfEpyFESummAta6sg/edit"", ""Sheet1!B:D""), 3, FALSE), ""Not Found"")"),"t r a ɪ ɪ ŋ ")</f>
        <v>t r a ɪ ɪ ŋ </v>
      </c>
    </row>
    <row r="7852">
      <c r="A7852" s="1" t="s">
        <v>7853</v>
      </c>
      <c r="B7852" s="1" t="s">
        <v>6138</v>
      </c>
      <c r="C7852" s="2">
        <f>IFERROR(__xludf.DUMMYFUNCTION("IFERROR(VLOOKUP(A7852, IMPORTRANGE(""https://docs.google.com/spreadsheets/d/1AVX9GT0dgogEBStecCXMMQ29tWz3gBrtNB8yIromXbY/edit?gid=741673867"", ""out1g!A:B""), 2, FALSE), 0)"),56.0)</f>
        <v>56</v>
      </c>
      <c r="D7852" s="2" t="str">
        <f>IFERROR(__xludf.DUMMYFUNCTION("IFERROR(VLOOKUP(A7852, IMPORTRANGE(""https://docs.google.com/spreadsheets/d/1-3Vjw2Cyy-mry5gbC8ypIR3YVGFfEpyFESummAta6sg/edit"", ""Sheet1!B:D""), 2, FALSE), ""Not Found"")"),"sæŋkə")</f>
        <v>sæŋkə</v>
      </c>
      <c r="E7852" s="2" t="str">
        <f>IFERROR(__xludf.DUMMYFUNCTION("IFERROR(VLOOKUP(A7852, IMPORTRANGE(""https://docs.google.com/spreadsheets/d/1-3Vjw2Cyy-mry5gbC8ypIR3YVGFfEpyFESummAta6sg/edit"", ""Sheet1!B:D""), 3, FALSE), ""Not Found"")"),"s æ ŋ k ə ")</f>
        <v>s æ ŋ k ə </v>
      </c>
    </row>
    <row r="7853">
      <c r="A7853" s="1" t="s">
        <v>7854</v>
      </c>
      <c r="B7853" s="1" t="s">
        <v>6138</v>
      </c>
      <c r="C7853" s="2">
        <f>IFERROR(__xludf.DUMMYFUNCTION("IFERROR(VLOOKUP(A7853, IMPORTRANGE(""https://docs.google.com/spreadsheets/d/1AVX9GT0dgogEBStecCXMMQ29tWz3gBrtNB8yIromXbY/edit?gid=741673867"", ""out1g!A:B""), 2, FALSE), 0)"),45.0)</f>
        <v>45</v>
      </c>
      <c r="D7853" s="2" t="str">
        <f>IFERROR(__xludf.DUMMYFUNCTION("IFERROR(VLOOKUP(A7853, IMPORTRANGE(""https://docs.google.com/spreadsheets/d/1-3Vjw2Cyy-mry5gbC8ypIR3YVGFfEpyFESummAta6sg/edit"", ""Sheet1!B:D""), 2, FALSE), ""Not Found"")"),"dæmzəl")</f>
        <v>dæmzəl</v>
      </c>
      <c r="E7853" s="2" t="str">
        <f>IFERROR(__xludf.DUMMYFUNCTION("IFERROR(VLOOKUP(A7853, IMPORTRANGE(""https://docs.google.com/spreadsheets/d/1-3Vjw2Cyy-mry5gbC8ypIR3YVGFfEpyFESummAta6sg/edit"", ""Sheet1!B:D""), 3, FALSE), ""Not Found"")"),"d æ m z ə l ")</f>
        <v>d æ m z ə l </v>
      </c>
    </row>
    <row r="7854">
      <c r="A7854" s="1" t="s">
        <v>7855</v>
      </c>
      <c r="B7854" s="1" t="s">
        <v>6138</v>
      </c>
      <c r="C7854" s="2">
        <f>IFERROR(__xludf.DUMMYFUNCTION("IFERROR(VLOOKUP(A7854, IMPORTRANGE(""https://docs.google.com/spreadsheets/d/1AVX9GT0dgogEBStecCXMMQ29tWz3gBrtNB8yIromXbY/edit?gid=741673867"", ""out1g!A:B""), 2, FALSE), 0)"),194.0)</f>
        <v>194</v>
      </c>
      <c r="D7854" s="2" t="str">
        <f>IFERROR(__xludf.DUMMYFUNCTION("IFERROR(VLOOKUP(A7854, IMPORTRANGE(""https://docs.google.com/spreadsheets/d/1-3Vjw2Cyy-mry5gbC8ypIR3YVGFfEpyFESummAta6sg/edit"", ""Sheet1!B:D""), 2, FALSE), ""Not Found"")"),"krɪpəl")</f>
        <v>krɪpəl</v>
      </c>
      <c r="E7854" s="2" t="str">
        <f>IFERROR(__xludf.DUMMYFUNCTION("IFERROR(VLOOKUP(A7854, IMPORTRANGE(""https://docs.google.com/spreadsheets/d/1-3Vjw2Cyy-mry5gbC8ypIR3YVGFfEpyFESummAta6sg/edit"", ""Sheet1!B:D""), 3, FALSE), ""Not Found"")"),"k r ɪ p ə l ")</f>
        <v>k r ɪ p ə l </v>
      </c>
    </row>
    <row r="7855">
      <c r="A7855" s="1" t="s">
        <v>7856</v>
      </c>
      <c r="B7855" s="1" t="s">
        <v>6138</v>
      </c>
      <c r="C7855" s="2">
        <f>IFERROR(__xludf.DUMMYFUNCTION("IFERROR(VLOOKUP(A7855, IMPORTRANGE(""https://docs.google.com/spreadsheets/d/1AVX9GT0dgogEBStecCXMMQ29tWz3gBrtNB8yIromXbY/edit?gid=741673867"", ""out1g!A:B""), 2, FALSE), 0)"),541.0)</f>
        <v>541</v>
      </c>
      <c r="D7855" s="2" t="str">
        <f>IFERROR(__xludf.DUMMYFUNCTION("IFERROR(VLOOKUP(A7855, IMPORTRANGE(""https://docs.google.com/spreadsheets/d/1-3Vjw2Cyy-mry5gbC8ypIR3YVGFfEpyFESummAta6sg/edit"", ""Sheet1!B:D""), 2, FALSE), ""Not Found"")"),"kɑrmən")</f>
        <v>kɑrmən</v>
      </c>
      <c r="E7855" s="2" t="str">
        <f>IFERROR(__xludf.DUMMYFUNCTION("IFERROR(VLOOKUP(A7855, IMPORTRANGE(""https://docs.google.com/spreadsheets/d/1-3Vjw2Cyy-mry5gbC8ypIR3YVGFfEpyFESummAta6sg/edit"", ""Sheet1!B:D""), 3, FALSE), ""Not Found"")"),"k ɑ r m ə n ")</f>
        <v>k ɑ r m ə n </v>
      </c>
    </row>
    <row r="7856">
      <c r="A7856" s="1" t="s">
        <v>7857</v>
      </c>
      <c r="B7856" s="1" t="s">
        <v>6138</v>
      </c>
      <c r="C7856" s="2">
        <f>IFERROR(__xludf.DUMMYFUNCTION("IFERROR(VLOOKUP(A7856, IMPORTRANGE(""https://docs.google.com/spreadsheets/d/1AVX9GT0dgogEBStecCXMMQ29tWz3gBrtNB8yIromXbY/edit?gid=741673867"", ""out1g!A:B""), 2, FALSE), 0)"),25.0)</f>
        <v>25</v>
      </c>
      <c r="D7856" s="2" t="str">
        <f>IFERROR(__xludf.DUMMYFUNCTION("IFERROR(VLOOKUP(A7856, IMPORTRANGE(""https://docs.google.com/spreadsheets/d/1-3Vjw2Cyy-mry5gbC8ypIR3YVGFfEpyFESummAta6sg/edit"", ""Sheet1!B:D""), 2, FALSE), ""Not Found"")"),"bɪkər")</f>
        <v>bɪkər</v>
      </c>
      <c r="E7856" s="2" t="str">
        <f>IFERROR(__xludf.DUMMYFUNCTION("IFERROR(VLOOKUP(A7856, IMPORTRANGE(""https://docs.google.com/spreadsheets/d/1-3Vjw2Cyy-mry5gbC8ypIR3YVGFfEpyFESummAta6sg/edit"", ""Sheet1!B:D""), 3, FALSE), ""Not Found"")"),"b ɪ k ə r ")</f>
        <v>b ɪ k ə r </v>
      </c>
    </row>
    <row r="7857">
      <c r="A7857" s="1" t="s">
        <v>7858</v>
      </c>
      <c r="B7857" s="1" t="s">
        <v>6138</v>
      </c>
      <c r="C7857" s="2">
        <f>IFERROR(__xludf.DUMMYFUNCTION("IFERROR(VLOOKUP(A7857, IMPORTRANGE(""https://docs.google.com/spreadsheets/d/1AVX9GT0dgogEBStecCXMMQ29tWz3gBrtNB8yIromXbY/edit?gid=741673867"", ""out1g!A:B""), 2, FALSE), 0)"),58.0)</f>
        <v>58</v>
      </c>
      <c r="D7857" s="2" t="str">
        <f>IFERROR(__xludf.DUMMYFUNCTION("IFERROR(VLOOKUP(A7857, IMPORTRANGE(""https://docs.google.com/spreadsheets/d/1-3Vjw2Cyy-mry5gbC8ypIR3YVGFfEpyFESummAta6sg/edit"", ""Sheet1!B:D""), 2, FALSE), ""Not Found"")"),"pæk")</f>
        <v>pæk</v>
      </c>
      <c r="E7857" s="2" t="str">
        <f>IFERROR(__xludf.DUMMYFUNCTION("IFERROR(VLOOKUP(A7857, IMPORTRANGE(""https://docs.google.com/spreadsheets/d/1-3Vjw2Cyy-mry5gbC8ypIR3YVGFfEpyFESummAta6sg/edit"", ""Sheet1!B:D""), 3, FALSE), ""Not Found"")"),"p æ k ")</f>
        <v>p æ k </v>
      </c>
    </row>
    <row r="7858">
      <c r="A7858" s="1" t="s">
        <v>7859</v>
      </c>
      <c r="B7858" s="1" t="s">
        <v>6138</v>
      </c>
      <c r="C7858" s="2">
        <f>IFERROR(__xludf.DUMMYFUNCTION("IFERROR(VLOOKUP(A7858, IMPORTRANGE(""https://docs.google.com/spreadsheets/d/1AVX9GT0dgogEBStecCXMMQ29tWz3gBrtNB8yIromXbY/edit?gid=741673867"", ""out1g!A:B""), 2, FALSE), 0)"),103.0)</f>
        <v>103</v>
      </c>
      <c r="D7858" s="2" t="str">
        <f>IFERROR(__xludf.DUMMYFUNCTION("IFERROR(VLOOKUP(A7858, IMPORTRANGE(""https://docs.google.com/spreadsheets/d/1-3Vjw2Cyy-mry5gbC8ypIR3YVGFfEpyFESummAta6sg/edit"", ""Sheet1!B:D""), 2, FALSE), ""Not Found"")"),"rɪfaɪnd")</f>
        <v>rɪfaɪnd</v>
      </c>
      <c r="E7858" s="2" t="str">
        <f>IFERROR(__xludf.DUMMYFUNCTION("IFERROR(VLOOKUP(A7858, IMPORTRANGE(""https://docs.google.com/spreadsheets/d/1-3Vjw2Cyy-mry5gbC8ypIR3YVGFfEpyFESummAta6sg/edit"", ""Sheet1!B:D""), 3, FALSE), ""Not Found"")"),"r ɪ f a ɪ n d ")</f>
        <v>r ɪ f a ɪ n d </v>
      </c>
    </row>
    <row r="7859">
      <c r="A7859" s="1" t="s">
        <v>7860</v>
      </c>
      <c r="B7859" s="1" t="s">
        <v>6138</v>
      </c>
      <c r="C7859" s="2">
        <f>IFERROR(__xludf.DUMMYFUNCTION("IFERROR(VLOOKUP(A7859, IMPORTRANGE(""https://docs.google.com/spreadsheets/d/1AVX9GT0dgogEBStecCXMMQ29tWz3gBrtNB8yIromXbY/edit?gid=741673867"", ""out1g!A:B""), 2, FALSE), 0)"),1275.0)</f>
        <v>1275</v>
      </c>
      <c r="D7859" s="2" t="str">
        <f>IFERROR(__xludf.DUMMYFUNCTION("IFERROR(VLOOKUP(A7859, IMPORTRANGE(""https://docs.google.com/spreadsheets/d/1-3Vjw2Cyy-mry5gbC8ypIR3YVGFfEpyFESummAta6sg/edit"", ""Sheet1!B:D""), 2, FALSE), ""Not Found"")"),"ləvɪŋ")</f>
        <v>ləvɪŋ</v>
      </c>
      <c r="E7859" s="2" t="str">
        <f>IFERROR(__xludf.DUMMYFUNCTION("IFERROR(VLOOKUP(A7859, IMPORTRANGE(""https://docs.google.com/spreadsheets/d/1-3Vjw2Cyy-mry5gbC8ypIR3YVGFfEpyFESummAta6sg/edit"", ""Sheet1!B:D""), 3, FALSE), ""Not Found"")"),"l ə v ɪ ŋ ")</f>
        <v>l ə v ɪ ŋ </v>
      </c>
    </row>
    <row r="7860">
      <c r="A7860" s="1" t="s">
        <v>7861</v>
      </c>
      <c r="B7860" s="1" t="s">
        <v>6138</v>
      </c>
      <c r="C7860" s="2">
        <f>IFERROR(__xludf.DUMMYFUNCTION("IFERROR(VLOOKUP(A7860, IMPORTRANGE(""https://docs.google.com/spreadsheets/d/1AVX9GT0dgogEBStecCXMMQ29tWz3gBrtNB8yIromXbY/edit?gid=741673867"", ""out1g!A:B""), 2, FALSE), 0)"),1307.0)</f>
        <v>1307</v>
      </c>
      <c r="D7860" s="2" t="str">
        <f>IFERROR(__xludf.DUMMYFUNCTION("IFERROR(VLOOKUP(A7860, IMPORTRANGE(""https://docs.google.com/spreadsheets/d/1-3Vjw2Cyy-mry5gbC8ypIR3YVGFfEpyFESummAta6sg/edit"", ""Sheet1!B:D""), 2, FALSE), ""Not Found"")"),"kʊkɪŋ")</f>
        <v>kʊkɪŋ</v>
      </c>
      <c r="E7860" s="2" t="str">
        <f>IFERROR(__xludf.DUMMYFUNCTION("IFERROR(VLOOKUP(A7860, IMPORTRANGE(""https://docs.google.com/spreadsheets/d/1-3Vjw2Cyy-mry5gbC8ypIR3YVGFfEpyFESummAta6sg/edit"", ""Sheet1!B:D""), 3, FALSE), ""Not Found"")"),"k ʊ k ɪ ŋ ")</f>
        <v>k ʊ k ɪ ŋ </v>
      </c>
    </row>
    <row r="7861">
      <c r="A7861" s="1" t="s">
        <v>7862</v>
      </c>
      <c r="B7861" s="1" t="s">
        <v>6138</v>
      </c>
      <c r="C7861" s="2">
        <f>IFERROR(__xludf.DUMMYFUNCTION("IFERROR(VLOOKUP(A7861, IMPORTRANGE(""https://docs.google.com/spreadsheets/d/1AVX9GT0dgogEBStecCXMMQ29tWz3gBrtNB8yIromXbY/edit?gid=741673867"", ""out1g!A:B""), 2, FALSE), 0)"),108.0)</f>
        <v>108</v>
      </c>
      <c r="D7861" s="2" t="str">
        <f>IFERROR(__xludf.DUMMYFUNCTION("IFERROR(VLOOKUP(A7861, IMPORTRANGE(""https://docs.google.com/spreadsheets/d/1-3Vjw2Cyy-mry5gbC8ypIR3YVGFfEpyFESummAta6sg/edit"", ""Sheet1!B:D""), 2, FALSE), ""Not Found"")"),"fildɪŋ")</f>
        <v>fildɪŋ</v>
      </c>
      <c r="E7861" s="2" t="str">
        <f>IFERROR(__xludf.DUMMYFUNCTION("IFERROR(VLOOKUP(A7861, IMPORTRANGE(""https://docs.google.com/spreadsheets/d/1-3Vjw2Cyy-mry5gbC8ypIR3YVGFfEpyFESummAta6sg/edit"", ""Sheet1!B:D""), 3, FALSE), ""Not Found"")"),"f i l d ɪ ŋ ")</f>
        <v>f i l d ɪ ŋ </v>
      </c>
    </row>
    <row r="7862">
      <c r="A7862" s="1" t="s">
        <v>7863</v>
      </c>
      <c r="B7862" s="1" t="s">
        <v>6138</v>
      </c>
      <c r="C7862" s="2">
        <f>IFERROR(__xludf.DUMMYFUNCTION("IFERROR(VLOOKUP(A7862, IMPORTRANGE(""https://docs.google.com/spreadsheets/d/1AVX9GT0dgogEBStecCXMMQ29tWz3gBrtNB8yIromXbY/edit?gid=741673867"", ""out1g!A:B""), 2, FALSE), 0)"),113.0)</f>
        <v>113</v>
      </c>
      <c r="D7862" s="2" t="str">
        <f>IFERROR(__xludf.DUMMYFUNCTION("IFERROR(VLOOKUP(A7862, IMPORTRANGE(""https://docs.google.com/spreadsheets/d/1-3Vjw2Cyy-mry5gbC8ypIR3YVGFfEpyFESummAta6sg/edit"", ""Sheet1!B:D""), 2, FALSE), ""Not Found"")"),"dɑʤərz")</f>
        <v>dɑʤərz</v>
      </c>
      <c r="E7862" s="2" t="str">
        <f>IFERROR(__xludf.DUMMYFUNCTION("IFERROR(VLOOKUP(A7862, IMPORTRANGE(""https://docs.google.com/spreadsheets/d/1-3Vjw2Cyy-mry5gbC8ypIR3YVGFfEpyFESummAta6sg/edit"", ""Sheet1!B:D""), 3, FALSE), ""Not Found"")"),"d ɑ ʤ ə r z ")</f>
        <v>d ɑ ʤ ə r z </v>
      </c>
    </row>
    <row r="7863">
      <c r="A7863" s="1" t="s">
        <v>7864</v>
      </c>
      <c r="B7863" s="1" t="s">
        <v>6138</v>
      </c>
      <c r="C7863" s="2">
        <f>IFERROR(__xludf.DUMMYFUNCTION("IFERROR(VLOOKUP(A7863, IMPORTRANGE(""https://docs.google.com/spreadsheets/d/1AVX9GT0dgogEBStecCXMMQ29tWz3gBrtNB8yIromXbY/edit?gid=741673867"", ""out1g!A:B""), 2, FALSE), 0)"),1391.0)</f>
        <v>1391</v>
      </c>
      <c r="D7863" s="2" t="str">
        <f>IFERROR(__xludf.DUMMYFUNCTION("IFERROR(VLOOKUP(A7863, IMPORTRANGE(""https://docs.google.com/spreadsheets/d/1-3Vjw2Cyy-mry5gbC8ypIR3YVGFfEpyFESummAta6sg/edit"", ""Sheet1!B:D""), 2, FALSE), ""Not Found"")"),"klɛvər")</f>
        <v>klɛvər</v>
      </c>
      <c r="E7863" s="2" t="str">
        <f>IFERROR(__xludf.DUMMYFUNCTION("IFERROR(VLOOKUP(A7863, IMPORTRANGE(""https://docs.google.com/spreadsheets/d/1-3Vjw2Cyy-mry5gbC8ypIR3YVGFfEpyFESummAta6sg/edit"", ""Sheet1!B:D""), 3, FALSE), ""Not Found"")"),"k l ɛ v ə r ")</f>
        <v>k l ɛ v ə r </v>
      </c>
    </row>
    <row r="7864">
      <c r="A7864" s="1" t="s">
        <v>7865</v>
      </c>
      <c r="B7864" s="1" t="s">
        <v>6138</v>
      </c>
      <c r="C7864" s="2">
        <f>IFERROR(__xludf.DUMMYFUNCTION("IFERROR(VLOOKUP(A7864, IMPORTRANGE(""https://docs.google.com/spreadsheets/d/1AVX9GT0dgogEBStecCXMMQ29tWz3gBrtNB8yIromXbY/edit?gid=741673867"", ""out1g!A:B""), 2, FALSE), 0)"),1291.0)</f>
        <v>1291</v>
      </c>
      <c r="D7864" s="2" t="str">
        <f>IFERROR(__xludf.DUMMYFUNCTION("IFERROR(VLOOKUP(A7864, IMPORTRANGE(""https://docs.google.com/spreadsheets/d/1-3Vjw2Cyy-mry5gbC8ypIR3YVGFfEpyFESummAta6sg/edit"", ""Sheet1!B:D""), 2, FALSE), ""Not Found"")"),"hæŋk")</f>
        <v>hæŋk</v>
      </c>
      <c r="E7864" s="2" t="str">
        <f>IFERROR(__xludf.DUMMYFUNCTION("IFERROR(VLOOKUP(A7864, IMPORTRANGE(""https://docs.google.com/spreadsheets/d/1-3Vjw2Cyy-mry5gbC8ypIR3YVGFfEpyFESummAta6sg/edit"", ""Sheet1!B:D""), 3, FALSE), ""Not Found"")"),"h æ ŋ k ")</f>
        <v>h æ ŋ k </v>
      </c>
    </row>
    <row r="7865">
      <c r="A7865" s="1" t="s">
        <v>7866</v>
      </c>
      <c r="B7865" s="1" t="s">
        <v>6138</v>
      </c>
      <c r="C7865" s="2">
        <f>IFERROR(__xludf.DUMMYFUNCTION("IFERROR(VLOOKUP(A7865, IMPORTRANGE(""https://docs.google.com/spreadsheets/d/1AVX9GT0dgogEBStecCXMMQ29tWz3gBrtNB8yIromXbY/edit?gid=741673867"", ""out1g!A:B""), 2, FALSE), 0)"),140.0)</f>
        <v>140</v>
      </c>
      <c r="D7865" s="2" t="str">
        <f>IFERROR(__xludf.DUMMYFUNCTION("IFERROR(VLOOKUP(A7865, IMPORTRANGE(""https://docs.google.com/spreadsheets/d/1-3Vjw2Cyy-mry5gbC8ypIR3YVGFfEpyFESummAta6sg/edit"", ""Sheet1!B:D""), 2, FALSE), ""Not Found"")"),"fɑloʊərz")</f>
        <v>fɑloʊərz</v>
      </c>
      <c r="E7865" s="2" t="str">
        <f>IFERROR(__xludf.DUMMYFUNCTION("IFERROR(VLOOKUP(A7865, IMPORTRANGE(""https://docs.google.com/spreadsheets/d/1-3Vjw2Cyy-mry5gbC8ypIR3YVGFfEpyFESummAta6sg/edit"", ""Sheet1!B:D""), 3, FALSE), ""Not Found"")"),"f ɑ l o ʊ ə r z ")</f>
        <v>f ɑ l o ʊ ə r z </v>
      </c>
    </row>
    <row r="7866">
      <c r="A7866" s="1" t="s">
        <v>7867</v>
      </c>
      <c r="B7866" s="1" t="s">
        <v>6138</v>
      </c>
      <c r="C7866" s="2">
        <f>IFERROR(__xludf.DUMMYFUNCTION("IFERROR(VLOOKUP(A7866, IMPORTRANGE(""https://docs.google.com/spreadsheets/d/1AVX9GT0dgogEBStecCXMMQ29tWz3gBrtNB8yIromXbY/edit?gid=741673867"", ""out1g!A:B""), 2, FALSE), 0)"),185.0)</f>
        <v>185</v>
      </c>
      <c r="D7866" s="2" t="str">
        <f>IFERROR(__xludf.DUMMYFUNCTION("IFERROR(VLOOKUP(A7866, IMPORTRANGE(""https://docs.google.com/spreadsheets/d/1-3Vjw2Cyy-mry5gbC8ypIR3YVGFfEpyFESummAta6sg/edit"", ""Sheet1!B:D""), 2, FALSE), ""Not Found"")"),"ərinə")</f>
        <v>ərinə</v>
      </c>
      <c r="E7866" s="2" t="str">
        <f>IFERROR(__xludf.DUMMYFUNCTION("IFERROR(VLOOKUP(A7866, IMPORTRANGE(""https://docs.google.com/spreadsheets/d/1-3Vjw2Cyy-mry5gbC8ypIR3YVGFfEpyFESummAta6sg/edit"", ""Sheet1!B:D""), 3, FALSE), ""Not Found"")"),"ə r i n ə ")</f>
        <v>ə r i n ə </v>
      </c>
    </row>
    <row r="7867">
      <c r="A7867" s="1" t="s">
        <v>7868</v>
      </c>
      <c r="B7867" s="1" t="s">
        <v>6138</v>
      </c>
      <c r="C7867" s="2">
        <f>IFERROR(__xludf.DUMMYFUNCTION("IFERROR(VLOOKUP(A7867, IMPORTRANGE(""https://docs.google.com/spreadsheets/d/1AVX9GT0dgogEBStecCXMMQ29tWz3gBrtNB8yIromXbY/edit?gid=741673867"", ""out1g!A:B""), 2, FALSE), 0)"),16.0)</f>
        <v>16</v>
      </c>
      <c r="D7867" s="2" t="str">
        <f>IFERROR(__xludf.DUMMYFUNCTION("IFERROR(VLOOKUP(A7867, IMPORTRANGE(""https://docs.google.com/spreadsheets/d/1-3Vjw2Cyy-mry5gbC8ypIR3YVGFfEpyFESummAta6sg/edit"", ""Sheet1!B:D""), 2, FALSE), ""Not Found"")"),"pɔzɪz")</f>
        <v>pɔzɪz</v>
      </c>
      <c r="E7867" s="2" t="str">
        <f>IFERROR(__xludf.DUMMYFUNCTION("IFERROR(VLOOKUP(A7867, IMPORTRANGE(""https://docs.google.com/spreadsheets/d/1-3Vjw2Cyy-mry5gbC8ypIR3YVGFfEpyFESummAta6sg/edit"", ""Sheet1!B:D""), 3, FALSE), ""Not Found"")"),"p ɔ z ɪ z ")</f>
        <v>p ɔ z ɪ z </v>
      </c>
    </row>
    <row r="7868">
      <c r="A7868" s="1" t="s">
        <v>7869</v>
      </c>
      <c r="B7868" s="1" t="s">
        <v>6138</v>
      </c>
      <c r="C7868" s="2">
        <f>IFERROR(__xludf.DUMMYFUNCTION("IFERROR(VLOOKUP(A7868, IMPORTRANGE(""https://docs.google.com/spreadsheets/d/1AVX9GT0dgogEBStecCXMMQ29tWz3gBrtNB8yIromXbY/edit?gid=741673867"", ""out1g!A:B""), 2, FALSE), 0)"),28.0)</f>
        <v>28</v>
      </c>
      <c r="D7868" s="2" t="str">
        <f>IFERROR(__xludf.DUMMYFUNCTION("IFERROR(VLOOKUP(A7868, IMPORTRANGE(""https://docs.google.com/spreadsheets/d/1-3Vjw2Cyy-mry5gbC8ypIR3YVGFfEpyFESummAta6sg/edit"", ""Sheet1!B:D""), 2, FALSE), ""Not Found"")"),"skɛʧɪŋ")</f>
        <v>skɛʧɪŋ</v>
      </c>
      <c r="E7868" s="2" t="str">
        <f>IFERROR(__xludf.DUMMYFUNCTION("IFERROR(VLOOKUP(A7868, IMPORTRANGE(""https://docs.google.com/spreadsheets/d/1-3Vjw2Cyy-mry5gbC8ypIR3YVGFfEpyFESummAta6sg/edit"", ""Sheet1!B:D""), 3, FALSE), ""Not Found"")"),"s k ɛ ʧ ɪ ŋ ")</f>
        <v>s k ɛ ʧ ɪ ŋ </v>
      </c>
    </row>
    <row r="7869">
      <c r="A7869" s="1" t="s">
        <v>7870</v>
      </c>
      <c r="B7869" s="1" t="s">
        <v>6138</v>
      </c>
      <c r="C7869" s="2">
        <f>IFERROR(__xludf.DUMMYFUNCTION("IFERROR(VLOOKUP(A7869, IMPORTRANGE(""https://docs.google.com/spreadsheets/d/1AVX9GT0dgogEBStecCXMMQ29tWz3gBrtNB8yIromXbY/edit?gid=741673867"", ""out1g!A:B""), 2, FALSE), 0)"),56.0)</f>
        <v>56</v>
      </c>
      <c r="D7869" s="2" t="str">
        <f>IFERROR(__xludf.DUMMYFUNCTION("IFERROR(VLOOKUP(A7869, IMPORTRANGE(""https://docs.google.com/spreadsheets/d/1-3Vjw2Cyy-mry5gbC8ypIR3YVGFfEpyFESummAta6sg/edit"", ""Sheet1!B:D""), 2, FALSE), ""Not Found"")"),"pænɪki")</f>
        <v>pænɪki</v>
      </c>
      <c r="E7869" s="2" t="str">
        <f>IFERROR(__xludf.DUMMYFUNCTION("IFERROR(VLOOKUP(A7869, IMPORTRANGE(""https://docs.google.com/spreadsheets/d/1-3Vjw2Cyy-mry5gbC8ypIR3YVGFfEpyFESummAta6sg/edit"", ""Sheet1!B:D""), 3, FALSE), ""Not Found"")"),"p æ n ɪ k i ")</f>
        <v>p æ n ɪ k i </v>
      </c>
    </row>
    <row r="7870">
      <c r="A7870" s="1" t="s">
        <v>7871</v>
      </c>
      <c r="B7870" s="1" t="s">
        <v>6138</v>
      </c>
      <c r="C7870" s="2">
        <f>IFERROR(__xludf.DUMMYFUNCTION("IFERROR(VLOOKUP(A7870, IMPORTRANGE(""https://docs.google.com/spreadsheets/d/1AVX9GT0dgogEBStecCXMMQ29tWz3gBrtNB8yIromXbY/edit?gid=741673867"", ""out1g!A:B""), 2, FALSE), 0)"),96.0)</f>
        <v>96</v>
      </c>
      <c r="D7870" s="2" t="str">
        <f>IFERROR(__xludf.DUMMYFUNCTION("IFERROR(VLOOKUP(A7870, IMPORTRANGE(""https://docs.google.com/spreadsheets/d/1-3Vjw2Cyy-mry5gbC8ypIR3YVGFfEpyFESummAta6sg/edit"", ""Sheet1!B:D""), 2, FALSE), ""Not Found"")"),"kɑrts")</f>
        <v>kɑrts</v>
      </c>
      <c r="E7870" s="2" t="str">
        <f>IFERROR(__xludf.DUMMYFUNCTION("IFERROR(VLOOKUP(A7870, IMPORTRANGE(""https://docs.google.com/spreadsheets/d/1-3Vjw2Cyy-mry5gbC8ypIR3YVGFfEpyFESummAta6sg/edit"", ""Sheet1!B:D""), 3, FALSE), ""Not Found"")"),"k ɑ r t s ")</f>
        <v>k ɑ r t s </v>
      </c>
    </row>
    <row r="7871">
      <c r="A7871" s="1" t="s">
        <v>7872</v>
      </c>
      <c r="B7871" s="1" t="s">
        <v>6138</v>
      </c>
      <c r="C7871" s="2">
        <f>IFERROR(__xludf.DUMMYFUNCTION("IFERROR(VLOOKUP(A7871, IMPORTRANGE(""https://docs.google.com/spreadsheets/d/1AVX9GT0dgogEBStecCXMMQ29tWz3gBrtNB8yIromXbY/edit?gid=741673867"", ""out1g!A:B""), 2, FALSE), 0)"),73.0)</f>
        <v>73</v>
      </c>
      <c r="D7871" s="2" t="str">
        <f>IFERROR(__xludf.DUMMYFUNCTION("IFERROR(VLOOKUP(A7871, IMPORTRANGE(""https://docs.google.com/spreadsheets/d/1-3Vjw2Cyy-mry5gbC8ypIR3YVGFfEpyFESummAta6sg/edit"", ""Sheet1!B:D""), 2, FALSE), ""Not Found"")"),"θəmpɪŋ")</f>
        <v>θəmpɪŋ</v>
      </c>
      <c r="E7871" s="2" t="str">
        <f>IFERROR(__xludf.DUMMYFUNCTION("IFERROR(VLOOKUP(A7871, IMPORTRANGE(""https://docs.google.com/spreadsheets/d/1-3Vjw2Cyy-mry5gbC8ypIR3YVGFfEpyFESummAta6sg/edit"", ""Sheet1!B:D""), 3, FALSE), ""Not Found"")"),"θ ə m p ɪ ŋ ")</f>
        <v>θ ə m p ɪ ŋ </v>
      </c>
    </row>
    <row r="7872">
      <c r="A7872" s="1" t="s">
        <v>7873</v>
      </c>
      <c r="B7872" s="1" t="s">
        <v>6138</v>
      </c>
      <c r="C7872" s="2">
        <f>IFERROR(__xludf.DUMMYFUNCTION("IFERROR(VLOOKUP(A7872, IMPORTRANGE(""https://docs.google.com/spreadsheets/d/1AVX9GT0dgogEBStecCXMMQ29tWz3gBrtNB8yIromXbY/edit?gid=741673867"", ""out1g!A:B""), 2, FALSE), 0)"),141.0)</f>
        <v>141</v>
      </c>
      <c r="D7872" s="2" t="str">
        <f>IFERROR(__xludf.DUMMYFUNCTION("IFERROR(VLOOKUP(A7872, IMPORTRANGE(""https://docs.google.com/spreadsheets/d/1-3Vjw2Cyy-mry5gbC8ypIR3YVGFfEpyFESummAta6sg/edit"", ""Sheet1!B:D""), 2, FALSE), ""Not Found"")"),"lɪŋks")</f>
        <v>lɪŋks</v>
      </c>
      <c r="E7872" s="2" t="str">
        <f>IFERROR(__xludf.DUMMYFUNCTION("IFERROR(VLOOKUP(A7872, IMPORTRANGE(""https://docs.google.com/spreadsheets/d/1-3Vjw2Cyy-mry5gbC8ypIR3YVGFfEpyFESummAta6sg/edit"", ""Sheet1!B:D""), 3, FALSE), ""Not Found"")"),"l ɪ ŋ k s ")</f>
        <v>l ɪ ŋ k s </v>
      </c>
    </row>
    <row r="7873">
      <c r="A7873" s="1" t="s">
        <v>7874</v>
      </c>
      <c r="B7873" s="1" t="s">
        <v>6138</v>
      </c>
      <c r="C7873" s="2">
        <f>IFERROR(__xludf.DUMMYFUNCTION("IFERROR(VLOOKUP(A7873, IMPORTRANGE(""https://docs.google.com/spreadsheets/d/1AVX9GT0dgogEBStecCXMMQ29tWz3gBrtNB8yIromXbY/edit?gid=741673867"", ""out1g!A:B""), 2, FALSE), 0)"),136.0)</f>
        <v>136</v>
      </c>
      <c r="D7873" s="2" t="str">
        <f>IFERROR(__xludf.DUMMYFUNCTION("IFERROR(VLOOKUP(A7873, IMPORTRANGE(""https://docs.google.com/spreadsheets/d/1-3Vjw2Cyy-mry5gbC8ypIR3YVGFfEpyFESummAta6sg/edit"", ""Sheet1!B:D""), 2, FALSE), ""Not Found"")"),"bləʃ")</f>
        <v>bləʃ</v>
      </c>
      <c r="E7873" s="2" t="str">
        <f>IFERROR(__xludf.DUMMYFUNCTION("IFERROR(VLOOKUP(A7873, IMPORTRANGE(""https://docs.google.com/spreadsheets/d/1-3Vjw2Cyy-mry5gbC8ypIR3YVGFfEpyFESummAta6sg/edit"", ""Sheet1!B:D""), 3, FALSE), ""Not Found"")"),"b l ə ʃ ")</f>
        <v>b l ə ʃ </v>
      </c>
    </row>
    <row r="7874">
      <c r="A7874" s="1" t="s">
        <v>7875</v>
      </c>
      <c r="B7874" s="1" t="s">
        <v>6138</v>
      </c>
      <c r="C7874" s="2">
        <f>IFERROR(__xludf.DUMMYFUNCTION("IFERROR(VLOOKUP(A7874, IMPORTRANGE(""https://docs.google.com/spreadsheets/d/1AVX9GT0dgogEBStecCXMMQ29tWz3gBrtNB8yIromXbY/edit?gid=741673867"", ""out1g!A:B""), 2, FALSE), 0)"),60.0)</f>
        <v>60</v>
      </c>
      <c r="D7874" s="2" t="str">
        <f>IFERROR(__xludf.DUMMYFUNCTION("IFERROR(VLOOKUP(A7874, IMPORTRANGE(""https://docs.google.com/spreadsheets/d/1-3Vjw2Cyy-mry5gbC8ypIR3YVGFfEpyFESummAta6sg/edit"", ""Sheet1!B:D""), 2, FALSE), ""Not Found"")"),"rʊkiz")</f>
        <v>rʊkiz</v>
      </c>
      <c r="E7874" s="2" t="str">
        <f>IFERROR(__xludf.DUMMYFUNCTION("IFERROR(VLOOKUP(A7874, IMPORTRANGE(""https://docs.google.com/spreadsheets/d/1-3Vjw2Cyy-mry5gbC8ypIR3YVGFfEpyFESummAta6sg/edit"", ""Sheet1!B:D""), 3, FALSE), ""Not Found"")"),"r ʊ k i z ")</f>
        <v>r ʊ k i z </v>
      </c>
    </row>
    <row r="7875">
      <c r="A7875" s="1" t="s">
        <v>7876</v>
      </c>
      <c r="B7875" s="1" t="s">
        <v>6138</v>
      </c>
      <c r="C7875" s="2">
        <f>IFERROR(__xludf.DUMMYFUNCTION("IFERROR(VLOOKUP(A7875, IMPORTRANGE(""https://docs.google.com/spreadsheets/d/1AVX9GT0dgogEBStecCXMMQ29tWz3gBrtNB8yIromXbY/edit?gid=741673867"", ""out1g!A:B""), 2, FALSE), 0)"),81.0)</f>
        <v>81</v>
      </c>
      <c r="D7875" s="2" t="str">
        <f>IFERROR(__xludf.DUMMYFUNCTION("IFERROR(VLOOKUP(A7875, IMPORTRANGE(""https://docs.google.com/spreadsheets/d/1-3Vjw2Cyy-mry5gbC8ypIR3YVGFfEpyFESummAta6sg/edit"", ""Sheet1!B:D""), 2, FALSE), ""Not Found"")"),"fæmən")</f>
        <v>fæmən</v>
      </c>
      <c r="E7875" s="2" t="str">
        <f>IFERROR(__xludf.DUMMYFUNCTION("IFERROR(VLOOKUP(A7875, IMPORTRANGE(""https://docs.google.com/spreadsheets/d/1-3Vjw2Cyy-mry5gbC8ypIR3YVGFfEpyFESummAta6sg/edit"", ""Sheet1!B:D""), 3, FALSE), ""Not Found"")"),"f æ m ə n ")</f>
        <v>f æ m ə n </v>
      </c>
    </row>
    <row r="7876">
      <c r="A7876" s="1" t="s">
        <v>7877</v>
      </c>
      <c r="B7876" s="1" t="s">
        <v>6138</v>
      </c>
      <c r="C7876" s="2">
        <f>IFERROR(__xludf.DUMMYFUNCTION("IFERROR(VLOOKUP(A7876, IMPORTRANGE(""https://docs.google.com/spreadsheets/d/1AVX9GT0dgogEBStecCXMMQ29tWz3gBrtNB8yIromXbY/edit?gid=741673867"", ""out1g!A:B""), 2, FALSE), 0)"),86.0)</f>
        <v>86</v>
      </c>
      <c r="D7876" s="2" t="str">
        <f>IFERROR(__xludf.DUMMYFUNCTION("IFERROR(VLOOKUP(A7876, IMPORTRANGE(""https://docs.google.com/spreadsheets/d/1-3Vjw2Cyy-mry5gbC8ypIR3YVGFfEpyFESummAta6sg/edit"", ""Sheet1!B:D""), 2, FALSE), ""Not Found"")"),"sædəst")</f>
        <v>sædəst</v>
      </c>
      <c r="E7876" s="2" t="str">
        <f>IFERROR(__xludf.DUMMYFUNCTION("IFERROR(VLOOKUP(A7876, IMPORTRANGE(""https://docs.google.com/spreadsheets/d/1-3Vjw2Cyy-mry5gbC8ypIR3YVGFfEpyFESummAta6sg/edit"", ""Sheet1!B:D""), 3, FALSE), ""Not Found"")"),"s æ d ə s t ")</f>
        <v>s æ d ə s t </v>
      </c>
    </row>
    <row r="7877">
      <c r="A7877" s="1" t="s">
        <v>7878</v>
      </c>
      <c r="B7877" s="1" t="s">
        <v>6138</v>
      </c>
      <c r="C7877" s="2">
        <f>IFERROR(__xludf.DUMMYFUNCTION("IFERROR(VLOOKUP(A7877, IMPORTRANGE(""https://docs.google.com/spreadsheets/d/1AVX9GT0dgogEBStecCXMMQ29tWz3gBrtNB8yIromXbY/edit?gid=741673867"", ""out1g!A:B""), 2, FALSE), 0)"),678.0)</f>
        <v>678</v>
      </c>
      <c r="D7877" s="2" t="str">
        <f>IFERROR(__xludf.DUMMYFUNCTION("IFERROR(VLOOKUP(A7877, IMPORTRANGE(""https://docs.google.com/spreadsheets/d/1-3Vjw2Cyy-mry5gbC8ypIR3YVGFfEpyFESummAta6sg/edit"", ""Sheet1!B:D""), 2, FALSE), ""Not Found"")"),"wɪkəd")</f>
        <v>wɪkəd</v>
      </c>
      <c r="E7877" s="2" t="str">
        <f>IFERROR(__xludf.DUMMYFUNCTION("IFERROR(VLOOKUP(A7877, IMPORTRANGE(""https://docs.google.com/spreadsheets/d/1-3Vjw2Cyy-mry5gbC8ypIR3YVGFfEpyFESummAta6sg/edit"", ""Sheet1!B:D""), 3, FALSE), ""Not Found"")"),"w ɪ k ə d ")</f>
        <v>w ɪ k ə d </v>
      </c>
    </row>
    <row r="7878">
      <c r="A7878" s="1" t="s">
        <v>7879</v>
      </c>
      <c r="B7878" s="1" t="s">
        <v>6138</v>
      </c>
      <c r="C7878" s="2">
        <f>IFERROR(__xludf.DUMMYFUNCTION("IFERROR(VLOOKUP(A7878, IMPORTRANGE(""https://docs.google.com/spreadsheets/d/1AVX9GT0dgogEBStecCXMMQ29tWz3gBrtNB8yIromXbY/edit?gid=741673867"", ""out1g!A:B""), 2, FALSE), 0)"),273.0)</f>
        <v>273</v>
      </c>
      <c r="D7878" s="2" t="str">
        <f>IFERROR(__xludf.DUMMYFUNCTION("IFERROR(VLOOKUP(A7878, IMPORTRANGE(""https://docs.google.com/spreadsheets/d/1-3Vjw2Cyy-mry5gbC8ypIR3YVGFfEpyFESummAta6sg/edit"", ""Sheet1!B:D""), 2, FALSE), ""Not Found"")"),"dɔŋki")</f>
        <v>dɔŋki</v>
      </c>
      <c r="E7878" s="2" t="str">
        <f>IFERROR(__xludf.DUMMYFUNCTION("IFERROR(VLOOKUP(A7878, IMPORTRANGE(""https://docs.google.com/spreadsheets/d/1-3Vjw2Cyy-mry5gbC8ypIR3YVGFfEpyFESummAta6sg/edit"", ""Sheet1!B:D""), 3, FALSE), ""Not Found"")"),"d ɔ ŋ k i ")</f>
        <v>d ɔ ŋ k i </v>
      </c>
    </row>
    <row r="7879">
      <c r="A7879" s="1" t="s">
        <v>7880</v>
      </c>
      <c r="B7879" s="1" t="s">
        <v>6138</v>
      </c>
      <c r="C7879" s="2">
        <f>IFERROR(__xludf.DUMMYFUNCTION("IFERROR(VLOOKUP(A7879, IMPORTRANGE(""https://docs.google.com/spreadsheets/d/1AVX9GT0dgogEBStecCXMMQ29tWz3gBrtNB8yIromXbY/edit?gid=741673867"", ""out1g!A:B""), 2, FALSE), 0)"),674.0)</f>
        <v>674</v>
      </c>
      <c r="D7879" s="2" t="str">
        <f>IFERROR(__xludf.DUMMYFUNCTION("IFERROR(VLOOKUP(A7879, IMPORTRANGE(""https://docs.google.com/spreadsheets/d/1-3Vjw2Cyy-mry5gbC8ypIR3YVGFfEpyFESummAta6sg/edit"", ""Sheet1!B:D""), 2, FALSE), ""Not Found"")"),"kætəl")</f>
        <v>kætəl</v>
      </c>
      <c r="E7879" s="2" t="str">
        <f>IFERROR(__xludf.DUMMYFUNCTION("IFERROR(VLOOKUP(A7879, IMPORTRANGE(""https://docs.google.com/spreadsheets/d/1-3Vjw2Cyy-mry5gbC8ypIR3YVGFfEpyFESummAta6sg/edit"", ""Sheet1!B:D""), 3, FALSE), ""Not Found"")"),"k æ t ə l ")</f>
        <v>k æ t ə l </v>
      </c>
    </row>
    <row r="7880">
      <c r="A7880" s="1" t="s">
        <v>7881</v>
      </c>
      <c r="B7880" s="1" t="s">
        <v>6138</v>
      </c>
      <c r="C7880" s="2">
        <f>IFERROR(__xludf.DUMMYFUNCTION("IFERROR(VLOOKUP(A7880, IMPORTRANGE(""https://docs.google.com/spreadsheets/d/1AVX9GT0dgogEBStecCXMMQ29tWz3gBrtNB8yIromXbY/edit?gid=741673867"", ""out1g!A:B""), 2, FALSE), 0)"),1550.0)</f>
        <v>1550</v>
      </c>
      <c r="D7880" s="2" t="str">
        <f>IFERROR(__xludf.DUMMYFUNCTION("IFERROR(VLOOKUP(A7880, IMPORTRANGE(""https://docs.google.com/spreadsheets/d/1-3Vjw2Cyy-mry5gbC8ypIR3YVGFfEpyFESummAta6sg/edit"", ""Sheet1!B:D""), 2, FALSE), ""Not Found"")"),"ʃu")</f>
        <v>ʃu</v>
      </c>
      <c r="E7880" s="2" t="str">
        <f>IFERROR(__xludf.DUMMYFUNCTION("IFERROR(VLOOKUP(A7880, IMPORTRANGE(""https://docs.google.com/spreadsheets/d/1-3Vjw2Cyy-mry5gbC8ypIR3YVGFfEpyFESummAta6sg/edit"", ""Sheet1!B:D""), 3, FALSE), ""Not Found"")"),"ʃ u ")</f>
        <v>ʃ u </v>
      </c>
    </row>
    <row r="7881">
      <c r="A7881" s="1" t="s">
        <v>7882</v>
      </c>
      <c r="B7881" s="1" t="s">
        <v>6138</v>
      </c>
      <c r="C7881" s="2">
        <f>IFERROR(__xludf.DUMMYFUNCTION("IFERROR(VLOOKUP(A7881, IMPORTRANGE(""https://docs.google.com/spreadsheets/d/1AVX9GT0dgogEBStecCXMMQ29tWz3gBrtNB8yIromXbY/edit?gid=741673867"", ""out1g!A:B""), 2, FALSE), 0)"),1709.0)</f>
        <v>1709</v>
      </c>
      <c r="D7881" s="2" t="str">
        <f>IFERROR(__xludf.DUMMYFUNCTION("IFERROR(VLOOKUP(A7881, IMPORTRANGE(""https://docs.google.com/spreadsheets/d/1-3Vjw2Cyy-mry5gbC8ypIR3YVGFfEpyFESummAta6sg/edit"", ""Sheet1!B:D""), 2, FALSE), ""Not Found"")"),"məŋki")</f>
        <v>məŋki</v>
      </c>
      <c r="E7881" s="2" t="str">
        <f>IFERROR(__xludf.DUMMYFUNCTION("IFERROR(VLOOKUP(A7881, IMPORTRANGE(""https://docs.google.com/spreadsheets/d/1-3Vjw2Cyy-mry5gbC8ypIR3YVGFfEpyFESummAta6sg/edit"", ""Sheet1!B:D""), 3, FALSE), ""Not Found"")"),"m ə ŋ k i ")</f>
        <v>m ə ŋ k i </v>
      </c>
    </row>
    <row r="7882">
      <c r="A7882" s="1" t="s">
        <v>7883</v>
      </c>
      <c r="B7882" s="1" t="s">
        <v>6138</v>
      </c>
      <c r="C7882" s="2">
        <f>IFERROR(__xludf.DUMMYFUNCTION("IFERROR(VLOOKUP(A7882, IMPORTRANGE(""https://docs.google.com/spreadsheets/d/1AVX9GT0dgogEBStecCXMMQ29tWz3gBrtNB8yIromXbY/edit?gid=741673867"", ""out1g!A:B""), 2, FALSE), 0)"),72.0)</f>
        <v>72</v>
      </c>
      <c r="D7882" s="2" t="str">
        <f>IFERROR(__xludf.DUMMYFUNCTION("IFERROR(VLOOKUP(A7882, IMPORTRANGE(""https://docs.google.com/spreadsheets/d/1-3Vjw2Cyy-mry5gbC8ypIR3YVGFfEpyFESummAta6sg/edit"", ""Sheet1!B:D""), 2, FALSE), ""Not Found"")"),"bæləd")</f>
        <v>bæləd</v>
      </c>
      <c r="E7882" s="2" t="str">
        <f>IFERROR(__xludf.DUMMYFUNCTION("IFERROR(VLOOKUP(A7882, IMPORTRANGE(""https://docs.google.com/spreadsheets/d/1-3Vjw2Cyy-mry5gbC8ypIR3YVGFfEpyFESummAta6sg/edit"", ""Sheet1!B:D""), 3, FALSE), ""Not Found"")"),"b æ l ə d ")</f>
        <v>b æ l ə d </v>
      </c>
    </row>
    <row r="7883">
      <c r="A7883" s="1" t="s">
        <v>7884</v>
      </c>
      <c r="B7883" s="1" t="s">
        <v>6138</v>
      </c>
      <c r="C7883" s="2">
        <f>IFERROR(__xludf.DUMMYFUNCTION("IFERROR(VLOOKUP(A7883, IMPORTRANGE(""https://docs.google.com/spreadsheets/d/1AVX9GT0dgogEBStecCXMMQ29tWz3gBrtNB8yIromXbY/edit?gid=741673867"", ""out1g!A:B""), 2, FALSE), 0)"),64.0)</f>
        <v>64</v>
      </c>
      <c r="D7883" s="2" t="str">
        <f>IFERROR(__xludf.DUMMYFUNCTION("IFERROR(VLOOKUP(A7883, IMPORTRANGE(""https://docs.google.com/spreadsheets/d/1-3Vjw2Cyy-mry5gbC8ypIR3YVGFfEpyFESummAta6sg/edit"", ""Sheet1!B:D""), 2, FALSE), ""Not Found"")"),"foʊnɪŋ")</f>
        <v>foʊnɪŋ</v>
      </c>
      <c r="E7883" s="2" t="str">
        <f>IFERROR(__xludf.DUMMYFUNCTION("IFERROR(VLOOKUP(A7883, IMPORTRANGE(""https://docs.google.com/spreadsheets/d/1-3Vjw2Cyy-mry5gbC8ypIR3YVGFfEpyFESummAta6sg/edit"", ""Sheet1!B:D""), 3, FALSE), ""Not Found"")"),"f o ʊ n ɪ ŋ ")</f>
        <v>f o ʊ n ɪ ŋ </v>
      </c>
    </row>
    <row r="7884">
      <c r="A7884" s="1" t="s">
        <v>7885</v>
      </c>
      <c r="B7884" s="1" t="s">
        <v>6138</v>
      </c>
      <c r="C7884" s="2">
        <f>IFERROR(__xludf.DUMMYFUNCTION("IFERROR(VLOOKUP(A7884, IMPORTRANGE(""https://docs.google.com/spreadsheets/d/1AVX9GT0dgogEBStecCXMMQ29tWz3gBrtNB8yIromXbY/edit?gid=741673867"", ""out1g!A:B""), 2, FALSE), 0)"),444.0)</f>
        <v>444</v>
      </c>
      <c r="D7884" s="2" t="str">
        <f>IFERROR(__xludf.DUMMYFUNCTION("IFERROR(VLOOKUP(A7884, IMPORTRANGE(""https://docs.google.com/spreadsheets/d/1-3Vjw2Cyy-mry5gbC8ypIR3YVGFfEpyFESummAta6sg/edit"", ""Sheet1!B:D""), 2, FALSE), ""Not Found"")"),"kænən")</f>
        <v>kænən</v>
      </c>
      <c r="E7884" s="2" t="str">
        <f>IFERROR(__xludf.DUMMYFUNCTION("IFERROR(VLOOKUP(A7884, IMPORTRANGE(""https://docs.google.com/spreadsheets/d/1-3Vjw2Cyy-mry5gbC8ypIR3YVGFfEpyFESummAta6sg/edit"", ""Sheet1!B:D""), 3, FALSE), ""Not Found"")"),"k æ n ə n ")</f>
        <v>k æ n ə n </v>
      </c>
    </row>
    <row r="7885">
      <c r="A7885" s="1" t="s">
        <v>7886</v>
      </c>
      <c r="B7885" s="1" t="s">
        <v>6138</v>
      </c>
      <c r="C7885" s="2">
        <f>IFERROR(__xludf.DUMMYFUNCTION("IFERROR(VLOOKUP(A7885, IMPORTRANGE(""https://docs.google.com/spreadsheets/d/1AVX9GT0dgogEBStecCXMMQ29tWz3gBrtNB8yIromXbY/edit?gid=741673867"", ""out1g!A:B""), 2, FALSE), 0)"),416.0)</f>
        <v>416</v>
      </c>
      <c r="D7885" s="2" t="str">
        <f>IFERROR(__xludf.DUMMYFUNCTION("IFERROR(VLOOKUP(A7885, IMPORTRANGE(""https://docs.google.com/spreadsheets/d/1-3Vjw2Cyy-mry5gbC8ypIR3YVGFfEpyFESummAta6sg/edit"", ""Sheet1!B:D""), 2, FALSE), ""Not Found"")"),"trenz")</f>
        <v>trenz</v>
      </c>
      <c r="E7885" s="2" t="str">
        <f>IFERROR(__xludf.DUMMYFUNCTION("IFERROR(VLOOKUP(A7885, IMPORTRANGE(""https://docs.google.com/spreadsheets/d/1-3Vjw2Cyy-mry5gbC8ypIR3YVGFfEpyFESummAta6sg/edit"", ""Sheet1!B:D""), 3, FALSE), ""Not Found"")"),"t r e n z ")</f>
        <v>t r e n z </v>
      </c>
    </row>
    <row r="7886">
      <c r="A7886" s="1" t="s">
        <v>7887</v>
      </c>
      <c r="B7886" s="1" t="s">
        <v>6138</v>
      </c>
      <c r="C7886" s="2">
        <f>IFERROR(__xludf.DUMMYFUNCTION("IFERROR(VLOOKUP(A7886, IMPORTRANGE(""https://docs.google.com/spreadsheets/d/1AVX9GT0dgogEBStecCXMMQ29tWz3gBrtNB8yIromXbY/edit?gid=741673867"", ""out1g!A:B""), 2, FALSE), 0)"),79.0)</f>
        <v>79</v>
      </c>
      <c r="D7886" s="2" t="str">
        <f>IFERROR(__xludf.DUMMYFUNCTION("IFERROR(VLOOKUP(A7886, IMPORTRANGE(""https://docs.google.com/spreadsheets/d/1-3Vjw2Cyy-mry5gbC8ypIR3YVGFfEpyFESummAta6sg/edit"", ""Sheet1!B:D""), 2, FALSE), ""Not Found"")"),"laɪloʊ")</f>
        <v>laɪloʊ</v>
      </c>
      <c r="E7886" s="2" t="str">
        <f>IFERROR(__xludf.DUMMYFUNCTION("IFERROR(VLOOKUP(A7886, IMPORTRANGE(""https://docs.google.com/spreadsheets/d/1-3Vjw2Cyy-mry5gbC8ypIR3YVGFfEpyFESummAta6sg/edit"", ""Sheet1!B:D""), 3, FALSE), ""Not Found"")"),"l a ɪ l o ʊ ")</f>
        <v>l a ɪ l o ʊ </v>
      </c>
    </row>
    <row r="7887">
      <c r="A7887" s="1" t="s">
        <v>7888</v>
      </c>
      <c r="B7887" s="1" t="s">
        <v>6138</v>
      </c>
      <c r="C7887" s="2">
        <f>IFERROR(__xludf.DUMMYFUNCTION("IFERROR(VLOOKUP(A7887, IMPORTRANGE(""https://docs.google.com/spreadsheets/d/1AVX9GT0dgogEBStecCXMMQ29tWz3gBrtNB8yIromXbY/edit?gid=741673867"", ""out1g!A:B""), 2, FALSE), 0)"),361.0)</f>
        <v>361</v>
      </c>
      <c r="D7887" s="2" t="str">
        <f>IFERROR(__xludf.DUMMYFUNCTION("IFERROR(VLOOKUP(A7887, IMPORTRANGE(""https://docs.google.com/spreadsheets/d/1-3Vjw2Cyy-mry5gbC8ypIR3YVGFfEpyFESummAta6sg/edit"", ""Sheet1!B:D""), 2, FALSE), ""Not Found"")"),"mitərz")</f>
        <v>mitərz</v>
      </c>
      <c r="E7887" s="2" t="str">
        <f>IFERROR(__xludf.DUMMYFUNCTION("IFERROR(VLOOKUP(A7887, IMPORTRANGE(""https://docs.google.com/spreadsheets/d/1-3Vjw2Cyy-mry5gbC8ypIR3YVGFfEpyFESummAta6sg/edit"", ""Sheet1!B:D""), 3, FALSE), ""Not Found"")"),"m i t ə r z ")</f>
        <v>m i t ə r z </v>
      </c>
    </row>
    <row r="7888">
      <c r="A7888" s="1" t="s">
        <v>7889</v>
      </c>
      <c r="B7888" s="1" t="s">
        <v>6138</v>
      </c>
      <c r="C7888" s="2">
        <f>IFERROR(__xludf.DUMMYFUNCTION("IFERROR(VLOOKUP(A7888, IMPORTRANGE(""https://docs.google.com/spreadsheets/d/1AVX9GT0dgogEBStecCXMMQ29tWz3gBrtNB8yIromXbY/edit?gid=741673867"", ""out1g!A:B""), 2, FALSE), 0)"),771.0)</f>
        <v>771</v>
      </c>
      <c r="D7888" s="2" t="str">
        <f>IFERROR(__xludf.DUMMYFUNCTION("IFERROR(VLOOKUP(A7888, IMPORTRANGE(""https://docs.google.com/spreadsheets/d/1-3Vjw2Cyy-mry5gbC8ypIR3YVGFfEpyFESummAta6sg/edit"", ""Sheet1!B:D""), 2, FALSE), ""Not Found"")"),"pɔr")</f>
        <v>pɔr</v>
      </c>
      <c r="E7888" s="2" t="str">
        <f>IFERROR(__xludf.DUMMYFUNCTION("IFERROR(VLOOKUP(A7888, IMPORTRANGE(""https://docs.google.com/spreadsheets/d/1-3Vjw2Cyy-mry5gbC8ypIR3YVGFfEpyFESummAta6sg/edit"", ""Sheet1!B:D""), 3, FALSE), ""Not Found"")"),"p ɔ r ")</f>
        <v>p ɔ r </v>
      </c>
    </row>
    <row r="7889">
      <c r="A7889" s="1" t="s">
        <v>7890</v>
      </c>
      <c r="B7889" s="1" t="s">
        <v>6138</v>
      </c>
      <c r="C7889" s="2">
        <f>IFERROR(__xludf.DUMMYFUNCTION("IFERROR(VLOOKUP(A7889, IMPORTRANGE(""https://docs.google.com/spreadsheets/d/1AVX9GT0dgogEBStecCXMMQ29tWz3gBrtNB8yIromXbY/edit?gid=741673867"", ""out1g!A:B""), 2, FALSE), 0)"),102467.0)</f>
        <v>102467</v>
      </c>
      <c r="D7889" s="2" t="str">
        <f>IFERROR(__xludf.DUMMYFUNCTION("IFERROR(VLOOKUP(A7889, IMPORTRANGE(""https://docs.google.com/spreadsheets/d/1-3Vjw2Cyy-mry5gbC8ypIR3YVGFfEpyFESummAta6sg/edit"", ""Sheet1!B:D""), 2, FALSE), ""Not Found"")"),"bæk")</f>
        <v>bæk</v>
      </c>
      <c r="E7889" s="2" t="str">
        <f>IFERROR(__xludf.DUMMYFUNCTION("IFERROR(VLOOKUP(A7889, IMPORTRANGE(""https://docs.google.com/spreadsheets/d/1-3Vjw2Cyy-mry5gbC8ypIR3YVGFfEpyFESummAta6sg/edit"", ""Sheet1!B:D""), 3, FALSE), ""Not Found"")"),"b æ k ")</f>
        <v>b æ k </v>
      </c>
    </row>
    <row r="7890">
      <c r="A7890" s="1" t="s">
        <v>7891</v>
      </c>
      <c r="B7890" s="1" t="s">
        <v>6138</v>
      </c>
      <c r="C7890" s="2">
        <f>IFERROR(__xludf.DUMMYFUNCTION("IFERROR(VLOOKUP(A7890, IMPORTRANGE(""https://docs.google.com/spreadsheets/d/1AVX9GT0dgogEBStecCXMMQ29tWz3gBrtNB8yIromXbY/edit?gid=741673867"", ""out1g!A:B""), 2, FALSE), 0)"),111.0)</f>
        <v>111</v>
      </c>
      <c r="D7890" s="2" t="str">
        <f>IFERROR(__xludf.DUMMYFUNCTION("IFERROR(VLOOKUP(A7890, IMPORTRANGE(""https://docs.google.com/spreadsheets/d/1-3Vjw2Cyy-mry5gbC8ypIR3YVGFfEpyFESummAta6sg/edit"", ""Sheet1!B:D""), 2, FALSE), ""Not Found"")"),"faɪbərz")</f>
        <v>faɪbərz</v>
      </c>
      <c r="E7890" s="2" t="str">
        <f>IFERROR(__xludf.DUMMYFUNCTION("IFERROR(VLOOKUP(A7890, IMPORTRANGE(""https://docs.google.com/spreadsheets/d/1-3Vjw2Cyy-mry5gbC8ypIR3YVGFfEpyFESummAta6sg/edit"", ""Sheet1!B:D""), 3, FALSE), ""Not Found"")"),"f a ɪ b ə r z ")</f>
        <v>f a ɪ b ə r z </v>
      </c>
    </row>
    <row r="7891">
      <c r="A7891" s="1" t="s">
        <v>7892</v>
      </c>
      <c r="B7891" s="1" t="s">
        <v>6138</v>
      </c>
      <c r="C7891" s="2">
        <f>IFERROR(__xludf.DUMMYFUNCTION("IFERROR(VLOOKUP(A7891, IMPORTRANGE(""https://docs.google.com/spreadsheets/d/1AVX9GT0dgogEBStecCXMMQ29tWz3gBrtNB8yIromXbY/edit?gid=741673867"", ""out1g!A:B""), 2, FALSE), 0)"),233.0)</f>
        <v>233</v>
      </c>
      <c r="D7891" s="2" t="str">
        <f>IFERROR(__xludf.DUMMYFUNCTION("IFERROR(VLOOKUP(A7891, IMPORTRANGE(""https://docs.google.com/spreadsheets/d/1-3Vjw2Cyy-mry5gbC8ypIR3YVGFfEpyFESummAta6sg/edit"", ""Sheet1!B:D""), 2, FALSE), ""Not Found"")"),"rel")</f>
        <v>rel</v>
      </c>
      <c r="E7891" s="2" t="str">
        <f>IFERROR(__xludf.DUMMYFUNCTION("IFERROR(VLOOKUP(A7891, IMPORTRANGE(""https://docs.google.com/spreadsheets/d/1-3Vjw2Cyy-mry5gbC8ypIR3YVGFfEpyFESummAta6sg/edit"", ""Sheet1!B:D""), 3, FALSE), ""Not Found"")"),"r e l ")</f>
        <v>r e l </v>
      </c>
    </row>
    <row r="7892">
      <c r="A7892" s="1" t="s">
        <v>7893</v>
      </c>
      <c r="B7892" s="1" t="s">
        <v>6138</v>
      </c>
      <c r="C7892" s="2">
        <f>IFERROR(__xludf.DUMMYFUNCTION("IFERROR(VLOOKUP(A7892, IMPORTRANGE(""https://docs.google.com/spreadsheets/d/1AVX9GT0dgogEBStecCXMMQ29tWz3gBrtNB8yIromXbY/edit?gid=741673867"", ""out1g!A:B""), 2, FALSE), 0)"),1066.0)</f>
        <v>1066</v>
      </c>
      <c r="D7892" s="2" t="str">
        <f>IFERROR(__xludf.DUMMYFUNCTION("IFERROR(VLOOKUP(A7892, IMPORTRANGE(""https://docs.google.com/spreadsheets/d/1-3Vjw2Cyy-mry5gbC8ypIR3YVGFfEpyFESummAta6sg/edit"", ""Sheet1!B:D""), 2, FALSE), ""Not Found"")"),"pərsid")</f>
        <v>pərsid</v>
      </c>
      <c r="E7892" s="2" t="str">
        <f>IFERROR(__xludf.DUMMYFUNCTION("IFERROR(VLOOKUP(A7892, IMPORTRANGE(""https://docs.google.com/spreadsheets/d/1-3Vjw2Cyy-mry5gbC8ypIR3YVGFfEpyFESummAta6sg/edit"", ""Sheet1!B:D""), 3, FALSE), ""Not Found"")"),"p ə r s i d ")</f>
        <v>p ə r s i d </v>
      </c>
    </row>
    <row r="7893">
      <c r="A7893" s="1" t="s">
        <v>7894</v>
      </c>
      <c r="B7893" s="1" t="s">
        <v>6138</v>
      </c>
      <c r="C7893" s="2">
        <f>IFERROR(__xludf.DUMMYFUNCTION("IFERROR(VLOOKUP(A7893, IMPORTRANGE(""https://docs.google.com/spreadsheets/d/1AVX9GT0dgogEBStecCXMMQ29tWz3gBrtNB8yIromXbY/edit?gid=741673867"", ""out1g!A:B""), 2, FALSE), 0)"),748.0)</f>
        <v>748</v>
      </c>
      <c r="D7893" s="2" t="str">
        <f>IFERROR(__xludf.DUMMYFUNCTION("IFERROR(VLOOKUP(A7893, IMPORTRANGE(""https://docs.google.com/spreadsheets/d/1-3Vjw2Cyy-mry5gbC8ypIR3YVGFfEpyFESummAta6sg/edit"", ""Sheet1!B:D""), 2, FALSE), ""Not Found"")"),"strɛʧ")</f>
        <v>strɛʧ</v>
      </c>
      <c r="E7893" s="2" t="str">
        <f>IFERROR(__xludf.DUMMYFUNCTION("IFERROR(VLOOKUP(A7893, IMPORTRANGE(""https://docs.google.com/spreadsheets/d/1-3Vjw2Cyy-mry5gbC8ypIR3YVGFfEpyFESummAta6sg/edit"", ""Sheet1!B:D""), 3, FALSE), ""Not Found"")"),"s t r ɛ ʧ ")</f>
        <v>s t r ɛ ʧ </v>
      </c>
    </row>
    <row r="7894">
      <c r="A7894" s="1" t="s">
        <v>7895</v>
      </c>
      <c r="B7894" s="1" t="s">
        <v>6138</v>
      </c>
      <c r="C7894" s="2">
        <f>IFERROR(__xludf.DUMMYFUNCTION("IFERROR(VLOOKUP(A7894, IMPORTRANGE(""https://docs.google.com/spreadsheets/d/1AVX9GT0dgogEBStecCXMMQ29tWz3gBrtNB8yIromXbY/edit?gid=741673867"", ""out1g!A:B""), 2, FALSE), 0)"),507.0)</f>
        <v>507</v>
      </c>
      <c r="D7894" s="2" t="str">
        <f>IFERROR(__xludf.DUMMYFUNCTION("IFERROR(VLOOKUP(A7894, IMPORTRANGE(""https://docs.google.com/spreadsheets/d/1-3Vjw2Cyy-mry5gbC8ypIR3YVGFfEpyFESummAta6sg/edit"", ""Sheet1!B:D""), 2, FALSE), ""Not Found"")"),"saɪnɪŋ")</f>
        <v>saɪnɪŋ</v>
      </c>
      <c r="E7894" s="2" t="str">
        <f>IFERROR(__xludf.DUMMYFUNCTION("IFERROR(VLOOKUP(A7894, IMPORTRANGE(""https://docs.google.com/spreadsheets/d/1-3Vjw2Cyy-mry5gbC8ypIR3YVGFfEpyFESummAta6sg/edit"", ""Sheet1!B:D""), 3, FALSE), ""Not Found"")"),"s a ɪ n ɪ ŋ ")</f>
        <v>s a ɪ n ɪ ŋ </v>
      </c>
    </row>
    <row r="7895">
      <c r="A7895" s="1" t="s">
        <v>7896</v>
      </c>
      <c r="B7895" s="1" t="s">
        <v>6138</v>
      </c>
      <c r="C7895" s="2">
        <f>IFERROR(__xludf.DUMMYFUNCTION("IFERROR(VLOOKUP(A7895, IMPORTRANGE(""https://docs.google.com/spreadsheets/d/1AVX9GT0dgogEBStecCXMMQ29tWz3gBrtNB8yIromXbY/edit?gid=741673867"", ""out1g!A:B""), 2, FALSE), 0)"),1709.0)</f>
        <v>1709</v>
      </c>
      <c r="D7895" s="2" t="str">
        <f>IFERROR(__xludf.DUMMYFUNCTION("IFERROR(VLOOKUP(A7895, IMPORTRANGE(""https://docs.google.com/spreadsheets/d/1-3Vjw2Cyy-mry5gbC8ypIR3YVGFfEpyFESummAta6sg/edit"", ""Sheet1!B:D""), 2, FALSE), ""Not Found"")"),"pitsə")</f>
        <v>pitsə</v>
      </c>
      <c r="E7895" s="2" t="str">
        <f>IFERROR(__xludf.DUMMYFUNCTION("IFERROR(VLOOKUP(A7895, IMPORTRANGE(""https://docs.google.com/spreadsheets/d/1-3Vjw2Cyy-mry5gbC8ypIR3YVGFfEpyFESummAta6sg/edit"", ""Sheet1!B:D""), 3, FALSE), ""Not Found"")"),"p i t s ə ")</f>
        <v>p i t s ə </v>
      </c>
    </row>
    <row r="7896">
      <c r="A7896" s="1" t="s">
        <v>7897</v>
      </c>
      <c r="B7896" s="1" t="s">
        <v>6138</v>
      </c>
      <c r="C7896" s="2">
        <f>IFERROR(__xludf.DUMMYFUNCTION("IFERROR(VLOOKUP(A7896, IMPORTRANGE(""https://docs.google.com/spreadsheets/d/1AVX9GT0dgogEBStecCXMMQ29tWz3gBrtNB8yIromXbY/edit?gid=741673867"", ""out1g!A:B""), 2, FALSE), 0)"),488.0)</f>
        <v>488</v>
      </c>
      <c r="D7896" s="2" t="str">
        <f>IFERROR(__xludf.DUMMYFUNCTION("IFERROR(VLOOKUP(A7896, IMPORTRANGE(""https://docs.google.com/spreadsheets/d/1-3Vjw2Cyy-mry5gbC8ypIR3YVGFfEpyFESummAta6sg/edit"", ""Sheet1!B:D""), 2, FALSE), ""Not Found"")"),"delaɪt")</f>
        <v>delaɪt</v>
      </c>
      <c r="E7896" s="2" t="str">
        <f>IFERROR(__xludf.DUMMYFUNCTION("IFERROR(VLOOKUP(A7896, IMPORTRANGE(""https://docs.google.com/spreadsheets/d/1-3Vjw2Cyy-mry5gbC8ypIR3YVGFfEpyFESummAta6sg/edit"", ""Sheet1!B:D""), 3, FALSE), ""Not Found"")"),"d e l a ɪ t ")</f>
        <v>d e l a ɪ t </v>
      </c>
    </row>
    <row r="7897">
      <c r="A7897" s="1" t="s">
        <v>7898</v>
      </c>
      <c r="B7897" s="1" t="s">
        <v>6138</v>
      </c>
      <c r="C7897" s="2">
        <f>IFERROR(__xludf.DUMMYFUNCTION("IFERROR(VLOOKUP(A7897, IMPORTRANGE(""https://docs.google.com/spreadsheets/d/1AVX9GT0dgogEBStecCXMMQ29tWz3gBrtNB8yIromXbY/edit?gid=741673867"", ""out1g!A:B""), 2, FALSE), 0)"),92.0)</f>
        <v>92</v>
      </c>
      <c r="D7897" s="2" t="str">
        <f>IFERROR(__xludf.DUMMYFUNCTION("IFERROR(VLOOKUP(A7897, IMPORTRANGE(""https://docs.google.com/spreadsheets/d/1-3Vjw2Cyy-mry5gbC8ypIR3YVGFfEpyFESummAta6sg/edit"", ""Sheet1!B:D""), 2, FALSE), ""Not Found"")"),"fræŋkoʊ")</f>
        <v>fræŋkoʊ</v>
      </c>
      <c r="E7897" s="2" t="str">
        <f>IFERROR(__xludf.DUMMYFUNCTION("IFERROR(VLOOKUP(A7897, IMPORTRANGE(""https://docs.google.com/spreadsheets/d/1-3Vjw2Cyy-mry5gbC8ypIR3YVGFfEpyFESummAta6sg/edit"", ""Sheet1!B:D""), 3, FALSE), ""Not Found"")"),"f r æ ŋ k o ʊ ")</f>
        <v>f r æ ŋ k o ʊ </v>
      </c>
    </row>
    <row r="7898">
      <c r="A7898" s="1" t="s">
        <v>7899</v>
      </c>
      <c r="B7898" s="1" t="s">
        <v>6138</v>
      </c>
      <c r="C7898" s="2">
        <f>IFERROR(__xludf.DUMMYFUNCTION("IFERROR(VLOOKUP(A7898, IMPORTRANGE(""https://docs.google.com/spreadsheets/d/1AVX9GT0dgogEBStecCXMMQ29tWz3gBrtNB8yIromXbY/edit?gid=741673867"", ""out1g!A:B""), 2, FALSE), 0)"),576.0)</f>
        <v>576</v>
      </c>
      <c r="D7898" s="2" t="str">
        <f>IFERROR(__xludf.DUMMYFUNCTION("IFERROR(VLOOKUP(A7898, IMPORTRANGE(""https://docs.google.com/spreadsheets/d/1-3Vjw2Cyy-mry5gbC8ypIR3YVGFfEpyFESummAta6sg/edit"", ""Sheet1!B:D""), 2, FALSE), ""Not Found"")"),"əplɔz")</f>
        <v>əplɔz</v>
      </c>
      <c r="E7898" s="2" t="str">
        <f>IFERROR(__xludf.DUMMYFUNCTION("IFERROR(VLOOKUP(A7898, IMPORTRANGE(""https://docs.google.com/spreadsheets/d/1-3Vjw2Cyy-mry5gbC8ypIR3YVGFfEpyFESummAta6sg/edit"", ""Sheet1!B:D""), 3, FALSE), ""Not Found"")"),"ə p l ɔ z ")</f>
        <v>ə p l ɔ z </v>
      </c>
    </row>
    <row r="7899">
      <c r="A7899" s="1" t="s">
        <v>7900</v>
      </c>
      <c r="B7899" s="1" t="s">
        <v>6138</v>
      </c>
      <c r="C7899" s="2">
        <f>IFERROR(__xludf.DUMMYFUNCTION("IFERROR(VLOOKUP(A7899, IMPORTRANGE(""https://docs.google.com/spreadsheets/d/1AVX9GT0dgogEBStecCXMMQ29tWz3gBrtNB8yIromXbY/edit?gid=741673867"", ""out1g!A:B""), 2, FALSE), 0)"),182.0)</f>
        <v>182</v>
      </c>
      <c r="D7899" s="2" t="str">
        <f>IFERROR(__xludf.DUMMYFUNCTION("IFERROR(VLOOKUP(A7899, IMPORTRANGE(""https://docs.google.com/spreadsheets/d/1-3Vjw2Cyy-mry5gbC8ypIR3YVGFfEpyFESummAta6sg/edit"", ""Sheet1!B:D""), 2, FALSE), ""Not Found"")"),"boʊmən")</f>
        <v>boʊmən</v>
      </c>
      <c r="E7899" s="2" t="str">
        <f>IFERROR(__xludf.DUMMYFUNCTION("IFERROR(VLOOKUP(A7899, IMPORTRANGE(""https://docs.google.com/spreadsheets/d/1-3Vjw2Cyy-mry5gbC8ypIR3YVGFfEpyFESummAta6sg/edit"", ""Sheet1!B:D""), 3, FALSE), ""Not Found"")"),"b o ʊ m ə n ")</f>
        <v>b o ʊ m ə n </v>
      </c>
    </row>
    <row r="7900">
      <c r="A7900" s="1" t="s">
        <v>7901</v>
      </c>
      <c r="B7900" s="1" t="s">
        <v>6138</v>
      </c>
      <c r="C7900" s="2">
        <f>IFERROR(__xludf.DUMMYFUNCTION("IFERROR(VLOOKUP(A7900, IMPORTRANGE(""https://docs.google.com/spreadsheets/d/1AVX9GT0dgogEBStecCXMMQ29tWz3gBrtNB8yIromXbY/edit?gid=741673867"", ""out1g!A:B""), 2, FALSE), 0)"),150.0)</f>
        <v>150</v>
      </c>
      <c r="D7900" s="2" t="str">
        <f>IFERROR(__xludf.DUMMYFUNCTION("IFERROR(VLOOKUP(A7900, IMPORTRANGE(""https://docs.google.com/spreadsheets/d/1-3Vjw2Cyy-mry5gbC8ypIR3YVGFfEpyFESummAta6sg/edit"", ""Sheet1!B:D""), 2, FALSE), ""Not Found"")"),"snæpi")</f>
        <v>snæpi</v>
      </c>
      <c r="E7900" s="2" t="str">
        <f>IFERROR(__xludf.DUMMYFUNCTION("IFERROR(VLOOKUP(A7900, IMPORTRANGE(""https://docs.google.com/spreadsheets/d/1-3Vjw2Cyy-mry5gbC8ypIR3YVGFfEpyFESummAta6sg/edit"", ""Sheet1!B:D""), 3, FALSE), ""Not Found"")"),"s n æ p i ")</f>
        <v>s n æ p i </v>
      </c>
    </row>
    <row r="7901">
      <c r="A7901" s="1" t="s">
        <v>7902</v>
      </c>
      <c r="B7901" s="1" t="s">
        <v>6138</v>
      </c>
      <c r="C7901" s="2">
        <f>IFERROR(__xludf.DUMMYFUNCTION("IFERROR(VLOOKUP(A7901, IMPORTRANGE(""https://docs.google.com/spreadsheets/d/1AVX9GT0dgogEBStecCXMMQ29tWz3gBrtNB8yIromXbY/edit?gid=741673867"", ""out1g!A:B""), 2, FALSE), 0)"),96.0)</f>
        <v>96</v>
      </c>
      <c r="D7901" s="2" t="str">
        <f>IFERROR(__xludf.DUMMYFUNCTION("IFERROR(VLOOKUP(A7901, IMPORTRANGE(""https://docs.google.com/spreadsheets/d/1-3Vjw2Cyy-mry5gbC8ypIR3YVGFfEpyFESummAta6sg/edit"", ""Sheet1!B:D""), 2, FALSE), ""Not Found"")"),"hoʊsts")</f>
        <v>hoʊsts</v>
      </c>
      <c r="E7901" s="2" t="str">
        <f>IFERROR(__xludf.DUMMYFUNCTION("IFERROR(VLOOKUP(A7901, IMPORTRANGE(""https://docs.google.com/spreadsheets/d/1-3Vjw2Cyy-mry5gbC8ypIR3YVGFfEpyFESummAta6sg/edit"", ""Sheet1!B:D""), 3, FALSE), ""Not Found"")"),"h o ʊ s t s ")</f>
        <v>h o ʊ s t s </v>
      </c>
    </row>
    <row r="7902">
      <c r="A7902" s="1" t="s">
        <v>7903</v>
      </c>
      <c r="B7902" s="1" t="s">
        <v>6138</v>
      </c>
      <c r="C7902" s="2">
        <f>IFERROR(__xludf.DUMMYFUNCTION("IFERROR(VLOOKUP(A7902, IMPORTRANGE(""https://docs.google.com/spreadsheets/d/1AVX9GT0dgogEBStecCXMMQ29tWz3gBrtNB8yIromXbY/edit?gid=741673867"", ""out1g!A:B""), 2, FALSE), 0)"),207.0)</f>
        <v>207</v>
      </c>
      <c r="D7902" s="2" t="str">
        <f>IFERROR(__xludf.DUMMYFUNCTION("IFERROR(VLOOKUP(A7902, IMPORTRANGE(""https://docs.google.com/spreadsheets/d/1-3Vjw2Cyy-mry5gbC8ypIR3YVGFfEpyFESummAta6sg/edit"", ""Sheet1!B:D""), 2, FALSE), ""Not Found"")"),"laɪvli")</f>
        <v>laɪvli</v>
      </c>
      <c r="E7902" s="2" t="str">
        <f>IFERROR(__xludf.DUMMYFUNCTION("IFERROR(VLOOKUP(A7902, IMPORTRANGE(""https://docs.google.com/spreadsheets/d/1-3Vjw2Cyy-mry5gbC8ypIR3YVGFfEpyFESummAta6sg/edit"", ""Sheet1!B:D""), 3, FALSE), ""Not Found"")"),"l a ɪ v l i ")</f>
        <v>l a ɪ v l i </v>
      </c>
    </row>
    <row r="7903">
      <c r="A7903" s="1" t="s">
        <v>7904</v>
      </c>
      <c r="B7903" s="1" t="s">
        <v>6138</v>
      </c>
      <c r="C7903" s="2">
        <f>IFERROR(__xludf.DUMMYFUNCTION("IFERROR(VLOOKUP(A7903, IMPORTRANGE(""https://docs.google.com/spreadsheets/d/1AVX9GT0dgogEBStecCXMMQ29tWz3gBrtNB8yIromXbY/edit?gid=741673867"", ""out1g!A:B""), 2, FALSE), 0)"),88.0)</f>
        <v>88</v>
      </c>
      <c r="D7903" s="2" t="str">
        <f>IFERROR(__xludf.DUMMYFUNCTION("IFERROR(VLOOKUP(A7903, IMPORTRANGE(""https://docs.google.com/spreadsheets/d/1-3Vjw2Cyy-mry5gbC8ypIR3YVGFfEpyFESummAta6sg/edit"", ""Sheet1!B:D""), 2, FALSE), ""Not Found"")"),"slæpɪŋ")</f>
        <v>slæpɪŋ</v>
      </c>
      <c r="E7903" s="2" t="str">
        <f>IFERROR(__xludf.DUMMYFUNCTION("IFERROR(VLOOKUP(A7903, IMPORTRANGE(""https://docs.google.com/spreadsheets/d/1-3Vjw2Cyy-mry5gbC8ypIR3YVGFfEpyFESummAta6sg/edit"", ""Sheet1!B:D""), 3, FALSE), ""Not Found"")"),"s l æ p ɪ ŋ ")</f>
        <v>s l æ p ɪ ŋ </v>
      </c>
    </row>
    <row r="7904">
      <c r="A7904" s="1" t="s">
        <v>7905</v>
      </c>
      <c r="B7904" s="1" t="s">
        <v>6138</v>
      </c>
      <c r="C7904" s="2">
        <f>IFERROR(__xludf.DUMMYFUNCTION("IFERROR(VLOOKUP(A7904, IMPORTRANGE(""https://docs.google.com/spreadsheets/d/1AVX9GT0dgogEBStecCXMMQ29tWz3gBrtNB8yIromXbY/edit?gid=741673867"", ""out1g!A:B""), 2, FALSE), 0)"),48.0)</f>
        <v>48</v>
      </c>
      <c r="D7904" s="2" t="str">
        <f>IFERROR(__xludf.DUMMYFUNCTION("IFERROR(VLOOKUP(A7904, IMPORTRANGE(""https://docs.google.com/spreadsheets/d/1-3Vjw2Cyy-mry5gbC8ypIR3YVGFfEpyFESummAta6sg/edit"", ""Sheet1!B:D""), 2, FALSE), ""Not Found"")"),"pel")</f>
        <v>pel</v>
      </c>
      <c r="E7904" s="2" t="str">
        <f>IFERROR(__xludf.DUMMYFUNCTION("IFERROR(VLOOKUP(A7904, IMPORTRANGE(""https://docs.google.com/spreadsheets/d/1-3Vjw2Cyy-mry5gbC8ypIR3YVGFfEpyFESummAta6sg/edit"", ""Sheet1!B:D""), 3, FALSE), ""Not Found"")"),"p e l ")</f>
        <v>p e l </v>
      </c>
    </row>
    <row r="7905">
      <c r="A7905" s="1" t="s">
        <v>7906</v>
      </c>
      <c r="B7905" s="1" t="s">
        <v>6138</v>
      </c>
      <c r="C7905" s="2">
        <f>IFERROR(__xludf.DUMMYFUNCTION("IFERROR(VLOOKUP(A7905, IMPORTRANGE(""https://docs.google.com/spreadsheets/d/1AVX9GT0dgogEBStecCXMMQ29tWz3gBrtNB8yIromXbY/edit?gid=741673867"", ""out1g!A:B""), 2, FALSE), 0)"),3436.0)</f>
        <v>3436</v>
      </c>
      <c r="D7905" s="2" t="str">
        <f>IFERROR(__xludf.DUMMYFUNCTION("IFERROR(VLOOKUP(A7905, IMPORTRANGE(""https://docs.google.com/spreadsheets/d/1-3Vjw2Cyy-mry5gbC8ypIR3YVGFfEpyFESummAta6sg/edit"", ""Sheet1!B:D""), 2, FALSE), ""Not Found"")"),"bɑðər")</f>
        <v>bɑðər</v>
      </c>
      <c r="E7905" s="2" t="str">
        <f>IFERROR(__xludf.DUMMYFUNCTION("IFERROR(VLOOKUP(A7905, IMPORTRANGE(""https://docs.google.com/spreadsheets/d/1-3Vjw2Cyy-mry5gbC8ypIR3YVGFfEpyFESummAta6sg/edit"", ""Sheet1!B:D""), 3, FALSE), ""Not Found"")"),"b ɑ ð ə r ")</f>
        <v>b ɑ ð ə r </v>
      </c>
    </row>
    <row r="7906">
      <c r="A7906" s="1" t="s">
        <v>7907</v>
      </c>
      <c r="B7906" s="1" t="s">
        <v>6138</v>
      </c>
      <c r="C7906" s="2">
        <f>IFERROR(__xludf.DUMMYFUNCTION("IFERROR(VLOOKUP(A7906, IMPORTRANGE(""https://docs.google.com/spreadsheets/d/1AVX9GT0dgogEBStecCXMMQ29tWz3gBrtNB8yIromXbY/edit?gid=741673867"", ""out1g!A:B""), 2, FALSE), 0)"),128.0)</f>
        <v>128</v>
      </c>
      <c r="D7906" s="2" t="str">
        <f>IFERROR(__xludf.DUMMYFUNCTION("IFERROR(VLOOKUP(A7906, IMPORTRANGE(""https://docs.google.com/spreadsheets/d/1-3Vjw2Cyy-mry5gbC8ypIR3YVGFfEpyFESummAta6sg/edit"", ""Sheet1!B:D""), 2, FALSE), ""Not Found"")"),"trəŋks")</f>
        <v>trəŋks</v>
      </c>
      <c r="E7906" s="2" t="str">
        <f>IFERROR(__xludf.DUMMYFUNCTION("IFERROR(VLOOKUP(A7906, IMPORTRANGE(""https://docs.google.com/spreadsheets/d/1-3Vjw2Cyy-mry5gbC8ypIR3YVGFfEpyFESummAta6sg/edit"", ""Sheet1!B:D""), 3, FALSE), ""Not Found"")"),"t r ə ŋ k s ")</f>
        <v>t r ə ŋ k s </v>
      </c>
    </row>
    <row r="7907">
      <c r="A7907" s="1" t="s">
        <v>7908</v>
      </c>
      <c r="B7907" s="1" t="s">
        <v>6138</v>
      </c>
      <c r="C7907" s="2">
        <f>IFERROR(__xludf.DUMMYFUNCTION("IFERROR(VLOOKUP(A7907, IMPORTRANGE(""https://docs.google.com/spreadsheets/d/1AVX9GT0dgogEBStecCXMMQ29tWz3gBrtNB8yIromXbY/edit?gid=741673867"", ""out1g!A:B""), 2, FALSE), 0)"),79.0)</f>
        <v>79</v>
      </c>
      <c r="D7907" s="2" t="str">
        <f>IFERROR(__xludf.DUMMYFUNCTION("IFERROR(VLOOKUP(A7907, IMPORTRANGE(""https://docs.google.com/spreadsheets/d/1-3Vjw2Cyy-mry5gbC8ypIR3YVGFfEpyFESummAta6sg/edit"", ""Sheet1!B:D""), 2, FALSE), ""Not Found"")"),"rɪpits")</f>
        <v>rɪpits</v>
      </c>
      <c r="E7907" s="2" t="str">
        <f>IFERROR(__xludf.DUMMYFUNCTION("IFERROR(VLOOKUP(A7907, IMPORTRANGE(""https://docs.google.com/spreadsheets/d/1-3Vjw2Cyy-mry5gbC8ypIR3YVGFfEpyFESummAta6sg/edit"", ""Sheet1!B:D""), 3, FALSE), ""Not Found"")"),"r ɪ p i t s ")</f>
        <v>r ɪ p i t s </v>
      </c>
    </row>
    <row r="7908">
      <c r="A7908" s="1" t="s">
        <v>7909</v>
      </c>
      <c r="B7908" s="1" t="s">
        <v>6138</v>
      </c>
      <c r="C7908" s="2">
        <f>IFERROR(__xludf.DUMMYFUNCTION("IFERROR(VLOOKUP(A7908, IMPORTRANGE(""https://docs.google.com/spreadsheets/d/1AVX9GT0dgogEBStecCXMMQ29tWz3gBrtNB8yIromXbY/edit?gid=741673867"", ""out1g!A:B""), 2, FALSE), 0)"),130.0)</f>
        <v>130</v>
      </c>
      <c r="D7908" s="2" t="str">
        <f>IFERROR(__xludf.DUMMYFUNCTION("IFERROR(VLOOKUP(A7908, IMPORTRANGE(""https://docs.google.com/spreadsheets/d/1-3Vjw2Cyy-mry5gbC8ypIR3YVGFfEpyFESummAta6sg/edit"", ""Sheet1!B:D""), 2, FALSE), ""Not Found"")"),"ɪnspɛkt")</f>
        <v>ɪnspɛkt</v>
      </c>
      <c r="E7908" s="2" t="str">
        <f>IFERROR(__xludf.DUMMYFUNCTION("IFERROR(VLOOKUP(A7908, IMPORTRANGE(""https://docs.google.com/spreadsheets/d/1-3Vjw2Cyy-mry5gbC8ypIR3YVGFfEpyFESummAta6sg/edit"", ""Sheet1!B:D""), 3, FALSE), ""Not Found"")"),"ɪ n s p ɛ k t ")</f>
        <v>ɪ n s p ɛ k t </v>
      </c>
    </row>
    <row r="7909">
      <c r="A7909" s="1" t="s">
        <v>7910</v>
      </c>
      <c r="B7909" s="1" t="s">
        <v>6138</v>
      </c>
      <c r="C7909" s="2">
        <f>IFERROR(__xludf.DUMMYFUNCTION("IFERROR(VLOOKUP(A7909, IMPORTRANGE(""https://docs.google.com/spreadsheets/d/1AVX9GT0dgogEBStecCXMMQ29tWz3gBrtNB8yIromXbY/edit?gid=741673867"", ""out1g!A:B""), 2, FALSE), 0)"),1686.0)</f>
        <v>1686</v>
      </c>
      <c r="D7909" s="2" t="str">
        <f>IFERROR(__xludf.DUMMYFUNCTION("IFERROR(VLOOKUP(A7909, IMPORTRANGE(""https://docs.google.com/spreadsheets/d/1-3Vjw2Cyy-mry5gbC8ypIR3YVGFfEpyFESummAta6sg/edit"", ""Sheet1!B:D""), 2, FALSE), ""Not Found"")"),"dæmɪʤ")</f>
        <v>dæmɪʤ</v>
      </c>
      <c r="E7909" s="2" t="str">
        <f>IFERROR(__xludf.DUMMYFUNCTION("IFERROR(VLOOKUP(A7909, IMPORTRANGE(""https://docs.google.com/spreadsheets/d/1-3Vjw2Cyy-mry5gbC8ypIR3YVGFfEpyFESummAta6sg/edit"", ""Sheet1!B:D""), 3, FALSE), ""Not Found"")"),"d æ m ɪ ʤ ")</f>
        <v>d æ m ɪ ʤ </v>
      </c>
    </row>
    <row r="7910">
      <c r="A7910" s="1" t="s">
        <v>7911</v>
      </c>
      <c r="B7910" s="1" t="s">
        <v>6138</v>
      </c>
      <c r="C7910" s="2">
        <f>IFERROR(__xludf.DUMMYFUNCTION("IFERROR(VLOOKUP(A7910, IMPORTRANGE(""https://docs.google.com/spreadsheets/d/1AVX9GT0dgogEBStecCXMMQ29tWz3gBrtNB8yIromXbY/edit?gid=741673867"", ""out1g!A:B""), 2, FALSE), 0)"),488.0)</f>
        <v>488</v>
      </c>
      <c r="D7910" s="2" t="str">
        <f>IFERROR(__xludf.DUMMYFUNCTION("IFERROR(VLOOKUP(A7910, IMPORTRANGE(""https://docs.google.com/spreadsheets/d/1-3Vjw2Cyy-mry5gbC8ypIR3YVGFfEpyFESummAta6sg/edit"", ""Sheet1!B:D""), 2, FALSE), ""Not Found"")"),"plænts")</f>
        <v>plænts</v>
      </c>
      <c r="E7910" s="2" t="str">
        <f>IFERROR(__xludf.DUMMYFUNCTION("IFERROR(VLOOKUP(A7910, IMPORTRANGE(""https://docs.google.com/spreadsheets/d/1-3Vjw2Cyy-mry5gbC8ypIR3YVGFfEpyFESummAta6sg/edit"", ""Sheet1!B:D""), 3, FALSE), ""Not Found"")"),"p l æ n t s ")</f>
        <v>p l æ n t s </v>
      </c>
    </row>
    <row r="7911">
      <c r="A7911" s="1" t="s">
        <v>7912</v>
      </c>
      <c r="B7911" s="1" t="s">
        <v>6138</v>
      </c>
      <c r="C7911" s="2">
        <f>IFERROR(__xludf.DUMMYFUNCTION("IFERROR(VLOOKUP(A7911, IMPORTRANGE(""https://docs.google.com/spreadsheets/d/1AVX9GT0dgogEBStecCXMMQ29tWz3gBrtNB8yIromXbY/edit?gid=741673867"", ""out1g!A:B""), 2, FALSE), 0)"),103.0)</f>
        <v>103</v>
      </c>
      <c r="D7911" s="2" t="str">
        <f>IFERROR(__xludf.DUMMYFUNCTION("IFERROR(VLOOKUP(A7911, IMPORTRANGE(""https://docs.google.com/spreadsheets/d/1-3Vjw2Cyy-mry5gbC8ypIR3YVGFfEpyFESummAta6sg/edit"", ""Sheet1!B:D""), 2, FALSE), ""Not Found"")"),"həmpɪŋ")</f>
        <v>həmpɪŋ</v>
      </c>
      <c r="E7911" s="2" t="str">
        <f>IFERROR(__xludf.DUMMYFUNCTION("IFERROR(VLOOKUP(A7911, IMPORTRANGE(""https://docs.google.com/spreadsheets/d/1-3Vjw2Cyy-mry5gbC8ypIR3YVGFfEpyFESummAta6sg/edit"", ""Sheet1!B:D""), 3, FALSE), ""Not Found"")"),"h ə m p ɪ ŋ ")</f>
        <v>h ə m p ɪ ŋ </v>
      </c>
    </row>
    <row r="7912">
      <c r="A7912" s="1" t="s">
        <v>7913</v>
      </c>
      <c r="B7912" s="1" t="s">
        <v>6138</v>
      </c>
      <c r="C7912" s="2">
        <f>IFERROR(__xludf.DUMMYFUNCTION("IFERROR(VLOOKUP(A7912, IMPORTRANGE(""https://docs.google.com/spreadsheets/d/1AVX9GT0dgogEBStecCXMMQ29tWz3gBrtNB8yIromXbY/edit?gid=741673867"", ""out1g!A:B""), 2, FALSE), 0)"),68.0)</f>
        <v>68</v>
      </c>
      <c r="D7912" s="2" t="str">
        <f>IFERROR(__xludf.DUMMYFUNCTION("IFERROR(VLOOKUP(A7912, IMPORTRANGE(""https://docs.google.com/spreadsheets/d/1-3Vjw2Cyy-mry5gbC8ypIR3YVGFfEpyFESummAta6sg/edit"", ""Sheet1!B:D""), 2, FALSE), ""Not Found"")"),"ɪndɔr")</f>
        <v>ɪndɔr</v>
      </c>
      <c r="E7912" s="2" t="str">
        <f>IFERROR(__xludf.DUMMYFUNCTION("IFERROR(VLOOKUP(A7912, IMPORTRANGE(""https://docs.google.com/spreadsheets/d/1-3Vjw2Cyy-mry5gbC8ypIR3YVGFfEpyFESummAta6sg/edit"", ""Sheet1!B:D""), 3, FALSE), ""Not Found"")"),"ɪ n d ɔ r ")</f>
        <v>ɪ n d ɔ r </v>
      </c>
    </row>
    <row r="7913">
      <c r="A7913" s="1" t="s">
        <v>7914</v>
      </c>
      <c r="B7913" s="1" t="s">
        <v>6138</v>
      </c>
      <c r="C7913" s="2">
        <f>IFERROR(__xludf.DUMMYFUNCTION("IFERROR(VLOOKUP(A7913, IMPORTRANGE(""https://docs.google.com/spreadsheets/d/1AVX9GT0dgogEBStecCXMMQ29tWz3gBrtNB8yIromXbY/edit?gid=741673867"", ""out1g!A:B""), 2, FALSE), 0)"),1064.0)</f>
        <v>1064</v>
      </c>
      <c r="D7913" s="2" t="str">
        <f>IFERROR(__xludf.DUMMYFUNCTION("IFERROR(VLOOKUP(A7913, IMPORTRANGE(""https://docs.google.com/spreadsheets/d/1-3Vjw2Cyy-mry5gbC8ypIR3YVGFfEpyFESummAta6sg/edit"", ""Sheet1!B:D""), 2, FALSE), ""Not Found"")"),"lidɪŋ")</f>
        <v>lidɪŋ</v>
      </c>
      <c r="E7913" s="2" t="str">
        <f>IFERROR(__xludf.DUMMYFUNCTION("IFERROR(VLOOKUP(A7913, IMPORTRANGE(""https://docs.google.com/spreadsheets/d/1-3Vjw2Cyy-mry5gbC8ypIR3YVGFfEpyFESummAta6sg/edit"", ""Sheet1!B:D""), 3, FALSE), ""Not Found"")"),"l i d ɪ ŋ ")</f>
        <v>l i d ɪ ŋ </v>
      </c>
    </row>
    <row r="7914">
      <c r="A7914" s="1" t="s">
        <v>7915</v>
      </c>
      <c r="B7914" s="1" t="s">
        <v>6138</v>
      </c>
      <c r="C7914" s="2">
        <f>IFERROR(__xludf.DUMMYFUNCTION("IFERROR(VLOOKUP(A7914, IMPORTRANGE(""https://docs.google.com/spreadsheets/d/1AVX9GT0dgogEBStecCXMMQ29tWz3gBrtNB8yIromXbY/edit?gid=741673867"", ""out1g!A:B""), 2, FALSE), 0)"),17.0)</f>
        <v>17</v>
      </c>
      <c r="D7914" s="2" t="str">
        <f>IFERROR(__xludf.DUMMYFUNCTION("IFERROR(VLOOKUP(A7914, IMPORTRANGE(""https://docs.google.com/spreadsheets/d/1-3Vjw2Cyy-mry5gbC8ypIR3YVGFfEpyFESummAta6sg/edit"", ""Sheet1!B:D""), 2, FALSE), ""Not Found"")"),"brægz")</f>
        <v>brægz</v>
      </c>
      <c r="E7914" s="2" t="str">
        <f>IFERROR(__xludf.DUMMYFUNCTION("IFERROR(VLOOKUP(A7914, IMPORTRANGE(""https://docs.google.com/spreadsheets/d/1-3Vjw2Cyy-mry5gbC8ypIR3YVGFfEpyFESummAta6sg/edit"", ""Sheet1!B:D""), 3, FALSE), ""Not Found"")"),"b r æ g z ")</f>
        <v>b r æ g z </v>
      </c>
    </row>
    <row r="7915">
      <c r="A7915" s="1" t="s">
        <v>7916</v>
      </c>
      <c r="B7915" s="1" t="s">
        <v>6138</v>
      </c>
      <c r="C7915" s="2">
        <f>IFERROR(__xludf.DUMMYFUNCTION("IFERROR(VLOOKUP(A7915, IMPORTRANGE(""https://docs.google.com/spreadsheets/d/1AVX9GT0dgogEBStecCXMMQ29tWz3gBrtNB8yIromXbY/edit?gid=741673867"", ""out1g!A:B""), 2, FALSE), 0)"),134.0)</f>
        <v>134</v>
      </c>
      <c r="D7915" s="2" t="str">
        <f>IFERROR(__xludf.DUMMYFUNCTION("IFERROR(VLOOKUP(A7915, IMPORTRANGE(""https://docs.google.com/spreadsheets/d/1-3Vjw2Cyy-mry5gbC8ypIR3YVGFfEpyFESummAta6sg/edit"", ""Sheet1!B:D""), 2, FALSE), ""Not Found"")"),"ɛlmər")</f>
        <v>ɛlmər</v>
      </c>
      <c r="E7915" s="2" t="str">
        <f>IFERROR(__xludf.DUMMYFUNCTION("IFERROR(VLOOKUP(A7915, IMPORTRANGE(""https://docs.google.com/spreadsheets/d/1-3Vjw2Cyy-mry5gbC8ypIR3YVGFfEpyFESummAta6sg/edit"", ""Sheet1!B:D""), 3, FALSE), ""Not Found"")"),"ɛ l m ə r ")</f>
        <v>ɛ l m ə r </v>
      </c>
    </row>
    <row r="7916">
      <c r="A7916" s="1" t="s">
        <v>7917</v>
      </c>
      <c r="B7916" s="1" t="s">
        <v>6138</v>
      </c>
      <c r="C7916" s="2">
        <f>IFERROR(__xludf.DUMMYFUNCTION("IFERROR(VLOOKUP(A7916, IMPORTRANGE(""https://docs.google.com/spreadsheets/d/1AVX9GT0dgogEBStecCXMMQ29tWz3gBrtNB8yIromXbY/edit?gid=741673867"", ""out1g!A:B""), 2, FALSE), 0)"),114.0)</f>
        <v>114</v>
      </c>
      <c r="D7916" s="2" t="str">
        <f>IFERROR(__xludf.DUMMYFUNCTION("IFERROR(VLOOKUP(A7916, IMPORTRANGE(""https://docs.google.com/spreadsheets/d/1-3Vjw2Cyy-mry5gbC8ypIR3YVGFfEpyFESummAta6sg/edit"", ""Sheet1!B:D""), 2, FALSE), ""Not Found"")"),"mɛsɪz")</f>
        <v>mɛsɪz</v>
      </c>
      <c r="E7916" s="2" t="str">
        <f>IFERROR(__xludf.DUMMYFUNCTION("IFERROR(VLOOKUP(A7916, IMPORTRANGE(""https://docs.google.com/spreadsheets/d/1-3Vjw2Cyy-mry5gbC8ypIR3YVGFfEpyFESummAta6sg/edit"", ""Sheet1!B:D""), 3, FALSE), ""Not Found"")"),"m ɛ s ɪ z ")</f>
        <v>m ɛ s ɪ z </v>
      </c>
    </row>
    <row r="7917">
      <c r="A7917" s="1" t="s">
        <v>7918</v>
      </c>
      <c r="B7917" s="1" t="s">
        <v>6138</v>
      </c>
      <c r="C7917" s="2">
        <f>IFERROR(__xludf.DUMMYFUNCTION("IFERROR(VLOOKUP(A7917, IMPORTRANGE(""https://docs.google.com/spreadsheets/d/1AVX9GT0dgogEBStecCXMMQ29tWz3gBrtNB8yIromXbY/edit?gid=741673867"", ""out1g!A:B""), 2, FALSE), 0)"),46.0)</f>
        <v>46</v>
      </c>
      <c r="D7917" s="2" t="str">
        <f>IFERROR(__xludf.DUMMYFUNCTION("IFERROR(VLOOKUP(A7917, IMPORTRANGE(""https://docs.google.com/spreadsheets/d/1-3Vjw2Cyy-mry5gbC8ypIR3YVGFfEpyFESummAta6sg/edit"", ""Sheet1!B:D""), 2, FALSE), ""Not Found"")"),"tægɪŋ")</f>
        <v>tægɪŋ</v>
      </c>
      <c r="E7917" s="2" t="str">
        <f>IFERROR(__xludf.DUMMYFUNCTION("IFERROR(VLOOKUP(A7917, IMPORTRANGE(""https://docs.google.com/spreadsheets/d/1-3Vjw2Cyy-mry5gbC8ypIR3YVGFfEpyFESummAta6sg/edit"", ""Sheet1!B:D""), 3, FALSE), ""Not Found"")"),"t æ g ɪ ŋ ")</f>
        <v>t æ g ɪ ŋ </v>
      </c>
    </row>
    <row r="7918">
      <c r="A7918" s="1" t="s">
        <v>7919</v>
      </c>
      <c r="B7918" s="1" t="s">
        <v>6138</v>
      </c>
      <c r="C7918" s="2">
        <f>IFERROR(__xludf.DUMMYFUNCTION("IFERROR(VLOOKUP(A7918, IMPORTRANGE(""https://docs.google.com/spreadsheets/d/1AVX9GT0dgogEBStecCXMMQ29tWz3gBrtNB8yIromXbY/edit?gid=741673867"", ""out1g!A:B""), 2, FALSE), 0)"),162.0)</f>
        <v>162</v>
      </c>
      <c r="D7918" s="2" t="str">
        <f>IFERROR(__xludf.DUMMYFUNCTION("IFERROR(VLOOKUP(A7918, IMPORTRANGE(""https://docs.google.com/spreadsheets/d/1-3Vjw2Cyy-mry5gbC8ypIR3YVGFfEpyFESummAta6sg/edit"", ""Sheet1!B:D""), 2, FALSE), ""Not Found"")"),"fəndɪŋ")</f>
        <v>fəndɪŋ</v>
      </c>
      <c r="E7918" s="2" t="str">
        <f>IFERROR(__xludf.DUMMYFUNCTION("IFERROR(VLOOKUP(A7918, IMPORTRANGE(""https://docs.google.com/spreadsheets/d/1-3Vjw2Cyy-mry5gbC8ypIR3YVGFfEpyFESummAta6sg/edit"", ""Sheet1!B:D""), 3, FALSE), ""Not Found"")"),"f ə n d ɪ ŋ ")</f>
        <v>f ə n d ɪ ŋ </v>
      </c>
    </row>
    <row r="7919">
      <c r="A7919" s="1" t="s">
        <v>7920</v>
      </c>
      <c r="B7919" s="1" t="s">
        <v>6138</v>
      </c>
      <c r="C7919" s="2">
        <f>IFERROR(__xludf.DUMMYFUNCTION("IFERROR(VLOOKUP(A7919, IMPORTRANGE(""https://docs.google.com/spreadsheets/d/1AVX9GT0dgogEBStecCXMMQ29tWz3gBrtNB8yIromXbY/edit?gid=741673867"", ""out1g!A:B""), 2, FALSE), 0)"),793.0)</f>
        <v>793</v>
      </c>
      <c r="D7919" s="2" t="str">
        <f>IFERROR(__xludf.DUMMYFUNCTION("IFERROR(VLOOKUP(A7919, IMPORTRANGE(""https://docs.google.com/spreadsheets/d/1-3Vjw2Cyy-mry5gbC8ypIR3YVGFfEpyFESummAta6sg/edit"", ""Sheet1!B:D""), 2, FALSE), ""Not Found"")"),"vɔɪsɪz")</f>
        <v>vɔɪsɪz</v>
      </c>
      <c r="E7919" s="2" t="str">
        <f>IFERROR(__xludf.DUMMYFUNCTION("IFERROR(VLOOKUP(A7919, IMPORTRANGE(""https://docs.google.com/spreadsheets/d/1-3Vjw2Cyy-mry5gbC8ypIR3YVGFfEpyFESummAta6sg/edit"", ""Sheet1!B:D""), 3, FALSE), ""Not Found"")"),"v ɔ ɪ s ɪ z ")</f>
        <v>v ɔ ɪ s ɪ z </v>
      </c>
    </row>
    <row r="7920">
      <c r="A7920" s="1" t="s">
        <v>7921</v>
      </c>
      <c r="B7920" s="1" t="s">
        <v>6138</v>
      </c>
      <c r="C7920" s="2">
        <f>IFERROR(__xludf.DUMMYFUNCTION("IFERROR(VLOOKUP(A7920, IMPORTRANGE(""https://docs.google.com/spreadsheets/d/1AVX9GT0dgogEBStecCXMMQ29tWz3gBrtNB8yIromXbY/edit?gid=741673867"", ""out1g!A:B""), 2, FALSE), 0)"),303.0)</f>
        <v>303</v>
      </c>
      <c r="D7920" s="2" t="str">
        <f>IFERROR(__xludf.DUMMYFUNCTION("IFERROR(VLOOKUP(A7920, IMPORTRANGE(""https://docs.google.com/spreadsheets/d/1-3Vjw2Cyy-mry5gbC8ypIR3YVGFfEpyFESummAta6sg/edit"", ""Sheet1!B:D""), 2, FALSE), ""Not Found"")"),"pɑrlər")</f>
        <v>pɑrlər</v>
      </c>
      <c r="E7920" s="2" t="str">
        <f>IFERROR(__xludf.DUMMYFUNCTION("IFERROR(VLOOKUP(A7920, IMPORTRANGE(""https://docs.google.com/spreadsheets/d/1-3Vjw2Cyy-mry5gbC8ypIR3YVGFfEpyFESummAta6sg/edit"", ""Sheet1!B:D""), 3, FALSE), ""Not Found"")"),"p ɑ r l ə r ")</f>
        <v>p ɑ r l ə r </v>
      </c>
    </row>
    <row r="7921">
      <c r="A7921" s="1" t="s">
        <v>7922</v>
      </c>
      <c r="B7921" s="1" t="s">
        <v>6138</v>
      </c>
      <c r="C7921" s="2">
        <f>IFERROR(__xludf.DUMMYFUNCTION("IFERROR(VLOOKUP(A7921, IMPORTRANGE(""https://docs.google.com/spreadsheets/d/1AVX9GT0dgogEBStecCXMMQ29tWz3gBrtNB8yIromXbY/edit?gid=741673867"", ""out1g!A:B""), 2, FALSE), 0)"),215.0)</f>
        <v>215</v>
      </c>
      <c r="D7921" s="2" t="str">
        <f>IFERROR(__xludf.DUMMYFUNCTION("IFERROR(VLOOKUP(A7921, IMPORTRANGE(""https://docs.google.com/spreadsheets/d/1-3Vjw2Cyy-mry5gbC8ypIR3YVGFfEpyFESummAta6sg/edit"", ""Sheet1!B:D""), 2, FALSE), ""Not Found"")"),"kjubən")</f>
        <v>kjubən</v>
      </c>
      <c r="E7921" s="2" t="str">
        <f>IFERROR(__xludf.DUMMYFUNCTION("IFERROR(VLOOKUP(A7921, IMPORTRANGE(""https://docs.google.com/spreadsheets/d/1-3Vjw2Cyy-mry5gbC8ypIR3YVGFfEpyFESummAta6sg/edit"", ""Sheet1!B:D""), 3, FALSE), ""Not Found"")"),"k j u b ə n ")</f>
        <v>k j u b ə n </v>
      </c>
    </row>
    <row r="7922">
      <c r="A7922" s="1" t="s">
        <v>7923</v>
      </c>
      <c r="B7922" s="1" t="s">
        <v>6138</v>
      </c>
      <c r="C7922" s="2">
        <f>IFERROR(__xludf.DUMMYFUNCTION("IFERROR(VLOOKUP(A7922, IMPORTRANGE(""https://docs.google.com/spreadsheets/d/1AVX9GT0dgogEBStecCXMMQ29tWz3gBrtNB8yIromXbY/edit?gid=741673867"", ""out1g!A:B""), 2, FALSE), 0)"),126.0)</f>
        <v>126</v>
      </c>
      <c r="D7922" s="2" t="str">
        <f>IFERROR(__xludf.DUMMYFUNCTION("IFERROR(VLOOKUP(A7922, IMPORTRANGE(""https://docs.google.com/spreadsheets/d/1-3Vjw2Cyy-mry5gbC8ypIR3YVGFfEpyFESummAta6sg/edit"", ""Sheet1!B:D""), 2, FALSE), ""Not Found"")"),"mɪksʧər")</f>
        <v>mɪksʧər</v>
      </c>
      <c r="E7922" s="2" t="str">
        <f>IFERROR(__xludf.DUMMYFUNCTION("IFERROR(VLOOKUP(A7922, IMPORTRANGE(""https://docs.google.com/spreadsheets/d/1-3Vjw2Cyy-mry5gbC8ypIR3YVGFfEpyFESummAta6sg/edit"", ""Sheet1!B:D""), 3, FALSE), ""Not Found"")"),"m ɪ k s ʧ ə r ")</f>
        <v>m ɪ k s ʧ ə r </v>
      </c>
    </row>
    <row r="7923">
      <c r="A7923" s="1" t="s">
        <v>7924</v>
      </c>
      <c r="B7923" s="1" t="s">
        <v>6138</v>
      </c>
      <c r="C7923" s="2">
        <f>IFERROR(__xludf.DUMMYFUNCTION("IFERROR(VLOOKUP(A7923, IMPORTRANGE(""https://docs.google.com/spreadsheets/d/1AVX9GT0dgogEBStecCXMMQ29tWz3gBrtNB8yIromXbY/edit?gid=741673867"", ""out1g!A:B""), 2, FALSE), 0)"),332.0)</f>
        <v>332</v>
      </c>
      <c r="D7923" s="2" t="str">
        <f>IFERROR(__xludf.DUMMYFUNCTION("IFERROR(VLOOKUP(A7923, IMPORTRANGE(""https://docs.google.com/spreadsheets/d/1-3Vjw2Cyy-mry5gbC8ypIR3YVGFfEpyFESummAta6sg/edit"", ""Sheet1!B:D""), 2, FALSE), ""Not Found"")"),"rɪsks")</f>
        <v>rɪsks</v>
      </c>
      <c r="E7923" s="2" t="str">
        <f>IFERROR(__xludf.DUMMYFUNCTION("IFERROR(VLOOKUP(A7923, IMPORTRANGE(""https://docs.google.com/spreadsheets/d/1-3Vjw2Cyy-mry5gbC8ypIR3YVGFfEpyFESummAta6sg/edit"", ""Sheet1!B:D""), 3, FALSE), ""Not Found"")"),"r ɪ s k s ")</f>
        <v>r ɪ s k s </v>
      </c>
    </row>
    <row r="7924">
      <c r="A7924" s="1" t="s">
        <v>7925</v>
      </c>
      <c r="B7924" s="1" t="s">
        <v>6138</v>
      </c>
      <c r="C7924" s="2">
        <f>IFERROR(__xludf.DUMMYFUNCTION("IFERROR(VLOOKUP(A7924, IMPORTRANGE(""https://docs.google.com/spreadsheets/d/1AVX9GT0dgogEBStecCXMMQ29tWz3gBrtNB8yIromXbY/edit?gid=741673867"", ""out1g!A:B""), 2, FALSE), 0)"),1816.0)</f>
        <v>1816</v>
      </c>
      <c r="D7924" s="2" t="str">
        <f>IFERROR(__xludf.DUMMYFUNCTION("IFERROR(VLOOKUP(A7924, IMPORTRANGE(""https://docs.google.com/spreadsheets/d/1-3Vjw2Cyy-mry5gbC8ypIR3YVGFfEpyFESummAta6sg/edit"", ""Sheet1!B:D""), 2, FALSE), ""Not Found"")"),"ʤesən")</f>
        <v>ʤesən</v>
      </c>
      <c r="E7924" s="2" t="str">
        <f>IFERROR(__xludf.DUMMYFUNCTION("IFERROR(VLOOKUP(A7924, IMPORTRANGE(""https://docs.google.com/spreadsheets/d/1-3Vjw2Cyy-mry5gbC8ypIR3YVGFfEpyFESummAta6sg/edit"", ""Sheet1!B:D""), 3, FALSE), ""Not Found"")"),"ʤ e s ə n ")</f>
        <v>ʤ e s ə n </v>
      </c>
    </row>
    <row r="7925">
      <c r="A7925" s="1" t="s">
        <v>7926</v>
      </c>
      <c r="B7925" s="1" t="s">
        <v>6138</v>
      </c>
      <c r="C7925" s="2">
        <f>IFERROR(__xludf.DUMMYFUNCTION("IFERROR(VLOOKUP(A7925, IMPORTRANGE(""https://docs.google.com/spreadsheets/d/1AVX9GT0dgogEBStecCXMMQ29tWz3gBrtNB8yIromXbY/edit?gid=741673867"", ""out1g!A:B""), 2, FALSE), 0)"),125.0)</f>
        <v>125</v>
      </c>
      <c r="D7925" s="2" t="str">
        <f>IFERROR(__xludf.DUMMYFUNCTION("IFERROR(VLOOKUP(A7925, IMPORTRANGE(""https://docs.google.com/spreadsheets/d/1-3Vjw2Cyy-mry5gbC8ypIR3YVGFfEpyFESummAta6sg/edit"", ""Sheet1!B:D""), 2, FALSE), ""Not Found"")"),"kɑmboʊ")</f>
        <v>kɑmboʊ</v>
      </c>
      <c r="E7925" s="2" t="str">
        <f>IFERROR(__xludf.DUMMYFUNCTION("IFERROR(VLOOKUP(A7925, IMPORTRANGE(""https://docs.google.com/spreadsheets/d/1-3Vjw2Cyy-mry5gbC8ypIR3YVGFfEpyFESummAta6sg/edit"", ""Sheet1!B:D""), 3, FALSE), ""Not Found"")"),"k ɑ m b o ʊ ")</f>
        <v>k ɑ m b o ʊ </v>
      </c>
    </row>
    <row r="7926">
      <c r="A7926" s="1" t="s">
        <v>7927</v>
      </c>
      <c r="B7926" s="1" t="s">
        <v>6138</v>
      </c>
      <c r="C7926" s="2">
        <f>IFERROR(__xludf.DUMMYFUNCTION("IFERROR(VLOOKUP(A7926, IMPORTRANGE(""https://docs.google.com/spreadsheets/d/1AVX9GT0dgogEBStecCXMMQ29tWz3gBrtNB8yIromXbY/edit?gid=741673867"", ""out1g!A:B""), 2, FALSE), 0)"),79.0)</f>
        <v>79</v>
      </c>
      <c r="D7926" s="2" t="str">
        <f>IFERROR(__xludf.DUMMYFUNCTION("IFERROR(VLOOKUP(A7926, IMPORTRANGE(""https://docs.google.com/spreadsheets/d/1-3Vjw2Cyy-mry5gbC8ypIR3YVGFfEpyFESummAta6sg/edit"", ""Sheet1!B:D""), 2, FALSE), ""Not Found"")"),"θɔrnz")</f>
        <v>θɔrnz</v>
      </c>
      <c r="E7926" s="2" t="str">
        <f>IFERROR(__xludf.DUMMYFUNCTION("IFERROR(VLOOKUP(A7926, IMPORTRANGE(""https://docs.google.com/spreadsheets/d/1-3Vjw2Cyy-mry5gbC8ypIR3YVGFfEpyFESummAta6sg/edit"", ""Sheet1!B:D""), 3, FALSE), ""Not Found"")"),"θ ɔ r n z ")</f>
        <v>θ ɔ r n z </v>
      </c>
    </row>
    <row r="7927">
      <c r="A7927" s="1" t="s">
        <v>7928</v>
      </c>
      <c r="B7927" s="1" t="s">
        <v>6138</v>
      </c>
      <c r="C7927" s="2">
        <f>IFERROR(__xludf.DUMMYFUNCTION("IFERROR(VLOOKUP(A7927, IMPORTRANGE(""https://docs.google.com/spreadsheets/d/1AVX9GT0dgogEBStecCXMMQ29tWz3gBrtNB8yIromXbY/edit?gid=741673867"", ""out1g!A:B""), 2, FALSE), 0)"),7810.0)</f>
        <v>7810</v>
      </c>
      <c r="D7927" s="2" t="str">
        <f>IFERROR(__xludf.DUMMYFUNCTION("IFERROR(VLOOKUP(A7927, IMPORTRANGE(""https://docs.google.com/spreadsheets/d/1-3Vjw2Cyy-mry5gbC8ypIR3YVGFfEpyFESummAta6sg/edit"", ""Sheet1!B:D""), 2, FALSE), ""Not Found"")"),"draɪv")</f>
        <v>draɪv</v>
      </c>
      <c r="E7927" s="2" t="str">
        <f>IFERROR(__xludf.DUMMYFUNCTION("IFERROR(VLOOKUP(A7927, IMPORTRANGE(""https://docs.google.com/spreadsheets/d/1-3Vjw2Cyy-mry5gbC8ypIR3YVGFfEpyFESummAta6sg/edit"", ""Sheet1!B:D""), 3, FALSE), ""Not Found"")"),"d r a ɪ v ")</f>
        <v>d r a ɪ v </v>
      </c>
    </row>
    <row r="7928">
      <c r="A7928" s="1" t="s">
        <v>7929</v>
      </c>
      <c r="B7928" s="1" t="s">
        <v>6138</v>
      </c>
      <c r="C7928" s="2">
        <f>IFERROR(__xludf.DUMMYFUNCTION("IFERROR(VLOOKUP(A7928, IMPORTRANGE(""https://docs.google.com/spreadsheets/d/1AVX9GT0dgogEBStecCXMMQ29tWz3gBrtNB8yIromXbY/edit?gid=741673867"", ""out1g!A:B""), 2, FALSE), 0)"),302.0)</f>
        <v>302</v>
      </c>
      <c r="D7928" s="2" t="str">
        <f>IFERROR(__xludf.DUMMYFUNCTION("IFERROR(VLOOKUP(A7928, IMPORTRANGE(""https://docs.google.com/spreadsheets/d/1-3Vjw2Cyy-mry5gbC8ypIR3YVGFfEpyFESummAta6sg/edit"", ""Sheet1!B:D""), 2, FALSE), ""Not Found"")"),"dænsɪz")</f>
        <v>dænsɪz</v>
      </c>
      <c r="E7928" s="2" t="str">
        <f>IFERROR(__xludf.DUMMYFUNCTION("IFERROR(VLOOKUP(A7928, IMPORTRANGE(""https://docs.google.com/spreadsheets/d/1-3Vjw2Cyy-mry5gbC8ypIR3YVGFfEpyFESummAta6sg/edit"", ""Sheet1!B:D""), 3, FALSE), ""Not Found"")"),"d æ n s ɪ z ")</f>
        <v>d æ n s ɪ z </v>
      </c>
    </row>
    <row r="7929">
      <c r="A7929" s="1" t="s">
        <v>7930</v>
      </c>
      <c r="B7929" s="1" t="s">
        <v>6138</v>
      </c>
      <c r="C7929" s="2">
        <f>IFERROR(__xludf.DUMMYFUNCTION("IFERROR(VLOOKUP(A7929, IMPORTRANGE(""https://docs.google.com/spreadsheets/d/1AVX9GT0dgogEBStecCXMMQ29tWz3gBrtNB8yIromXbY/edit?gid=741673867"", ""out1g!A:B""), 2, FALSE), 0)"),332.0)</f>
        <v>332</v>
      </c>
      <c r="D7929" s="2" t="str">
        <f>IFERROR(__xludf.DUMMYFUNCTION("IFERROR(VLOOKUP(A7929, IMPORTRANGE(""https://docs.google.com/spreadsheets/d/1-3Vjw2Cyy-mry5gbC8ypIR3YVGFfEpyFESummAta6sg/edit"", ""Sheet1!B:D""), 2, FALSE), ""Not Found"")"),"vɛnɪs")</f>
        <v>vɛnɪs</v>
      </c>
      <c r="E7929" s="2" t="str">
        <f>IFERROR(__xludf.DUMMYFUNCTION("IFERROR(VLOOKUP(A7929, IMPORTRANGE(""https://docs.google.com/spreadsheets/d/1-3Vjw2Cyy-mry5gbC8ypIR3YVGFfEpyFESummAta6sg/edit"", ""Sheet1!B:D""), 3, FALSE), ""Not Found"")"),"v ɛ n ɪ s ")</f>
        <v>v ɛ n ɪ s </v>
      </c>
    </row>
    <row r="7930">
      <c r="A7930" s="1" t="s">
        <v>7931</v>
      </c>
      <c r="B7930" s="1" t="s">
        <v>6138</v>
      </c>
      <c r="C7930" s="2">
        <f>IFERROR(__xludf.DUMMYFUNCTION("IFERROR(VLOOKUP(A7930, IMPORTRANGE(""https://docs.google.com/spreadsheets/d/1AVX9GT0dgogEBStecCXMMQ29tWz3gBrtNB8yIromXbY/edit?gid=741673867"", ""out1g!A:B""), 2, FALSE), 0)"),1635.0)</f>
        <v>1635</v>
      </c>
      <c r="D7930" s="2" t="str">
        <f>IFERROR(__xludf.DUMMYFUNCTION("IFERROR(VLOOKUP(A7930, IMPORTRANGE(""https://docs.google.com/spreadsheets/d/1-3Vjw2Cyy-mry5gbC8ypIR3YVGFfEpyFESummAta6sg/edit"", ""Sheet1!B:D""), 2, FALSE), ""Not Found"")"),"mɑdəl")</f>
        <v>mɑdəl</v>
      </c>
      <c r="E7930" s="2" t="str">
        <f>IFERROR(__xludf.DUMMYFUNCTION("IFERROR(VLOOKUP(A7930, IMPORTRANGE(""https://docs.google.com/spreadsheets/d/1-3Vjw2Cyy-mry5gbC8ypIR3YVGFfEpyFESummAta6sg/edit"", ""Sheet1!B:D""), 3, FALSE), ""Not Found"")"),"m ɑ d ə l ")</f>
        <v>m ɑ d ə l </v>
      </c>
    </row>
    <row r="7931">
      <c r="A7931" s="1" t="s">
        <v>7932</v>
      </c>
      <c r="B7931" s="1" t="s">
        <v>6138</v>
      </c>
      <c r="C7931" s="2">
        <f>IFERROR(__xludf.DUMMYFUNCTION("IFERROR(VLOOKUP(A7931, IMPORTRANGE(""https://docs.google.com/spreadsheets/d/1AVX9GT0dgogEBStecCXMMQ29tWz3gBrtNB8yIromXbY/edit?gid=741673867"", ""out1g!A:B""), 2, FALSE), 0)"),113370.0)</f>
        <v>113370</v>
      </c>
      <c r="D7931" s="2" t="str">
        <f>IFERROR(__xludf.DUMMYFUNCTION("IFERROR(VLOOKUP(A7931, IMPORTRANGE(""https://docs.google.com/spreadsheets/d/1-3Vjw2Cyy-mry5gbC8ypIR3YVGFfEpyFESummAta6sg/edit"", ""Sheet1!B:D""), 2, FALSE), ""Not Found"")"),"hu")</f>
        <v>hu</v>
      </c>
      <c r="E7931" s="2" t="str">
        <f>IFERROR(__xludf.DUMMYFUNCTION("IFERROR(VLOOKUP(A7931, IMPORTRANGE(""https://docs.google.com/spreadsheets/d/1-3Vjw2Cyy-mry5gbC8ypIR3YVGFfEpyFESummAta6sg/edit"", ""Sheet1!B:D""), 3, FALSE), ""Not Found"")"),"h u ")</f>
        <v>h u </v>
      </c>
    </row>
    <row r="7932">
      <c r="A7932" s="1" t="s">
        <v>7933</v>
      </c>
      <c r="B7932" s="1" t="s">
        <v>6138</v>
      </c>
      <c r="C7932" s="2">
        <f>IFERROR(__xludf.DUMMYFUNCTION("IFERROR(VLOOKUP(A7932, IMPORTRANGE(""https://docs.google.com/spreadsheets/d/1AVX9GT0dgogEBStecCXMMQ29tWz3gBrtNB8yIromXbY/edit?gid=741673867"", ""out1g!A:B""), 2, FALSE), 0)"),100.0)</f>
        <v>100</v>
      </c>
      <c r="D7932" s="2" t="str">
        <f>IFERROR(__xludf.DUMMYFUNCTION("IFERROR(VLOOKUP(A7932, IMPORTRANGE(""https://docs.google.com/spreadsheets/d/1-3Vjw2Cyy-mry5gbC8ypIR3YVGFfEpyFESummAta6sg/edit"", ""Sheet1!B:D""), 2, FALSE), ""Not Found"")"),"mɑrʤən")</f>
        <v>mɑrʤən</v>
      </c>
      <c r="E7932" s="2" t="str">
        <f>IFERROR(__xludf.DUMMYFUNCTION("IFERROR(VLOOKUP(A7932, IMPORTRANGE(""https://docs.google.com/spreadsheets/d/1-3Vjw2Cyy-mry5gbC8ypIR3YVGFfEpyFESummAta6sg/edit"", ""Sheet1!B:D""), 3, FALSE), ""Not Found"")"),"m ɑ r ʤ ə n ")</f>
        <v>m ɑ r ʤ ə n </v>
      </c>
    </row>
    <row r="7933">
      <c r="A7933" s="1" t="s">
        <v>7934</v>
      </c>
      <c r="B7933" s="1" t="s">
        <v>6138</v>
      </c>
      <c r="C7933" s="2">
        <f>IFERROR(__xludf.DUMMYFUNCTION("IFERROR(VLOOKUP(A7933, IMPORTRANGE(""https://docs.google.com/spreadsheets/d/1AVX9GT0dgogEBStecCXMMQ29tWz3gBrtNB8yIromXbY/edit?gid=741673867"", ""out1g!A:B""), 2, FALSE), 0)"),222.0)</f>
        <v>222</v>
      </c>
      <c r="D7933" s="2" t="str">
        <f>IFERROR(__xludf.DUMMYFUNCTION("IFERROR(VLOOKUP(A7933, IMPORTRANGE(""https://docs.google.com/spreadsheets/d/1-3Vjw2Cyy-mry5gbC8ypIR3YVGFfEpyFESummAta6sg/edit"", ""Sheet1!B:D""), 2, FALSE), ""Not Found"")"),"fentɪd")</f>
        <v>fentɪd</v>
      </c>
      <c r="E7933" s="2" t="str">
        <f>IFERROR(__xludf.DUMMYFUNCTION("IFERROR(VLOOKUP(A7933, IMPORTRANGE(""https://docs.google.com/spreadsheets/d/1-3Vjw2Cyy-mry5gbC8ypIR3YVGFfEpyFESummAta6sg/edit"", ""Sheet1!B:D""), 3, FALSE), ""Not Found"")"),"f e n t ɪ d ")</f>
        <v>f e n t ɪ d </v>
      </c>
    </row>
    <row r="7934">
      <c r="A7934" s="1" t="s">
        <v>7935</v>
      </c>
      <c r="B7934" s="1" t="s">
        <v>6138</v>
      </c>
      <c r="C7934" s="2">
        <f>IFERROR(__xludf.DUMMYFUNCTION("IFERROR(VLOOKUP(A7934, IMPORTRANGE(""https://docs.google.com/spreadsheets/d/1AVX9GT0dgogEBStecCXMMQ29tWz3gBrtNB8yIromXbY/edit?gid=741673867"", ""out1g!A:B""), 2, FALSE), 0)"),153.0)</f>
        <v>153</v>
      </c>
      <c r="D7934" s="2" t="str">
        <f>IFERROR(__xludf.DUMMYFUNCTION("IFERROR(VLOOKUP(A7934, IMPORTRANGE(""https://docs.google.com/spreadsheets/d/1-3Vjw2Cyy-mry5gbC8ypIR3YVGFfEpyFESummAta6sg/edit"", ""Sheet1!B:D""), 2, FALSE), ""Not Found"")"),"fedɪd")</f>
        <v>fedɪd</v>
      </c>
      <c r="E7934" s="2" t="str">
        <f>IFERROR(__xludf.DUMMYFUNCTION("IFERROR(VLOOKUP(A7934, IMPORTRANGE(""https://docs.google.com/spreadsheets/d/1-3Vjw2Cyy-mry5gbC8ypIR3YVGFfEpyFESummAta6sg/edit"", ""Sheet1!B:D""), 3, FALSE), ""Not Found"")"),"f e d ɪ d ")</f>
        <v>f e d ɪ d </v>
      </c>
    </row>
    <row r="7935">
      <c r="A7935" s="1" t="s">
        <v>7936</v>
      </c>
      <c r="B7935" s="1" t="s">
        <v>6138</v>
      </c>
      <c r="C7935" s="2">
        <f>IFERROR(__xludf.DUMMYFUNCTION("IFERROR(VLOOKUP(A7935, IMPORTRANGE(""https://docs.google.com/spreadsheets/d/1AVX9GT0dgogEBStecCXMMQ29tWz3gBrtNB8yIromXbY/edit?gid=741673867"", ""out1g!A:B""), 2, FALSE), 0)"),1343.0)</f>
        <v>1343</v>
      </c>
      <c r="D7935" s="2" t="str">
        <f>IFERROR(__xludf.DUMMYFUNCTION("IFERROR(VLOOKUP(A7935, IMPORTRANGE(""https://docs.google.com/spreadsheets/d/1-3Vjw2Cyy-mry5gbC8ypIR3YVGFfEpyFESummAta6sg/edit"", ""Sheet1!B:D""), 2, FALSE), ""Not Found"")"),"æktər")</f>
        <v>æktər</v>
      </c>
      <c r="E7935" s="2" t="str">
        <f>IFERROR(__xludf.DUMMYFUNCTION("IFERROR(VLOOKUP(A7935, IMPORTRANGE(""https://docs.google.com/spreadsheets/d/1-3Vjw2Cyy-mry5gbC8ypIR3YVGFfEpyFESummAta6sg/edit"", ""Sheet1!B:D""), 3, FALSE), ""Not Found"")"),"æ k t ə r ")</f>
        <v>æ k t ə r </v>
      </c>
    </row>
    <row r="7936">
      <c r="A7936" s="1" t="s">
        <v>7937</v>
      </c>
      <c r="B7936" s="1" t="s">
        <v>6138</v>
      </c>
      <c r="C7936" s="2">
        <f>IFERROR(__xludf.DUMMYFUNCTION("IFERROR(VLOOKUP(A7936, IMPORTRANGE(""https://docs.google.com/spreadsheets/d/1AVX9GT0dgogEBStecCXMMQ29tWz3gBrtNB8yIromXbY/edit?gid=741673867"", ""out1g!A:B""), 2, FALSE), 0)"),78.0)</f>
        <v>78</v>
      </c>
      <c r="D7936" s="2" t="str">
        <f>IFERROR(__xludf.DUMMYFUNCTION("IFERROR(VLOOKUP(A7936, IMPORTRANGE(""https://docs.google.com/spreadsheets/d/1-3Vjw2Cyy-mry5gbC8ypIR3YVGFfEpyFESummAta6sg/edit"", ""Sheet1!B:D""), 2, FALSE), ""Not Found"")"),"sɔr")</f>
        <v>sɔr</v>
      </c>
      <c r="E7936" s="2" t="str">
        <f>IFERROR(__xludf.DUMMYFUNCTION("IFERROR(VLOOKUP(A7936, IMPORTRANGE(""https://docs.google.com/spreadsheets/d/1-3Vjw2Cyy-mry5gbC8ypIR3YVGFfEpyFESummAta6sg/edit"", ""Sheet1!B:D""), 3, FALSE), ""Not Found"")"),"s ɔ r ")</f>
        <v>s ɔ r </v>
      </c>
    </row>
    <row r="7937">
      <c r="A7937" s="1" t="s">
        <v>7938</v>
      </c>
      <c r="B7937" s="1" t="s">
        <v>6138</v>
      </c>
      <c r="C7937" s="2">
        <f>IFERROR(__xludf.DUMMYFUNCTION("IFERROR(VLOOKUP(A7937, IMPORTRANGE(""https://docs.google.com/spreadsheets/d/1AVX9GT0dgogEBStecCXMMQ29tWz3gBrtNB8yIromXbY/edit?gid=741673867"", ""out1g!A:B""), 2, FALSE), 0)"),538.0)</f>
        <v>538</v>
      </c>
      <c r="D7937" s="2" t="str">
        <f>IFERROR(__xludf.DUMMYFUNCTION("IFERROR(VLOOKUP(A7937, IMPORTRANGE(""https://docs.google.com/spreadsheets/d/1-3Vjw2Cyy-mry5gbC8ypIR3YVGFfEpyFESummAta6sg/edit"", ""Sheet1!B:D""), 2, FALSE), ""Not Found"")"),"begən")</f>
        <v>begən</v>
      </c>
      <c r="E7937" s="2" t="str">
        <f>IFERROR(__xludf.DUMMYFUNCTION("IFERROR(VLOOKUP(A7937, IMPORTRANGE(""https://docs.google.com/spreadsheets/d/1-3Vjw2Cyy-mry5gbC8ypIR3YVGFfEpyFESummAta6sg/edit"", ""Sheet1!B:D""), 3, FALSE), ""Not Found"")"),"b e g ə n ")</f>
        <v>b e g ə n </v>
      </c>
    </row>
    <row r="7938">
      <c r="A7938" s="1" t="s">
        <v>7939</v>
      </c>
      <c r="B7938" s="1" t="s">
        <v>6138</v>
      </c>
      <c r="C7938" s="2">
        <f>IFERROR(__xludf.DUMMYFUNCTION("IFERROR(VLOOKUP(A7938, IMPORTRANGE(""https://docs.google.com/spreadsheets/d/1AVX9GT0dgogEBStecCXMMQ29tWz3gBrtNB8yIromXbY/edit?gid=741673867"", ""out1g!A:B""), 2, FALSE), 0)"),237.0)</f>
        <v>237</v>
      </c>
      <c r="D7938" s="2" t="str">
        <f>IFERROR(__xludf.DUMMYFUNCTION("IFERROR(VLOOKUP(A7938, IMPORTRANGE(""https://docs.google.com/spreadsheets/d/1-3Vjw2Cyy-mry5gbC8ypIR3YVGFfEpyFESummAta6sg/edit"", ""Sheet1!B:D""), 2, FALSE), ""Not Found"")"),"səŋk")</f>
        <v>səŋk</v>
      </c>
      <c r="E7938" s="2" t="str">
        <f>IFERROR(__xludf.DUMMYFUNCTION("IFERROR(VLOOKUP(A7938, IMPORTRANGE(""https://docs.google.com/spreadsheets/d/1-3Vjw2Cyy-mry5gbC8ypIR3YVGFfEpyFESummAta6sg/edit"", ""Sheet1!B:D""), 3, FALSE), ""Not Found"")"),"s ə ŋ k ")</f>
        <v>s ə ŋ k </v>
      </c>
    </row>
    <row r="7939">
      <c r="A7939" s="1" t="s">
        <v>7940</v>
      </c>
      <c r="B7939" s="1" t="s">
        <v>6138</v>
      </c>
      <c r="C7939" s="2">
        <f>IFERROR(__xludf.DUMMYFUNCTION("IFERROR(VLOOKUP(A7939, IMPORTRANGE(""https://docs.google.com/spreadsheets/d/1AVX9GT0dgogEBStecCXMMQ29tWz3gBrtNB8yIromXbY/edit?gid=741673867"", ""out1g!A:B""), 2, FALSE), 0)"),223.0)</f>
        <v>223</v>
      </c>
      <c r="D7939" s="2" t="str">
        <f>IFERROR(__xludf.DUMMYFUNCTION("IFERROR(VLOOKUP(A7939, IMPORTRANGE(""https://docs.google.com/spreadsheets/d/1-3Vjw2Cyy-mry5gbC8ypIR3YVGFfEpyFESummAta6sg/edit"", ""Sheet1!B:D""), 2, FALSE), ""Not Found"")"),"bɔsɪz")</f>
        <v>bɔsɪz</v>
      </c>
      <c r="E7939" s="2" t="str">
        <f>IFERROR(__xludf.DUMMYFUNCTION("IFERROR(VLOOKUP(A7939, IMPORTRANGE(""https://docs.google.com/spreadsheets/d/1-3Vjw2Cyy-mry5gbC8ypIR3YVGFfEpyFESummAta6sg/edit"", ""Sheet1!B:D""), 3, FALSE), ""Not Found"")"),"b ɔ s ɪ z ")</f>
        <v>b ɔ s ɪ z </v>
      </c>
    </row>
    <row r="7940">
      <c r="A7940" s="1" t="s">
        <v>7941</v>
      </c>
      <c r="B7940" s="1" t="s">
        <v>6138</v>
      </c>
      <c r="C7940" s="2">
        <f>IFERROR(__xludf.DUMMYFUNCTION("IFERROR(VLOOKUP(A7940, IMPORTRANGE(""https://docs.google.com/spreadsheets/d/1AVX9GT0dgogEBStecCXMMQ29tWz3gBrtNB8yIromXbY/edit?gid=741673867"", ""out1g!A:B""), 2, FALSE), 0)"),409.0)</f>
        <v>409</v>
      </c>
      <c r="D7940" s="2" t="str">
        <f>IFERROR(__xludf.DUMMYFUNCTION("IFERROR(VLOOKUP(A7940, IMPORTRANGE(""https://docs.google.com/spreadsheets/d/1-3Vjw2Cyy-mry5gbC8ypIR3YVGFfEpyFESummAta6sg/edit"", ""Sheet1!B:D""), 2, FALSE), ""Not Found"")"),"æŋkəl")</f>
        <v>æŋkəl</v>
      </c>
      <c r="E7940" s="2" t="str">
        <f>IFERROR(__xludf.DUMMYFUNCTION("IFERROR(VLOOKUP(A7940, IMPORTRANGE(""https://docs.google.com/spreadsheets/d/1-3Vjw2Cyy-mry5gbC8ypIR3YVGFfEpyFESummAta6sg/edit"", ""Sheet1!B:D""), 3, FALSE), ""Not Found"")"),"æ ŋ k ə l ")</f>
        <v>æ ŋ k ə l </v>
      </c>
    </row>
    <row r="7941">
      <c r="A7941" s="1" t="s">
        <v>7942</v>
      </c>
      <c r="B7941" s="1" t="s">
        <v>6138</v>
      </c>
      <c r="C7941" s="2">
        <f>IFERROR(__xludf.DUMMYFUNCTION("IFERROR(VLOOKUP(A7941, IMPORTRANGE(""https://docs.google.com/spreadsheets/d/1AVX9GT0dgogEBStecCXMMQ29tWz3gBrtNB8yIromXbY/edit?gid=741673867"", ""out1g!A:B""), 2, FALSE), 0)"),297.0)</f>
        <v>297</v>
      </c>
      <c r="D7941" s="2" t="str">
        <f>IFERROR(__xludf.DUMMYFUNCTION("IFERROR(VLOOKUP(A7941, IMPORTRANGE(""https://docs.google.com/spreadsheets/d/1-3Vjw2Cyy-mry5gbC8ypIR3YVGFfEpyFESummAta6sg/edit"", ""Sheet1!B:D""), 2, FALSE), ""Not Found"")"),"nɪgəs")</f>
        <v>nɪgəs</v>
      </c>
      <c r="E7941" s="2" t="str">
        <f>IFERROR(__xludf.DUMMYFUNCTION("IFERROR(VLOOKUP(A7941, IMPORTRANGE(""https://docs.google.com/spreadsheets/d/1-3Vjw2Cyy-mry5gbC8ypIR3YVGFfEpyFESummAta6sg/edit"", ""Sheet1!B:D""), 3, FALSE), ""Not Found"")"),"n ɪ g ə s ")</f>
        <v>n ɪ g ə s </v>
      </c>
    </row>
    <row r="7942">
      <c r="A7942" s="1" t="s">
        <v>7943</v>
      </c>
      <c r="B7942" s="1" t="s">
        <v>6138</v>
      </c>
      <c r="C7942" s="2">
        <f>IFERROR(__xludf.DUMMYFUNCTION("IFERROR(VLOOKUP(A7942, IMPORTRANGE(""https://docs.google.com/spreadsheets/d/1AVX9GT0dgogEBStecCXMMQ29tWz3gBrtNB8yIromXbY/edit?gid=741673867"", ""out1g!A:B""), 2, FALSE), 0)"),34.0)</f>
        <v>34</v>
      </c>
      <c r="D7942" s="2" t="str">
        <f>IFERROR(__xludf.DUMMYFUNCTION("IFERROR(VLOOKUP(A7942, IMPORTRANGE(""https://docs.google.com/spreadsheets/d/1-3Vjw2Cyy-mry5gbC8ypIR3YVGFfEpyFESummAta6sg/edit"", ""Sheet1!B:D""), 2, FALSE), ""Not Found"")"),"kʊkər")</f>
        <v>kʊkər</v>
      </c>
      <c r="E7942" s="2" t="str">
        <f>IFERROR(__xludf.DUMMYFUNCTION("IFERROR(VLOOKUP(A7942, IMPORTRANGE(""https://docs.google.com/spreadsheets/d/1-3Vjw2Cyy-mry5gbC8ypIR3YVGFfEpyFESummAta6sg/edit"", ""Sheet1!B:D""), 3, FALSE), ""Not Found"")"),"k ʊ k ə r ")</f>
        <v>k ʊ k ə r </v>
      </c>
    </row>
    <row r="7943">
      <c r="A7943" s="1" t="s">
        <v>7944</v>
      </c>
      <c r="B7943" s="1" t="s">
        <v>6138</v>
      </c>
      <c r="C7943" s="2">
        <f>IFERROR(__xludf.DUMMYFUNCTION("IFERROR(VLOOKUP(A7943, IMPORTRANGE(""https://docs.google.com/spreadsheets/d/1AVX9GT0dgogEBStecCXMMQ29tWz3gBrtNB8yIromXbY/edit?gid=741673867"", ""out1g!A:B""), 2, FALSE), 0)"),50.0)</f>
        <v>50</v>
      </c>
      <c r="D7943" s="2" t="str">
        <f>IFERROR(__xludf.DUMMYFUNCTION("IFERROR(VLOOKUP(A7943, IMPORTRANGE(""https://docs.google.com/spreadsheets/d/1-3Vjw2Cyy-mry5gbC8ypIR3YVGFfEpyFESummAta6sg/edit"", ""Sheet1!B:D""), 2, FALSE), ""Not Found"")"),"vɛntɪŋ")</f>
        <v>vɛntɪŋ</v>
      </c>
      <c r="E7943" s="2" t="str">
        <f>IFERROR(__xludf.DUMMYFUNCTION("IFERROR(VLOOKUP(A7943, IMPORTRANGE(""https://docs.google.com/spreadsheets/d/1-3Vjw2Cyy-mry5gbC8ypIR3YVGFfEpyFESummAta6sg/edit"", ""Sheet1!B:D""), 3, FALSE), ""Not Found"")"),"v ɛ n t ɪ ŋ ")</f>
        <v>v ɛ n t ɪ ŋ </v>
      </c>
    </row>
    <row r="7944">
      <c r="A7944" s="1" t="s">
        <v>7945</v>
      </c>
      <c r="B7944" s="1" t="s">
        <v>6138</v>
      </c>
      <c r="C7944" s="2">
        <f>IFERROR(__xludf.DUMMYFUNCTION("IFERROR(VLOOKUP(A7944, IMPORTRANGE(""https://docs.google.com/spreadsheets/d/1AVX9GT0dgogEBStecCXMMQ29tWz3gBrtNB8yIromXbY/edit?gid=741673867"", ""out1g!A:B""), 2, FALSE), 0)"),48.0)</f>
        <v>48</v>
      </c>
      <c r="D7944" s="2" t="str">
        <f>IFERROR(__xludf.DUMMYFUNCTION("IFERROR(VLOOKUP(A7944, IMPORTRANGE(""https://docs.google.com/spreadsheets/d/1-3Vjw2Cyy-mry5gbC8ypIR3YVGFfEpyFESummAta6sg/edit"", ""Sheet1!B:D""), 2, FALSE), ""Not Found"")"),"ərnɪŋz")</f>
        <v>ərnɪŋz</v>
      </c>
      <c r="E7944" s="2" t="str">
        <f>IFERROR(__xludf.DUMMYFUNCTION("IFERROR(VLOOKUP(A7944, IMPORTRANGE(""https://docs.google.com/spreadsheets/d/1-3Vjw2Cyy-mry5gbC8ypIR3YVGFfEpyFESummAta6sg/edit"", ""Sheet1!B:D""), 3, FALSE), ""Not Found"")"),"ə r n ɪ ŋ z ")</f>
        <v>ə r n ɪ ŋ z </v>
      </c>
    </row>
    <row r="7945">
      <c r="A7945" s="1" t="s">
        <v>7946</v>
      </c>
      <c r="B7945" s="1" t="s">
        <v>6138</v>
      </c>
      <c r="C7945" s="2">
        <f>IFERROR(__xludf.DUMMYFUNCTION("IFERROR(VLOOKUP(A7945, IMPORTRANGE(""https://docs.google.com/spreadsheets/d/1AVX9GT0dgogEBStecCXMMQ29tWz3gBrtNB8yIromXbY/edit?gid=741673867"", ""out1g!A:B""), 2, FALSE), 0)"),227.0)</f>
        <v>227</v>
      </c>
      <c r="D7945" s="2" t="str">
        <f>IFERROR(__xludf.DUMMYFUNCTION("IFERROR(VLOOKUP(A7945, IMPORTRANGE(""https://docs.google.com/spreadsheets/d/1-3Vjw2Cyy-mry5gbC8ypIR3YVGFfEpyFESummAta6sg/edit"", ""Sheet1!B:D""), 2, FALSE), ""Not Found"")"),"flɛmɪŋ")</f>
        <v>flɛmɪŋ</v>
      </c>
      <c r="E7945" s="2" t="str">
        <f>IFERROR(__xludf.DUMMYFUNCTION("IFERROR(VLOOKUP(A7945, IMPORTRANGE(""https://docs.google.com/spreadsheets/d/1-3Vjw2Cyy-mry5gbC8ypIR3YVGFfEpyFESummAta6sg/edit"", ""Sheet1!B:D""), 3, FALSE), ""Not Found"")"),"f l ɛ m ɪ ŋ ")</f>
        <v>f l ɛ m ɪ ŋ </v>
      </c>
    </row>
    <row r="7946">
      <c r="A7946" s="1" t="s">
        <v>7947</v>
      </c>
      <c r="B7946" s="1" t="s">
        <v>6138</v>
      </c>
      <c r="C7946" s="2">
        <f>IFERROR(__xludf.DUMMYFUNCTION("IFERROR(VLOOKUP(A7946, IMPORTRANGE(""https://docs.google.com/spreadsheets/d/1AVX9GT0dgogEBStecCXMMQ29tWz3gBrtNB8yIromXbY/edit?gid=741673867"", ""out1g!A:B""), 2, FALSE), 0)"),78.0)</f>
        <v>78</v>
      </c>
      <c r="D7946" s="2" t="str">
        <f>IFERROR(__xludf.DUMMYFUNCTION("IFERROR(VLOOKUP(A7946, IMPORTRANGE(""https://docs.google.com/spreadsheets/d/1-3Vjw2Cyy-mry5gbC8ypIR3YVGFfEpyFESummAta6sg/edit"", ""Sheet1!B:D""), 2, FALSE), ""Not Found"")"),"ʃɪvər")</f>
        <v>ʃɪvər</v>
      </c>
      <c r="E7946" s="2" t="str">
        <f>IFERROR(__xludf.DUMMYFUNCTION("IFERROR(VLOOKUP(A7946, IMPORTRANGE(""https://docs.google.com/spreadsheets/d/1-3Vjw2Cyy-mry5gbC8ypIR3YVGFfEpyFESummAta6sg/edit"", ""Sheet1!B:D""), 3, FALSE), ""Not Found"")"),"ʃ ɪ v ə r ")</f>
        <v>ʃ ɪ v ə r </v>
      </c>
    </row>
    <row r="7947">
      <c r="A7947" s="1" t="s">
        <v>7948</v>
      </c>
      <c r="B7947" s="1" t="s">
        <v>6138</v>
      </c>
      <c r="C7947" s="2">
        <f>IFERROR(__xludf.DUMMYFUNCTION("IFERROR(VLOOKUP(A7947, IMPORTRANGE(""https://docs.google.com/spreadsheets/d/1AVX9GT0dgogEBStecCXMMQ29tWz3gBrtNB8yIromXbY/edit?gid=741673867"", ""out1g!A:B""), 2, FALSE), 0)"),1254.0)</f>
        <v>1254</v>
      </c>
      <c r="D7947" s="2" t="str">
        <f>IFERROR(__xludf.DUMMYFUNCTION("IFERROR(VLOOKUP(A7947, IMPORTRANGE(""https://docs.google.com/spreadsheets/d/1-3Vjw2Cyy-mry5gbC8ypIR3YVGFfEpyFESummAta6sg/edit"", ""Sheet1!B:D""), 2, FALSE), ""Not Found"")"),"fel")</f>
        <v>fel</v>
      </c>
      <c r="E7947" s="2" t="str">
        <f>IFERROR(__xludf.DUMMYFUNCTION("IFERROR(VLOOKUP(A7947, IMPORTRANGE(""https://docs.google.com/spreadsheets/d/1-3Vjw2Cyy-mry5gbC8ypIR3YVGFfEpyFESummAta6sg/edit"", ""Sheet1!B:D""), 3, FALSE), ""Not Found"")"),"f e l ")</f>
        <v>f e l </v>
      </c>
    </row>
    <row r="7948">
      <c r="A7948" s="1" t="s">
        <v>7949</v>
      </c>
      <c r="B7948" s="1" t="s">
        <v>6138</v>
      </c>
      <c r="C7948" s="2">
        <f>IFERROR(__xludf.DUMMYFUNCTION("IFERROR(VLOOKUP(A7948, IMPORTRANGE(""https://docs.google.com/spreadsheets/d/1AVX9GT0dgogEBStecCXMMQ29tWz3gBrtNB8yIromXbY/edit?gid=741673867"", ""out1g!A:B""), 2, FALSE), 0)"),142.0)</f>
        <v>142</v>
      </c>
      <c r="D7948" s="2" t="str">
        <f>IFERROR(__xludf.DUMMYFUNCTION("IFERROR(VLOOKUP(A7948, IMPORTRANGE(""https://docs.google.com/spreadsheets/d/1-3Vjw2Cyy-mry5gbC8ypIR3YVGFfEpyFESummAta6sg/edit"", ""Sheet1!B:D""), 2, FALSE), ""Not Found"")"),"kruzɪŋ")</f>
        <v>kruzɪŋ</v>
      </c>
      <c r="E7948" s="2" t="str">
        <f>IFERROR(__xludf.DUMMYFUNCTION("IFERROR(VLOOKUP(A7948, IMPORTRANGE(""https://docs.google.com/spreadsheets/d/1-3Vjw2Cyy-mry5gbC8ypIR3YVGFfEpyFESummAta6sg/edit"", ""Sheet1!B:D""), 3, FALSE), ""Not Found"")"),"k r u z ɪ ŋ ")</f>
        <v>k r u z ɪ ŋ </v>
      </c>
    </row>
    <row r="7949">
      <c r="A7949" s="1" t="s">
        <v>7950</v>
      </c>
      <c r="B7949" s="1" t="s">
        <v>6138</v>
      </c>
      <c r="C7949" s="2">
        <f>IFERROR(__xludf.DUMMYFUNCTION("IFERROR(VLOOKUP(A7949, IMPORTRANGE(""https://docs.google.com/spreadsheets/d/1AVX9GT0dgogEBStecCXMMQ29tWz3gBrtNB8yIromXbY/edit?gid=741673867"", ""out1g!A:B""), 2, FALSE), 0)"),147.0)</f>
        <v>147</v>
      </c>
      <c r="D7949" s="2" t="str">
        <f>IFERROR(__xludf.DUMMYFUNCTION("IFERROR(VLOOKUP(A7949, IMPORTRANGE(""https://docs.google.com/spreadsheets/d/1-3Vjw2Cyy-mry5gbC8ypIR3YVGFfEpyFESummAta6sg/edit"", ""Sheet1!B:D""), 2, FALSE), ""Not Found"")"),"bɑroʊɪŋ")</f>
        <v>bɑroʊɪŋ</v>
      </c>
      <c r="E7949" s="2" t="str">
        <f>IFERROR(__xludf.DUMMYFUNCTION("IFERROR(VLOOKUP(A7949, IMPORTRANGE(""https://docs.google.com/spreadsheets/d/1-3Vjw2Cyy-mry5gbC8ypIR3YVGFfEpyFESummAta6sg/edit"", ""Sheet1!B:D""), 3, FALSE), ""Not Found"")"),"b ɑ r o ʊ ɪ ŋ ")</f>
        <v>b ɑ r o ʊ ɪ ŋ </v>
      </c>
    </row>
    <row r="7950">
      <c r="A7950" s="1" t="s">
        <v>7951</v>
      </c>
      <c r="B7950" s="1" t="s">
        <v>6138</v>
      </c>
      <c r="C7950" s="2">
        <f>IFERROR(__xludf.DUMMYFUNCTION("IFERROR(VLOOKUP(A7950, IMPORTRANGE(""https://docs.google.com/spreadsheets/d/1AVX9GT0dgogEBStecCXMMQ29tWz3gBrtNB8yIromXbY/edit?gid=741673867"", ""out1g!A:B""), 2, FALSE), 0)"),90.0)</f>
        <v>90</v>
      </c>
      <c r="D7950" s="2" t="str">
        <f>IFERROR(__xludf.DUMMYFUNCTION("IFERROR(VLOOKUP(A7950, IMPORTRANGE(""https://docs.google.com/spreadsheets/d/1-3Vjw2Cyy-mry5gbC8ypIR3YVGFfEpyFESummAta6sg/edit"", ""Sheet1!B:D""), 2, FALSE), ""Not Found"")"),"skrui")</f>
        <v>skrui</v>
      </c>
      <c r="E7950" s="2" t="str">
        <f>IFERROR(__xludf.DUMMYFUNCTION("IFERROR(VLOOKUP(A7950, IMPORTRANGE(""https://docs.google.com/spreadsheets/d/1-3Vjw2Cyy-mry5gbC8ypIR3YVGFfEpyFESummAta6sg/edit"", ""Sheet1!B:D""), 3, FALSE), ""Not Found"")"),"s k r u i ")</f>
        <v>s k r u i </v>
      </c>
    </row>
    <row r="7951">
      <c r="A7951" s="1" t="s">
        <v>7952</v>
      </c>
      <c r="B7951" s="1" t="s">
        <v>6138</v>
      </c>
      <c r="C7951" s="2">
        <f>IFERROR(__xludf.DUMMYFUNCTION("IFERROR(VLOOKUP(A7951, IMPORTRANGE(""https://docs.google.com/spreadsheets/d/1AVX9GT0dgogEBStecCXMMQ29tWz3gBrtNB8yIromXbY/edit?gid=741673867"", ""out1g!A:B""), 2, FALSE), 0)"),1306.0)</f>
        <v>1306</v>
      </c>
      <c r="D7951" s="2" t="str">
        <f>IFERROR(__xludf.DUMMYFUNCTION("IFERROR(VLOOKUP(A7951, IMPORTRANGE(""https://docs.google.com/spreadsheets/d/1-3Vjw2Cyy-mry5gbC8ypIR3YVGFfEpyFESummAta6sg/edit"", ""Sheet1!B:D""), 2, FALSE), ""Not Found"")"),"tæŋk")</f>
        <v>tæŋk</v>
      </c>
      <c r="E7951" s="2" t="str">
        <f>IFERROR(__xludf.DUMMYFUNCTION("IFERROR(VLOOKUP(A7951, IMPORTRANGE(""https://docs.google.com/spreadsheets/d/1-3Vjw2Cyy-mry5gbC8ypIR3YVGFfEpyFESummAta6sg/edit"", ""Sheet1!B:D""), 3, FALSE), ""Not Found"")"),"t æ ŋ k ")</f>
        <v>t æ ŋ k </v>
      </c>
    </row>
    <row r="7952">
      <c r="A7952" s="1" t="s">
        <v>7953</v>
      </c>
      <c r="B7952" s="1" t="s">
        <v>6138</v>
      </c>
      <c r="C7952" s="2">
        <f>IFERROR(__xludf.DUMMYFUNCTION("IFERROR(VLOOKUP(A7952, IMPORTRANGE(""https://docs.google.com/spreadsheets/d/1AVX9GT0dgogEBStecCXMMQ29tWz3gBrtNB8yIromXbY/edit?gid=741673867"", ""out1g!A:B""), 2, FALSE), 0)"),131.0)</f>
        <v>131</v>
      </c>
      <c r="D7952" s="2" t="str">
        <f>IFERROR(__xludf.DUMMYFUNCTION("IFERROR(VLOOKUP(A7952, IMPORTRANGE(""https://docs.google.com/spreadsheets/d/1-3Vjw2Cyy-mry5gbC8ypIR3YVGFfEpyFESummAta6sg/edit"", ""Sheet1!B:D""), 2, FALSE), ""Not Found"")"),"dɪsk")</f>
        <v>dɪsk</v>
      </c>
      <c r="E7952" s="2" t="str">
        <f>IFERROR(__xludf.DUMMYFUNCTION("IFERROR(VLOOKUP(A7952, IMPORTRANGE(""https://docs.google.com/spreadsheets/d/1-3Vjw2Cyy-mry5gbC8ypIR3YVGFfEpyFESummAta6sg/edit"", ""Sheet1!B:D""), 3, FALSE), ""Not Found"")"),"d ɪ s k ")</f>
        <v>d ɪ s k </v>
      </c>
    </row>
    <row r="7953">
      <c r="A7953" s="1" t="s">
        <v>7954</v>
      </c>
      <c r="B7953" s="1" t="s">
        <v>6138</v>
      </c>
      <c r="C7953" s="2">
        <f>IFERROR(__xludf.DUMMYFUNCTION("IFERROR(VLOOKUP(A7953, IMPORTRANGE(""https://docs.google.com/spreadsheets/d/1AVX9GT0dgogEBStecCXMMQ29tWz3gBrtNB8yIromXbY/edit?gid=741673867"", ""out1g!A:B""), 2, FALSE), 0)"),113.0)</f>
        <v>113</v>
      </c>
      <c r="D7953" s="2" t="str">
        <f>IFERROR(__xludf.DUMMYFUNCTION("IFERROR(VLOOKUP(A7953, IMPORTRANGE(""https://docs.google.com/spreadsheets/d/1-3Vjw2Cyy-mry5gbC8ypIR3YVGFfEpyFESummAta6sg/edit"", ""Sheet1!B:D""), 2, FALSE), ""Not Found"")"),"əraʊzd")</f>
        <v>əraʊzd</v>
      </c>
      <c r="E7953" s="2" t="str">
        <f>IFERROR(__xludf.DUMMYFUNCTION("IFERROR(VLOOKUP(A7953, IMPORTRANGE(""https://docs.google.com/spreadsheets/d/1-3Vjw2Cyy-mry5gbC8ypIR3YVGFfEpyFESummAta6sg/edit"", ""Sheet1!B:D""), 3, FALSE), ""Not Found"")"),"ə r a ʊ z d ")</f>
        <v>ə r a ʊ z d </v>
      </c>
    </row>
    <row r="7954">
      <c r="A7954" s="1" t="s">
        <v>7955</v>
      </c>
      <c r="B7954" s="1" t="s">
        <v>6138</v>
      </c>
      <c r="C7954" s="2">
        <f>IFERROR(__xludf.DUMMYFUNCTION("IFERROR(VLOOKUP(A7954, IMPORTRANGE(""https://docs.google.com/spreadsheets/d/1AVX9GT0dgogEBStecCXMMQ29tWz3gBrtNB8yIromXbY/edit?gid=741673867"", ""out1g!A:B""), 2, FALSE), 0)"),56.0)</f>
        <v>56</v>
      </c>
      <c r="D7954" s="2" t="str">
        <f>IFERROR(__xludf.DUMMYFUNCTION("IFERROR(VLOOKUP(A7954, IMPORTRANGE(""https://docs.google.com/spreadsheets/d/1-3Vjw2Cyy-mry5gbC8ypIR3YVGFfEpyFESummAta6sg/edit"", ""Sheet1!B:D""), 2, FALSE), ""Not Found"")"),"keʤən")</f>
        <v>keʤən</v>
      </c>
      <c r="E7954" s="2" t="str">
        <f>IFERROR(__xludf.DUMMYFUNCTION("IFERROR(VLOOKUP(A7954, IMPORTRANGE(""https://docs.google.com/spreadsheets/d/1-3Vjw2Cyy-mry5gbC8ypIR3YVGFfEpyFESummAta6sg/edit"", ""Sheet1!B:D""), 3, FALSE), ""Not Found"")"),"k e ʤ ə n ")</f>
        <v>k e ʤ ə n </v>
      </c>
    </row>
    <row r="7955">
      <c r="A7955" s="1" t="s">
        <v>7956</v>
      </c>
      <c r="B7955" s="1" t="s">
        <v>6138</v>
      </c>
      <c r="C7955" s="2">
        <f>IFERROR(__xludf.DUMMYFUNCTION("IFERROR(VLOOKUP(A7955, IMPORTRANGE(""https://docs.google.com/spreadsheets/d/1AVX9GT0dgogEBStecCXMMQ29tWz3gBrtNB8yIromXbY/edit?gid=741673867"", ""out1g!A:B""), 2, FALSE), 0)"),2746.0)</f>
        <v>2746</v>
      </c>
      <c r="D7955" s="2" t="str">
        <f>IFERROR(__xludf.DUMMYFUNCTION("IFERROR(VLOOKUP(A7955, IMPORTRANGE(""https://docs.google.com/spreadsheets/d/1-3Vjw2Cyy-mry5gbC8ypIR3YVGFfEpyFESummAta6sg/edit"", ""Sheet1!B:D""), 2, FALSE), ""Not Found"")"),"nemz")</f>
        <v>nemz</v>
      </c>
      <c r="E7955" s="2" t="str">
        <f>IFERROR(__xludf.DUMMYFUNCTION("IFERROR(VLOOKUP(A7955, IMPORTRANGE(""https://docs.google.com/spreadsheets/d/1-3Vjw2Cyy-mry5gbC8ypIR3YVGFfEpyFESummAta6sg/edit"", ""Sheet1!B:D""), 3, FALSE), ""Not Found"")"),"n e m z ")</f>
        <v>n e m z </v>
      </c>
    </row>
    <row r="7956">
      <c r="A7956" s="1" t="s">
        <v>7957</v>
      </c>
      <c r="B7956" s="1" t="s">
        <v>6138</v>
      </c>
      <c r="C7956" s="2">
        <f>IFERROR(__xludf.DUMMYFUNCTION("IFERROR(VLOOKUP(A7956, IMPORTRANGE(""https://docs.google.com/spreadsheets/d/1AVX9GT0dgogEBStecCXMMQ29tWz3gBrtNB8yIromXbY/edit?gid=741673867"", ""out1g!A:B""), 2, FALSE), 0)"),363.0)</f>
        <v>363</v>
      </c>
      <c r="D7956" s="2" t="str">
        <f>IFERROR(__xludf.DUMMYFUNCTION("IFERROR(VLOOKUP(A7956, IMPORTRANGE(""https://docs.google.com/spreadsheets/d/1-3Vjw2Cyy-mry5gbC8ypIR3YVGFfEpyFESummAta6sg/edit"", ""Sheet1!B:D""), 2, FALSE), ""Not Found"")"),"lɛstər")</f>
        <v>lɛstər</v>
      </c>
      <c r="E7956" s="2" t="str">
        <f>IFERROR(__xludf.DUMMYFUNCTION("IFERROR(VLOOKUP(A7956, IMPORTRANGE(""https://docs.google.com/spreadsheets/d/1-3Vjw2Cyy-mry5gbC8ypIR3YVGFfEpyFESummAta6sg/edit"", ""Sheet1!B:D""), 3, FALSE), ""Not Found"")"),"l ɛ s t ə r ")</f>
        <v>l ɛ s t ə r </v>
      </c>
    </row>
    <row r="7957">
      <c r="A7957" s="1" t="s">
        <v>7958</v>
      </c>
      <c r="B7957" s="1" t="s">
        <v>6138</v>
      </c>
      <c r="C7957" s="2">
        <f>IFERROR(__xludf.DUMMYFUNCTION("IFERROR(VLOOKUP(A7957, IMPORTRANGE(""https://docs.google.com/spreadsheets/d/1AVX9GT0dgogEBStecCXMMQ29tWz3gBrtNB8yIromXbY/edit?gid=741673867"", ""out1g!A:B""), 2, FALSE), 0)"),89.0)</f>
        <v>89</v>
      </c>
      <c r="D7957" s="2" t="str">
        <f>IFERROR(__xludf.DUMMYFUNCTION("IFERROR(VLOOKUP(A7957, IMPORTRANGE(""https://docs.google.com/spreadsheets/d/1-3Vjw2Cyy-mry5gbC8ypIR3YVGFfEpyFESummAta6sg/edit"", ""Sheet1!B:D""), 2, FALSE), ""Not Found"")"),"rəbəl")</f>
        <v>rəbəl</v>
      </c>
      <c r="E7957" s="2" t="str">
        <f>IFERROR(__xludf.DUMMYFUNCTION("IFERROR(VLOOKUP(A7957, IMPORTRANGE(""https://docs.google.com/spreadsheets/d/1-3Vjw2Cyy-mry5gbC8ypIR3YVGFfEpyFESummAta6sg/edit"", ""Sheet1!B:D""), 3, FALSE), ""Not Found"")"),"r ə b ə l ")</f>
        <v>r ə b ə l </v>
      </c>
    </row>
    <row r="7958">
      <c r="A7958" s="1" t="s">
        <v>7959</v>
      </c>
      <c r="B7958" s="1" t="s">
        <v>6138</v>
      </c>
      <c r="C7958" s="2">
        <f>IFERROR(__xludf.DUMMYFUNCTION("IFERROR(VLOOKUP(A7958, IMPORTRANGE(""https://docs.google.com/spreadsheets/d/1AVX9GT0dgogEBStecCXMMQ29tWz3gBrtNB8yIromXbY/edit?gid=741673867"", ""out1g!A:B""), 2, FALSE), 0)"),116.0)</f>
        <v>116</v>
      </c>
      <c r="D7958" s="2" t="str">
        <f>IFERROR(__xludf.DUMMYFUNCTION("IFERROR(VLOOKUP(A7958, IMPORTRANGE(""https://docs.google.com/spreadsheets/d/1-3Vjw2Cyy-mry5gbC8ypIR3YVGFfEpyFESummAta6sg/edit"", ""Sheet1!B:D""), 2, FALSE), ""Not Found"")"),"pɑrtɪŋ")</f>
        <v>pɑrtɪŋ</v>
      </c>
      <c r="E7958" s="2" t="str">
        <f>IFERROR(__xludf.DUMMYFUNCTION("IFERROR(VLOOKUP(A7958, IMPORTRANGE(""https://docs.google.com/spreadsheets/d/1-3Vjw2Cyy-mry5gbC8ypIR3YVGFfEpyFESummAta6sg/edit"", ""Sheet1!B:D""), 3, FALSE), ""Not Found"")"),"p ɑ r t ɪ ŋ ")</f>
        <v>p ɑ r t ɪ ŋ </v>
      </c>
    </row>
    <row r="7959">
      <c r="A7959" s="1" t="s">
        <v>7960</v>
      </c>
      <c r="B7959" s="1" t="s">
        <v>6138</v>
      </c>
      <c r="C7959" s="2">
        <f>IFERROR(__xludf.DUMMYFUNCTION("IFERROR(VLOOKUP(A7959, IMPORTRANGE(""https://docs.google.com/spreadsheets/d/1AVX9GT0dgogEBStecCXMMQ29tWz3gBrtNB8yIromXbY/edit?gid=741673867"", ""out1g!A:B""), 2, FALSE), 0)"),49.0)</f>
        <v>49</v>
      </c>
      <c r="D7959" s="2" t="str">
        <f>IFERROR(__xludf.DUMMYFUNCTION("IFERROR(VLOOKUP(A7959, IMPORTRANGE(""https://docs.google.com/spreadsheets/d/1-3Vjw2Cyy-mry5gbC8ypIR3YVGFfEpyFESummAta6sg/edit"", ""Sheet1!B:D""), 2, FALSE), ""Not Found"")"),"swɪl")</f>
        <v>swɪl</v>
      </c>
      <c r="E7959" s="2" t="str">
        <f>IFERROR(__xludf.DUMMYFUNCTION("IFERROR(VLOOKUP(A7959, IMPORTRANGE(""https://docs.google.com/spreadsheets/d/1-3Vjw2Cyy-mry5gbC8ypIR3YVGFfEpyFESummAta6sg/edit"", ""Sheet1!B:D""), 3, FALSE), ""Not Found"")"),"s w ɪ l ")</f>
        <v>s w ɪ l </v>
      </c>
    </row>
    <row r="7960">
      <c r="A7960" s="1" t="s">
        <v>7961</v>
      </c>
      <c r="B7960" s="1" t="s">
        <v>6138</v>
      </c>
      <c r="C7960" s="2">
        <f>IFERROR(__xludf.DUMMYFUNCTION("IFERROR(VLOOKUP(A7960, IMPORTRANGE(""https://docs.google.com/spreadsheets/d/1AVX9GT0dgogEBStecCXMMQ29tWz3gBrtNB8yIromXbY/edit?gid=741673867"", ""out1g!A:B""), 2, FALSE), 0)"),3565.0)</f>
        <v>3565</v>
      </c>
      <c r="D7960" s="2" t="str">
        <f>IFERROR(__xludf.DUMMYFUNCTION("IFERROR(VLOOKUP(A7960, IMPORTRANGE(""https://docs.google.com/spreadsheets/d/1-3Vjw2Cyy-mry5gbC8ypIR3YVGFfEpyFESummAta6sg/edit"", ""Sheet1!B:D""), 2, FALSE), ""Not Found"")"),"spikɪŋ")</f>
        <v>spikɪŋ</v>
      </c>
      <c r="E7960" s="2" t="str">
        <f>IFERROR(__xludf.DUMMYFUNCTION("IFERROR(VLOOKUP(A7960, IMPORTRANGE(""https://docs.google.com/spreadsheets/d/1-3Vjw2Cyy-mry5gbC8ypIR3YVGFfEpyFESummAta6sg/edit"", ""Sheet1!B:D""), 3, FALSE), ""Not Found"")"),"s p i k ɪ ŋ ")</f>
        <v>s p i k ɪ ŋ </v>
      </c>
    </row>
    <row r="7961">
      <c r="A7961" s="1" t="s">
        <v>7962</v>
      </c>
      <c r="B7961" s="1" t="s">
        <v>6138</v>
      </c>
      <c r="C7961" s="2">
        <f>IFERROR(__xludf.DUMMYFUNCTION("IFERROR(VLOOKUP(A7961, IMPORTRANGE(""https://docs.google.com/spreadsheets/d/1AVX9GT0dgogEBStecCXMMQ29tWz3gBrtNB8yIromXbY/edit?gid=741673867"", ""out1g!A:B""), 2, FALSE), 0)"),142.0)</f>
        <v>142</v>
      </c>
      <c r="D7961" s="2" t="str">
        <f>IFERROR(__xludf.DUMMYFUNCTION("IFERROR(VLOOKUP(A7961, IMPORTRANGE(""https://docs.google.com/spreadsheets/d/1-3Vjw2Cyy-mry5gbC8ypIR3YVGFfEpyFESummAta6sg/edit"", ""Sheet1!B:D""), 2, FALSE), ""Not Found"")"),"rɪzaɪnd")</f>
        <v>rɪzaɪnd</v>
      </c>
      <c r="E7961" s="2" t="str">
        <f>IFERROR(__xludf.DUMMYFUNCTION("IFERROR(VLOOKUP(A7961, IMPORTRANGE(""https://docs.google.com/spreadsheets/d/1-3Vjw2Cyy-mry5gbC8ypIR3YVGFfEpyFESummAta6sg/edit"", ""Sheet1!B:D""), 3, FALSE), ""Not Found"")"),"r ɪ z a ɪ n d ")</f>
        <v>r ɪ z a ɪ n d </v>
      </c>
    </row>
    <row r="7962">
      <c r="A7962" s="1" t="s">
        <v>7963</v>
      </c>
      <c r="B7962" s="1" t="s">
        <v>6138</v>
      </c>
      <c r="C7962" s="2">
        <f>IFERROR(__xludf.DUMMYFUNCTION("IFERROR(VLOOKUP(A7962, IMPORTRANGE(""https://docs.google.com/spreadsheets/d/1AVX9GT0dgogEBStecCXMMQ29tWz3gBrtNB8yIromXbY/edit?gid=741673867"", ""out1g!A:B""), 2, FALSE), 0)"),115.0)</f>
        <v>115</v>
      </c>
      <c r="D7962" s="2" t="str">
        <f>IFERROR(__xludf.DUMMYFUNCTION("IFERROR(VLOOKUP(A7962, IMPORTRANGE(""https://docs.google.com/spreadsheets/d/1-3Vjw2Cyy-mry5gbC8ypIR3YVGFfEpyFESummAta6sg/edit"", ""Sheet1!B:D""), 2, FALSE), ""Not Found"")"),"dɪzaɪərd")</f>
        <v>dɪzaɪərd</v>
      </c>
      <c r="E7962" s="2" t="str">
        <f>IFERROR(__xludf.DUMMYFUNCTION("IFERROR(VLOOKUP(A7962, IMPORTRANGE(""https://docs.google.com/spreadsheets/d/1-3Vjw2Cyy-mry5gbC8ypIR3YVGFfEpyFESummAta6sg/edit"", ""Sheet1!B:D""), 3, FALSE), ""Not Found"")"),"d ɪ z a ɪ ə r d ")</f>
        <v>d ɪ z a ɪ ə r d </v>
      </c>
    </row>
    <row r="7963">
      <c r="A7963" s="1" t="s">
        <v>7964</v>
      </c>
      <c r="B7963" s="1" t="s">
        <v>6138</v>
      </c>
      <c r="C7963" s="2">
        <f>IFERROR(__xludf.DUMMYFUNCTION("IFERROR(VLOOKUP(A7963, IMPORTRANGE(""https://docs.google.com/spreadsheets/d/1AVX9GT0dgogEBStecCXMMQ29tWz3gBrtNB8yIromXbY/edit?gid=741673867"", ""out1g!A:B""), 2, FALSE), 0)"),132.0)</f>
        <v>132</v>
      </c>
      <c r="D7963" s="2" t="str">
        <f>IFERROR(__xludf.DUMMYFUNCTION("IFERROR(VLOOKUP(A7963, IMPORTRANGE(""https://docs.google.com/spreadsheets/d/1-3Vjw2Cyy-mry5gbC8ypIR3YVGFfEpyFESummAta6sg/edit"", ""Sheet1!B:D""), 2, FALSE), ""Not Found"")"),"kretər")</f>
        <v>kretər</v>
      </c>
      <c r="E7963" s="2" t="str">
        <f>IFERROR(__xludf.DUMMYFUNCTION("IFERROR(VLOOKUP(A7963, IMPORTRANGE(""https://docs.google.com/spreadsheets/d/1-3Vjw2Cyy-mry5gbC8ypIR3YVGFfEpyFESummAta6sg/edit"", ""Sheet1!B:D""), 3, FALSE), ""Not Found"")"),"k r e t ə r ")</f>
        <v>k r e t ə r </v>
      </c>
    </row>
    <row r="7964">
      <c r="A7964" s="1" t="s">
        <v>7965</v>
      </c>
      <c r="B7964" s="1" t="s">
        <v>6138</v>
      </c>
      <c r="C7964" s="2">
        <f>IFERROR(__xludf.DUMMYFUNCTION("IFERROR(VLOOKUP(A7964, IMPORTRANGE(""https://docs.google.com/spreadsheets/d/1AVX9GT0dgogEBStecCXMMQ29tWz3gBrtNB8yIromXbY/edit?gid=741673867"", ""out1g!A:B""), 2, FALSE), 0)"),1157.0)</f>
        <v>1157</v>
      </c>
      <c r="D7964" s="2" t="str">
        <f>IFERROR(__xludf.DUMMYFUNCTION("IFERROR(VLOOKUP(A7964, IMPORTRANGE(""https://docs.google.com/spreadsheets/d/1-3Vjw2Cyy-mry5gbC8ypIR3YVGFfEpyFESummAta6sg/edit"", ""Sheet1!B:D""), 2, FALSE), ""Not Found"")"),"klinɪŋ")</f>
        <v>klinɪŋ</v>
      </c>
      <c r="E7964" s="2" t="str">
        <f>IFERROR(__xludf.DUMMYFUNCTION("IFERROR(VLOOKUP(A7964, IMPORTRANGE(""https://docs.google.com/spreadsheets/d/1-3Vjw2Cyy-mry5gbC8ypIR3YVGFfEpyFESummAta6sg/edit"", ""Sheet1!B:D""), 3, FALSE), ""Not Found"")"),"k l i n ɪ ŋ ")</f>
        <v>k l i n ɪ ŋ </v>
      </c>
    </row>
    <row r="7965">
      <c r="A7965" s="1" t="s">
        <v>7966</v>
      </c>
      <c r="B7965" s="1" t="s">
        <v>6138</v>
      </c>
      <c r="C7965" s="2">
        <f>IFERROR(__xludf.DUMMYFUNCTION("IFERROR(VLOOKUP(A7965, IMPORTRANGE(""https://docs.google.com/spreadsheets/d/1AVX9GT0dgogEBStecCXMMQ29tWz3gBrtNB8yIromXbY/edit?gid=741673867"", ""out1g!A:B""), 2, FALSE), 0)"),312915.0)</f>
        <v>312915</v>
      </c>
      <c r="D7965" s="2" t="str">
        <f>IFERROR(__xludf.DUMMYFUNCTION("IFERROR(VLOOKUP(A7965, IMPORTRANGE(""https://docs.google.com/spreadsheets/d/1-3Vjw2Cyy-mry5gbC8ypIR3YVGFfEpyFESummAta6sg/edit"", ""Sheet1!B:D""), 2, FALSE), ""Not Found"")"),"du")</f>
        <v>du</v>
      </c>
      <c r="E7965" s="2" t="str">
        <f>IFERROR(__xludf.DUMMYFUNCTION("IFERROR(VLOOKUP(A7965, IMPORTRANGE(""https://docs.google.com/spreadsheets/d/1-3Vjw2Cyy-mry5gbC8ypIR3YVGFfEpyFESummAta6sg/edit"", ""Sheet1!B:D""), 3, FALSE), ""Not Found"")"),"d u ")</f>
        <v>d u </v>
      </c>
    </row>
    <row r="7966">
      <c r="A7966" s="1" t="s">
        <v>7967</v>
      </c>
      <c r="B7966" s="1" t="s">
        <v>6138</v>
      </c>
      <c r="C7966" s="2">
        <f>IFERROR(__xludf.DUMMYFUNCTION("IFERROR(VLOOKUP(A7966, IMPORTRANGE(""https://docs.google.com/spreadsheets/d/1AVX9GT0dgogEBStecCXMMQ29tWz3gBrtNB8yIromXbY/edit?gid=741673867"", ""out1g!A:B""), 2, FALSE), 0)"),52.0)</f>
        <v>52</v>
      </c>
      <c r="D7966" s="2" t="str">
        <f>IFERROR(__xludf.DUMMYFUNCTION("IFERROR(VLOOKUP(A7966, IMPORTRANGE(""https://docs.google.com/spreadsheets/d/1-3Vjw2Cyy-mry5gbC8ypIR3YVGFfEpyFESummAta6sg/edit"", ""Sheet1!B:D""), 2, FALSE), ""Not Found"")"),"prezɪz")</f>
        <v>prezɪz</v>
      </c>
      <c r="E7966" s="2" t="str">
        <f>IFERROR(__xludf.DUMMYFUNCTION("IFERROR(VLOOKUP(A7966, IMPORTRANGE(""https://docs.google.com/spreadsheets/d/1-3Vjw2Cyy-mry5gbC8ypIR3YVGFfEpyFESummAta6sg/edit"", ""Sheet1!B:D""), 3, FALSE), ""Not Found"")"),"p r e z ɪ z ")</f>
        <v>p r e z ɪ z </v>
      </c>
    </row>
    <row r="7967">
      <c r="A7967" s="1" t="s">
        <v>7968</v>
      </c>
      <c r="B7967" s="1" t="s">
        <v>6138</v>
      </c>
      <c r="C7967" s="2">
        <f>IFERROR(__xludf.DUMMYFUNCTION("IFERROR(VLOOKUP(A7967, IMPORTRANGE(""https://docs.google.com/spreadsheets/d/1AVX9GT0dgogEBStecCXMMQ29tWz3gBrtNB8yIromXbY/edit?gid=741673867"", ""out1g!A:B""), 2, FALSE), 0)"),60.0)</f>
        <v>60</v>
      </c>
      <c r="D7967" s="2" t="str">
        <f>IFERROR(__xludf.DUMMYFUNCTION("IFERROR(VLOOKUP(A7967, IMPORTRANGE(""https://docs.google.com/spreadsheets/d/1-3Vjw2Cyy-mry5gbC8ypIR3YVGFfEpyFESummAta6sg/edit"", ""Sheet1!B:D""), 2, FALSE), ""Not Found"")"),"fɪkəl")</f>
        <v>fɪkəl</v>
      </c>
      <c r="E7967" s="2" t="str">
        <f>IFERROR(__xludf.DUMMYFUNCTION("IFERROR(VLOOKUP(A7967, IMPORTRANGE(""https://docs.google.com/spreadsheets/d/1-3Vjw2Cyy-mry5gbC8ypIR3YVGFfEpyFESummAta6sg/edit"", ""Sheet1!B:D""), 3, FALSE), ""Not Found"")"),"f ɪ k ə l ")</f>
        <v>f ɪ k ə l </v>
      </c>
    </row>
    <row r="7968">
      <c r="A7968" s="1" t="s">
        <v>7969</v>
      </c>
      <c r="B7968" s="1" t="s">
        <v>6138</v>
      </c>
      <c r="C7968" s="2">
        <f>IFERROR(__xludf.DUMMYFUNCTION("IFERROR(VLOOKUP(A7968, IMPORTRANGE(""https://docs.google.com/spreadsheets/d/1AVX9GT0dgogEBStecCXMMQ29tWz3gBrtNB8yIromXbY/edit?gid=741673867"", ""out1g!A:B""), 2, FALSE), 0)"),265.0)</f>
        <v>265</v>
      </c>
      <c r="D7968" s="2" t="str">
        <f>IFERROR(__xludf.DUMMYFUNCTION("IFERROR(VLOOKUP(A7968, IMPORTRANGE(""https://docs.google.com/spreadsheets/d/1-3Vjw2Cyy-mry5gbC8ypIR3YVGFfEpyFESummAta6sg/edit"", ""Sheet1!B:D""), 2, FALSE), ""Not Found"")"),"ʤəŋki")</f>
        <v>ʤəŋki</v>
      </c>
      <c r="E7968" s="2" t="str">
        <f>IFERROR(__xludf.DUMMYFUNCTION("IFERROR(VLOOKUP(A7968, IMPORTRANGE(""https://docs.google.com/spreadsheets/d/1-3Vjw2Cyy-mry5gbC8ypIR3YVGFfEpyFESummAta6sg/edit"", ""Sheet1!B:D""), 3, FALSE), ""Not Found"")"),"ʤ ə ŋ k i ")</f>
        <v>ʤ ə ŋ k i </v>
      </c>
    </row>
    <row r="7969">
      <c r="A7969" s="1" t="s">
        <v>7970</v>
      </c>
      <c r="B7969" s="1" t="s">
        <v>6138</v>
      </c>
      <c r="C7969" s="2">
        <f>IFERROR(__xludf.DUMMYFUNCTION("IFERROR(VLOOKUP(A7969, IMPORTRANGE(""https://docs.google.com/spreadsheets/d/1AVX9GT0dgogEBStecCXMMQ29tWz3gBrtNB8yIromXbY/edit?gid=741673867"", ""out1g!A:B""), 2, FALSE), 0)"),1311.0)</f>
        <v>1311</v>
      </c>
      <c r="D7969" s="2" t="str">
        <f>IFERROR(__xludf.DUMMYFUNCTION("IFERROR(VLOOKUP(A7969, IMPORTRANGE(""https://docs.google.com/spreadsheets/d/1-3Vjw2Cyy-mry5gbC8ypIR3YVGFfEpyFESummAta6sg/edit"", ""Sheet1!B:D""), 2, FALSE), ""Not Found"")"),"gɛsts")</f>
        <v>gɛsts</v>
      </c>
      <c r="E7969" s="2" t="str">
        <f>IFERROR(__xludf.DUMMYFUNCTION("IFERROR(VLOOKUP(A7969, IMPORTRANGE(""https://docs.google.com/spreadsheets/d/1-3Vjw2Cyy-mry5gbC8ypIR3YVGFfEpyFESummAta6sg/edit"", ""Sheet1!B:D""), 3, FALSE), ""Not Found"")"),"g ɛ s t s ")</f>
        <v>g ɛ s t s </v>
      </c>
    </row>
    <row r="7970">
      <c r="A7970" s="1" t="s">
        <v>7971</v>
      </c>
      <c r="B7970" s="1" t="s">
        <v>6138</v>
      </c>
      <c r="C7970" s="2">
        <f>IFERROR(__xludf.DUMMYFUNCTION("IFERROR(VLOOKUP(A7970, IMPORTRANGE(""https://docs.google.com/spreadsheets/d/1AVX9GT0dgogEBStecCXMMQ29tWz3gBrtNB8yIromXbY/edit?gid=741673867"", ""out1g!A:B""), 2, FALSE), 0)"),17.0)</f>
        <v>17</v>
      </c>
      <c r="D7970" s="2" t="str">
        <f>IFERROR(__xludf.DUMMYFUNCTION("IFERROR(VLOOKUP(A7970, IMPORTRANGE(""https://docs.google.com/spreadsheets/d/1-3Vjw2Cyy-mry5gbC8ypIR3YVGFfEpyFESummAta6sg/edit"", ""Sheet1!B:D""), 2, FALSE), ""Not Found"")"),"flɪŋɪŋ")</f>
        <v>flɪŋɪŋ</v>
      </c>
      <c r="E7970" s="2" t="str">
        <f>IFERROR(__xludf.DUMMYFUNCTION("IFERROR(VLOOKUP(A7970, IMPORTRANGE(""https://docs.google.com/spreadsheets/d/1-3Vjw2Cyy-mry5gbC8ypIR3YVGFfEpyFESummAta6sg/edit"", ""Sheet1!B:D""), 3, FALSE), ""Not Found"")"),"f l ɪ ŋ ɪ ŋ ")</f>
        <v>f l ɪ ŋ ɪ ŋ </v>
      </c>
    </row>
    <row r="7971">
      <c r="A7971" s="1" t="s">
        <v>7972</v>
      </c>
      <c r="B7971" s="1" t="s">
        <v>6138</v>
      </c>
      <c r="C7971" s="2">
        <f>IFERROR(__xludf.DUMMYFUNCTION("IFERROR(VLOOKUP(A7971, IMPORTRANGE(""https://docs.google.com/spreadsheets/d/1AVX9GT0dgogEBStecCXMMQ29tWz3gBrtNB8yIromXbY/edit?gid=741673867"", ""out1g!A:B""), 2, FALSE), 0)"),4597.0)</f>
        <v>4597</v>
      </c>
      <c r="D7971" s="2" t="str">
        <f>IFERROR(__xludf.DUMMYFUNCTION("IFERROR(VLOOKUP(A7971, IMPORTRANGE(""https://docs.google.com/spreadsheets/d/1-3Vjw2Cyy-mry5gbC8ypIR3YVGFfEpyFESummAta6sg/edit"", ""Sheet1!B:D""), 2, FALSE), ""Not Found"")"),"kraɪst")</f>
        <v>kraɪst</v>
      </c>
      <c r="E7971" s="2" t="str">
        <f>IFERROR(__xludf.DUMMYFUNCTION("IFERROR(VLOOKUP(A7971, IMPORTRANGE(""https://docs.google.com/spreadsheets/d/1-3Vjw2Cyy-mry5gbC8ypIR3YVGFfEpyFESummAta6sg/edit"", ""Sheet1!B:D""), 3, FALSE), ""Not Found"")"),"k r a ɪ s t ")</f>
        <v>k r a ɪ s t </v>
      </c>
    </row>
    <row r="7972">
      <c r="A7972" s="1" t="s">
        <v>7973</v>
      </c>
      <c r="B7972" s="1" t="s">
        <v>6138</v>
      </c>
      <c r="C7972" s="2">
        <f>IFERROR(__xludf.DUMMYFUNCTION("IFERROR(VLOOKUP(A7972, IMPORTRANGE(""https://docs.google.com/spreadsheets/d/1AVX9GT0dgogEBStecCXMMQ29tWz3gBrtNB8yIromXbY/edit?gid=741673867"", ""out1g!A:B""), 2, FALSE), 0)"),92.0)</f>
        <v>92</v>
      </c>
      <c r="D7972" s="2" t="str">
        <f>IFERROR(__xludf.DUMMYFUNCTION("IFERROR(VLOOKUP(A7972, IMPORTRANGE(""https://docs.google.com/spreadsheets/d/1-3Vjw2Cyy-mry5gbC8ypIR3YVGFfEpyFESummAta6sg/edit"", ""Sheet1!B:D""), 2, FALSE), ""Not Found"")"),"ɪnsɛns")</f>
        <v>ɪnsɛns</v>
      </c>
      <c r="E7972" s="2" t="str">
        <f>IFERROR(__xludf.DUMMYFUNCTION("IFERROR(VLOOKUP(A7972, IMPORTRANGE(""https://docs.google.com/spreadsheets/d/1-3Vjw2Cyy-mry5gbC8ypIR3YVGFfEpyFESummAta6sg/edit"", ""Sheet1!B:D""), 3, FALSE), ""Not Found"")"),"ɪ n s ɛ n s ")</f>
        <v>ɪ n s ɛ n s </v>
      </c>
    </row>
    <row r="7973">
      <c r="A7973" s="1" t="s">
        <v>7974</v>
      </c>
      <c r="B7973" s="1" t="s">
        <v>6138</v>
      </c>
      <c r="C7973" s="2">
        <f>IFERROR(__xludf.DUMMYFUNCTION("IFERROR(VLOOKUP(A7973, IMPORTRANGE(""https://docs.google.com/spreadsheets/d/1AVX9GT0dgogEBStecCXMMQ29tWz3gBrtNB8yIromXbY/edit?gid=741673867"", ""out1g!A:B""), 2, FALSE), 0)"),123.0)</f>
        <v>123</v>
      </c>
      <c r="D7973" s="2" t="str">
        <f>IFERROR(__xludf.DUMMYFUNCTION("IFERROR(VLOOKUP(A7973, IMPORTRANGE(""https://docs.google.com/spreadsheets/d/1-3Vjw2Cyy-mry5gbC8ypIR3YVGFfEpyFESummAta6sg/edit"", ""Sheet1!B:D""), 2, FALSE), ""Not Found"")"),"hɑrmd")</f>
        <v>hɑrmd</v>
      </c>
      <c r="E7973" s="2" t="str">
        <f>IFERROR(__xludf.DUMMYFUNCTION("IFERROR(VLOOKUP(A7973, IMPORTRANGE(""https://docs.google.com/spreadsheets/d/1-3Vjw2Cyy-mry5gbC8ypIR3YVGFfEpyFESummAta6sg/edit"", ""Sheet1!B:D""), 3, FALSE), ""Not Found"")"),"h ɑ r m d ")</f>
        <v>h ɑ r m d </v>
      </c>
    </row>
    <row r="7974">
      <c r="A7974" s="1" t="s">
        <v>7975</v>
      </c>
      <c r="B7974" s="1" t="s">
        <v>6138</v>
      </c>
      <c r="C7974" s="2">
        <f>IFERROR(__xludf.DUMMYFUNCTION("IFERROR(VLOOKUP(A7974, IMPORTRANGE(""https://docs.google.com/spreadsheets/d/1AVX9GT0dgogEBStecCXMMQ29tWz3gBrtNB8yIromXbY/edit?gid=741673867"", ""out1g!A:B""), 2, FALSE), 0)"),74.0)</f>
        <v>74</v>
      </c>
      <c r="D7974" s="2" t="str">
        <f>IFERROR(__xludf.DUMMYFUNCTION("IFERROR(VLOOKUP(A7974, IMPORTRANGE(""https://docs.google.com/spreadsheets/d/1-3Vjw2Cyy-mry5gbC8ypIR3YVGFfEpyFESummAta6sg/edit"", ""Sheet1!B:D""), 2, FALSE), ""Not Found"")"),"mɪstɪk")</f>
        <v>mɪstɪk</v>
      </c>
      <c r="E7974" s="2" t="str">
        <f>IFERROR(__xludf.DUMMYFUNCTION("IFERROR(VLOOKUP(A7974, IMPORTRANGE(""https://docs.google.com/spreadsheets/d/1-3Vjw2Cyy-mry5gbC8ypIR3YVGFfEpyFESummAta6sg/edit"", ""Sheet1!B:D""), 3, FALSE), ""Not Found"")"),"m ɪ s t ɪ k ")</f>
        <v>m ɪ s t ɪ k </v>
      </c>
    </row>
    <row r="7975">
      <c r="A7975" s="1" t="s">
        <v>7976</v>
      </c>
      <c r="B7975" s="1" t="s">
        <v>6138</v>
      </c>
      <c r="C7975" s="2">
        <f>IFERROR(__xludf.DUMMYFUNCTION("IFERROR(VLOOKUP(A7975, IMPORTRANGE(""https://docs.google.com/spreadsheets/d/1AVX9GT0dgogEBStecCXMMQ29tWz3gBrtNB8yIromXbY/edit?gid=741673867"", ""out1g!A:B""), 2, FALSE), 0)"),127.0)</f>
        <v>127</v>
      </c>
      <c r="D7975" s="2" t="str">
        <f>IFERROR(__xludf.DUMMYFUNCTION("IFERROR(VLOOKUP(A7975, IMPORTRANGE(""https://docs.google.com/spreadsheets/d/1-3Vjw2Cyy-mry5gbC8ypIR3YVGFfEpyFESummAta6sg/edit"", ""Sheet1!B:D""), 2, FALSE), ""Not Found"")"),"əplaɪz")</f>
        <v>əplaɪz</v>
      </c>
      <c r="E7975" s="2" t="str">
        <f>IFERROR(__xludf.DUMMYFUNCTION("IFERROR(VLOOKUP(A7975, IMPORTRANGE(""https://docs.google.com/spreadsheets/d/1-3Vjw2Cyy-mry5gbC8ypIR3YVGFfEpyFESummAta6sg/edit"", ""Sheet1!B:D""), 3, FALSE), ""Not Found"")"),"ə p l a ɪ z ")</f>
        <v>ə p l a ɪ z </v>
      </c>
    </row>
    <row r="7976">
      <c r="A7976" s="1" t="s">
        <v>7977</v>
      </c>
      <c r="B7976" s="1" t="s">
        <v>6138</v>
      </c>
      <c r="C7976" s="2">
        <f>IFERROR(__xludf.DUMMYFUNCTION("IFERROR(VLOOKUP(A7976, IMPORTRANGE(""https://docs.google.com/spreadsheets/d/1AVX9GT0dgogEBStecCXMMQ29tWz3gBrtNB8yIromXbY/edit?gid=741673867"", ""out1g!A:B""), 2, FALSE), 0)"),46.0)</f>
        <v>46</v>
      </c>
      <c r="D7976" s="2" t="str">
        <f>IFERROR(__xludf.DUMMYFUNCTION("IFERROR(VLOOKUP(A7976, IMPORTRANGE(""https://docs.google.com/spreadsheets/d/1-3Vjw2Cyy-mry5gbC8ypIR3YVGFfEpyFESummAta6sg/edit"", ""Sheet1!B:D""), 2, FALSE), ""Not Found"")"),"prɪsi")</f>
        <v>prɪsi</v>
      </c>
      <c r="E7976" s="2" t="str">
        <f>IFERROR(__xludf.DUMMYFUNCTION("IFERROR(VLOOKUP(A7976, IMPORTRANGE(""https://docs.google.com/spreadsheets/d/1-3Vjw2Cyy-mry5gbC8ypIR3YVGFfEpyFESummAta6sg/edit"", ""Sheet1!B:D""), 3, FALSE), ""Not Found"")"),"p r ɪ s i ")</f>
        <v>p r ɪ s i </v>
      </c>
    </row>
    <row r="7977">
      <c r="A7977" s="1" t="s">
        <v>7978</v>
      </c>
      <c r="B7977" s="1" t="s">
        <v>6138</v>
      </c>
      <c r="C7977" s="2">
        <f>IFERROR(__xludf.DUMMYFUNCTION("IFERROR(VLOOKUP(A7977, IMPORTRANGE(""https://docs.google.com/spreadsheets/d/1AVX9GT0dgogEBStecCXMMQ29tWz3gBrtNB8yIromXbY/edit?gid=741673867"", ""out1g!A:B""), 2, FALSE), 0)"),73.0)</f>
        <v>73</v>
      </c>
      <c r="D7977" s="2" t="str">
        <f>IFERROR(__xludf.DUMMYFUNCTION("IFERROR(VLOOKUP(A7977, IMPORTRANGE(""https://docs.google.com/spreadsheets/d/1-3Vjw2Cyy-mry5gbC8ypIR3YVGFfEpyFESummAta6sg/edit"", ""Sheet1!B:D""), 2, FALSE), ""Not Found"")"),"gəzɛt")</f>
        <v>gəzɛt</v>
      </c>
      <c r="E7977" s="2" t="str">
        <f>IFERROR(__xludf.DUMMYFUNCTION("IFERROR(VLOOKUP(A7977, IMPORTRANGE(""https://docs.google.com/spreadsheets/d/1-3Vjw2Cyy-mry5gbC8ypIR3YVGFfEpyFESummAta6sg/edit"", ""Sheet1!B:D""), 3, FALSE), ""Not Found"")"),"g ə z ɛ t ")</f>
        <v>g ə z ɛ t </v>
      </c>
    </row>
    <row r="7978">
      <c r="A7978" s="1" t="s">
        <v>7979</v>
      </c>
      <c r="B7978" s="1" t="s">
        <v>6138</v>
      </c>
      <c r="C7978" s="2">
        <f>IFERROR(__xludf.DUMMYFUNCTION("IFERROR(VLOOKUP(A7978, IMPORTRANGE(""https://docs.google.com/spreadsheets/d/1AVX9GT0dgogEBStecCXMMQ29tWz3gBrtNB8yIromXbY/edit?gid=741673867"", ""out1g!A:B""), 2, FALSE), 0)"),109.0)</f>
        <v>109</v>
      </c>
      <c r="D7978" s="2" t="str">
        <f>IFERROR(__xludf.DUMMYFUNCTION("IFERROR(VLOOKUP(A7978, IMPORTRANGE(""https://docs.google.com/spreadsheets/d/1-3Vjw2Cyy-mry5gbC8ypIR3YVGFfEpyFESummAta6sg/edit"", ""Sheet1!B:D""), 2, FALSE), ""Not Found"")"),"faɪrmən")</f>
        <v>faɪrmən</v>
      </c>
      <c r="E7978" s="2" t="str">
        <f>IFERROR(__xludf.DUMMYFUNCTION("IFERROR(VLOOKUP(A7978, IMPORTRANGE(""https://docs.google.com/spreadsheets/d/1-3Vjw2Cyy-mry5gbC8ypIR3YVGFfEpyFESummAta6sg/edit"", ""Sheet1!B:D""), 3, FALSE), ""Not Found"")"),"f a ɪ r m ə n ")</f>
        <v>f a ɪ r m ə n </v>
      </c>
    </row>
    <row r="7979">
      <c r="A7979" s="1" t="s">
        <v>7980</v>
      </c>
      <c r="B7979" s="1" t="s">
        <v>6138</v>
      </c>
      <c r="C7979" s="2">
        <f>IFERROR(__xludf.DUMMYFUNCTION("IFERROR(VLOOKUP(A7979, IMPORTRANGE(""https://docs.google.com/spreadsheets/d/1AVX9GT0dgogEBStecCXMMQ29tWz3gBrtNB8yIromXbY/edit?gid=741673867"", ""out1g!A:B""), 2, FALSE), 0)"),728.0)</f>
        <v>728</v>
      </c>
      <c r="D7979" s="2" t="str">
        <f>IFERROR(__xludf.DUMMYFUNCTION("IFERROR(VLOOKUP(A7979, IMPORTRANGE(""https://docs.google.com/spreadsheets/d/1-3Vjw2Cyy-mry5gbC8ypIR3YVGFfEpyFESummAta6sg/edit"", ""Sheet1!B:D""), 2, FALSE), ""Not Found"")"),"ʤəmpɪŋ")</f>
        <v>ʤəmpɪŋ</v>
      </c>
      <c r="E7979" s="2" t="str">
        <f>IFERROR(__xludf.DUMMYFUNCTION("IFERROR(VLOOKUP(A7979, IMPORTRANGE(""https://docs.google.com/spreadsheets/d/1-3Vjw2Cyy-mry5gbC8ypIR3YVGFfEpyFESummAta6sg/edit"", ""Sheet1!B:D""), 3, FALSE), ""Not Found"")"),"ʤ ə m p ɪ ŋ ")</f>
        <v>ʤ ə m p ɪ ŋ </v>
      </c>
    </row>
    <row r="7980">
      <c r="A7980" s="1" t="s">
        <v>7981</v>
      </c>
      <c r="B7980" s="1" t="s">
        <v>6138</v>
      </c>
      <c r="C7980" s="2">
        <f>IFERROR(__xludf.DUMMYFUNCTION("IFERROR(VLOOKUP(A7980, IMPORTRANGE(""https://docs.google.com/spreadsheets/d/1AVX9GT0dgogEBStecCXMMQ29tWz3gBrtNB8yIromXbY/edit?gid=741673867"", ""out1g!A:B""), 2, FALSE), 0)"),66228.0)</f>
        <v>66228</v>
      </c>
      <c r="D7980" s="2" t="str">
        <f>IFERROR(__xludf.DUMMYFUNCTION("IFERROR(VLOOKUP(A7980, IMPORTRANGE(""https://docs.google.com/spreadsheets/d/1-3Vjw2Cyy-mry5gbC8ypIR3YVGFfEpyFESummAta6sg/edit"", ""Sheet1!B:D""), 2, FALSE), ""Not Found"")"),"mɔr")</f>
        <v>mɔr</v>
      </c>
      <c r="E7980" s="2" t="str">
        <f>IFERROR(__xludf.DUMMYFUNCTION("IFERROR(VLOOKUP(A7980, IMPORTRANGE(""https://docs.google.com/spreadsheets/d/1-3Vjw2Cyy-mry5gbC8ypIR3YVGFfEpyFESummAta6sg/edit"", ""Sheet1!B:D""), 3, FALSE), ""Not Found"")"),"m ɔ r ")</f>
        <v>m ɔ r </v>
      </c>
    </row>
    <row r="7981">
      <c r="A7981" s="1" t="s">
        <v>7982</v>
      </c>
      <c r="B7981" s="1" t="s">
        <v>6138</v>
      </c>
      <c r="C7981" s="2">
        <f>IFERROR(__xludf.DUMMYFUNCTION("IFERROR(VLOOKUP(A7981, IMPORTRANGE(""https://docs.google.com/spreadsheets/d/1AVX9GT0dgogEBStecCXMMQ29tWz3gBrtNB8yIromXbY/edit?gid=741673867"", ""out1g!A:B""), 2, FALSE), 0)"),854.0)</f>
        <v>854</v>
      </c>
      <c r="D7981" s="2" t="str">
        <f>IFERROR(__xludf.DUMMYFUNCTION("IFERROR(VLOOKUP(A7981, IMPORTRANGE(""https://docs.google.com/spreadsheets/d/1-3Vjw2Cyy-mry5gbC8ypIR3YVGFfEpyFESummAta6sg/edit"", ""Sheet1!B:D""), 2, FALSE), ""Not Found"")"),"træks")</f>
        <v>træks</v>
      </c>
      <c r="E7981" s="2" t="str">
        <f>IFERROR(__xludf.DUMMYFUNCTION("IFERROR(VLOOKUP(A7981, IMPORTRANGE(""https://docs.google.com/spreadsheets/d/1-3Vjw2Cyy-mry5gbC8ypIR3YVGFfEpyFESummAta6sg/edit"", ""Sheet1!B:D""), 3, FALSE), ""Not Found"")"),"t r æ k s ")</f>
        <v>t r æ k s </v>
      </c>
    </row>
    <row r="7982">
      <c r="A7982" s="1" t="s">
        <v>7983</v>
      </c>
      <c r="B7982" s="1" t="s">
        <v>6138</v>
      </c>
      <c r="C7982" s="2">
        <f>IFERROR(__xludf.DUMMYFUNCTION("IFERROR(VLOOKUP(A7982, IMPORTRANGE(""https://docs.google.com/spreadsheets/d/1AVX9GT0dgogEBStecCXMMQ29tWz3gBrtNB8yIromXbY/edit?gid=741673867"", ""out1g!A:B""), 2, FALSE), 0)"),179.0)</f>
        <v>179</v>
      </c>
      <c r="D7982" s="2" t="str">
        <f>IFERROR(__xludf.DUMMYFUNCTION("IFERROR(VLOOKUP(A7982, IMPORTRANGE(""https://docs.google.com/spreadsheets/d/1-3Vjw2Cyy-mry5gbC8ypIR3YVGFfEpyFESummAta6sg/edit"", ""Sheet1!B:D""), 2, FALSE), ""Not Found"")"),"bekəri")</f>
        <v>bekəri</v>
      </c>
      <c r="E7982" s="2" t="str">
        <f>IFERROR(__xludf.DUMMYFUNCTION("IFERROR(VLOOKUP(A7982, IMPORTRANGE(""https://docs.google.com/spreadsheets/d/1-3Vjw2Cyy-mry5gbC8ypIR3YVGFfEpyFESummAta6sg/edit"", ""Sheet1!B:D""), 3, FALSE), ""Not Found"")"),"b e k ə r i ")</f>
        <v>b e k ə r i </v>
      </c>
    </row>
    <row r="7983">
      <c r="A7983" s="1" t="s">
        <v>7984</v>
      </c>
      <c r="B7983" s="1" t="s">
        <v>6138</v>
      </c>
      <c r="C7983" s="2">
        <f>IFERROR(__xludf.DUMMYFUNCTION("IFERROR(VLOOKUP(A7983, IMPORTRANGE(""https://docs.google.com/spreadsheets/d/1AVX9GT0dgogEBStecCXMMQ29tWz3gBrtNB8yIromXbY/edit?gid=741673867"", ""out1g!A:B""), 2, FALSE), 0)"),2464.0)</f>
        <v>2464</v>
      </c>
      <c r="D7983" s="2" t="str">
        <f>IFERROR(__xludf.DUMMYFUNCTION("IFERROR(VLOOKUP(A7983, IMPORTRANGE(""https://docs.google.com/spreadsheets/d/1-3Vjw2Cyy-mry5gbC8ypIR3YVGFfEpyFESummAta6sg/edit"", ""Sheet1!B:D""), 2, FALSE), ""Not Found"")"),"drəgz")</f>
        <v>drəgz</v>
      </c>
      <c r="E7983" s="2" t="str">
        <f>IFERROR(__xludf.DUMMYFUNCTION("IFERROR(VLOOKUP(A7983, IMPORTRANGE(""https://docs.google.com/spreadsheets/d/1-3Vjw2Cyy-mry5gbC8ypIR3YVGFfEpyFESummAta6sg/edit"", ""Sheet1!B:D""), 3, FALSE), ""Not Found"")"),"d r ə g z ")</f>
        <v>d r ə g z </v>
      </c>
    </row>
    <row r="7984">
      <c r="A7984" s="1" t="s">
        <v>7985</v>
      </c>
      <c r="B7984" s="1" t="s">
        <v>6138</v>
      </c>
      <c r="C7984" s="2">
        <f>IFERROR(__xludf.DUMMYFUNCTION("IFERROR(VLOOKUP(A7984, IMPORTRANGE(""https://docs.google.com/spreadsheets/d/1AVX9GT0dgogEBStecCXMMQ29tWz3gBrtNB8yIromXbY/edit?gid=741673867"", ""out1g!A:B""), 2, FALSE), 0)"),264.0)</f>
        <v>264</v>
      </c>
      <c r="D7984" s="2" t="str">
        <f>IFERROR(__xludf.DUMMYFUNCTION("IFERROR(VLOOKUP(A7984, IMPORTRANGE(""https://docs.google.com/spreadsheets/d/1-3Vjw2Cyy-mry5gbC8ypIR3YVGFfEpyFESummAta6sg/edit"", ""Sheet1!B:D""), 2, FALSE), ""Not Found"")"),"ʃɪfts")</f>
        <v>ʃɪfts</v>
      </c>
      <c r="E7984" s="2" t="str">
        <f>IFERROR(__xludf.DUMMYFUNCTION("IFERROR(VLOOKUP(A7984, IMPORTRANGE(""https://docs.google.com/spreadsheets/d/1-3Vjw2Cyy-mry5gbC8ypIR3YVGFfEpyFESummAta6sg/edit"", ""Sheet1!B:D""), 3, FALSE), ""Not Found"")"),"ʃ ɪ f t s ")</f>
        <v>ʃ ɪ f t s </v>
      </c>
    </row>
    <row r="7985">
      <c r="A7985" s="1" t="s">
        <v>7986</v>
      </c>
      <c r="B7985" s="1" t="s">
        <v>6138</v>
      </c>
      <c r="C7985" s="2">
        <f>IFERROR(__xludf.DUMMYFUNCTION("IFERROR(VLOOKUP(A7985, IMPORTRANGE(""https://docs.google.com/spreadsheets/d/1AVX9GT0dgogEBStecCXMMQ29tWz3gBrtNB8yIromXbY/edit?gid=741673867"", ""out1g!A:B""), 2, FALSE), 0)"),11.0)</f>
        <v>11</v>
      </c>
      <c r="D7985" s="2" t="str">
        <f>IFERROR(__xludf.DUMMYFUNCTION("IFERROR(VLOOKUP(A7985, IMPORTRANGE(""https://docs.google.com/spreadsheets/d/1-3Vjw2Cyy-mry5gbC8ypIR3YVGFfEpyFESummAta6sg/edit"", ""Sheet1!B:D""), 2, FALSE), ""Not Found"")"),"kərinə")</f>
        <v>kərinə</v>
      </c>
      <c r="E7985" s="2" t="str">
        <f>IFERROR(__xludf.DUMMYFUNCTION("IFERROR(VLOOKUP(A7985, IMPORTRANGE(""https://docs.google.com/spreadsheets/d/1-3Vjw2Cyy-mry5gbC8ypIR3YVGFfEpyFESummAta6sg/edit"", ""Sheet1!B:D""), 3, FALSE), ""Not Found"")"),"k ə r i n ə ")</f>
        <v>k ə r i n ə </v>
      </c>
    </row>
    <row r="7986">
      <c r="A7986" s="1" t="s">
        <v>7987</v>
      </c>
      <c r="B7986" s="1" t="s">
        <v>6138</v>
      </c>
      <c r="C7986" s="2">
        <f>IFERROR(__xludf.DUMMYFUNCTION("IFERROR(VLOOKUP(A7986, IMPORTRANGE(""https://docs.google.com/spreadsheets/d/1AVX9GT0dgogEBStecCXMMQ29tWz3gBrtNB8yIromXbY/edit?gid=741673867"", ""out1g!A:B""), 2, FALSE), 0)"),414.0)</f>
        <v>414</v>
      </c>
      <c r="D7986" s="2" t="str">
        <f>IFERROR(__xludf.DUMMYFUNCTION("IFERROR(VLOOKUP(A7986, IMPORTRANGE(""https://docs.google.com/spreadsheets/d/1-3Vjw2Cyy-mry5gbC8ypIR3YVGFfEpyFESummAta6sg/edit"", ""Sheet1!B:D""), 2, FALSE), ""Not Found"")"),"istərn")</f>
        <v>istərn</v>
      </c>
      <c r="E7986" s="2" t="str">
        <f>IFERROR(__xludf.DUMMYFUNCTION("IFERROR(VLOOKUP(A7986, IMPORTRANGE(""https://docs.google.com/spreadsheets/d/1-3Vjw2Cyy-mry5gbC8ypIR3YVGFfEpyFESummAta6sg/edit"", ""Sheet1!B:D""), 3, FALSE), ""Not Found"")"),"i s t ə r n ")</f>
        <v>i s t ə r n </v>
      </c>
    </row>
    <row r="7987">
      <c r="A7987" s="1" t="s">
        <v>7988</v>
      </c>
      <c r="B7987" s="1" t="s">
        <v>6138</v>
      </c>
      <c r="C7987" s="2">
        <f>IFERROR(__xludf.DUMMYFUNCTION("IFERROR(VLOOKUP(A7987, IMPORTRANGE(""https://docs.google.com/spreadsheets/d/1AVX9GT0dgogEBStecCXMMQ29tWz3gBrtNB8yIromXbY/edit?gid=741673867"", ""out1g!A:B""), 2, FALSE), 0)"),195.0)</f>
        <v>195</v>
      </c>
      <c r="D7987" s="2" t="str">
        <f>IFERROR(__xludf.DUMMYFUNCTION("IFERROR(VLOOKUP(A7987, IMPORTRANGE(""https://docs.google.com/spreadsheets/d/1-3Vjw2Cyy-mry5gbC8ypIR3YVGFfEpyFESummAta6sg/edit"", ""Sheet1!B:D""), 2, FALSE), ""Not Found"")"),"fjʊri")</f>
        <v>fjʊri</v>
      </c>
      <c r="E7987" s="2" t="str">
        <f>IFERROR(__xludf.DUMMYFUNCTION("IFERROR(VLOOKUP(A7987, IMPORTRANGE(""https://docs.google.com/spreadsheets/d/1-3Vjw2Cyy-mry5gbC8ypIR3YVGFfEpyFESummAta6sg/edit"", ""Sheet1!B:D""), 3, FALSE), ""Not Found"")"),"f j ʊ r i ")</f>
        <v>f j ʊ r i </v>
      </c>
    </row>
    <row r="7988">
      <c r="A7988" s="1" t="s">
        <v>7989</v>
      </c>
      <c r="B7988" s="1" t="s">
        <v>6138</v>
      </c>
      <c r="C7988" s="2">
        <f>IFERROR(__xludf.DUMMYFUNCTION("IFERROR(VLOOKUP(A7988, IMPORTRANGE(""https://docs.google.com/spreadsheets/d/1AVX9GT0dgogEBStecCXMMQ29tWz3gBrtNB8yIromXbY/edit?gid=741673867"", ""out1g!A:B""), 2, FALSE), 0)"),65.0)</f>
        <v>65</v>
      </c>
      <c r="D7988" s="2" t="str">
        <f>IFERROR(__xludf.DUMMYFUNCTION("IFERROR(VLOOKUP(A7988, IMPORTRANGE(""https://docs.google.com/spreadsheets/d/1-3Vjw2Cyy-mry5gbC8ypIR3YVGFfEpyFESummAta6sg/edit"", ""Sheet1!B:D""), 2, FALSE), ""Not Found"")"),"hæŋks")</f>
        <v>hæŋks</v>
      </c>
      <c r="E7988" s="2" t="str">
        <f>IFERROR(__xludf.DUMMYFUNCTION("IFERROR(VLOOKUP(A7988, IMPORTRANGE(""https://docs.google.com/spreadsheets/d/1-3Vjw2Cyy-mry5gbC8ypIR3YVGFfEpyFESummAta6sg/edit"", ""Sheet1!B:D""), 3, FALSE), ""Not Found"")"),"h æ ŋ k s ")</f>
        <v>h æ ŋ k s </v>
      </c>
    </row>
    <row r="7989">
      <c r="A7989" s="1" t="s">
        <v>7990</v>
      </c>
      <c r="B7989" s="1" t="s">
        <v>6138</v>
      </c>
      <c r="C7989" s="2">
        <f>IFERROR(__xludf.DUMMYFUNCTION("IFERROR(VLOOKUP(A7989, IMPORTRANGE(""https://docs.google.com/spreadsheets/d/1AVX9GT0dgogEBStecCXMMQ29tWz3gBrtNB8yIromXbY/edit?gid=741673867"", ""out1g!A:B""), 2, FALSE), 0)"),386.0)</f>
        <v>386</v>
      </c>
      <c r="D7989" s="2" t="str">
        <f>IFERROR(__xludf.DUMMYFUNCTION("IFERROR(VLOOKUP(A7989, IMPORTRANGE(""https://docs.google.com/spreadsheets/d/1-3Vjw2Cyy-mry5gbC8ypIR3YVGFfEpyFESummAta6sg/edit"", ""Sheet1!B:D""), 2, FALSE), ""Not Found"")"),"waɪərd")</f>
        <v>waɪərd</v>
      </c>
      <c r="E7989" s="2" t="str">
        <f>IFERROR(__xludf.DUMMYFUNCTION("IFERROR(VLOOKUP(A7989, IMPORTRANGE(""https://docs.google.com/spreadsheets/d/1-3Vjw2Cyy-mry5gbC8ypIR3YVGFfEpyFESummAta6sg/edit"", ""Sheet1!B:D""), 3, FALSE), ""Not Found"")"),"w a ɪ ə r d ")</f>
        <v>w a ɪ ə r d </v>
      </c>
    </row>
    <row r="7990">
      <c r="A7990" s="1" t="s">
        <v>7991</v>
      </c>
      <c r="B7990" s="1" t="s">
        <v>6138</v>
      </c>
      <c r="C7990" s="2">
        <f>IFERROR(__xludf.DUMMYFUNCTION("IFERROR(VLOOKUP(A7990, IMPORTRANGE(""https://docs.google.com/spreadsheets/d/1AVX9GT0dgogEBStecCXMMQ29tWz3gBrtNB8yIromXbY/edit?gid=741673867"", ""out1g!A:B""), 2, FALSE), 0)"),81.0)</f>
        <v>81</v>
      </c>
      <c r="D7990" s="2" t="str">
        <f>IFERROR(__xludf.DUMMYFUNCTION("IFERROR(VLOOKUP(A7990, IMPORTRANGE(""https://docs.google.com/spreadsheets/d/1-3Vjw2Cyy-mry5gbC8ypIR3YVGFfEpyFESummAta6sg/edit"", ""Sheet1!B:D""), 2, FALSE), ""Not Found"")"),"vel")</f>
        <v>vel</v>
      </c>
      <c r="E7990" s="2" t="str">
        <f>IFERROR(__xludf.DUMMYFUNCTION("IFERROR(VLOOKUP(A7990, IMPORTRANGE(""https://docs.google.com/spreadsheets/d/1-3Vjw2Cyy-mry5gbC8ypIR3YVGFfEpyFESummAta6sg/edit"", ""Sheet1!B:D""), 3, FALSE), ""Not Found"")"),"v e l ")</f>
        <v>v e l </v>
      </c>
    </row>
    <row r="7991">
      <c r="A7991" s="1" t="s">
        <v>7992</v>
      </c>
      <c r="B7991" s="1" t="s">
        <v>6138</v>
      </c>
      <c r="C7991" s="2">
        <f>IFERROR(__xludf.DUMMYFUNCTION("IFERROR(VLOOKUP(A7991, IMPORTRANGE(""https://docs.google.com/spreadsheets/d/1AVX9GT0dgogEBStecCXMMQ29tWz3gBrtNB8yIromXbY/edit?gid=741673867"", ""out1g!A:B""), 2, FALSE), 0)"),434.0)</f>
        <v>434</v>
      </c>
      <c r="D7991" s="2" t="str">
        <f>IFERROR(__xludf.DUMMYFUNCTION("IFERROR(VLOOKUP(A7991, IMPORTRANGE(""https://docs.google.com/spreadsheets/d/1-3Vjw2Cyy-mry5gbC8ypIR3YVGFfEpyFESummAta6sg/edit"", ""Sheet1!B:D""), 2, FALSE), ""Not Found"")"),"bʊʧər")</f>
        <v>bʊʧər</v>
      </c>
      <c r="E7991" s="2" t="str">
        <f>IFERROR(__xludf.DUMMYFUNCTION("IFERROR(VLOOKUP(A7991, IMPORTRANGE(""https://docs.google.com/spreadsheets/d/1-3Vjw2Cyy-mry5gbC8ypIR3YVGFfEpyFESummAta6sg/edit"", ""Sheet1!B:D""), 3, FALSE), ""Not Found"")"),"b ʊ ʧ ə r ")</f>
        <v>b ʊ ʧ ə r </v>
      </c>
    </row>
    <row r="7992">
      <c r="A7992" s="1" t="s">
        <v>7993</v>
      </c>
      <c r="B7992" s="1" t="s">
        <v>6138</v>
      </c>
      <c r="C7992" s="2">
        <f>IFERROR(__xludf.DUMMYFUNCTION("IFERROR(VLOOKUP(A7992, IMPORTRANGE(""https://docs.google.com/spreadsheets/d/1AVX9GT0dgogEBStecCXMMQ29tWz3gBrtNB8yIromXbY/edit?gid=741673867"", ""out1g!A:B""), 2, FALSE), 0)"),634.0)</f>
        <v>634</v>
      </c>
      <c r="D7992" s="2" t="str">
        <f>IFERROR(__xludf.DUMMYFUNCTION("IFERROR(VLOOKUP(A7992, IMPORTRANGE(""https://docs.google.com/spreadsheets/d/1-3Vjw2Cyy-mry5gbC8ypIR3YVGFfEpyFESummAta6sg/edit"", ""Sheet1!B:D""), 2, FALSE), ""Not Found"")"),"brɛsts")</f>
        <v>brɛsts</v>
      </c>
      <c r="E7992" s="2" t="str">
        <f>IFERROR(__xludf.DUMMYFUNCTION("IFERROR(VLOOKUP(A7992, IMPORTRANGE(""https://docs.google.com/spreadsheets/d/1-3Vjw2Cyy-mry5gbC8ypIR3YVGFfEpyFESummAta6sg/edit"", ""Sheet1!B:D""), 3, FALSE), ""Not Found"")"),"b r ɛ s t s ")</f>
        <v>b r ɛ s t s </v>
      </c>
    </row>
    <row r="7993">
      <c r="A7993" s="1" t="s">
        <v>7994</v>
      </c>
      <c r="B7993" s="1" t="s">
        <v>6138</v>
      </c>
      <c r="C7993" s="2">
        <f>IFERROR(__xludf.DUMMYFUNCTION("IFERROR(VLOOKUP(A7993, IMPORTRANGE(""https://docs.google.com/spreadsheets/d/1AVX9GT0dgogEBStecCXMMQ29tWz3gBrtNB8yIromXbY/edit?gid=741673867"", ""out1g!A:B""), 2, FALSE), 0)"),61.0)</f>
        <v>61</v>
      </c>
      <c r="D7993" s="2" t="str">
        <f>IFERROR(__xludf.DUMMYFUNCTION("IFERROR(VLOOKUP(A7993, IMPORTRANGE(""https://docs.google.com/spreadsheets/d/1-3Vjw2Cyy-mry5gbC8ypIR3YVGFfEpyFESummAta6sg/edit"", ""Sheet1!B:D""), 2, FALSE), ""Not Found"")"),"stəmpt")</f>
        <v>stəmpt</v>
      </c>
      <c r="E7993" s="2" t="str">
        <f>IFERROR(__xludf.DUMMYFUNCTION("IFERROR(VLOOKUP(A7993, IMPORTRANGE(""https://docs.google.com/spreadsheets/d/1-3Vjw2Cyy-mry5gbC8ypIR3YVGFfEpyFESummAta6sg/edit"", ""Sheet1!B:D""), 3, FALSE), ""Not Found"")"),"s t ə m p t ")</f>
        <v>s t ə m p t </v>
      </c>
    </row>
    <row r="7994">
      <c r="A7994" s="1" t="s">
        <v>7995</v>
      </c>
      <c r="B7994" s="1" t="s">
        <v>6138</v>
      </c>
      <c r="C7994" s="2">
        <f>IFERROR(__xludf.DUMMYFUNCTION("IFERROR(VLOOKUP(A7994, IMPORTRANGE(""https://docs.google.com/spreadsheets/d/1AVX9GT0dgogEBStecCXMMQ29tWz3gBrtNB8yIromXbY/edit?gid=741673867"", ""out1g!A:B""), 2, FALSE), 0)"),132.0)</f>
        <v>132</v>
      </c>
      <c r="D7994" s="2" t="str">
        <f>IFERROR(__xludf.DUMMYFUNCTION("IFERROR(VLOOKUP(A7994, IMPORTRANGE(""https://docs.google.com/spreadsheets/d/1-3Vjw2Cyy-mry5gbC8ypIR3YVGFfEpyFESummAta6sg/edit"", ""Sheet1!B:D""), 2, FALSE), ""Not Found"")"),"dəŋk")</f>
        <v>dəŋk</v>
      </c>
      <c r="E7994" s="2" t="str">
        <f>IFERROR(__xludf.DUMMYFUNCTION("IFERROR(VLOOKUP(A7994, IMPORTRANGE(""https://docs.google.com/spreadsheets/d/1-3Vjw2Cyy-mry5gbC8ypIR3YVGFfEpyFESummAta6sg/edit"", ""Sheet1!B:D""), 3, FALSE), ""Not Found"")"),"d ə ŋ k ")</f>
        <v>d ə ŋ k </v>
      </c>
    </row>
    <row r="7995">
      <c r="A7995" s="1" t="s">
        <v>7996</v>
      </c>
      <c r="B7995" s="1" t="s">
        <v>6138</v>
      </c>
      <c r="C7995" s="2">
        <f>IFERROR(__xludf.DUMMYFUNCTION("IFERROR(VLOOKUP(A7995, IMPORTRANGE(""https://docs.google.com/spreadsheets/d/1AVX9GT0dgogEBStecCXMMQ29tWz3gBrtNB8yIromXbY/edit?gid=741673867"", ""out1g!A:B""), 2, FALSE), 0)"),1965.0)</f>
        <v>1965</v>
      </c>
      <c r="D7995" s="2" t="str">
        <f>IFERROR(__xludf.DUMMYFUNCTION("IFERROR(VLOOKUP(A7995, IMPORTRANGE(""https://docs.google.com/spreadsheets/d/1-3Vjw2Cyy-mry5gbC8ypIR3YVGFfEpyFESummAta6sg/edit"", ""Sheet1!B:D""), 2, FALSE), ""Not Found"")"),"vju")</f>
        <v>vju</v>
      </c>
      <c r="E7995" s="2" t="str">
        <f>IFERROR(__xludf.DUMMYFUNCTION("IFERROR(VLOOKUP(A7995, IMPORTRANGE(""https://docs.google.com/spreadsheets/d/1-3Vjw2Cyy-mry5gbC8ypIR3YVGFfEpyFESummAta6sg/edit"", ""Sheet1!B:D""), 3, FALSE), ""Not Found"")"),"v j u ")</f>
        <v>v j u </v>
      </c>
    </row>
    <row r="7996">
      <c r="A7996" s="1" t="s">
        <v>7997</v>
      </c>
      <c r="B7996" s="1" t="s">
        <v>6138</v>
      </c>
      <c r="C7996" s="2">
        <f>IFERROR(__xludf.DUMMYFUNCTION("IFERROR(VLOOKUP(A7996, IMPORTRANGE(""https://docs.google.com/spreadsheets/d/1AVX9GT0dgogEBStecCXMMQ29tWz3gBrtNB8yIromXbY/edit?gid=741673867"", ""out1g!A:B""), 2, FALSE), 0)"),344.0)</f>
        <v>344</v>
      </c>
      <c r="D7996" s="2" t="str">
        <f>IFERROR(__xludf.DUMMYFUNCTION("IFERROR(VLOOKUP(A7996, IMPORTRANGE(""https://docs.google.com/spreadsheets/d/1-3Vjw2Cyy-mry5gbC8ypIR3YVGFfEpyFESummAta6sg/edit"", ""Sheet1!B:D""), 2, FALSE), ""Not Found"")"),"hɔrɪs")</f>
        <v>hɔrɪs</v>
      </c>
      <c r="E7996" s="2" t="str">
        <f>IFERROR(__xludf.DUMMYFUNCTION("IFERROR(VLOOKUP(A7996, IMPORTRANGE(""https://docs.google.com/spreadsheets/d/1-3Vjw2Cyy-mry5gbC8ypIR3YVGFfEpyFESummAta6sg/edit"", ""Sheet1!B:D""), 3, FALSE), ""Not Found"")"),"h ɔ r ɪ s ")</f>
        <v>h ɔ r ɪ s </v>
      </c>
    </row>
    <row r="7997">
      <c r="A7997" s="1" t="s">
        <v>7998</v>
      </c>
      <c r="B7997" s="1" t="s">
        <v>6138</v>
      </c>
      <c r="C7997" s="2">
        <f>IFERROR(__xludf.DUMMYFUNCTION("IFERROR(VLOOKUP(A7997, IMPORTRANGE(""https://docs.google.com/spreadsheets/d/1AVX9GT0dgogEBStecCXMMQ29tWz3gBrtNB8yIromXbY/edit?gid=741673867"", ""out1g!A:B""), 2, FALSE), 0)"),2571.0)</f>
        <v>2571</v>
      </c>
      <c r="D7997" s="2" t="str">
        <f>IFERROR(__xludf.DUMMYFUNCTION("IFERROR(VLOOKUP(A7997, IMPORTRANGE(""https://docs.google.com/spreadsheets/d/1-3Vjw2Cyy-mry5gbC8ypIR3YVGFfEpyFESummAta6sg/edit"", ""Sheet1!B:D""), 2, FALSE), ""Not Found"")"),"dɪsaɪd")</f>
        <v>dɪsaɪd</v>
      </c>
      <c r="E7997" s="2" t="str">
        <f>IFERROR(__xludf.DUMMYFUNCTION("IFERROR(VLOOKUP(A7997, IMPORTRANGE(""https://docs.google.com/spreadsheets/d/1-3Vjw2Cyy-mry5gbC8ypIR3YVGFfEpyFESummAta6sg/edit"", ""Sheet1!B:D""), 3, FALSE), ""Not Found"")"),"d ɪ s a ɪ d ")</f>
        <v>d ɪ s a ɪ d </v>
      </c>
    </row>
    <row r="7998">
      <c r="A7998" s="1" t="s">
        <v>7999</v>
      </c>
      <c r="B7998" s="1" t="s">
        <v>6138</v>
      </c>
      <c r="C7998" s="2">
        <f>IFERROR(__xludf.DUMMYFUNCTION("IFERROR(VLOOKUP(A7998, IMPORTRANGE(""https://docs.google.com/spreadsheets/d/1AVX9GT0dgogEBStecCXMMQ29tWz3gBrtNB8yIromXbY/edit?gid=741673867"", ""out1g!A:B""), 2, FALSE), 0)"),95.0)</f>
        <v>95</v>
      </c>
      <c r="D7998" s="2" t="str">
        <f>IFERROR(__xludf.DUMMYFUNCTION("IFERROR(VLOOKUP(A7998, IMPORTRANGE(""https://docs.google.com/spreadsheets/d/1-3Vjw2Cyy-mry5gbC8ypIR3YVGFfEpyFESummAta6sg/edit"", ""Sheet1!B:D""), 2, FALSE), ""Not Found"")"),"wɪdoʊz")</f>
        <v>wɪdoʊz</v>
      </c>
      <c r="E7998" s="2" t="str">
        <f>IFERROR(__xludf.DUMMYFUNCTION("IFERROR(VLOOKUP(A7998, IMPORTRANGE(""https://docs.google.com/spreadsheets/d/1-3Vjw2Cyy-mry5gbC8ypIR3YVGFfEpyFESummAta6sg/edit"", ""Sheet1!B:D""), 3, FALSE), ""Not Found"")"),"w ɪ d o ʊ z ")</f>
        <v>w ɪ d o ʊ z </v>
      </c>
    </row>
    <row r="7999">
      <c r="A7999" s="1" t="s">
        <v>8000</v>
      </c>
      <c r="B7999" s="1" t="s">
        <v>6138</v>
      </c>
      <c r="C7999" s="2">
        <f>IFERROR(__xludf.DUMMYFUNCTION("IFERROR(VLOOKUP(A7999, IMPORTRANGE(""https://docs.google.com/spreadsheets/d/1AVX9GT0dgogEBStecCXMMQ29tWz3gBrtNB8yIromXbY/edit?gid=741673867"", ""out1g!A:B""), 2, FALSE), 0)"),310.0)</f>
        <v>310</v>
      </c>
      <c r="D7999" s="2" t="str">
        <f>IFERROR(__xludf.DUMMYFUNCTION("IFERROR(VLOOKUP(A7999, IMPORTRANGE(""https://docs.google.com/spreadsheets/d/1-3Vjw2Cyy-mry5gbC8ypIR3YVGFfEpyFESummAta6sg/edit"", ""Sheet1!B:D""), 2, FALSE), ""Not Found"")"),"paʊndɪŋ")</f>
        <v>paʊndɪŋ</v>
      </c>
      <c r="E7999" s="2" t="str">
        <f>IFERROR(__xludf.DUMMYFUNCTION("IFERROR(VLOOKUP(A7999, IMPORTRANGE(""https://docs.google.com/spreadsheets/d/1-3Vjw2Cyy-mry5gbC8ypIR3YVGFfEpyFESummAta6sg/edit"", ""Sheet1!B:D""), 3, FALSE), ""Not Found"")"),"p a ʊ n d ɪ ŋ ")</f>
        <v>p a ʊ n d ɪ ŋ </v>
      </c>
    </row>
    <row r="8000">
      <c r="A8000" s="1" t="s">
        <v>8001</v>
      </c>
      <c r="B8000" s="1" t="s">
        <v>6138</v>
      </c>
      <c r="C8000" s="2">
        <f>IFERROR(__xludf.DUMMYFUNCTION("IFERROR(VLOOKUP(A8000, IMPORTRANGE(""https://docs.google.com/spreadsheets/d/1AVX9GT0dgogEBStecCXMMQ29tWz3gBrtNB8yIromXbY/edit?gid=741673867"", ""out1g!A:B""), 2, FALSE), 0)"),60.0)</f>
        <v>60</v>
      </c>
      <c r="D8000" s="2" t="str">
        <f>IFERROR(__xludf.DUMMYFUNCTION("IFERROR(VLOOKUP(A8000, IMPORTRANGE(""https://docs.google.com/spreadsheets/d/1-3Vjw2Cyy-mry5gbC8ypIR3YVGFfEpyFESummAta6sg/edit"", ""Sheet1!B:D""), 2, FALSE), ""Not Found"")"),"gətərz")</f>
        <v>gətərz</v>
      </c>
      <c r="E8000" s="2" t="str">
        <f>IFERROR(__xludf.DUMMYFUNCTION("IFERROR(VLOOKUP(A8000, IMPORTRANGE(""https://docs.google.com/spreadsheets/d/1-3Vjw2Cyy-mry5gbC8ypIR3YVGFfEpyFESummAta6sg/edit"", ""Sheet1!B:D""), 3, FALSE), ""Not Found"")"),"g ə t ə r z ")</f>
        <v>g ə t ə r z </v>
      </c>
    </row>
    <row r="8001">
      <c r="A8001" s="1" t="s">
        <v>8002</v>
      </c>
      <c r="B8001" s="1" t="s">
        <v>6138</v>
      </c>
      <c r="C8001" s="2">
        <f>IFERROR(__xludf.DUMMYFUNCTION("IFERROR(VLOOKUP(A8001, IMPORTRANGE(""https://docs.google.com/spreadsheets/d/1AVX9GT0dgogEBStecCXMMQ29tWz3gBrtNB8yIromXbY/edit?gid=741673867"", ""out1g!A:B""), 2, FALSE), 0)"),223.0)</f>
        <v>223</v>
      </c>
      <c r="D8001" s="2" t="str">
        <f>IFERROR(__xludf.DUMMYFUNCTION("IFERROR(VLOOKUP(A8001, IMPORTRANGE(""https://docs.google.com/spreadsheets/d/1-3Vjw2Cyy-mry5gbC8ypIR3YVGFfEpyFESummAta6sg/edit"", ""Sheet1!B:D""), 2, FALSE), ""Not Found"")"),"demz")</f>
        <v>demz</v>
      </c>
      <c r="E8001" s="2" t="str">
        <f>IFERROR(__xludf.DUMMYFUNCTION("IFERROR(VLOOKUP(A8001, IMPORTRANGE(""https://docs.google.com/spreadsheets/d/1-3Vjw2Cyy-mry5gbC8ypIR3YVGFfEpyFESummAta6sg/edit"", ""Sheet1!B:D""), 3, FALSE), ""Not Found"")"),"d e m z ")</f>
        <v>d e m z </v>
      </c>
    </row>
    <row r="8002">
      <c r="A8002" s="1" t="s">
        <v>8003</v>
      </c>
      <c r="B8002" s="1" t="s">
        <v>6138</v>
      </c>
      <c r="C8002" s="2">
        <f>IFERROR(__xludf.DUMMYFUNCTION("IFERROR(VLOOKUP(A8002, IMPORTRANGE(""https://docs.google.com/spreadsheets/d/1AVX9GT0dgogEBStecCXMMQ29tWz3gBrtNB8yIromXbY/edit?gid=741673867"", ""out1g!A:B""), 2, FALSE), 0)"),5235.0)</f>
        <v>5235</v>
      </c>
      <c r="D8002" s="2" t="str">
        <f>IFERROR(__xludf.DUMMYFUNCTION("IFERROR(VLOOKUP(A8002, IMPORTRANGE(""https://docs.google.com/spreadsheets/d/1-3Vjw2Cyy-mry5gbC8ypIR3YVGFfEpyFESummAta6sg/edit"", ""Sheet1!B:D""), 2, FALSE), ""Not Found"")"),"θɪŋks")</f>
        <v>θɪŋks</v>
      </c>
      <c r="E8002" s="2" t="str">
        <f>IFERROR(__xludf.DUMMYFUNCTION("IFERROR(VLOOKUP(A8002, IMPORTRANGE(""https://docs.google.com/spreadsheets/d/1-3Vjw2Cyy-mry5gbC8ypIR3YVGFfEpyFESummAta6sg/edit"", ""Sheet1!B:D""), 3, FALSE), ""Not Found"")"),"θ ɪ ŋ k s ")</f>
        <v>θ ɪ ŋ k s </v>
      </c>
    </row>
    <row r="8003">
      <c r="A8003" s="1" t="s">
        <v>8004</v>
      </c>
      <c r="B8003" s="1" t="s">
        <v>6138</v>
      </c>
      <c r="C8003" s="2">
        <f>IFERROR(__xludf.DUMMYFUNCTION("IFERROR(VLOOKUP(A8003, IMPORTRANGE(""https://docs.google.com/spreadsheets/d/1AVX9GT0dgogEBStecCXMMQ29tWz3gBrtNB8yIromXbY/edit?gid=741673867"", ""out1g!A:B""), 2, FALSE), 0)"),959.0)</f>
        <v>959</v>
      </c>
      <c r="D8003" s="2" t="str">
        <f>IFERROR(__xludf.DUMMYFUNCTION("IFERROR(VLOOKUP(A8003, IMPORTRANGE(""https://docs.google.com/spreadsheets/d/1-3Vjw2Cyy-mry5gbC8ypIR3YVGFfEpyFESummAta6sg/edit"", ""Sheet1!B:D""), 2, FALSE), ""Not Found"")"),"dɪfɛnd")</f>
        <v>dɪfɛnd</v>
      </c>
      <c r="E8003" s="2" t="str">
        <f>IFERROR(__xludf.DUMMYFUNCTION("IFERROR(VLOOKUP(A8003, IMPORTRANGE(""https://docs.google.com/spreadsheets/d/1-3Vjw2Cyy-mry5gbC8ypIR3YVGFfEpyFESummAta6sg/edit"", ""Sheet1!B:D""), 3, FALSE), ""Not Found"")"),"d ɪ f ɛ n d ")</f>
        <v>d ɪ f ɛ n d </v>
      </c>
    </row>
    <row r="8004">
      <c r="A8004" s="1" t="s">
        <v>8005</v>
      </c>
      <c r="B8004" s="1" t="s">
        <v>6138</v>
      </c>
      <c r="C8004" s="2">
        <f>IFERROR(__xludf.DUMMYFUNCTION("IFERROR(VLOOKUP(A8004, IMPORTRANGE(""https://docs.google.com/spreadsheets/d/1AVX9GT0dgogEBStecCXMMQ29tWz3gBrtNB8yIromXbY/edit?gid=741673867"", ""out1g!A:B""), 2, FALSE), 0)"),96.0)</f>
        <v>96</v>
      </c>
      <c r="D8004" s="2" t="str">
        <f>IFERROR(__xludf.DUMMYFUNCTION("IFERROR(VLOOKUP(A8004, IMPORTRANGE(""https://docs.google.com/spreadsheets/d/1-3Vjw2Cyy-mry5gbC8ypIR3YVGFfEpyFESummAta6sg/edit"", ""Sheet1!B:D""), 2, FALSE), ""Not Found"")"),"lɛndɪŋ")</f>
        <v>lɛndɪŋ</v>
      </c>
      <c r="E8004" s="2" t="str">
        <f>IFERROR(__xludf.DUMMYFUNCTION("IFERROR(VLOOKUP(A8004, IMPORTRANGE(""https://docs.google.com/spreadsheets/d/1-3Vjw2Cyy-mry5gbC8ypIR3YVGFfEpyFESummAta6sg/edit"", ""Sheet1!B:D""), 3, FALSE), ""Not Found"")"),"l ɛ n d ɪ ŋ ")</f>
        <v>l ɛ n d ɪ ŋ </v>
      </c>
    </row>
    <row r="8005">
      <c r="A8005" s="1" t="s">
        <v>8006</v>
      </c>
      <c r="B8005" s="1" t="s">
        <v>6138</v>
      </c>
      <c r="C8005" s="2">
        <f>IFERROR(__xludf.DUMMYFUNCTION("IFERROR(VLOOKUP(A8005, IMPORTRANGE(""https://docs.google.com/spreadsheets/d/1AVX9GT0dgogEBStecCXMMQ29tWz3gBrtNB8yIromXbY/edit?gid=741673867"", ""out1g!A:B""), 2, FALSE), 0)"),79.0)</f>
        <v>79</v>
      </c>
      <c r="D8005" s="2" t="str">
        <f>IFERROR(__xludf.DUMMYFUNCTION("IFERROR(VLOOKUP(A8005, IMPORTRANGE(""https://docs.google.com/spreadsheets/d/1-3Vjw2Cyy-mry5gbC8ypIR3YVGFfEpyFESummAta6sg/edit"", ""Sheet1!B:D""), 2, FALSE), ""Not Found"")"),"splɪts")</f>
        <v>splɪts</v>
      </c>
      <c r="E8005" s="2" t="str">
        <f>IFERROR(__xludf.DUMMYFUNCTION("IFERROR(VLOOKUP(A8005, IMPORTRANGE(""https://docs.google.com/spreadsheets/d/1-3Vjw2Cyy-mry5gbC8ypIR3YVGFfEpyFESummAta6sg/edit"", ""Sheet1!B:D""), 3, FALSE), ""Not Found"")"),"s p l ɪ t s ")</f>
        <v>s p l ɪ t s </v>
      </c>
    </row>
    <row r="8006">
      <c r="A8006" s="1" t="s">
        <v>8007</v>
      </c>
      <c r="B8006" s="1" t="s">
        <v>6138</v>
      </c>
      <c r="C8006" s="2">
        <f>IFERROR(__xludf.DUMMYFUNCTION("IFERROR(VLOOKUP(A8006, IMPORTRANGE(""https://docs.google.com/spreadsheets/d/1AVX9GT0dgogEBStecCXMMQ29tWz3gBrtNB8yIromXbY/edit?gid=741673867"", ""out1g!A:B""), 2, FALSE), 0)"),60.0)</f>
        <v>60</v>
      </c>
      <c r="D8006" s="2" t="str">
        <f>IFERROR(__xludf.DUMMYFUNCTION("IFERROR(VLOOKUP(A8006, IMPORTRANGE(""https://docs.google.com/spreadsheets/d/1-3Vjw2Cyy-mry5gbC8ypIR3YVGFfEpyFESummAta6sg/edit"", ""Sheet1!B:D""), 2, FALSE), ""Not Found"")"),"məmps")</f>
        <v>məmps</v>
      </c>
      <c r="E8006" s="2" t="str">
        <f>IFERROR(__xludf.DUMMYFUNCTION("IFERROR(VLOOKUP(A8006, IMPORTRANGE(""https://docs.google.com/spreadsheets/d/1-3Vjw2Cyy-mry5gbC8ypIR3YVGFfEpyFESummAta6sg/edit"", ""Sheet1!B:D""), 3, FALSE), ""Not Found"")"),"m ə m p s ")</f>
        <v>m ə m p s </v>
      </c>
    </row>
    <row r="8007">
      <c r="A8007" s="1" t="s">
        <v>8008</v>
      </c>
      <c r="B8007" s="1" t="s">
        <v>6138</v>
      </c>
      <c r="C8007" s="2">
        <f>IFERROR(__xludf.DUMMYFUNCTION("IFERROR(VLOOKUP(A8007, IMPORTRANGE(""https://docs.google.com/spreadsheets/d/1AVX9GT0dgogEBStecCXMMQ29tWz3gBrtNB8yIromXbY/edit?gid=741673867"", ""out1g!A:B""), 2, FALSE), 0)"),579.0)</f>
        <v>579</v>
      </c>
      <c r="D8007" s="2" t="str">
        <f>IFERROR(__xludf.DUMMYFUNCTION("IFERROR(VLOOKUP(A8007, IMPORTRANGE(""https://docs.google.com/spreadsheets/d/1-3Vjw2Cyy-mry5gbC8ypIR3YVGFfEpyFESummAta6sg/edit"", ""Sheet1!B:D""), 2, FALSE), ""Not Found"")"),"trelər")</f>
        <v>trelər</v>
      </c>
      <c r="E8007" s="2" t="str">
        <f>IFERROR(__xludf.DUMMYFUNCTION("IFERROR(VLOOKUP(A8007, IMPORTRANGE(""https://docs.google.com/spreadsheets/d/1-3Vjw2Cyy-mry5gbC8ypIR3YVGFfEpyFESummAta6sg/edit"", ""Sheet1!B:D""), 3, FALSE), ""Not Found"")"),"t r e l ə r ")</f>
        <v>t r e l ə r </v>
      </c>
    </row>
    <row r="8008">
      <c r="A8008" s="1" t="s">
        <v>8009</v>
      </c>
      <c r="B8008" s="1" t="s">
        <v>6138</v>
      </c>
      <c r="C8008" s="2">
        <f>IFERROR(__xludf.DUMMYFUNCTION("IFERROR(VLOOKUP(A8008, IMPORTRANGE(""https://docs.google.com/spreadsheets/d/1AVX9GT0dgogEBStecCXMMQ29tWz3gBrtNB8yIromXbY/edit?gid=741673867"", ""out1g!A:B""), 2, FALSE), 0)"),315.0)</f>
        <v>315</v>
      </c>
      <c r="D8008" s="2" t="str">
        <f>IFERROR(__xludf.DUMMYFUNCTION("IFERROR(VLOOKUP(A8008, IMPORTRANGE(""https://docs.google.com/spreadsheets/d/1-3Vjw2Cyy-mry5gbC8ypIR3YVGFfEpyFESummAta6sg/edit"", ""Sheet1!B:D""), 2, FALSE), ""Not Found"")"),"dɛntəl")</f>
        <v>dɛntəl</v>
      </c>
      <c r="E8008" s="2" t="str">
        <f>IFERROR(__xludf.DUMMYFUNCTION("IFERROR(VLOOKUP(A8008, IMPORTRANGE(""https://docs.google.com/spreadsheets/d/1-3Vjw2Cyy-mry5gbC8ypIR3YVGFfEpyFESummAta6sg/edit"", ""Sheet1!B:D""), 3, FALSE), ""Not Found"")"),"d ɛ n t ə l ")</f>
        <v>d ɛ n t ə l </v>
      </c>
    </row>
    <row r="8009">
      <c r="A8009" s="1" t="s">
        <v>8010</v>
      </c>
      <c r="B8009" s="1" t="s">
        <v>6138</v>
      </c>
      <c r="C8009" s="2">
        <f>IFERROR(__xludf.DUMMYFUNCTION("IFERROR(VLOOKUP(A8009, IMPORTRANGE(""https://docs.google.com/spreadsheets/d/1AVX9GT0dgogEBStecCXMMQ29tWz3gBrtNB8yIromXbY/edit?gid=741673867"", ""out1g!A:B""), 2, FALSE), 0)"),1350.0)</f>
        <v>1350</v>
      </c>
      <c r="D8009" s="2" t="str">
        <f>IFERROR(__xludf.DUMMYFUNCTION("IFERROR(VLOOKUP(A8009, IMPORTRANGE(""https://docs.google.com/spreadsheets/d/1-3Vjw2Cyy-mry5gbC8ypIR3YVGFfEpyFESummAta6sg/edit"", ""Sheet1!B:D""), 2, FALSE), ""Not Found"")"),"lɪndə")</f>
        <v>lɪndə</v>
      </c>
      <c r="E8009" s="2" t="str">
        <f>IFERROR(__xludf.DUMMYFUNCTION("IFERROR(VLOOKUP(A8009, IMPORTRANGE(""https://docs.google.com/spreadsheets/d/1-3Vjw2Cyy-mry5gbC8ypIR3YVGFfEpyFESummAta6sg/edit"", ""Sheet1!B:D""), 3, FALSE), ""Not Found"")"),"l ɪ n d ə ")</f>
        <v>l ɪ n d ə </v>
      </c>
    </row>
    <row r="8010">
      <c r="A8010" s="1" t="s">
        <v>8011</v>
      </c>
      <c r="B8010" s="1" t="s">
        <v>6138</v>
      </c>
      <c r="C8010" s="2">
        <f>IFERROR(__xludf.DUMMYFUNCTION("IFERROR(VLOOKUP(A8010, IMPORTRANGE(""https://docs.google.com/spreadsheets/d/1AVX9GT0dgogEBStecCXMMQ29tWz3gBrtNB8yIromXbY/edit?gid=741673867"", ""out1g!A:B""), 2, FALSE), 0)"),189.0)</f>
        <v>189</v>
      </c>
      <c r="D8010" s="2" t="str">
        <f>IFERROR(__xludf.DUMMYFUNCTION("IFERROR(VLOOKUP(A8010, IMPORTRANGE(""https://docs.google.com/spreadsheets/d/1-3Vjw2Cyy-mry5gbC8ypIR3YVGFfEpyFESummAta6sg/edit"", ""Sheet1!B:D""), 2, FALSE), ""Not Found"")"),"hoʊstəs")</f>
        <v>hoʊstəs</v>
      </c>
      <c r="E8010" s="2" t="str">
        <f>IFERROR(__xludf.DUMMYFUNCTION("IFERROR(VLOOKUP(A8010, IMPORTRANGE(""https://docs.google.com/spreadsheets/d/1-3Vjw2Cyy-mry5gbC8ypIR3YVGFfEpyFESummAta6sg/edit"", ""Sheet1!B:D""), 3, FALSE), ""Not Found"")"),"h o ʊ s t ə s ")</f>
        <v>h o ʊ s t ə s </v>
      </c>
    </row>
    <row r="8011">
      <c r="A8011" s="1" t="s">
        <v>8012</v>
      </c>
      <c r="B8011" s="1" t="s">
        <v>6138</v>
      </c>
      <c r="C8011" s="2">
        <f>IFERROR(__xludf.DUMMYFUNCTION("IFERROR(VLOOKUP(A8011, IMPORTRANGE(""https://docs.google.com/spreadsheets/d/1AVX9GT0dgogEBStecCXMMQ29tWz3gBrtNB8yIromXbY/edit?gid=741673867"", ""out1g!A:B""), 2, FALSE), 0)"),111.0)</f>
        <v>111</v>
      </c>
      <c r="D8011" s="2" t="str">
        <f>IFERROR(__xludf.DUMMYFUNCTION("IFERROR(VLOOKUP(A8011, IMPORTRANGE(""https://docs.google.com/spreadsheets/d/1-3Vjw2Cyy-mry5gbC8ypIR3YVGFfEpyFESummAta6sg/edit"", ""Sheet1!B:D""), 2, FALSE), ""Not Found"")"),"baɪndɪŋ")</f>
        <v>baɪndɪŋ</v>
      </c>
      <c r="E8011" s="2" t="str">
        <f>IFERROR(__xludf.DUMMYFUNCTION("IFERROR(VLOOKUP(A8011, IMPORTRANGE(""https://docs.google.com/spreadsheets/d/1-3Vjw2Cyy-mry5gbC8ypIR3YVGFfEpyFESummAta6sg/edit"", ""Sheet1!B:D""), 3, FALSE), ""Not Found"")"),"b a ɪ n d ɪ ŋ ")</f>
        <v>b a ɪ n d ɪ ŋ </v>
      </c>
    </row>
    <row r="8012">
      <c r="A8012" s="1" t="s">
        <v>8013</v>
      </c>
      <c r="B8012" s="1" t="s">
        <v>6138</v>
      </c>
      <c r="C8012" s="2">
        <f>IFERROR(__xludf.DUMMYFUNCTION("IFERROR(VLOOKUP(A8012, IMPORTRANGE(""https://docs.google.com/spreadsheets/d/1AVX9GT0dgogEBStecCXMMQ29tWz3gBrtNB8yIromXbY/edit?gid=741673867"", ""out1g!A:B""), 2, FALSE), 0)"),267.0)</f>
        <v>267</v>
      </c>
      <c r="D8012" s="2" t="str">
        <f>IFERROR(__xludf.DUMMYFUNCTION("IFERROR(VLOOKUP(A8012, IMPORTRANGE(""https://docs.google.com/spreadsheets/d/1-3Vjw2Cyy-mry5gbC8ypIR3YVGFfEpyFESummAta6sg/edit"", ""Sheet1!B:D""), 2, FALSE), ""Not Found"")"),"kju")</f>
        <v>kju</v>
      </c>
      <c r="E8012" s="2" t="str">
        <f>IFERROR(__xludf.DUMMYFUNCTION("IFERROR(VLOOKUP(A8012, IMPORTRANGE(""https://docs.google.com/spreadsheets/d/1-3Vjw2Cyy-mry5gbC8ypIR3YVGFfEpyFESummAta6sg/edit"", ""Sheet1!B:D""), 3, FALSE), ""Not Found"")"),"k j u ")</f>
        <v>k j u </v>
      </c>
    </row>
    <row r="8013">
      <c r="A8013" s="1" t="s">
        <v>8014</v>
      </c>
      <c r="B8013" s="1" t="s">
        <v>6138</v>
      </c>
      <c r="C8013" s="2">
        <f>IFERROR(__xludf.DUMMYFUNCTION("IFERROR(VLOOKUP(A8013, IMPORTRANGE(""https://docs.google.com/spreadsheets/d/1AVX9GT0dgogEBStecCXMMQ29tWz3gBrtNB8yIromXbY/edit?gid=741673867"", ""out1g!A:B""), 2, FALSE), 0)"),205.0)</f>
        <v>205</v>
      </c>
      <c r="D8013" s="2" t="str">
        <f>IFERROR(__xludf.DUMMYFUNCTION("IFERROR(VLOOKUP(A8013, IMPORTRANGE(""https://docs.google.com/spreadsheets/d/1-3Vjw2Cyy-mry5gbC8ypIR3YVGFfEpyFESummAta6sg/edit"", ""Sheet1!B:D""), 2, FALSE), ""Not Found"")"),"pɛzənt")</f>
        <v>pɛzənt</v>
      </c>
      <c r="E8013" s="2" t="str">
        <f>IFERROR(__xludf.DUMMYFUNCTION("IFERROR(VLOOKUP(A8013, IMPORTRANGE(""https://docs.google.com/spreadsheets/d/1-3Vjw2Cyy-mry5gbC8ypIR3YVGFfEpyFESummAta6sg/edit"", ""Sheet1!B:D""), 3, FALSE), ""Not Found"")"),"p ɛ z ə n t ")</f>
        <v>p ɛ z ə n t </v>
      </c>
    </row>
    <row r="8014">
      <c r="A8014" s="1" t="s">
        <v>8015</v>
      </c>
      <c r="B8014" s="1" t="s">
        <v>6138</v>
      </c>
      <c r="C8014" s="2">
        <f>IFERROR(__xludf.DUMMYFUNCTION("IFERROR(VLOOKUP(A8014, IMPORTRANGE(""https://docs.google.com/spreadsheets/d/1AVX9GT0dgogEBStecCXMMQ29tWz3gBrtNB8yIromXbY/edit?gid=741673867"", ""out1g!A:B""), 2, FALSE), 0)"),1229.0)</f>
        <v>1229</v>
      </c>
      <c r="D8014" s="2" t="str">
        <f>IFERROR(__xludf.DUMMYFUNCTION("IFERROR(VLOOKUP(A8014, IMPORTRANGE(""https://docs.google.com/spreadsheets/d/1-3Vjw2Cyy-mry5gbC8ypIR3YVGFfEpyFESummAta6sg/edit"", ""Sheet1!B:D""), 2, FALSE), ""Not Found"")"),"ɛlən")</f>
        <v>ɛlən</v>
      </c>
      <c r="E8014" s="2" t="str">
        <f>IFERROR(__xludf.DUMMYFUNCTION("IFERROR(VLOOKUP(A8014, IMPORTRANGE(""https://docs.google.com/spreadsheets/d/1-3Vjw2Cyy-mry5gbC8ypIR3YVGFfEpyFESummAta6sg/edit"", ""Sheet1!B:D""), 3, FALSE), ""Not Found"")"),"ɛ l ə n ")</f>
        <v>ɛ l ə n </v>
      </c>
    </row>
    <row r="8015">
      <c r="A8015" s="1" t="s">
        <v>8016</v>
      </c>
      <c r="B8015" s="1" t="s">
        <v>6138</v>
      </c>
      <c r="C8015" s="2">
        <f>IFERROR(__xludf.DUMMYFUNCTION("IFERROR(VLOOKUP(A8015, IMPORTRANGE(""https://docs.google.com/spreadsheets/d/1AVX9GT0dgogEBStecCXMMQ29tWz3gBrtNB8yIromXbY/edit?gid=741673867"", ""out1g!A:B""), 2, FALSE), 0)"),1561.0)</f>
        <v>1561</v>
      </c>
      <c r="D8015" s="2" t="str">
        <f>IFERROR(__xludf.DUMMYFUNCTION("IFERROR(VLOOKUP(A8015, IMPORTRANGE(""https://docs.google.com/spreadsheets/d/1-3Vjw2Cyy-mry5gbC8ypIR3YVGFfEpyFESummAta6sg/edit"", ""Sheet1!B:D""), 2, FALSE), ""Not Found"")"),"bərnɪŋ")</f>
        <v>bərnɪŋ</v>
      </c>
      <c r="E8015" s="2" t="str">
        <f>IFERROR(__xludf.DUMMYFUNCTION("IFERROR(VLOOKUP(A8015, IMPORTRANGE(""https://docs.google.com/spreadsheets/d/1-3Vjw2Cyy-mry5gbC8ypIR3YVGFfEpyFESummAta6sg/edit"", ""Sheet1!B:D""), 3, FALSE), ""Not Found"")"),"b ə r n ɪ ŋ ")</f>
        <v>b ə r n ɪ ŋ </v>
      </c>
    </row>
    <row r="8016">
      <c r="A8016" s="1" t="s">
        <v>8017</v>
      </c>
      <c r="B8016" s="1" t="s">
        <v>6138</v>
      </c>
      <c r="C8016" s="2">
        <f>IFERROR(__xludf.DUMMYFUNCTION("IFERROR(VLOOKUP(A8016, IMPORTRANGE(""https://docs.google.com/spreadsheets/d/1AVX9GT0dgogEBStecCXMMQ29tWz3gBrtNB8yIromXbY/edit?gid=741673867"", ""out1g!A:B""), 2, FALSE), 0)"),100.0)</f>
        <v>100</v>
      </c>
      <c r="D8016" s="2" t="str">
        <f>IFERROR(__xludf.DUMMYFUNCTION("IFERROR(VLOOKUP(A8016, IMPORTRANGE(""https://docs.google.com/spreadsheets/d/1-3Vjw2Cyy-mry5gbC8ypIR3YVGFfEpyFESummAta6sg/edit"", ""Sheet1!B:D""), 2, FALSE), ""Not Found"")"),"bətərz")</f>
        <v>bətərz</v>
      </c>
      <c r="E8016" s="2" t="str">
        <f>IFERROR(__xludf.DUMMYFUNCTION("IFERROR(VLOOKUP(A8016, IMPORTRANGE(""https://docs.google.com/spreadsheets/d/1-3Vjw2Cyy-mry5gbC8ypIR3YVGFfEpyFESummAta6sg/edit"", ""Sheet1!B:D""), 3, FALSE), ""Not Found"")"),"b ə t ə r z ")</f>
        <v>b ə t ə r z </v>
      </c>
    </row>
    <row r="8017">
      <c r="A8017" s="1" t="s">
        <v>8018</v>
      </c>
      <c r="B8017" s="1" t="s">
        <v>6138</v>
      </c>
      <c r="C8017" s="2">
        <f>IFERROR(__xludf.DUMMYFUNCTION("IFERROR(VLOOKUP(A8017, IMPORTRANGE(""https://docs.google.com/spreadsheets/d/1AVX9GT0dgogEBStecCXMMQ29tWz3gBrtNB8yIromXbY/edit?gid=741673867"", ""out1g!A:B""), 2, FALSE), 0)"),379.0)</f>
        <v>379</v>
      </c>
      <c r="D8017" s="2" t="str">
        <f>IFERROR(__xludf.DUMMYFUNCTION("IFERROR(VLOOKUP(A8017, IMPORTRANGE(""https://docs.google.com/spreadsheets/d/1-3Vjw2Cyy-mry5gbC8ypIR3YVGFfEpyFESummAta6sg/edit"", ""Sheet1!B:D""), 2, FALSE), ""Not Found"")"),"ʤɛsʧər")</f>
        <v>ʤɛsʧər</v>
      </c>
      <c r="E8017" s="2" t="str">
        <f>IFERROR(__xludf.DUMMYFUNCTION("IFERROR(VLOOKUP(A8017, IMPORTRANGE(""https://docs.google.com/spreadsheets/d/1-3Vjw2Cyy-mry5gbC8ypIR3YVGFfEpyFESummAta6sg/edit"", ""Sheet1!B:D""), 3, FALSE), ""Not Found"")"),"ʤ ɛ s ʧ ə r ")</f>
        <v>ʤ ɛ s ʧ ə r </v>
      </c>
    </row>
    <row r="8018">
      <c r="A8018" s="1" t="s">
        <v>8019</v>
      </c>
      <c r="B8018" s="1" t="s">
        <v>6138</v>
      </c>
      <c r="C8018" s="2">
        <f>IFERROR(__xludf.DUMMYFUNCTION("IFERROR(VLOOKUP(A8018, IMPORTRANGE(""https://docs.google.com/spreadsheets/d/1AVX9GT0dgogEBStecCXMMQ29tWz3gBrtNB8yIromXbY/edit?gid=741673867"", ""out1g!A:B""), 2, FALSE), 0)"),795.0)</f>
        <v>795</v>
      </c>
      <c r="D8018" s="2" t="str">
        <f>IFERROR(__xludf.DUMMYFUNCTION("IFERROR(VLOOKUP(A8018, IMPORTRANGE(""https://docs.google.com/spreadsheets/d/1-3Vjw2Cyy-mry5gbC8ypIR3YVGFfEpyFESummAta6sg/edit"", ""Sheet1!B:D""), 2, FALSE), ""Not Found"")"),"mɪrli")</f>
        <v>mɪrli</v>
      </c>
      <c r="E8018" s="2" t="str">
        <f>IFERROR(__xludf.DUMMYFUNCTION("IFERROR(VLOOKUP(A8018, IMPORTRANGE(""https://docs.google.com/spreadsheets/d/1-3Vjw2Cyy-mry5gbC8ypIR3YVGFfEpyFESummAta6sg/edit"", ""Sheet1!B:D""), 3, FALSE), ""Not Found"")"),"m ɪ r l i ")</f>
        <v>m ɪ r l i </v>
      </c>
    </row>
    <row r="8019">
      <c r="A8019" s="1" t="s">
        <v>8020</v>
      </c>
      <c r="B8019" s="1" t="s">
        <v>6138</v>
      </c>
      <c r="C8019" s="2">
        <f>IFERROR(__xludf.DUMMYFUNCTION("IFERROR(VLOOKUP(A8019, IMPORTRANGE(""https://docs.google.com/spreadsheets/d/1AVX9GT0dgogEBStecCXMMQ29tWz3gBrtNB8yIromXbY/edit?gid=741673867"", ""out1g!A:B""), 2, FALSE), 0)"),648.0)</f>
        <v>648</v>
      </c>
      <c r="D8019" s="2" t="str">
        <f>IFERROR(__xludf.DUMMYFUNCTION("IFERROR(VLOOKUP(A8019, IMPORTRANGE(""https://docs.google.com/spreadsheets/d/1-3Vjw2Cyy-mry5gbC8ypIR3YVGFfEpyFESummAta6sg/edit"", ""Sheet1!B:D""), 2, FALSE), ""Not Found"")"),"kæʧɪŋ")</f>
        <v>kæʧɪŋ</v>
      </c>
      <c r="E8019" s="2" t="str">
        <f>IFERROR(__xludf.DUMMYFUNCTION("IFERROR(VLOOKUP(A8019, IMPORTRANGE(""https://docs.google.com/spreadsheets/d/1-3Vjw2Cyy-mry5gbC8ypIR3YVGFfEpyFESummAta6sg/edit"", ""Sheet1!B:D""), 3, FALSE), ""Not Found"")"),"k æ ʧ ɪ ŋ ")</f>
        <v>k æ ʧ ɪ ŋ </v>
      </c>
    </row>
    <row r="8020">
      <c r="A8020" s="1" t="s">
        <v>8021</v>
      </c>
      <c r="B8020" s="1" t="s">
        <v>6138</v>
      </c>
      <c r="C8020" s="2">
        <f>IFERROR(__xludf.DUMMYFUNCTION("IFERROR(VLOOKUP(A8020, IMPORTRANGE(""https://docs.google.com/spreadsheets/d/1AVX9GT0dgogEBStecCXMMQ29tWz3gBrtNB8yIromXbY/edit?gid=741673867"", ""out1g!A:B""), 2, FALSE), 0)"),1187.0)</f>
        <v>1187</v>
      </c>
      <c r="D8020" s="2" t="str">
        <f>IFERROR(__xludf.DUMMYFUNCTION("IFERROR(VLOOKUP(A8020, IMPORTRANGE(""https://docs.google.com/spreadsheets/d/1-3Vjw2Cyy-mry5gbC8ypIR3YVGFfEpyFESummAta6sg/edit"", ""Sheet1!B:D""), 2, FALSE), ""Not Found"")"),"goʊldən")</f>
        <v>goʊldən</v>
      </c>
      <c r="E8020" s="2" t="str">
        <f>IFERROR(__xludf.DUMMYFUNCTION("IFERROR(VLOOKUP(A8020, IMPORTRANGE(""https://docs.google.com/spreadsheets/d/1-3Vjw2Cyy-mry5gbC8ypIR3YVGFfEpyFESummAta6sg/edit"", ""Sheet1!B:D""), 3, FALSE), ""Not Found"")"),"g o ʊ l d ə n ")</f>
        <v>g o ʊ l d ə n </v>
      </c>
    </row>
    <row r="8021">
      <c r="A8021" s="1" t="s">
        <v>8022</v>
      </c>
      <c r="B8021" s="1" t="s">
        <v>6138</v>
      </c>
      <c r="C8021" s="2">
        <f>IFERROR(__xludf.DUMMYFUNCTION("IFERROR(VLOOKUP(A8021, IMPORTRANGE(""https://docs.google.com/spreadsheets/d/1AVX9GT0dgogEBStecCXMMQ29tWz3gBrtNB8yIromXbY/edit?gid=741673867"", ""out1g!A:B""), 2, FALSE), 0)"),32.0)</f>
        <v>32</v>
      </c>
      <c r="D8021" s="2" t="str">
        <f>IFERROR(__xludf.DUMMYFUNCTION("IFERROR(VLOOKUP(A8021, IMPORTRANGE(""https://docs.google.com/spreadsheets/d/1-3Vjw2Cyy-mry5gbC8ypIR3YVGFfEpyFESummAta6sg/edit"", ""Sheet1!B:D""), 2, FALSE), ""Not Found"")"),"brækən")</f>
        <v>brækən</v>
      </c>
      <c r="E8021" s="2" t="str">
        <f>IFERROR(__xludf.DUMMYFUNCTION("IFERROR(VLOOKUP(A8021, IMPORTRANGE(""https://docs.google.com/spreadsheets/d/1-3Vjw2Cyy-mry5gbC8ypIR3YVGFfEpyFESummAta6sg/edit"", ""Sheet1!B:D""), 3, FALSE), ""Not Found"")"),"b r æ k ə n ")</f>
        <v>b r æ k ə n </v>
      </c>
    </row>
    <row r="8022">
      <c r="A8022" s="1" t="s">
        <v>8023</v>
      </c>
      <c r="B8022" s="1" t="s">
        <v>6138</v>
      </c>
      <c r="C8022" s="2">
        <f>IFERROR(__xludf.DUMMYFUNCTION("IFERROR(VLOOKUP(A8022, IMPORTRANGE(""https://docs.google.com/spreadsheets/d/1AVX9GT0dgogEBStecCXMMQ29tWz3gBrtNB8yIromXbY/edit?gid=741673867"", ""out1g!A:B""), 2, FALSE), 0)"),1619.0)</f>
        <v>1619</v>
      </c>
      <c r="D8022" s="2" t="str">
        <f>IFERROR(__xludf.DUMMYFUNCTION("IFERROR(VLOOKUP(A8022, IMPORTRANGE(""https://docs.google.com/spreadsheets/d/1-3Vjw2Cyy-mry5gbC8ypIR3YVGFfEpyFESummAta6sg/edit"", ""Sheet1!B:D""), 2, FALSE), ""Not Found"")"),"sɪdni")</f>
        <v>sɪdni</v>
      </c>
      <c r="E8022" s="2" t="str">
        <f>IFERROR(__xludf.DUMMYFUNCTION("IFERROR(VLOOKUP(A8022, IMPORTRANGE(""https://docs.google.com/spreadsheets/d/1-3Vjw2Cyy-mry5gbC8ypIR3YVGFfEpyFESummAta6sg/edit"", ""Sheet1!B:D""), 3, FALSE), ""Not Found"")"),"s ɪ d n i ")</f>
        <v>s ɪ d n i </v>
      </c>
    </row>
    <row r="8023">
      <c r="A8023" s="1" t="s">
        <v>8024</v>
      </c>
      <c r="B8023" s="1" t="s">
        <v>6138</v>
      </c>
      <c r="C8023" s="2">
        <f>IFERROR(__xludf.DUMMYFUNCTION("IFERROR(VLOOKUP(A8023, IMPORTRANGE(""https://docs.google.com/spreadsheets/d/1AVX9GT0dgogEBStecCXMMQ29tWz3gBrtNB8yIromXbY/edit?gid=741673867"", ""out1g!A:B""), 2, FALSE), 0)"),681.0)</f>
        <v>681</v>
      </c>
      <c r="D8023" s="2" t="str">
        <f>IFERROR(__xludf.DUMMYFUNCTION("IFERROR(VLOOKUP(A8023, IMPORTRANGE(""https://docs.google.com/spreadsheets/d/1-3Vjw2Cyy-mry5gbC8ypIR3YVGFfEpyFESummAta6sg/edit"", ""Sheet1!B:D""), 2, FALSE), ""Not Found"")"),"riples")</f>
        <v>riples</v>
      </c>
      <c r="E8023" s="2" t="str">
        <f>IFERROR(__xludf.DUMMYFUNCTION("IFERROR(VLOOKUP(A8023, IMPORTRANGE(""https://docs.google.com/spreadsheets/d/1-3Vjw2Cyy-mry5gbC8ypIR3YVGFfEpyFESummAta6sg/edit"", ""Sheet1!B:D""), 3, FALSE), ""Not Found"")"),"r i p l e s ")</f>
        <v>r i p l e s </v>
      </c>
    </row>
    <row r="8024">
      <c r="A8024" s="1" t="s">
        <v>8025</v>
      </c>
      <c r="B8024" s="1" t="s">
        <v>6138</v>
      </c>
      <c r="C8024" s="2">
        <f>IFERROR(__xludf.DUMMYFUNCTION("IFERROR(VLOOKUP(A8024, IMPORTRANGE(""https://docs.google.com/spreadsheets/d/1AVX9GT0dgogEBStecCXMMQ29tWz3gBrtNB8yIromXbY/edit?gid=741673867"", ""out1g!A:B""), 2, FALSE), 0)"),11.0)</f>
        <v>11</v>
      </c>
      <c r="D8024" s="2" t="str">
        <f>IFERROR(__xludf.DUMMYFUNCTION("IFERROR(VLOOKUP(A8024, IMPORTRANGE(""https://docs.google.com/spreadsheets/d/1-3Vjw2Cyy-mry5gbC8ypIR3YVGFfEpyFESummAta6sg/edit"", ""Sheet1!B:D""), 2, FALSE), ""Not Found"")"),"moʊldɪŋz")</f>
        <v>moʊldɪŋz</v>
      </c>
      <c r="E8024" s="2" t="str">
        <f>IFERROR(__xludf.DUMMYFUNCTION("IFERROR(VLOOKUP(A8024, IMPORTRANGE(""https://docs.google.com/spreadsheets/d/1-3Vjw2Cyy-mry5gbC8ypIR3YVGFfEpyFESummAta6sg/edit"", ""Sheet1!B:D""), 3, FALSE), ""Not Found"")"),"m o ʊ l d ɪ ŋ z ")</f>
        <v>m o ʊ l d ɪ ŋ z </v>
      </c>
    </row>
    <row r="8025">
      <c r="A8025" s="1" t="s">
        <v>8026</v>
      </c>
      <c r="B8025" s="1" t="s">
        <v>6138</v>
      </c>
      <c r="C8025" s="2">
        <f>IFERROR(__xludf.DUMMYFUNCTION("IFERROR(VLOOKUP(A8025, IMPORTRANGE(""https://docs.google.com/spreadsheets/d/1AVX9GT0dgogEBStecCXMMQ29tWz3gBrtNB8yIromXbY/edit?gid=741673867"", ""out1g!A:B""), 2, FALSE), 0)"),320.0)</f>
        <v>320</v>
      </c>
      <c r="D8025" s="2" t="str">
        <f>IFERROR(__xludf.DUMMYFUNCTION("IFERROR(VLOOKUP(A8025, IMPORTRANGE(""https://docs.google.com/spreadsheets/d/1-3Vjw2Cyy-mry5gbC8ypIR3YVGFfEpyFESummAta6sg/edit"", ""Sheet1!B:D""), 2, FALSE), ""Not Found"")"),"ʧɛstər")</f>
        <v>ʧɛstər</v>
      </c>
      <c r="E8025" s="2" t="str">
        <f>IFERROR(__xludf.DUMMYFUNCTION("IFERROR(VLOOKUP(A8025, IMPORTRANGE(""https://docs.google.com/spreadsheets/d/1-3Vjw2Cyy-mry5gbC8ypIR3YVGFfEpyFESummAta6sg/edit"", ""Sheet1!B:D""), 3, FALSE), ""Not Found"")"),"ʧ ɛ s t ə r ")</f>
        <v>ʧ ɛ s t ə r </v>
      </c>
    </row>
    <row r="8026">
      <c r="A8026" s="1" t="s">
        <v>8027</v>
      </c>
      <c r="B8026" s="1" t="s">
        <v>6138</v>
      </c>
      <c r="C8026" s="2">
        <f>IFERROR(__xludf.DUMMYFUNCTION("IFERROR(VLOOKUP(A8026, IMPORTRANGE(""https://docs.google.com/spreadsheets/d/1AVX9GT0dgogEBStecCXMMQ29tWz3gBrtNB8yIromXbY/edit?gid=741673867"", ""out1g!A:B""), 2, FALSE), 0)"),62.0)</f>
        <v>62</v>
      </c>
      <c r="D8026" s="2" t="str">
        <f>IFERROR(__xludf.DUMMYFUNCTION("IFERROR(VLOOKUP(A8026, IMPORTRANGE(""https://docs.google.com/spreadsheets/d/1-3Vjw2Cyy-mry5gbC8ypIR3YVGFfEpyFESummAta6sg/edit"", ""Sheet1!B:D""), 2, FALSE), ""Not Found"")"),"kwekər")</f>
        <v>kwekər</v>
      </c>
      <c r="E8026" s="2" t="str">
        <f>IFERROR(__xludf.DUMMYFUNCTION("IFERROR(VLOOKUP(A8026, IMPORTRANGE(""https://docs.google.com/spreadsheets/d/1-3Vjw2Cyy-mry5gbC8ypIR3YVGFfEpyFESummAta6sg/edit"", ""Sheet1!B:D""), 3, FALSE), ""Not Found"")"),"k w e k ə r ")</f>
        <v>k w e k ə r </v>
      </c>
    </row>
    <row r="8027">
      <c r="A8027" s="1" t="s">
        <v>8028</v>
      </c>
      <c r="B8027" s="1" t="s">
        <v>6138</v>
      </c>
      <c r="C8027" s="2">
        <f>IFERROR(__xludf.DUMMYFUNCTION("IFERROR(VLOOKUP(A8027, IMPORTRANGE(""https://docs.google.com/spreadsheets/d/1AVX9GT0dgogEBStecCXMMQ29tWz3gBrtNB8yIromXbY/edit?gid=741673867"", ""out1g!A:B""), 2, FALSE), 0)"),442.0)</f>
        <v>442</v>
      </c>
      <c r="D8027" s="2" t="str">
        <f>IFERROR(__xludf.DUMMYFUNCTION("IFERROR(VLOOKUP(A8027, IMPORTRANGE(""https://docs.google.com/spreadsheets/d/1-3Vjw2Cyy-mry5gbC8ypIR3YVGFfEpyFESummAta6sg/edit"", ""Sheet1!B:D""), 2, FALSE), ""Not Found"")"),"bəlun")</f>
        <v>bəlun</v>
      </c>
      <c r="E8027" s="2" t="str">
        <f>IFERROR(__xludf.DUMMYFUNCTION("IFERROR(VLOOKUP(A8027, IMPORTRANGE(""https://docs.google.com/spreadsheets/d/1-3Vjw2Cyy-mry5gbC8ypIR3YVGFfEpyFESummAta6sg/edit"", ""Sheet1!B:D""), 3, FALSE), ""Not Found"")"),"b ə l u n ")</f>
        <v>b ə l u n </v>
      </c>
    </row>
    <row r="8028">
      <c r="A8028" s="1" t="s">
        <v>8029</v>
      </c>
      <c r="B8028" s="1" t="s">
        <v>6138</v>
      </c>
      <c r="C8028" s="2">
        <f>IFERROR(__xludf.DUMMYFUNCTION("IFERROR(VLOOKUP(A8028, IMPORTRANGE(""https://docs.google.com/spreadsheets/d/1AVX9GT0dgogEBStecCXMMQ29tWz3gBrtNB8yIromXbY/edit?gid=741673867"", ""out1g!A:B""), 2, FALSE), 0)"),122.0)</f>
        <v>122</v>
      </c>
      <c r="D8028" s="2" t="str">
        <f>IFERROR(__xludf.DUMMYFUNCTION("IFERROR(VLOOKUP(A8028, IMPORTRANGE(""https://docs.google.com/spreadsheets/d/1-3Vjw2Cyy-mry5gbC8ypIR3YVGFfEpyFESummAta6sg/edit"", ""Sheet1!B:D""), 2, FALSE), ""Not Found"")"),"səplaɪd")</f>
        <v>səplaɪd</v>
      </c>
      <c r="E8028" s="2" t="str">
        <f>IFERROR(__xludf.DUMMYFUNCTION("IFERROR(VLOOKUP(A8028, IMPORTRANGE(""https://docs.google.com/spreadsheets/d/1-3Vjw2Cyy-mry5gbC8ypIR3YVGFfEpyFESummAta6sg/edit"", ""Sheet1!B:D""), 3, FALSE), ""Not Found"")"),"s ə p l a ɪ d ")</f>
        <v>s ə p l a ɪ d </v>
      </c>
    </row>
    <row r="8029">
      <c r="A8029" s="1" t="s">
        <v>8030</v>
      </c>
      <c r="B8029" s="1" t="s">
        <v>6138</v>
      </c>
      <c r="C8029" s="2">
        <f>IFERROR(__xludf.DUMMYFUNCTION("IFERROR(VLOOKUP(A8029, IMPORTRANGE(""https://docs.google.com/spreadsheets/d/1AVX9GT0dgogEBStecCXMMQ29tWz3gBrtNB8yIromXbY/edit?gid=741673867"", ""out1g!A:B""), 2, FALSE), 0)"),1643.0)</f>
        <v>1643</v>
      </c>
      <c r="D8029" s="2" t="str">
        <f>IFERROR(__xludf.DUMMYFUNCTION("IFERROR(VLOOKUP(A8029, IMPORTRANGE(""https://docs.google.com/spreadsheets/d/1-3Vjw2Cyy-mry5gbC8ypIR3YVGFfEpyFESummAta6sg/edit"", ""Sheet1!B:D""), 2, FALSE), ""Not Found"")"),"taɪni")</f>
        <v>taɪni</v>
      </c>
      <c r="E8029" s="2" t="str">
        <f>IFERROR(__xludf.DUMMYFUNCTION("IFERROR(VLOOKUP(A8029, IMPORTRANGE(""https://docs.google.com/spreadsheets/d/1-3Vjw2Cyy-mry5gbC8ypIR3YVGFfEpyFESummAta6sg/edit"", ""Sheet1!B:D""), 3, FALSE), ""Not Found"")"),"t a ɪ n i ")</f>
        <v>t a ɪ n i </v>
      </c>
    </row>
    <row r="8030">
      <c r="A8030" s="1" t="s">
        <v>8031</v>
      </c>
      <c r="B8030" s="1" t="s">
        <v>6138</v>
      </c>
      <c r="C8030" s="2">
        <f>IFERROR(__xludf.DUMMYFUNCTION("IFERROR(VLOOKUP(A8030, IMPORTRANGE(""https://docs.google.com/spreadsheets/d/1AVX9GT0dgogEBStecCXMMQ29tWz3gBrtNB8yIromXbY/edit?gid=741673867"", ""out1g!A:B""), 2, FALSE), 0)"),60.0)</f>
        <v>60</v>
      </c>
      <c r="D8030" s="2" t="str">
        <f>IFERROR(__xludf.DUMMYFUNCTION("IFERROR(VLOOKUP(A8030, IMPORTRANGE(""https://docs.google.com/spreadsheets/d/1-3Vjw2Cyy-mry5gbC8ypIR3YVGFfEpyFESummAta6sg/edit"", ""Sheet1!B:D""), 2, FALSE), ""Not Found"")"),"pɪstən")</f>
        <v>pɪstən</v>
      </c>
      <c r="E8030" s="2" t="str">
        <f>IFERROR(__xludf.DUMMYFUNCTION("IFERROR(VLOOKUP(A8030, IMPORTRANGE(""https://docs.google.com/spreadsheets/d/1-3Vjw2Cyy-mry5gbC8ypIR3YVGFfEpyFESummAta6sg/edit"", ""Sheet1!B:D""), 3, FALSE), ""Not Found"")"),"p ɪ s t ə n ")</f>
        <v>p ɪ s t ə n </v>
      </c>
    </row>
    <row r="8031">
      <c r="A8031" s="1" t="s">
        <v>8032</v>
      </c>
      <c r="B8031" s="1" t="s">
        <v>6138</v>
      </c>
      <c r="C8031" s="2">
        <f>IFERROR(__xludf.DUMMYFUNCTION("IFERROR(VLOOKUP(A8031, IMPORTRANGE(""https://docs.google.com/spreadsheets/d/1AVX9GT0dgogEBStecCXMMQ29tWz3gBrtNB8yIromXbY/edit?gid=741673867"", ""out1g!A:B""), 2, FALSE), 0)"),317.0)</f>
        <v>317</v>
      </c>
      <c r="D8031" s="2" t="str">
        <f>IFERROR(__xludf.DUMMYFUNCTION("IFERROR(VLOOKUP(A8031, IMPORTRANGE(""https://docs.google.com/spreadsheets/d/1-3Vjw2Cyy-mry5gbC8ypIR3YVGFfEpyFESummAta6sg/edit"", ""Sheet1!B:D""), 2, FALSE), ""Not Found"")"),"bləf")</f>
        <v>bləf</v>
      </c>
      <c r="E8031" s="2" t="str">
        <f>IFERROR(__xludf.DUMMYFUNCTION("IFERROR(VLOOKUP(A8031, IMPORTRANGE(""https://docs.google.com/spreadsheets/d/1-3Vjw2Cyy-mry5gbC8ypIR3YVGFfEpyFESummAta6sg/edit"", ""Sheet1!B:D""), 3, FALSE), ""Not Found"")"),"b l ə f ")</f>
        <v>b l ə f </v>
      </c>
    </row>
    <row r="8032">
      <c r="A8032" s="1" t="s">
        <v>8033</v>
      </c>
      <c r="B8032" s="1" t="s">
        <v>6138</v>
      </c>
      <c r="C8032" s="2">
        <f>IFERROR(__xludf.DUMMYFUNCTION("IFERROR(VLOOKUP(A8032, IMPORTRANGE(""https://docs.google.com/spreadsheets/d/1AVX9GT0dgogEBStecCXMMQ29tWz3gBrtNB8yIromXbY/edit?gid=741673867"", ""out1g!A:B""), 2, FALSE), 0)"),71.0)</f>
        <v>71</v>
      </c>
      <c r="D8032" s="2" t="str">
        <f>IFERROR(__xludf.DUMMYFUNCTION("IFERROR(VLOOKUP(A8032, IMPORTRANGE(""https://docs.google.com/spreadsheets/d/1-3Vjw2Cyy-mry5gbC8ypIR3YVGFfEpyFESummAta6sg/edit"", ""Sheet1!B:D""), 2, FALSE), ""Not Found"")"),"ʧɪmps")</f>
        <v>ʧɪmps</v>
      </c>
      <c r="E8032" s="2" t="str">
        <f>IFERROR(__xludf.DUMMYFUNCTION("IFERROR(VLOOKUP(A8032, IMPORTRANGE(""https://docs.google.com/spreadsheets/d/1-3Vjw2Cyy-mry5gbC8ypIR3YVGFfEpyFESummAta6sg/edit"", ""Sheet1!B:D""), 3, FALSE), ""Not Found"")"),"ʧ ɪ m p s ")</f>
        <v>ʧ ɪ m p s </v>
      </c>
    </row>
    <row r="8033">
      <c r="A8033" s="1" t="s">
        <v>8034</v>
      </c>
      <c r="B8033" s="1" t="s">
        <v>6138</v>
      </c>
      <c r="C8033" s="2">
        <f>IFERROR(__xludf.DUMMYFUNCTION("IFERROR(VLOOKUP(A8033, IMPORTRANGE(""https://docs.google.com/spreadsheets/d/1AVX9GT0dgogEBStecCXMMQ29tWz3gBrtNB8yIromXbY/edit?gid=741673867"", ""out1g!A:B""), 2, FALSE), 0)"),192.0)</f>
        <v>192</v>
      </c>
      <c r="D8033" s="2" t="str">
        <f>IFERROR(__xludf.DUMMYFUNCTION("IFERROR(VLOOKUP(A8033, IMPORTRANGE(""https://docs.google.com/spreadsheets/d/1-3Vjw2Cyy-mry5gbC8ypIR3YVGFfEpyFESummAta6sg/edit"", ""Sheet1!B:D""), 2, FALSE), ""Not Found"")"),"kæmps")</f>
        <v>kæmps</v>
      </c>
      <c r="E8033" s="2" t="str">
        <f>IFERROR(__xludf.DUMMYFUNCTION("IFERROR(VLOOKUP(A8033, IMPORTRANGE(""https://docs.google.com/spreadsheets/d/1-3Vjw2Cyy-mry5gbC8ypIR3YVGFfEpyFESummAta6sg/edit"", ""Sheet1!B:D""), 3, FALSE), ""Not Found"")"),"k æ m p s ")</f>
        <v>k æ m p s </v>
      </c>
    </row>
    <row r="8034">
      <c r="A8034" s="1" t="s">
        <v>8035</v>
      </c>
      <c r="B8034" s="1" t="s">
        <v>6138</v>
      </c>
      <c r="C8034" s="2">
        <f>IFERROR(__xludf.DUMMYFUNCTION("IFERROR(VLOOKUP(A8034, IMPORTRANGE(""https://docs.google.com/spreadsheets/d/1AVX9GT0dgogEBStecCXMMQ29tWz3gBrtNB8yIromXbY/edit?gid=741673867"", ""out1g!A:B""), 2, FALSE), 0)"),45.0)</f>
        <v>45</v>
      </c>
      <c r="D8034" s="2" t="str">
        <f>IFERROR(__xludf.DUMMYFUNCTION("IFERROR(VLOOKUP(A8034, IMPORTRANGE(""https://docs.google.com/spreadsheets/d/1-3Vjw2Cyy-mry5gbC8ypIR3YVGFfEpyFESummAta6sg/edit"", ""Sheet1!B:D""), 2, FALSE), ""Not Found"")"),"kloʊnz")</f>
        <v>kloʊnz</v>
      </c>
      <c r="E8034" s="2" t="str">
        <f>IFERROR(__xludf.DUMMYFUNCTION("IFERROR(VLOOKUP(A8034, IMPORTRANGE(""https://docs.google.com/spreadsheets/d/1-3Vjw2Cyy-mry5gbC8ypIR3YVGFfEpyFESummAta6sg/edit"", ""Sheet1!B:D""), 3, FALSE), ""Not Found"")"),"k l o ʊ n z ")</f>
        <v>k l o ʊ n z </v>
      </c>
    </row>
    <row r="8035">
      <c r="A8035" s="1" t="s">
        <v>8036</v>
      </c>
      <c r="B8035" s="1" t="s">
        <v>6138</v>
      </c>
      <c r="C8035" s="2">
        <f>IFERROR(__xludf.DUMMYFUNCTION("IFERROR(VLOOKUP(A8035, IMPORTRANGE(""https://docs.google.com/spreadsheets/d/1AVX9GT0dgogEBStecCXMMQ29tWz3gBrtNB8yIromXbY/edit?gid=741673867"", ""out1g!A:B""), 2, FALSE), 0)"),170.0)</f>
        <v>170</v>
      </c>
      <c r="D8035" s="2" t="str">
        <f>IFERROR(__xludf.DUMMYFUNCTION("IFERROR(VLOOKUP(A8035, IMPORTRANGE(""https://docs.google.com/spreadsheets/d/1-3Vjw2Cyy-mry5gbC8ypIR3YVGFfEpyFESummAta6sg/edit"", ""Sheet1!B:D""), 2, FALSE), ""Not Found"")"),"əkərz")</f>
        <v>əkərz</v>
      </c>
      <c r="E8035" s="2" t="str">
        <f>IFERROR(__xludf.DUMMYFUNCTION("IFERROR(VLOOKUP(A8035, IMPORTRANGE(""https://docs.google.com/spreadsheets/d/1-3Vjw2Cyy-mry5gbC8ypIR3YVGFfEpyFESummAta6sg/edit"", ""Sheet1!B:D""), 3, FALSE), ""Not Found"")"),"ə k ə r z ")</f>
        <v>ə k ə r z </v>
      </c>
    </row>
    <row r="8036">
      <c r="A8036" s="1" t="s">
        <v>8037</v>
      </c>
      <c r="B8036" s="1" t="s">
        <v>6138</v>
      </c>
      <c r="C8036" s="2">
        <f>IFERROR(__xludf.DUMMYFUNCTION("IFERROR(VLOOKUP(A8036, IMPORTRANGE(""https://docs.google.com/spreadsheets/d/1AVX9GT0dgogEBStecCXMMQ29tWz3gBrtNB8yIromXbY/edit?gid=741673867"", ""out1g!A:B""), 2, FALSE), 0)"),10441.0)</f>
        <v>10441</v>
      </c>
      <c r="D8036" s="2" t="str">
        <f>IFERROR(__xludf.DUMMYFUNCTION("IFERROR(VLOOKUP(A8036, IMPORTRANGE(""https://docs.google.com/spreadsheets/d/1-3Vjw2Cyy-mry5gbC8ypIR3YVGFfEpyFESummAta6sg/edit"", ""Sheet1!B:D""), 2, FALSE), ""Not Found"")"),"jʊrz")</f>
        <v>jʊrz</v>
      </c>
      <c r="E8036" s="2" t="str">
        <f>IFERROR(__xludf.DUMMYFUNCTION("IFERROR(VLOOKUP(A8036, IMPORTRANGE(""https://docs.google.com/spreadsheets/d/1-3Vjw2Cyy-mry5gbC8ypIR3YVGFfEpyFESummAta6sg/edit"", ""Sheet1!B:D""), 3, FALSE), ""Not Found"")"),"j ʊ r z ")</f>
        <v>j ʊ r z </v>
      </c>
    </row>
    <row r="8037">
      <c r="A8037" s="1" t="s">
        <v>8038</v>
      </c>
      <c r="B8037" s="1" t="s">
        <v>6138</v>
      </c>
      <c r="C8037" s="2">
        <f>IFERROR(__xludf.DUMMYFUNCTION("IFERROR(VLOOKUP(A8037, IMPORTRANGE(""https://docs.google.com/spreadsheets/d/1AVX9GT0dgogEBStecCXMMQ29tWz3gBrtNB8yIromXbY/edit?gid=741673867"", ""out1g!A:B""), 2, FALSE), 0)"),778.0)</f>
        <v>778</v>
      </c>
      <c r="D8037" s="2" t="str">
        <f>IFERROR(__xludf.DUMMYFUNCTION("IFERROR(VLOOKUP(A8037, IMPORTRANGE(""https://docs.google.com/spreadsheets/d/1-3Vjw2Cyy-mry5gbC8ypIR3YVGFfEpyFESummAta6sg/edit"", ""Sheet1!B:D""), 2, FALSE), ""Not Found"")"),"juzɪz")</f>
        <v>juzɪz</v>
      </c>
      <c r="E8037" s="2" t="str">
        <f>IFERROR(__xludf.DUMMYFUNCTION("IFERROR(VLOOKUP(A8037, IMPORTRANGE(""https://docs.google.com/spreadsheets/d/1-3Vjw2Cyy-mry5gbC8ypIR3YVGFfEpyFESummAta6sg/edit"", ""Sheet1!B:D""), 3, FALSE), ""Not Found"")"),"j u z ɪ z ")</f>
        <v>j u z ɪ z </v>
      </c>
    </row>
    <row r="8038">
      <c r="A8038" s="1" t="s">
        <v>8039</v>
      </c>
      <c r="B8038" s="1" t="s">
        <v>6138</v>
      </c>
      <c r="C8038" s="2">
        <f>IFERROR(__xludf.DUMMYFUNCTION("IFERROR(VLOOKUP(A8038, IMPORTRANGE(""https://docs.google.com/spreadsheets/d/1AVX9GT0dgogEBStecCXMMQ29tWz3gBrtNB8yIromXbY/edit?gid=741673867"", ""out1g!A:B""), 2, FALSE), 0)"),12.0)</f>
        <v>12</v>
      </c>
      <c r="D8038" s="2" t="str">
        <f>IFERROR(__xludf.DUMMYFUNCTION("IFERROR(VLOOKUP(A8038, IMPORTRANGE(""https://docs.google.com/spreadsheets/d/1-3Vjw2Cyy-mry5gbC8ypIR3YVGFfEpyFESummAta6sg/edit"", ""Sheet1!B:D""), 2, FALSE), ""Not Found"")"),"nɪbəlz")</f>
        <v>nɪbəlz</v>
      </c>
      <c r="E8038" s="2" t="str">
        <f>IFERROR(__xludf.DUMMYFUNCTION("IFERROR(VLOOKUP(A8038, IMPORTRANGE(""https://docs.google.com/spreadsheets/d/1-3Vjw2Cyy-mry5gbC8ypIR3YVGFfEpyFESummAta6sg/edit"", ""Sheet1!B:D""), 3, FALSE), ""Not Found"")"),"n ɪ b ə l z ")</f>
        <v>n ɪ b ə l z </v>
      </c>
    </row>
    <row r="8039">
      <c r="A8039" s="1" t="s">
        <v>8040</v>
      </c>
      <c r="B8039" s="1" t="s">
        <v>6138</v>
      </c>
      <c r="C8039" s="2">
        <f>IFERROR(__xludf.DUMMYFUNCTION("IFERROR(VLOOKUP(A8039, IMPORTRANGE(""https://docs.google.com/spreadsheets/d/1AVX9GT0dgogEBStecCXMMQ29tWz3gBrtNB8yIromXbY/edit?gid=741673867"", ""out1g!A:B""), 2, FALSE), 0)"),282.0)</f>
        <v>282</v>
      </c>
      <c r="D8039" s="2" t="str">
        <f>IFERROR(__xludf.DUMMYFUNCTION("IFERROR(VLOOKUP(A8039, IMPORTRANGE(""https://docs.google.com/spreadsheets/d/1-3Vjw2Cyy-mry5gbC8ypIR3YVGFfEpyFESummAta6sg/edit"", ""Sheet1!B:D""), 2, FALSE), ""Not Found"")"),"ʃətəl")</f>
        <v>ʃətəl</v>
      </c>
      <c r="E8039" s="2" t="str">
        <f>IFERROR(__xludf.DUMMYFUNCTION("IFERROR(VLOOKUP(A8039, IMPORTRANGE(""https://docs.google.com/spreadsheets/d/1-3Vjw2Cyy-mry5gbC8ypIR3YVGFfEpyFESummAta6sg/edit"", ""Sheet1!B:D""), 3, FALSE), ""Not Found"")"),"ʃ ə t ə l ")</f>
        <v>ʃ ə t ə l </v>
      </c>
    </row>
    <row r="8040">
      <c r="A8040" s="1" t="s">
        <v>8041</v>
      </c>
      <c r="B8040" s="1" t="s">
        <v>6138</v>
      </c>
      <c r="C8040" s="2">
        <f>IFERROR(__xludf.DUMMYFUNCTION("IFERROR(VLOOKUP(A8040, IMPORTRANGE(""https://docs.google.com/spreadsheets/d/1AVX9GT0dgogEBStecCXMMQ29tWz3gBrtNB8yIromXbY/edit?gid=741673867"", ""out1g!A:B""), 2, FALSE), 0)"),78.0)</f>
        <v>78</v>
      </c>
      <c r="D8040" s="2" t="str">
        <f>IFERROR(__xludf.DUMMYFUNCTION("IFERROR(VLOOKUP(A8040, IMPORTRANGE(""https://docs.google.com/spreadsheets/d/1-3Vjw2Cyy-mry5gbC8ypIR3YVGFfEpyFESummAta6sg/edit"", ""Sheet1!B:D""), 2, FALSE), ""Not Found"")"),"pɑrsən")</f>
        <v>pɑrsən</v>
      </c>
      <c r="E8040" s="2" t="str">
        <f>IFERROR(__xludf.DUMMYFUNCTION("IFERROR(VLOOKUP(A8040, IMPORTRANGE(""https://docs.google.com/spreadsheets/d/1-3Vjw2Cyy-mry5gbC8ypIR3YVGFfEpyFESummAta6sg/edit"", ""Sheet1!B:D""), 3, FALSE), ""Not Found"")"),"p ɑ r s ə n ")</f>
        <v>p ɑ r s ə n </v>
      </c>
    </row>
    <row r="8041">
      <c r="A8041" s="1" t="s">
        <v>8042</v>
      </c>
      <c r="B8041" s="1" t="s">
        <v>6138</v>
      </c>
      <c r="C8041" s="2">
        <f>IFERROR(__xludf.DUMMYFUNCTION("IFERROR(VLOOKUP(A8041, IMPORTRANGE(""https://docs.google.com/spreadsheets/d/1AVX9GT0dgogEBStecCXMMQ29tWz3gBrtNB8yIromXbY/edit?gid=741673867"", ""out1g!A:B""), 2, FALSE), 0)"),266.0)</f>
        <v>266</v>
      </c>
      <c r="D8041" s="2" t="str">
        <f>IFERROR(__xludf.DUMMYFUNCTION("IFERROR(VLOOKUP(A8041, IMPORTRANGE(""https://docs.google.com/spreadsheets/d/1-3Vjw2Cyy-mry5gbC8ypIR3YVGFfEpyFESummAta6sg/edit"", ""Sheet1!B:D""), 2, FALSE), ""Not Found"")"),"mɑrbəl")</f>
        <v>mɑrbəl</v>
      </c>
      <c r="E8041" s="2" t="str">
        <f>IFERROR(__xludf.DUMMYFUNCTION("IFERROR(VLOOKUP(A8041, IMPORTRANGE(""https://docs.google.com/spreadsheets/d/1-3Vjw2Cyy-mry5gbC8ypIR3YVGFfEpyFESummAta6sg/edit"", ""Sheet1!B:D""), 3, FALSE), ""Not Found"")"),"m ɑ r b ə l ")</f>
        <v>m ɑ r b ə l </v>
      </c>
    </row>
    <row r="8042">
      <c r="A8042" s="1" t="s">
        <v>8043</v>
      </c>
      <c r="B8042" s="1" t="s">
        <v>6138</v>
      </c>
      <c r="C8042" s="2">
        <f>IFERROR(__xludf.DUMMYFUNCTION("IFERROR(VLOOKUP(A8042, IMPORTRANGE(""https://docs.google.com/spreadsheets/d/1AVX9GT0dgogEBStecCXMMQ29tWz3gBrtNB8yIromXbY/edit?gid=741673867"", ""out1g!A:B""), 2, FALSE), 0)"),373.0)</f>
        <v>373</v>
      </c>
      <c r="D8042" s="2" t="str">
        <f>IFERROR(__xludf.DUMMYFUNCTION("IFERROR(VLOOKUP(A8042, IMPORTRANGE(""https://docs.google.com/spreadsheets/d/1-3Vjw2Cyy-mry5gbC8ypIR3YVGFfEpyFESummAta6sg/edit"", ""Sheet1!B:D""), 2, FALSE), ""Not Found"")"),"mɪsɪz")</f>
        <v>mɪsɪz</v>
      </c>
      <c r="E8042" s="2" t="str">
        <f>IFERROR(__xludf.DUMMYFUNCTION("IFERROR(VLOOKUP(A8042, IMPORTRANGE(""https://docs.google.com/spreadsheets/d/1-3Vjw2Cyy-mry5gbC8ypIR3YVGFfEpyFESummAta6sg/edit"", ""Sheet1!B:D""), 3, FALSE), ""Not Found"")"),"m ɪ s ɪ z ")</f>
        <v>m ɪ s ɪ z </v>
      </c>
    </row>
    <row r="8043">
      <c r="A8043" s="1" t="s">
        <v>8044</v>
      </c>
      <c r="B8043" s="1" t="s">
        <v>6138</v>
      </c>
      <c r="C8043" s="2">
        <f>IFERROR(__xludf.DUMMYFUNCTION("IFERROR(VLOOKUP(A8043, IMPORTRANGE(""https://docs.google.com/spreadsheets/d/1AVX9GT0dgogEBStecCXMMQ29tWz3gBrtNB8yIromXbY/edit?gid=741673867"", ""out1g!A:B""), 2, FALSE), 0)"),92.0)</f>
        <v>92</v>
      </c>
      <c r="D8043" s="2" t="str">
        <f>IFERROR(__xludf.DUMMYFUNCTION("IFERROR(VLOOKUP(A8043, IMPORTRANGE(""https://docs.google.com/spreadsheets/d/1-3Vjw2Cyy-mry5gbC8ypIR3YVGFfEpyFESummAta6sg/edit"", ""Sheet1!B:D""), 2, FALSE), ""Not Found"")"),"bəniz")</f>
        <v>bəniz</v>
      </c>
      <c r="E8043" s="2" t="str">
        <f>IFERROR(__xludf.DUMMYFUNCTION("IFERROR(VLOOKUP(A8043, IMPORTRANGE(""https://docs.google.com/spreadsheets/d/1-3Vjw2Cyy-mry5gbC8ypIR3YVGFfEpyFESummAta6sg/edit"", ""Sheet1!B:D""), 3, FALSE), ""Not Found"")"),"b ə n i z ")</f>
        <v>b ə n i z </v>
      </c>
    </row>
    <row r="8044">
      <c r="A8044" s="1" t="s">
        <v>8045</v>
      </c>
      <c r="B8044" s="1" t="s">
        <v>6138</v>
      </c>
      <c r="C8044" s="2">
        <f>IFERROR(__xludf.DUMMYFUNCTION("IFERROR(VLOOKUP(A8044, IMPORTRANGE(""https://docs.google.com/spreadsheets/d/1AVX9GT0dgogEBStecCXMMQ29tWz3gBrtNB8yIromXbY/edit?gid=741673867"", ""out1g!A:B""), 2, FALSE), 0)"),80.0)</f>
        <v>80</v>
      </c>
      <c r="D8044" s="2" t="str">
        <f>IFERROR(__xludf.DUMMYFUNCTION("IFERROR(VLOOKUP(A8044, IMPORTRANGE(""https://docs.google.com/spreadsheets/d/1-3Vjw2Cyy-mry5gbC8ypIR3YVGFfEpyFESummAta6sg/edit"", ""Sheet1!B:D""), 2, FALSE), ""Not Found"")"),"ændərz")</f>
        <v>ændərz</v>
      </c>
      <c r="E8044" s="2" t="str">
        <f>IFERROR(__xludf.DUMMYFUNCTION("IFERROR(VLOOKUP(A8044, IMPORTRANGE(""https://docs.google.com/spreadsheets/d/1-3Vjw2Cyy-mry5gbC8ypIR3YVGFfEpyFESummAta6sg/edit"", ""Sheet1!B:D""), 3, FALSE), ""Not Found"")"),"æ n d ə r z ")</f>
        <v>æ n d ə r z </v>
      </c>
    </row>
    <row r="8045">
      <c r="A8045" s="1" t="s">
        <v>8046</v>
      </c>
      <c r="B8045" s="1" t="s">
        <v>6138</v>
      </c>
      <c r="C8045" s="2">
        <f>IFERROR(__xludf.DUMMYFUNCTION("IFERROR(VLOOKUP(A8045, IMPORTRANGE(""https://docs.google.com/spreadsheets/d/1AVX9GT0dgogEBStecCXMMQ29tWz3gBrtNB8yIromXbY/edit?gid=741673867"", ""out1g!A:B""), 2, FALSE), 0)"),406.0)</f>
        <v>406</v>
      </c>
      <c r="D8045" s="2" t="str">
        <f>IFERROR(__xludf.DUMMYFUNCTION("IFERROR(VLOOKUP(A8045, IMPORTRANGE(""https://docs.google.com/spreadsheets/d/1-3Vjw2Cyy-mry5gbC8ypIR3YVGFfEpyFESummAta6sg/edit"", ""Sheet1!B:D""), 2, FALSE), ""Not Found"")"),"skɛrɪŋ")</f>
        <v>skɛrɪŋ</v>
      </c>
      <c r="E8045" s="2" t="str">
        <f>IFERROR(__xludf.DUMMYFUNCTION("IFERROR(VLOOKUP(A8045, IMPORTRANGE(""https://docs.google.com/spreadsheets/d/1-3Vjw2Cyy-mry5gbC8ypIR3YVGFfEpyFESummAta6sg/edit"", ""Sheet1!B:D""), 3, FALSE), ""Not Found"")"),"s k ɛ r ɪ ŋ ")</f>
        <v>s k ɛ r ɪ ŋ </v>
      </c>
    </row>
    <row r="8046">
      <c r="A8046" s="1" t="s">
        <v>8047</v>
      </c>
      <c r="B8046" s="1" t="s">
        <v>6138</v>
      </c>
      <c r="C8046" s="2">
        <f>IFERROR(__xludf.DUMMYFUNCTION("IFERROR(VLOOKUP(A8046, IMPORTRANGE(""https://docs.google.com/spreadsheets/d/1AVX9GT0dgogEBStecCXMMQ29tWz3gBrtNB8yIromXbY/edit?gid=741673867"", ""out1g!A:B""), 2, FALSE), 0)"),114.0)</f>
        <v>114</v>
      </c>
      <c r="D8046" s="2" t="str">
        <f>IFERROR(__xludf.DUMMYFUNCTION("IFERROR(VLOOKUP(A8046, IMPORTRANGE(""https://docs.google.com/spreadsheets/d/1-3Vjw2Cyy-mry5gbC8ypIR3YVGFfEpyFESummAta6sg/edit"", ""Sheet1!B:D""), 2, FALSE), ""Not Found"")"),"kɑnsoʊl")</f>
        <v>kɑnsoʊl</v>
      </c>
      <c r="E8046" s="2" t="str">
        <f>IFERROR(__xludf.DUMMYFUNCTION("IFERROR(VLOOKUP(A8046, IMPORTRANGE(""https://docs.google.com/spreadsheets/d/1-3Vjw2Cyy-mry5gbC8ypIR3YVGFfEpyFESummAta6sg/edit"", ""Sheet1!B:D""), 3, FALSE), ""Not Found"")"),"k ɑ n s o ʊ l ")</f>
        <v>k ɑ n s o ʊ l </v>
      </c>
    </row>
    <row r="8047">
      <c r="A8047" s="1" t="s">
        <v>8048</v>
      </c>
      <c r="B8047" s="1" t="s">
        <v>6138</v>
      </c>
      <c r="C8047" s="2">
        <f>IFERROR(__xludf.DUMMYFUNCTION("IFERROR(VLOOKUP(A8047, IMPORTRANGE(""https://docs.google.com/spreadsheets/d/1AVX9GT0dgogEBStecCXMMQ29tWz3gBrtNB8yIromXbY/edit?gid=741673867"", ""out1g!A:B""), 2, FALSE), 0)"),66.0)</f>
        <v>66</v>
      </c>
      <c r="D8047" s="2" t="str">
        <f>IFERROR(__xludf.DUMMYFUNCTION("IFERROR(VLOOKUP(A8047, IMPORTRANGE(""https://docs.google.com/spreadsheets/d/1-3Vjw2Cyy-mry5gbC8ypIR3YVGFfEpyFESummAta6sg/edit"", ""Sheet1!B:D""), 2, FALSE), ""Not Found"")"),"ræʃən")</f>
        <v>ræʃən</v>
      </c>
      <c r="E8047" s="2" t="str">
        <f>IFERROR(__xludf.DUMMYFUNCTION("IFERROR(VLOOKUP(A8047, IMPORTRANGE(""https://docs.google.com/spreadsheets/d/1-3Vjw2Cyy-mry5gbC8ypIR3YVGFfEpyFESummAta6sg/edit"", ""Sheet1!B:D""), 3, FALSE), ""Not Found"")"),"r æ ʃ ə n ")</f>
        <v>r æ ʃ ə n </v>
      </c>
    </row>
    <row r="8048">
      <c r="A8048" s="1" t="s">
        <v>8049</v>
      </c>
      <c r="B8048" s="1" t="s">
        <v>6138</v>
      </c>
      <c r="C8048" s="2">
        <f>IFERROR(__xludf.DUMMYFUNCTION("IFERROR(VLOOKUP(A8048, IMPORTRANGE(""https://docs.google.com/spreadsheets/d/1AVX9GT0dgogEBStecCXMMQ29tWz3gBrtNB8yIromXbY/edit?gid=741673867"", ""out1g!A:B""), 2, FALSE), 0)"),61.0)</f>
        <v>61</v>
      </c>
      <c r="D8048" s="2" t="str">
        <f>IFERROR(__xludf.DUMMYFUNCTION("IFERROR(VLOOKUP(A8048, IMPORTRANGE(""https://docs.google.com/spreadsheets/d/1-3Vjw2Cyy-mry5gbC8ypIR3YVGFfEpyFESummAta6sg/edit"", ""Sheet1!B:D""), 2, FALSE), ""Not Found"")"),"ɪʧɪz")</f>
        <v>ɪʧɪz</v>
      </c>
      <c r="E8048" s="2" t="str">
        <f>IFERROR(__xludf.DUMMYFUNCTION("IFERROR(VLOOKUP(A8048, IMPORTRANGE(""https://docs.google.com/spreadsheets/d/1-3Vjw2Cyy-mry5gbC8ypIR3YVGFfEpyFESummAta6sg/edit"", ""Sheet1!B:D""), 3, FALSE), ""Not Found"")"),"ɪ ʧ ɪ z ")</f>
        <v>ɪ ʧ ɪ z </v>
      </c>
    </row>
    <row r="8049">
      <c r="A8049" s="1" t="s">
        <v>8050</v>
      </c>
      <c r="B8049" s="1" t="s">
        <v>6138</v>
      </c>
      <c r="C8049" s="2">
        <f>IFERROR(__xludf.DUMMYFUNCTION("IFERROR(VLOOKUP(A8049, IMPORTRANGE(""https://docs.google.com/spreadsheets/d/1AVX9GT0dgogEBStecCXMMQ29tWz3gBrtNB8yIromXbY/edit?gid=741673867"", ""out1g!A:B""), 2, FALSE), 0)"),77.0)</f>
        <v>77</v>
      </c>
      <c r="D8049" s="2" t="str">
        <f>IFERROR(__xludf.DUMMYFUNCTION("IFERROR(VLOOKUP(A8049, IMPORTRANGE(""https://docs.google.com/spreadsheets/d/1-3Vjw2Cyy-mry5gbC8ypIR3YVGFfEpyFESummAta6sg/edit"", ""Sheet1!B:D""), 2, FALSE), ""Not Found"")"),"bɛndz")</f>
        <v>bɛndz</v>
      </c>
      <c r="E8049" s="2" t="str">
        <f>IFERROR(__xludf.DUMMYFUNCTION("IFERROR(VLOOKUP(A8049, IMPORTRANGE(""https://docs.google.com/spreadsheets/d/1-3Vjw2Cyy-mry5gbC8ypIR3YVGFfEpyFESummAta6sg/edit"", ""Sheet1!B:D""), 3, FALSE), ""Not Found"")"),"b ɛ n d z ")</f>
        <v>b ɛ n d z </v>
      </c>
    </row>
    <row r="8050">
      <c r="A8050" s="1" t="s">
        <v>8051</v>
      </c>
      <c r="B8050" s="1" t="s">
        <v>6138</v>
      </c>
      <c r="C8050" s="2">
        <f>IFERROR(__xludf.DUMMYFUNCTION("IFERROR(VLOOKUP(A8050, IMPORTRANGE(""https://docs.google.com/spreadsheets/d/1AVX9GT0dgogEBStecCXMMQ29tWz3gBrtNB8yIromXbY/edit?gid=741673867"", ""out1g!A:B""), 2, FALSE), 0)"),371.0)</f>
        <v>371</v>
      </c>
      <c r="D8050" s="2" t="str">
        <f>IFERROR(__xludf.DUMMYFUNCTION("IFERROR(VLOOKUP(A8050, IMPORTRANGE(""https://docs.google.com/spreadsheets/d/1-3Vjw2Cyy-mry5gbC8ypIR3YVGFfEpyFESummAta6sg/edit"", ""Sheet1!B:D""), 2, FALSE), ""Not Found"")"),"fɑloʊz")</f>
        <v>fɑloʊz</v>
      </c>
      <c r="E8050" s="2" t="str">
        <f>IFERROR(__xludf.DUMMYFUNCTION("IFERROR(VLOOKUP(A8050, IMPORTRANGE(""https://docs.google.com/spreadsheets/d/1-3Vjw2Cyy-mry5gbC8ypIR3YVGFfEpyFESummAta6sg/edit"", ""Sheet1!B:D""), 3, FALSE), ""Not Found"")"),"f ɑ l o ʊ z ")</f>
        <v>f ɑ l o ʊ z </v>
      </c>
    </row>
    <row r="8051">
      <c r="A8051" s="1" t="s">
        <v>8052</v>
      </c>
      <c r="B8051" s="1" t="s">
        <v>6138</v>
      </c>
      <c r="C8051" s="2">
        <f>IFERROR(__xludf.DUMMYFUNCTION("IFERROR(VLOOKUP(A8051, IMPORTRANGE(""https://docs.google.com/spreadsheets/d/1AVX9GT0dgogEBStecCXMMQ29tWz3gBrtNB8yIromXbY/edit?gid=741673867"", ""out1g!A:B""), 2, FALSE), 0)"),111.0)</f>
        <v>111</v>
      </c>
      <c r="D8051" s="2" t="str">
        <f>IFERROR(__xludf.DUMMYFUNCTION("IFERROR(VLOOKUP(A8051, IMPORTRANGE(""https://docs.google.com/spreadsheets/d/1-3Vjw2Cyy-mry5gbC8ypIR3YVGFfEpyFESummAta6sg/edit"", ""Sheet1!B:D""), 2, FALSE), ""Not Found"")"),"hədəl")</f>
        <v>hədəl</v>
      </c>
      <c r="E8051" s="2" t="str">
        <f>IFERROR(__xludf.DUMMYFUNCTION("IFERROR(VLOOKUP(A8051, IMPORTRANGE(""https://docs.google.com/spreadsheets/d/1-3Vjw2Cyy-mry5gbC8ypIR3YVGFfEpyFESummAta6sg/edit"", ""Sheet1!B:D""), 3, FALSE), ""Not Found"")"),"h ə d ə l ")</f>
        <v>h ə d ə l </v>
      </c>
    </row>
    <row r="8052">
      <c r="A8052" s="1" t="s">
        <v>8053</v>
      </c>
      <c r="B8052" s="1" t="s">
        <v>6138</v>
      </c>
      <c r="C8052" s="2">
        <f>IFERROR(__xludf.DUMMYFUNCTION("IFERROR(VLOOKUP(A8052, IMPORTRANGE(""https://docs.google.com/spreadsheets/d/1AVX9GT0dgogEBStecCXMMQ29tWz3gBrtNB8yIromXbY/edit?gid=741673867"", ""out1g!A:B""), 2, FALSE), 0)"),53.0)</f>
        <v>53</v>
      </c>
      <c r="D8052" s="2" t="str">
        <f>IFERROR(__xludf.DUMMYFUNCTION("IFERROR(VLOOKUP(A8052, IMPORTRANGE(""https://docs.google.com/spreadsheets/d/1-3Vjw2Cyy-mry5gbC8ypIR3YVGFfEpyFESummAta6sg/edit"", ""Sheet1!B:D""), 2, FALSE), ""Not Found"")"),"trəkɪŋ")</f>
        <v>trəkɪŋ</v>
      </c>
      <c r="E8052" s="2" t="str">
        <f>IFERROR(__xludf.DUMMYFUNCTION("IFERROR(VLOOKUP(A8052, IMPORTRANGE(""https://docs.google.com/spreadsheets/d/1-3Vjw2Cyy-mry5gbC8ypIR3YVGFfEpyFESummAta6sg/edit"", ""Sheet1!B:D""), 3, FALSE), ""Not Found"")"),"t r ə k ɪ ŋ ")</f>
        <v>t r ə k ɪ ŋ </v>
      </c>
    </row>
    <row r="8053">
      <c r="A8053" s="1" t="s">
        <v>8054</v>
      </c>
      <c r="B8053" s="1" t="s">
        <v>6138</v>
      </c>
      <c r="C8053" s="2">
        <f>IFERROR(__xludf.DUMMYFUNCTION("IFERROR(VLOOKUP(A8053, IMPORTRANGE(""https://docs.google.com/spreadsheets/d/1AVX9GT0dgogEBStecCXMMQ29tWz3gBrtNB8yIromXbY/edit?gid=741673867"", ""out1g!A:B""), 2, FALSE), 0)"),2207.0)</f>
        <v>2207</v>
      </c>
      <c r="D8053" s="2" t="str">
        <f>IFERROR(__xludf.DUMMYFUNCTION("IFERROR(VLOOKUP(A8053, IMPORTRANGE(""https://docs.google.com/spreadsheets/d/1-3Vjw2Cyy-mry5gbC8ypIR3YVGFfEpyFESummAta6sg/edit"", ""Sheet1!B:D""), 2, FALSE), ""Not Found"")"),"haɪdɪŋ")</f>
        <v>haɪdɪŋ</v>
      </c>
      <c r="E8053" s="2" t="str">
        <f>IFERROR(__xludf.DUMMYFUNCTION("IFERROR(VLOOKUP(A8053, IMPORTRANGE(""https://docs.google.com/spreadsheets/d/1-3Vjw2Cyy-mry5gbC8ypIR3YVGFfEpyFESummAta6sg/edit"", ""Sheet1!B:D""), 3, FALSE), ""Not Found"")"),"h a ɪ d ɪ ŋ ")</f>
        <v>h a ɪ d ɪ ŋ </v>
      </c>
    </row>
    <row r="8054">
      <c r="A8054" s="1" t="s">
        <v>8055</v>
      </c>
      <c r="B8054" s="1" t="s">
        <v>6138</v>
      </c>
      <c r="C8054" s="2">
        <f>IFERROR(__xludf.DUMMYFUNCTION("IFERROR(VLOOKUP(A8054, IMPORTRANGE(""https://docs.google.com/spreadsheets/d/1AVX9GT0dgogEBStecCXMMQ29tWz3gBrtNB8yIromXbY/edit?gid=741673867"", ""out1g!A:B""), 2, FALSE), 0)"),193.0)</f>
        <v>193</v>
      </c>
      <c r="D8054" s="2" t="str">
        <f>IFERROR(__xludf.DUMMYFUNCTION("IFERROR(VLOOKUP(A8054, IMPORTRANGE(""https://docs.google.com/spreadsheets/d/1-3Vjw2Cyy-mry5gbC8ypIR3YVGFfEpyFESummAta6sg/edit"", ""Sheet1!B:D""), 2, FALSE), ""Not Found"")"),"saʊndɪŋ")</f>
        <v>saʊndɪŋ</v>
      </c>
      <c r="E8054" s="2" t="str">
        <f>IFERROR(__xludf.DUMMYFUNCTION("IFERROR(VLOOKUP(A8054, IMPORTRANGE(""https://docs.google.com/spreadsheets/d/1-3Vjw2Cyy-mry5gbC8ypIR3YVGFfEpyFESummAta6sg/edit"", ""Sheet1!B:D""), 3, FALSE), ""Not Found"")"),"s a ʊ n d ɪ ŋ ")</f>
        <v>s a ʊ n d ɪ ŋ </v>
      </c>
    </row>
    <row r="8055">
      <c r="A8055" s="1" t="s">
        <v>8056</v>
      </c>
      <c r="B8055" s="1" t="s">
        <v>6138</v>
      </c>
      <c r="C8055" s="2">
        <f>IFERROR(__xludf.DUMMYFUNCTION("IFERROR(VLOOKUP(A8055, IMPORTRANGE(""https://docs.google.com/spreadsheets/d/1AVX9GT0dgogEBStecCXMMQ29tWz3gBrtNB8yIromXbY/edit?gid=741673867"", ""out1g!A:B""), 2, FALSE), 0)"),227.0)</f>
        <v>227</v>
      </c>
      <c r="D8055" s="2" t="str">
        <f>IFERROR(__xludf.DUMMYFUNCTION("IFERROR(VLOOKUP(A8055, IMPORTRANGE(""https://docs.google.com/spreadsheets/d/1-3Vjw2Cyy-mry5gbC8ypIR3YVGFfEpyFESummAta6sg/edit"", ""Sheet1!B:D""), 2, FALSE), ""Not Found"")"),"ʤoʊzi")</f>
        <v>ʤoʊzi</v>
      </c>
      <c r="E8055" s="2" t="str">
        <f>IFERROR(__xludf.DUMMYFUNCTION("IFERROR(VLOOKUP(A8055, IMPORTRANGE(""https://docs.google.com/spreadsheets/d/1-3Vjw2Cyy-mry5gbC8ypIR3YVGFfEpyFESummAta6sg/edit"", ""Sheet1!B:D""), 3, FALSE), ""Not Found"")"),"ʤ o ʊ z i ")</f>
        <v>ʤ o ʊ z i </v>
      </c>
    </row>
    <row r="8056">
      <c r="A8056" s="1" t="s">
        <v>8057</v>
      </c>
      <c r="B8056" s="1" t="s">
        <v>6138</v>
      </c>
      <c r="C8056" s="2">
        <f>IFERROR(__xludf.DUMMYFUNCTION("IFERROR(VLOOKUP(A8056, IMPORTRANGE(""https://docs.google.com/spreadsheets/d/1AVX9GT0dgogEBStecCXMMQ29tWz3gBrtNB8yIromXbY/edit?gid=741673867"", ""out1g!A:B""), 2, FALSE), 0)"),101.0)</f>
        <v>101</v>
      </c>
      <c r="D8056" s="2" t="str">
        <f>IFERROR(__xludf.DUMMYFUNCTION("IFERROR(VLOOKUP(A8056, IMPORTRANGE(""https://docs.google.com/spreadsheets/d/1-3Vjw2Cyy-mry5gbC8ypIR3YVGFfEpyFESummAta6sg/edit"", ""Sheet1!B:D""), 2, FALSE), ""Not Found"")"),"mɛsən")</f>
        <v>mɛsən</v>
      </c>
      <c r="E8056" s="2" t="str">
        <f>IFERROR(__xludf.DUMMYFUNCTION("IFERROR(VLOOKUP(A8056, IMPORTRANGE(""https://docs.google.com/spreadsheets/d/1-3Vjw2Cyy-mry5gbC8ypIR3YVGFfEpyFESummAta6sg/edit"", ""Sheet1!B:D""), 3, FALSE), ""Not Found"")"),"m ɛ s ə n ")</f>
        <v>m ɛ s ə n </v>
      </c>
    </row>
    <row r="8057">
      <c r="A8057" s="1" t="s">
        <v>8058</v>
      </c>
      <c r="B8057" s="1" t="s">
        <v>6138</v>
      </c>
      <c r="C8057" s="2">
        <f>IFERROR(__xludf.DUMMYFUNCTION("IFERROR(VLOOKUP(A8057, IMPORTRANGE(""https://docs.google.com/spreadsheets/d/1AVX9GT0dgogEBStecCXMMQ29tWz3gBrtNB8yIromXbY/edit?gid=741673867"", ""out1g!A:B""), 2, FALSE), 0)"),88.0)</f>
        <v>88</v>
      </c>
      <c r="D8057" s="2" t="str">
        <f>IFERROR(__xludf.DUMMYFUNCTION("IFERROR(VLOOKUP(A8057, IMPORTRANGE(""https://docs.google.com/spreadsheets/d/1-3Vjw2Cyy-mry5gbC8ypIR3YVGFfEpyFESummAta6sg/edit"", ""Sheet1!B:D""), 2, FALSE), ""Not Found"")"),"kraʊnd")</f>
        <v>kraʊnd</v>
      </c>
      <c r="E8057" s="2" t="str">
        <f>IFERROR(__xludf.DUMMYFUNCTION("IFERROR(VLOOKUP(A8057, IMPORTRANGE(""https://docs.google.com/spreadsheets/d/1-3Vjw2Cyy-mry5gbC8ypIR3YVGFfEpyFESummAta6sg/edit"", ""Sheet1!B:D""), 3, FALSE), ""Not Found"")"),"k r a ʊ n d ")</f>
        <v>k r a ʊ n d </v>
      </c>
    </row>
    <row r="8058">
      <c r="A8058" s="1" t="s">
        <v>8059</v>
      </c>
      <c r="B8058" s="1" t="s">
        <v>6138</v>
      </c>
      <c r="C8058" s="2">
        <f>IFERROR(__xludf.DUMMYFUNCTION("IFERROR(VLOOKUP(A8058, IMPORTRANGE(""https://docs.google.com/spreadsheets/d/1AVX9GT0dgogEBStecCXMMQ29tWz3gBrtNB8yIromXbY/edit?gid=741673867"", ""out1g!A:B""), 2, FALSE), 0)"),2239.0)</f>
        <v>2239</v>
      </c>
      <c r="D8058" s="2" t="str">
        <f>IFERROR(__xludf.DUMMYFUNCTION("IFERROR(VLOOKUP(A8058, IMPORTRANGE(""https://docs.google.com/spreadsheets/d/1-3Vjw2Cyy-mry5gbC8ypIR3YVGFfEpyFESummAta6sg/edit"", ""Sheet1!B:D""), 2, FALSE), ""Not Found"")"),"dɛsk")</f>
        <v>dɛsk</v>
      </c>
      <c r="E8058" s="2" t="str">
        <f>IFERROR(__xludf.DUMMYFUNCTION("IFERROR(VLOOKUP(A8058, IMPORTRANGE(""https://docs.google.com/spreadsheets/d/1-3Vjw2Cyy-mry5gbC8ypIR3YVGFfEpyFESummAta6sg/edit"", ""Sheet1!B:D""), 3, FALSE), ""Not Found"")"),"d ɛ s k ")</f>
        <v>d ɛ s k </v>
      </c>
    </row>
    <row r="8059">
      <c r="A8059" s="1" t="s">
        <v>8060</v>
      </c>
      <c r="B8059" s="1" t="s">
        <v>6138</v>
      </c>
      <c r="C8059" s="2">
        <f>IFERROR(__xludf.DUMMYFUNCTION("IFERROR(VLOOKUP(A8059, IMPORTRANGE(""https://docs.google.com/spreadsheets/d/1AVX9GT0dgogEBStecCXMMQ29tWz3gBrtNB8yIromXbY/edit?gid=741673867"", ""out1g!A:B""), 2, FALSE), 0)"),175.0)</f>
        <v>175</v>
      </c>
      <c r="D8059" s="2" t="str">
        <f>IFERROR(__xludf.DUMMYFUNCTION("IFERROR(VLOOKUP(A8059, IMPORTRANGE(""https://docs.google.com/spreadsheets/d/1-3Vjw2Cyy-mry5gbC8ypIR3YVGFfEpyFESummAta6sg/edit"", ""Sheet1!B:D""), 2, FALSE), ""Not Found"")"),"flægz")</f>
        <v>flægz</v>
      </c>
      <c r="E8059" s="2" t="str">
        <f>IFERROR(__xludf.DUMMYFUNCTION("IFERROR(VLOOKUP(A8059, IMPORTRANGE(""https://docs.google.com/spreadsheets/d/1-3Vjw2Cyy-mry5gbC8ypIR3YVGFfEpyFESummAta6sg/edit"", ""Sheet1!B:D""), 3, FALSE), ""Not Found"")"),"f l æ g z ")</f>
        <v>f l æ g z </v>
      </c>
    </row>
    <row r="8060">
      <c r="A8060" s="1" t="s">
        <v>8061</v>
      </c>
      <c r="B8060" s="1" t="s">
        <v>6138</v>
      </c>
      <c r="C8060" s="2">
        <f>IFERROR(__xludf.DUMMYFUNCTION("IFERROR(VLOOKUP(A8060, IMPORTRANGE(""https://docs.google.com/spreadsheets/d/1AVX9GT0dgogEBStecCXMMQ29tWz3gBrtNB8yIromXbY/edit?gid=741673867"", ""out1g!A:B""), 2, FALSE), 0)"),209.0)</f>
        <v>209</v>
      </c>
      <c r="D8060" s="2" t="str">
        <f>IFERROR(__xludf.DUMMYFUNCTION("IFERROR(VLOOKUP(A8060, IMPORTRANGE(""https://docs.google.com/spreadsheets/d/1-3Vjw2Cyy-mry5gbC8ypIR3YVGFfEpyFESummAta6sg/edit"", ""Sheet1!B:D""), 2, FALSE), ""Not Found"")"),"stənɪŋ")</f>
        <v>stənɪŋ</v>
      </c>
      <c r="E8060" s="2" t="str">
        <f>IFERROR(__xludf.DUMMYFUNCTION("IFERROR(VLOOKUP(A8060, IMPORTRANGE(""https://docs.google.com/spreadsheets/d/1-3Vjw2Cyy-mry5gbC8ypIR3YVGFfEpyFESummAta6sg/edit"", ""Sheet1!B:D""), 3, FALSE), ""Not Found"")"),"s t ə n ɪ ŋ ")</f>
        <v>s t ə n ɪ ŋ </v>
      </c>
    </row>
    <row r="8061">
      <c r="A8061" s="1" t="s">
        <v>8062</v>
      </c>
      <c r="B8061" s="1" t="s">
        <v>6138</v>
      </c>
      <c r="C8061" s="2">
        <f>IFERROR(__xludf.DUMMYFUNCTION("IFERROR(VLOOKUP(A8061, IMPORTRANGE(""https://docs.google.com/spreadsheets/d/1AVX9GT0dgogEBStecCXMMQ29tWz3gBrtNB8yIromXbY/edit?gid=741673867"", ""out1g!A:B""), 2, FALSE), 0)"),214.0)</f>
        <v>214</v>
      </c>
      <c r="D8061" s="2" t="str">
        <f>IFERROR(__xludf.DUMMYFUNCTION("IFERROR(VLOOKUP(A8061, IMPORTRANGE(""https://docs.google.com/spreadsheets/d/1-3Vjw2Cyy-mry5gbC8ypIR3YVGFfEpyFESummAta6sg/edit"", ""Sheet1!B:D""), 2, FALSE), ""Not Found"")"),"bɑmər")</f>
        <v>bɑmər</v>
      </c>
      <c r="E8061" s="2" t="str">
        <f>IFERROR(__xludf.DUMMYFUNCTION("IFERROR(VLOOKUP(A8061, IMPORTRANGE(""https://docs.google.com/spreadsheets/d/1-3Vjw2Cyy-mry5gbC8ypIR3YVGFfEpyFESummAta6sg/edit"", ""Sheet1!B:D""), 3, FALSE), ""Not Found"")"),"b ɑ m ə r ")</f>
        <v>b ɑ m ə r </v>
      </c>
    </row>
    <row r="8062">
      <c r="A8062" s="1" t="s">
        <v>8063</v>
      </c>
      <c r="B8062" s="1" t="s">
        <v>6138</v>
      </c>
      <c r="C8062" s="2">
        <f>IFERROR(__xludf.DUMMYFUNCTION("IFERROR(VLOOKUP(A8062, IMPORTRANGE(""https://docs.google.com/spreadsheets/d/1AVX9GT0dgogEBStecCXMMQ29tWz3gBrtNB8yIromXbY/edit?gid=741673867"", ""out1g!A:B""), 2, FALSE), 0)"),91.0)</f>
        <v>91</v>
      </c>
      <c r="D8062" s="2" t="str">
        <f>IFERROR(__xludf.DUMMYFUNCTION("IFERROR(VLOOKUP(A8062, IMPORTRANGE(""https://docs.google.com/spreadsheets/d/1-3Vjw2Cyy-mry5gbC8ypIR3YVGFfEpyFESummAta6sg/edit"", ""Sheet1!B:D""), 2, FALSE), ""Not Found"")"),"tɔkər")</f>
        <v>tɔkər</v>
      </c>
      <c r="E8062" s="2" t="str">
        <f>IFERROR(__xludf.DUMMYFUNCTION("IFERROR(VLOOKUP(A8062, IMPORTRANGE(""https://docs.google.com/spreadsheets/d/1-3Vjw2Cyy-mry5gbC8ypIR3YVGFfEpyFESummAta6sg/edit"", ""Sheet1!B:D""), 3, FALSE), ""Not Found"")"),"t ɔ k ə r ")</f>
        <v>t ɔ k ə r </v>
      </c>
    </row>
    <row r="8063">
      <c r="A8063" s="1" t="s">
        <v>8064</v>
      </c>
      <c r="B8063" s="1" t="s">
        <v>6138</v>
      </c>
      <c r="C8063" s="2">
        <f>IFERROR(__xludf.DUMMYFUNCTION("IFERROR(VLOOKUP(A8063, IMPORTRANGE(""https://docs.google.com/spreadsheets/d/1AVX9GT0dgogEBStecCXMMQ29tWz3gBrtNB8yIromXbY/edit?gid=741673867"", ""out1g!A:B""), 2, FALSE), 0)"),932.0)</f>
        <v>932</v>
      </c>
      <c r="D8063" s="2" t="str">
        <f>IFERROR(__xludf.DUMMYFUNCTION("IFERROR(VLOOKUP(A8063, IMPORTRANGE(""https://docs.google.com/spreadsheets/d/1-3Vjw2Cyy-mry5gbC8ypIR3YVGFfEpyFESummAta6sg/edit"", ""Sheet1!B:D""), 2, FALSE), ""Not Found"")"),"fɔrmər")</f>
        <v>fɔrmər</v>
      </c>
      <c r="E8063" s="2" t="str">
        <f>IFERROR(__xludf.DUMMYFUNCTION("IFERROR(VLOOKUP(A8063, IMPORTRANGE(""https://docs.google.com/spreadsheets/d/1-3Vjw2Cyy-mry5gbC8ypIR3YVGFfEpyFESummAta6sg/edit"", ""Sheet1!B:D""), 3, FALSE), ""Not Found"")"),"f ɔ r m ə r ")</f>
        <v>f ɔ r m ə r </v>
      </c>
    </row>
    <row r="8064">
      <c r="A8064" s="1" t="s">
        <v>8065</v>
      </c>
      <c r="B8064" s="1" t="s">
        <v>6138</v>
      </c>
      <c r="C8064" s="2">
        <f>IFERROR(__xludf.DUMMYFUNCTION("IFERROR(VLOOKUP(A8064, IMPORTRANGE(""https://docs.google.com/spreadsheets/d/1AVX9GT0dgogEBStecCXMMQ29tWz3gBrtNB8yIromXbY/edit?gid=741673867"", ""out1g!A:B""), 2, FALSE), 0)"),354.0)</f>
        <v>354</v>
      </c>
      <c r="D8064" s="2" t="str">
        <f>IFERROR(__xludf.DUMMYFUNCTION("IFERROR(VLOOKUP(A8064, IMPORTRANGE(""https://docs.google.com/spreadsheets/d/1-3Vjw2Cyy-mry5gbC8ypIR3YVGFfEpyFESummAta6sg/edit"", ""Sheet1!B:D""), 2, FALSE), ""Not Found"")"),"blemɪŋ")</f>
        <v>blemɪŋ</v>
      </c>
      <c r="E8064" s="2" t="str">
        <f>IFERROR(__xludf.DUMMYFUNCTION("IFERROR(VLOOKUP(A8064, IMPORTRANGE(""https://docs.google.com/spreadsheets/d/1-3Vjw2Cyy-mry5gbC8ypIR3YVGFfEpyFESummAta6sg/edit"", ""Sheet1!B:D""), 3, FALSE), ""Not Found"")"),"b l e m ɪ ŋ ")</f>
        <v>b l e m ɪ ŋ </v>
      </c>
    </row>
    <row r="8065">
      <c r="A8065" s="1" t="s">
        <v>8066</v>
      </c>
      <c r="B8065" s="1" t="s">
        <v>6138</v>
      </c>
      <c r="C8065" s="2">
        <f>IFERROR(__xludf.DUMMYFUNCTION("IFERROR(VLOOKUP(A8065, IMPORTRANGE(""https://docs.google.com/spreadsheets/d/1AVX9GT0dgogEBStecCXMMQ29tWz3gBrtNB8yIromXbY/edit?gid=741673867"", ""out1g!A:B""), 2, FALSE), 0)"),63.0)</f>
        <v>63</v>
      </c>
      <c r="D8065" s="2" t="str">
        <f>IFERROR(__xludf.DUMMYFUNCTION("IFERROR(VLOOKUP(A8065, IMPORTRANGE(""https://docs.google.com/spreadsheets/d/1-3Vjw2Cyy-mry5gbC8ypIR3YVGFfEpyFESummAta6sg/edit"", ""Sheet1!B:D""), 2, FALSE), ""Not Found"")"),"ɛŋgəl")</f>
        <v>ɛŋgəl</v>
      </c>
      <c r="E8065" s="2" t="str">
        <f>IFERROR(__xludf.DUMMYFUNCTION("IFERROR(VLOOKUP(A8065, IMPORTRANGE(""https://docs.google.com/spreadsheets/d/1-3Vjw2Cyy-mry5gbC8ypIR3YVGFfEpyFESummAta6sg/edit"", ""Sheet1!B:D""), 3, FALSE), ""Not Found"")"),"ɛ ŋ g ə l ")</f>
        <v>ɛ ŋ g ə l </v>
      </c>
    </row>
    <row r="8066">
      <c r="A8066" s="1" t="s">
        <v>8067</v>
      </c>
      <c r="B8066" s="1" t="s">
        <v>6138</v>
      </c>
      <c r="C8066" s="2">
        <f>IFERROR(__xludf.DUMMYFUNCTION("IFERROR(VLOOKUP(A8066, IMPORTRANGE(""https://docs.google.com/spreadsheets/d/1AVX9GT0dgogEBStecCXMMQ29tWz3gBrtNB8yIromXbY/edit?gid=741673867"", ""out1g!A:B""), 2, FALSE), 0)"),9858.0)</f>
        <v>9858</v>
      </c>
      <c r="D8066" s="2" t="str">
        <f>IFERROR(__xludf.DUMMYFUNCTION("IFERROR(VLOOKUP(A8066, IMPORTRANGE(""https://docs.google.com/spreadsheets/d/1-3Vjw2Cyy-mry5gbC8ypIR3YVGFfEpyFESummAta6sg/edit"", ""Sheet1!B:D""), 2, FALSE), ""Not Found"")"),"rizən")</f>
        <v>rizən</v>
      </c>
      <c r="E8066" s="2" t="str">
        <f>IFERROR(__xludf.DUMMYFUNCTION("IFERROR(VLOOKUP(A8066, IMPORTRANGE(""https://docs.google.com/spreadsheets/d/1-3Vjw2Cyy-mry5gbC8ypIR3YVGFfEpyFESummAta6sg/edit"", ""Sheet1!B:D""), 3, FALSE), ""Not Found"")"),"r i z ə n ")</f>
        <v>r i z ə n </v>
      </c>
    </row>
    <row r="8067">
      <c r="A8067" s="1" t="s">
        <v>8068</v>
      </c>
      <c r="B8067" s="1" t="s">
        <v>6138</v>
      </c>
      <c r="C8067" s="2">
        <f>IFERROR(__xludf.DUMMYFUNCTION("IFERROR(VLOOKUP(A8067, IMPORTRANGE(""https://docs.google.com/spreadsheets/d/1AVX9GT0dgogEBStecCXMMQ29tWz3gBrtNB8yIromXbY/edit?gid=741673867"", ""out1g!A:B""), 2, FALSE), 0)"),3634.0)</f>
        <v>3634</v>
      </c>
      <c r="D8067" s="2" t="str">
        <f>IFERROR(__xludf.DUMMYFUNCTION("IFERROR(VLOOKUP(A8067, IMPORTRANGE(""https://docs.google.com/spreadsheets/d/1-3Vjw2Cyy-mry5gbC8ypIR3YVGFfEpyFESummAta6sg/edit"", ""Sheet1!B:D""), 2, FALSE), ""Not Found"")"),"broʊkən")</f>
        <v>broʊkən</v>
      </c>
      <c r="E8067" s="2" t="str">
        <f>IFERROR(__xludf.DUMMYFUNCTION("IFERROR(VLOOKUP(A8067, IMPORTRANGE(""https://docs.google.com/spreadsheets/d/1-3Vjw2Cyy-mry5gbC8ypIR3YVGFfEpyFESummAta6sg/edit"", ""Sheet1!B:D""), 3, FALSE), ""Not Found"")"),"b r o ʊ k ə n ")</f>
        <v>b r o ʊ k ə n </v>
      </c>
    </row>
    <row r="8068">
      <c r="A8068" s="1" t="s">
        <v>8069</v>
      </c>
      <c r="B8068" s="1" t="s">
        <v>6138</v>
      </c>
      <c r="C8068" s="2">
        <f>IFERROR(__xludf.DUMMYFUNCTION("IFERROR(VLOOKUP(A8068, IMPORTRANGE(""https://docs.google.com/spreadsheets/d/1AVX9GT0dgogEBStecCXMMQ29tWz3gBrtNB8yIromXbY/edit?gid=741673867"", ""out1g!A:B""), 2, FALSE), 0)"),202.0)</f>
        <v>202</v>
      </c>
      <c r="D8068" s="2" t="str">
        <f>IFERROR(__xludf.DUMMYFUNCTION("IFERROR(VLOOKUP(A8068, IMPORTRANGE(""https://docs.google.com/spreadsheets/d/1-3Vjw2Cyy-mry5gbC8ypIR3YVGFfEpyFESummAta6sg/edit"", ""Sheet1!B:D""), 2, FALSE), ""Not Found"")"),"rɛnʧ")</f>
        <v>rɛnʧ</v>
      </c>
      <c r="E8068" s="2" t="str">
        <f>IFERROR(__xludf.DUMMYFUNCTION("IFERROR(VLOOKUP(A8068, IMPORTRANGE(""https://docs.google.com/spreadsheets/d/1-3Vjw2Cyy-mry5gbC8ypIR3YVGFfEpyFESummAta6sg/edit"", ""Sheet1!B:D""), 3, FALSE), ""Not Found"")"),"r ɛ n ʧ ")</f>
        <v>r ɛ n ʧ </v>
      </c>
    </row>
    <row r="8069">
      <c r="A8069" s="1" t="s">
        <v>8070</v>
      </c>
      <c r="B8069" s="1" t="s">
        <v>6138</v>
      </c>
      <c r="C8069" s="2">
        <f>IFERROR(__xludf.DUMMYFUNCTION("IFERROR(VLOOKUP(A8069, IMPORTRANGE(""https://docs.google.com/spreadsheets/d/1AVX9GT0dgogEBStecCXMMQ29tWz3gBrtNB8yIromXbY/edit?gid=741673867"", ""out1g!A:B""), 2, FALSE), 0)"),318.0)</f>
        <v>318</v>
      </c>
      <c r="D8069" s="2" t="str">
        <f>IFERROR(__xludf.DUMMYFUNCTION("IFERROR(VLOOKUP(A8069, IMPORTRANGE(""https://docs.google.com/spreadsheets/d/1-3Vjw2Cyy-mry5gbC8ypIR3YVGFfEpyFESummAta6sg/edit"", ""Sheet1!B:D""), 2, FALSE), ""Not Found"")"),"dɪfaɪn")</f>
        <v>dɪfaɪn</v>
      </c>
      <c r="E8069" s="2" t="str">
        <f>IFERROR(__xludf.DUMMYFUNCTION("IFERROR(VLOOKUP(A8069, IMPORTRANGE(""https://docs.google.com/spreadsheets/d/1-3Vjw2Cyy-mry5gbC8ypIR3YVGFfEpyFESummAta6sg/edit"", ""Sheet1!B:D""), 3, FALSE), ""Not Found"")"),"d ɪ f a ɪ n ")</f>
        <v>d ɪ f a ɪ n </v>
      </c>
    </row>
    <row r="8070">
      <c r="A8070" s="1" t="s">
        <v>8071</v>
      </c>
      <c r="B8070" s="1" t="s">
        <v>6138</v>
      </c>
      <c r="C8070" s="2">
        <f>IFERROR(__xludf.DUMMYFUNCTION("IFERROR(VLOOKUP(A8070, IMPORTRANGE(""https://docs.google.com/spreadsheets/d/1AVX9GT0dgogEBStecCXMMQ29tWz3gBrtNB8yIromXbY/edit?gid=741673867"", ""out1g!A:B""), 2, FALSE), 0)"),63.0)</f>
        <v>63</v>
      </c>
      <c r="D8070" s="2" t="str">
        <f>IFERROR(__xludf.DUMMYFUNCTION("IFERROR(VLOOKUP(A8070, IMPORTRANGE(""https://docs.google.com/spreadsheets/d/1-3Vjw2Cyy-mry5gbC8ypIR3YVGFfEpyFESummAta6sg/edit"", ""Sheet1!B:D""), 2, FALSE), ""Not Found"")"),"lɔr")</f>
        <v>lɔr</v>
      </c>
      <c r="E8070" s="2" t="str">
        <f>IFERROR(__xludf.DUMMYFUNCTION("IFERROR(VLOOKUP(A8070, IMPORTRANGE(""https://docs.google.com/spreadsheets/d/1-3Vjw2Cyy-mry5gbC8ypIR3YVGFfEpyFESummAta6sg/edit"", ""Sheet1!B:D""), 3, FALSE), ""Not Found"")"),"l ɔ r ")</f>
        <v>l ɔ r </v>
      </c>
    </row>
    <row r="8071">
      <c r="A8071" s="1" t="s">
        <v>8072</v>
      </c>
      <c r="B8071" s="1" t="s">
        <v>6138</v>
      </c>
      <c r="C8071" s="2">
        <f>IFERROR(__xludf.DUMMYFUNCTION("IFERROR(VLOOKUP(A8071, IMPORTRANGE(""https://docs.google.com/spreadsheets/d/1AVX9GT0dgogEBStecCXMMQ29tWz3gBrtNB8yIromXbY/edit?gid=741673867"", ""out1g!A:B""), 2, FALSE), 0)"),456.0)</f>
        <v>456</v>
      </c>
      <c r="D8071" s="2" t="str">
        <f>IFERROR(__xludf.DUMMYFUNCTION("IFERROR(VLOOKUP(A8071, IMPORTRANGE(""https://docs.google.com/spreadsheets/d/1-3Vjw2Cyy-mry5gbC8ypIR3YVGFfEpyFESummAta6sg/edit"", ""Sheet1!B:D""), 2, FALSE), ""Not Found"")"),"ɛriəz")</f>
        <v>ɛriəz</v>
      </c>
      <c r="E8071" s="2" t="str">
        <f>IFERROR(__xludf.DUMMYFUNCTION("IFERROR(VLOOKUP(A8071, IMPORTRANGE(""https://docs.google.com/spreadsheets/d/1-3Vjw2Cyy-mry5gbC8ypIR3YVGFfEpyFESummAta6sg/edit"", ""Sheet1!B:D""), 3, FALSE), ""Not Found"")"),"ɛ r i ə z ")</f>
        <v>ɛ r i ə z </v>
      </c>
    </row>
    <row r="8072">
      <c r="A8072" s="1" t="s">
        <v>8073</v>
      </c>
      <c r="B8072" s="1" t="s">
        <v>6138</v>
      </c>
      <c r="C8072" s="2">
        <f>IFERROR(__xludf.DUMMYFUNCTION("IFERROR(VLOOKUP(A8072, IMPORTRANGE(""https://docs.google.com/spreadsheets/d/1AVX9GT0dgogEBStecCXMMQ29tWz3gBrtNB8yIromXbY/edit?gid=741673867"", ""out1g!A:B""), 2, FALSE), 0)"),1160.0)</f>
        <v>1160</v>
      </c>
      <c r="D8072" s="2" t="str">
        <f>IFERROR(__xludf.DUMMYFUNCTION("IFERROR(VLOOKUP(A8072, IMPORTRANGE(""https://docs.google.com/spreadsheets/d/1-3Vjw2Cyy-mry5gbC8ypIR3YVGFfEpyFESummAta6sg/edit"", ""Sheet1!B:D""), 2, FALSE), ""Not Found"")"),"bitɪŋ")</f>
        <v>bitɪŋ</v>
      </c>
      <c r="E8072" s="2" t="str">
        <f>IFERROR(__xludf.DUMMYFUNCTION("IFERROR(VLOOKUP(A8072, IMPORTRANGE(""https://docs.google.com/spreadsheets/d/1-3Vjw2Cyy-mry5gbC8ypIR3YVGFfEpyFESummAta6sg/edit"", ""Sheet1!B:D""), 3, FALSE), ""Not Found"")"),"b i t ɪ ŋ ")</f>
        <v>b i t ɪ ŋ </v>
      </c>
    </row>
    <row r="8073">
      <c r="A8073" s="1" t="s">
        <v>8074</v>
      </c>
      <c r="B8073" s="1" t="s">
        <v>6138</v>
      </c>
      <c r="C8073" s="2">
        <f>IFERROR(__xludf.DUMMYFUNCTION("IFERROR(VLOOKUP(A8073, IMPORTRANGE(""https://docs.google.com/spreadsheets/d/1AVX9GT0dgogEBStecCXMMQ29tWz3gBrtNB8yIromXbY/edit?gid=741673867"", ""out1g!A:B""), 2, FALSE), 0)"),216.0)</f>
        <v>216</v>
      </c>
      <c r="D8073" s="2" t="str">
        <f>IFERROR(__xludf.DUMMYFUNCTION("IFERROR(VLOOKUP(A8073, IMPORTRANGE(""https://docs.google.com/spreadsheets/d/1-3Vjw2Cyy-mry5gbC8ypIR3YVGFfEpyFESummAta6sg/edit"", ""Sheet1!B:D""), 2, FALSE), ""Not Found"")"),"ənjən")</f>
        <v>ənjən</v>
      </c>
      <c r="E8073" s="2" t="str">
        <f>IFERROR(__xludf.DUMMYFUNCTION("IFERROR(VLOOKUP(A8073, IMPORTRANGE(""https://docs.google.com/spreadsheets/d/1-3Vjw2Cyy-mry5gbC8ypIR3YVGFfEpyFESummAta6sg/edit"", ""Sheet1!B:D""), 3, FALSE), ""Not Found"")"),"ə n j ə n ")</f>
        <v>ə n j ə n </v>
      </c>
    </row>
    <row r="8074">
      <c r="A8074" s="1" t="s">
        <v>8075</v>
      </c>
      <c r="B8074" s="1" t="s">
        <v>6138</v>
      </c>
      <c r="C8074" s="2">
        <f>IFERROR(__xludf.DUMMYFUNCTION("IFERROR(VLOOKUP(A8074, IMPORTRANGE(""https://docs.google.com/spreadsheets/d/1AVX9GT0dgogEBStecCXMMQ29tWz3gBrtNB8yIromXbY/edit?gid=741673867"", ""out1g!A:B""), 2, FALSE), 0)"),310.0)</f>
        <v>310</v>
      </c>
      <c r="D8074" s="2" t="str">
        <f>IFERROR(__xludf.DUMMYFUNCTION("IFERROR(VLOOKUP(A8074, IMPORTRANGE(""https://docs.google.com/spreadsheets/d/1-3Vjw2Cyy-mry5gbC8ypIR3YVGFfEpyFESummAta6sg/edit"", ""Sheet1!B:D""), 2, FALSE), ""Not Found"")"),"fɪkʃən")</f>
        <v>fɪkʃən</v>
      </c>
      <c r="E8074" s="2" t="str">
        <f>IFERROR(__xludf.DUMMYFUNCTION("IFERROR(VLOOKUP(A8074, IMPORTRANGE(""https://docs.google.com/spreadsheets/d/1-3Vjw2Cyy-mry5gbC8ypIR3YVGFfEpyFESummAta6sg/edit"", ""Sheet1!B:D""), 3, FALSE), ""Not Found"")"),"f ɪ k ʃ ə n ")</f>
        <v>f ɪ k ʃ ə n </v>
      </c>
    </row>
    <row r="8075">
      <c r="A8075" s="1" t="s">
        <v>8076</v>
      </c>
      <c r="B8075" s="1" t="s">
        <v>6138</v>
      </c>
      <c r="C8075" s="2">
        <f>IFERROR(__xludf.DUMMYFUNCTION("IFERROR(VLOOKUP(A8075, IMPORTRANGE(""https://docs.google.com/spreadsheets/d/1AVX9GT0dgogEBStecCXMMQ29tWz3gBrtNB8yIromXbY/edit?gid=741673867"", ""out1g!A:B""), 2, FALSE), 0)"),70.0)</f>
        <v>70</v>
      </c>
      <c r="D8075" s="2" t="str">
        <f>IFERROR(__xludf.DUMMYFUNCTION("IFERROR(VLOOKUP(A8075, IMPORTRANGE(""https://docs.google.com/spreadsheets/d/1-3Vjw2Cyy-mry5gbC8ypIR3YVGFfEpyFESummAta6sg/edit"", ""Sheet1!B:D""), 2, FALSE), ""Not Found"")"),"θəmpər")</f>
        <v>θəmpər</v>
      </c>
      <c r="E8075" s="2" t="str">
        <f>IFERROR(__xludf.DUMMYFUNCTION("IFERROR(VLOOKUP(A8075, IMPORTRANGE(""https://docs.google.com/spreadsheets/d/1-3Vjw2Cyy-mry5gbC8ypIR3YVGFfEpyFESummAta6sg/edit"", ""Sheet1!B:D""), 3, FALSE), ""Not Found"")"),"θ ə m p ə r ")</f>
        <v>θ ə m p ə r </v>
      </c>
    </row>
    <row r="8076">
      <c r="A8076" s="1" t="s">
        <v>8077</v>
      </c>
      <c r="B8076" s="1" t="s">
        <v>6138</v>
      </c>
      <c r="C8076" s="2">
        <f>IFERROR(__xludf.DUMMYFUNCTION("IFERROR(VLOOKUP(A8076, IMPORTRANGE(""https://docs.google.com/spreadsheets/d/1AVX9GT0dgogEBStecCXMMQ29tWz3gBrtNB8yIromXbY/edit?gid=741673867"", ""out1g!A:B""), 2, FALSE), 0)"),1325.0)</f>
        <v>1325</v>
      </c>
      <c r="D8076" s="2" t="str">
        <f>IFERROR(__xludf.DUMMYFUNCTION("IFERROR(VLOOKUP(A8076, IMPORTRANGE(""https://docs.google.com/spreadsheets/d/1-3Vjw2Cyy-mry5gbC8ypIR3YVGFfEpyFESummAta6sg/edit"", ""Sheet1!B:D""), 2, FALSE), ""Not Found"")"),"pæsɪŋ")</f>
        <v>pæsɪŋ</v>
      </c>
      <c r="E8076" s="2" t="str">
        <f>IFERROR(__xludf.DUMMYFUNCTION("IFERROR(VLOOKUP(A8076, IMPORTRANGE(""https://docs.google.com/spreadsheets/d/1-3Vjw2Cyy-mry5gbC8ypIR3YVGFfEpyFESummAta6sg/edit"", ""Sheet1!B:D""), 3, FALSE), ""Not Found"")"),"p æ s ɪ ŋ ")</f>
        <v>p æ s ɪ ŋ </v>
      </c>
    </row>
    <row r="8077">
      <c r="A8077" s="1" t="s">
        <v>8078</v>
      </c>
      <c r="B8077" s="1" t="s">
        <v>6138</v>
      </c>
      <c r="C8077" s="2">
        <f>IFERROR(__xludf.DUMMYFUNCTION("IFERROR(VLOOKUP(A8077, IMPORTRANGE(""https://docs.google.com/spreadsheets/d/1AVX9GT0dgogEBStecCXMMQ29tWz3gBrtNB8yIromXbY/edit?gid=741673867"", ""out1g!A:B""), 2, FALSE), 0)"),328.0)</f>
        <v>328</v>
      </c>
      <c r="D8077" s="2" t="str">
        <f>IFERROR(__xludf.DUMMYFUNCTION("IFERROR(VLOOKUP(A8077, IMPORTRANGE(""https://docs.google.com/spreadsheets/d/1-3Vjw2Cyy-mry5gbC8ypIR3YVGFfEpyFESummAta6sg/edit"", ""Sheet1!B:D""), 2, FALSE), ""Not Found"")"),"ræbəts")</f>
        <v>ræbəts</v>
      </c>
      <c r="E8077" s="2" t="str">
        <f>IFERROR(__xludf.DUMMYFUNCTION("IFERROR(VLOOKUP(A8077, IMPORTRANGE(""https://docs.google.com/spreadsheets/d/1-3Vjw2Cyy-mry5gbC8ypIR3YVGFfEpyFESummAta6sg/edit"", ""Sheet1!B:D""), 3, FALSE), ""Not Found"")"),"r æ b ə t s ")</f>
        <v>r æ b ə t s </v>
      </c>
    </row>
    <row r="8078">
      <c r="A8078" s="1" t="s">
        <v>8079</v>
      </c>
      <c r="B8078" s="1" t="s">
        <v>6138</v>
      </c>
      <c r="C8078" s="2">
        <f>IFERROR(__xludf.DUMMYFUNCTION("IFERROR(VLOOKUP(A8078, IMPORTRANGE(""https://docs.google.com/spreadsheets/d/1AVX9GT0dgogEBStecCXMMQ29tWz3gBrtNB8yIromXbY/edit?gid=741673867"", ""out1g!A:B""), 2, FALSE), 0)"),57.0)</f>
        <v>57</v>
      </c>
      <c r="D8078" s="2" t="str">
        <f>IFERROR(__xludf.DUMMYFUNCTION("IFERROR(VLOOKUP(A8078, IMPORTRANGE(""https://docs.google.com/spreadsheets/d/1-3Vjw2Cyy-mry5gbC8ypIR3YVGFfEpyFESummAta6sg/edit"", ""Sheet1!B:D""), 2, FALSE), ""Not Found"")"),"lu")</f>
        <v>lu</v>
      </c>
      <c r="E8078" s="2" t="str">
        <f>IFERROR(__xludf.DUMMYFUNCTION("IFERROR(VLOOKUP(A8078, IMPORTRANGE(""https://docs.google.com/spreadsheets/d/1-3Vjw2Cyy-mry5gbC8ypIR3YVGFfEpyFESummAta6sg/edit"", ""Sheet1!B:D""), 3, FALSE), ""Not Found"")"),"l u ")</f>
        <v>l u </v>
      </c>
    </row>
    <row r="8079">
      <c r="A8079" s="1" t="s">
        <v>8080</v>
      </c>
      <c r="B8079" s="1" t="s">
        <v>6138</v>
      </c>
      <c r="C8079" s="2">
        <f>IFERROR(__xludf.DUMMYFUNCTION("IFERROR(VLOOKUP(A8079, IMPORTRANGE(""https://docs.google.com/spreadsheets/d/1AVX9GT0dgogEBStecCXMMQ29tWz3gBrtNB8yIromXbY/edit?gid=741673867"", ""out1g!A:B""), 2, FALSE), 0)"),3589.0)</f>
        <v>3589</v>
      </c>
      <c r="D8079" s="2" t="str">
        <f>IFERROR(__xludf.DUMMYFUNCTION("IFERROR(VLOOKUP(A8079, IMPORTRANGE(""https://docs.google.com/spreadsheets/d/1-3Vjw2Cyy-mry5gbC8ypIR3YVGFfEpyFESummAta6sg/edit"", ""Sheet1!B:D""), 2, FALSE), ""Not Found"")"),"nɔrməl")</f>
        <v>nɔrməl</v>
      </c>
      <c r="E8079" s="2" t="str">
        <f>IFERROR(__xludf.DUMMYFUNCTION("IFERROR(VLOOKUP(A8079, IMPORTRANGE(""https://docs.google.com/spreadsheets/d/1-3Vjw2Cyy-mry5gbC8ypIR3YVGFfEpyFESummAta6sg/edit"", ""Sheet1!B:D""), 3, FALSE), ""Not Found"")"),"n ɔ r m ə l ")</f>
        <v>n ɔ r m ə l </v>
      </c>
    </row>
    <row r="8080">
      <c r="A8080" s="1" t="s">
        <v>8081</v>
      </c>
      <c r="B8080" s="1" t="s">
        <v>6138</v>
      </c>
      <c r="C8080" s="2">
        <f>IFERROR(__xludf.DUMMYFUNCTION("IFERROR(VLOOKUP(A8080, IMPORTRANGE(""https://docs.google.com/spreadsheets/d/1AVX9GT0dgogEBStecCXMMQ29tWz3gBrtNB8yIromXbY/edit?gid=741673867"", ""out1g!A:B""), 2, FALSE), 0)"),156.0)</f>
        <v>156</v>
      </c>
      <c r="D8080" s="2" t="str">
        <f>IFERROR(__xludf.DUMMYFUNCTION("IFERROR(VLOOKUP(A8080, IMPORTRANGE(""https://docs.google.com/spreadsheets/d/1-3Vjw2Cyy-mry5gbC8ypIR3YVGFfEpyFESummAta6sg/edit"", ""Sheet1!B:D""), 2, FALSE), ""Not Found"")"),"sɛtəlz")</f>
        <v>sɛtəlz</v>
      </c>
      <c r="E8080" s="2" t="str">
        <f>IFERROR(__xludf.DUMMYFUNCTION("IFERROR(VLOOKUP(A8080, IMPORTRANGE(""https://docs.google.com/spreadsheets/d/1-3Vjw2Cyy-mry5gbC8ypIR3YVGFfEpyFESummAta6sg/edit"", ""Sheet1!B:D""), 3, FALSE), ""Not Found"")"),"s ɛ t ə l z ")</f>
        <v>s ɛ t ə l z </v>
      </c>
    </row>
    <row r="8081">
      <c r="A8081" s="1" t="s">
        <v>8082</v>
      </c>
      <c r="B8081" s="1" t="s">
        <v>6138</v>
      </c>
      <c r="C8081" s="2">
        <f>IFERROR(__xludf.DUMMYFUNCTION("IFERROR(VLOOKUP(A8081, IMPORTRANGE(""https://docs.google.com/spreadsheets/d/1AVX9GT0dgogEBStecCXMMQ29tWz3gBrtNB8yIromXbY/edit?gid=741673867"", ""out1g!A:B""), 2, FALSE), 0)"),617.0)</f>
        <v>617</v>
      </c>
      <c r="D8081" s="2" t="str">
        <f>IFERROR(__xludf.DUMMYFUNCTION("IFERROR(VLOOKUP(A8081, IMPORTRANGE(""https://docs.google.com/spreadsheets/d/1-3Vjw2Cyy-mry5gbC8ypIR3YVGFfEpyFESummAta6sg/edit"", ""Sheet1!B:D""), 2, FALSE), ""Not Found"")"),"kju")</f>
        <v>kju</v>
      </c>
      <c r="E8081" s="2" t="str">
        <f>IFERROR(__xludf.DUMMYFUNCTION("IFERROR(VLOOKUP(A8081, IMPORTRANGE(""https://docs.google.com/spreadsheets/d/1-3Vjw2Cyy-mry5gbC8ypIR3YVGFfEpyFESummAta6sg/edit"", ""Sheet1!B:D""), 3, FALSE), ""Not Found"")"),"k j u ")</f>
        <v>k j u </v>
      </c>
    </row>
    <row r="8082">
      <c r="A8082" s="1" t="s">
        <v>8083</v>
      </c>
      <c r="B8082" s="1" t="s">
        <v>6138</v>
      </c>
      <c r="C8082" s="2">
        <f>IFERROR(__xludf.DUMMYFUNCTION("IFERROR(VLOOKUP(A8082, IMPORTRANGE(""https://docs.google.com/spreadsheets/d/1AVX9GT0dgogEBStecCXMMQ29tWz3gBrtNB8yIromXbY/edit?gid=741673867"", ""out1g!A:B""), 2, FALSE), 0)"),17.0)</f>
        <v>17</v>
      </c>
      <c r="D8082" s="2" t="str">
        <f>IFERROR(__xludf.DUMMYFUNCTION("IFERROR(VLOOKUP(A8082, IMPORTRANGE(""https://docs.google.com/spreadsheets/d/1-3Vjw2Cyy-mry5gbC8ypIR3YVGFfEpyFESummAta6sg/edit"", ""Sheet1!B:D""), 2, FALSE), ""Not Found"")"),"fents")</f>
        <v>fents</v>
      </c>
      <c r="E8082" s="2" t="str">
        <f>IFERROR(__xludf.DUMMYFUNCTION("IFERROR(VLOOKUP(A8082, IMPORTRANGE(""https://docs.google.com/spreadsheets/d/1-3Vjw2Cyy-mry5gbC8ypIR3YVGFfEpyFESummAta6sg/edit"", ""Sheet1!B:D""), 3, FALSE), ""Not Found"")"),"f e n t s ")</f>
        <v>f e n t s </v>
      </c>
    </row>
    <row r="8083">
      <c r="A8083" s="1" t="s">
        <v>8084</v>
      </c>
      <c r="B8083" s="1" t="s">
        <v>6138</v>
      </c>
      <c r="C8083" s="2">
        <f>IFERROR(__xludf.DUMMYFUNCTION("IFERROR(VLOOKUP(A8083, IMPORTRANGE(""https://docs.google.com/spreadsheets/d/1AVX9GT0dgogEBStecCXMMQ29tWz3gBrtNB8yIromXbY/edit?gid=741673867"", ""out1g!A:B""), 2, FALSE), 0)"),121.0)</f>
        <v>121</v>
      </c>
      <c r="D8083" s="2" t="str">
        <f>IFERROR(__xludf.DUMMYFUNCTION("IFERROR(VLOOKUP(A8083, IMPORTRANGE(""https://docs.google.com/spreadsheets/d/1-3Vjw2Cyy-mry5gbC8ypIR3YVGFfEpyFESummAta6sg/edit"", ""Sheet1!B:D""), 2, FALSE), ""Not Found"")"),"lu")</f>
        <v>lu</v>
      </c>
      <c r="E8083" s="2" t="str">
        <f>IFERROR(__xludf.DUMMYFUNCTION("IFERROR(VLOOKUP(A8083, IMPORTRANGE(""https://docs.google.com/spreadsheets/d/1-3Vjw2Cyy-mry5gbC8ypIR3YVGFfEpyFESummAta6sg/edit"", ""Sheet1!B:D""), 3, FALSE), ""Not Found"")"),"l u ")</f>
        <v>l u </v>
      </c>
    </row>
    <row r="8084">
      <c r="A8084" s="1" t="s">
        <v>8085</v>
      </c>
      <c r="B8084" s="1" t="s">
        <v>6138</v>
      </c>
      <c r="C8084" s="2">
        <f>IFERROR(__xludf.DUMMYFUNCTION("IFERROR(VLOOKUP(A8084, IMPORTRANGE(""https://docs.google.com/spreadsheets/d/1AVX9GT0dgogEBStecCXMMQ29tWz3gBrtNB8yIromXbY/edit?gid=741673867"", ""out1g!A:B""), 2, FALSE), 0)"),159.0)</f>
        <v>159</v>
      </c>
      <c r="D8084" s="2" t="str">
        <f>IFERROR(__xludf.DUMMYFUNCTION("IFERROR(VLOOKUP(A8084, IMPORTRANGE(""https://docs.google.com/spreadsheets/d/1-3Vjw2Cyy-mry5gbC8ypIR3YVGFfEpyFESummAta6sg/edit"", ""Sheet1!B:D""), 2, FALSE), ""Not Found"")"),"spɔrtɪŋ")</f>
        <v>spɔrtɪŋ</v>
      </c>
      <c r="E8084" s="2" t="str">
        <f>IFERROR(__xludf.DUMMYFUNCTION("IFERROR(VLOOKUP(A8084, IMPORTRANGE(""https://docs.google.com/spreadsheets/d/1-3Vjw2Cyy-mry5gbC8ypIR3YVGFfEpyFESummAta6sg/edit"", ""Sheet1!B:D""), 3, FALSE), ""Not Found"")"),"s p ɔ r t ɪ ŋ ")</f>
        <v>s p ɔ r t ɪ ŋ </v>
      </c>
    </row>
    <row r="8085">
      <c r="A8085" s="1" t="s">
        <v>8086</v>
      </c>
      <c r="B8085" s="1" t="s">
        <v>6138</v>
      </c>
      <c r="C8085" s="2">
        <f>IFERROR(__xludf.DUMMYFUNCTION("IFERROR(VLOOKUP(A8085, IMPORTRANGE(""https://docs.google.com/spreadsheets/d/1AVX9GT0dgogEBStecCXMMQ29tWz3gBrtNB8yIromXbY/edit?gid=741673867"", ""out1g!A:B""), 2, FALSE), 0)"),49.0)</f>
        <v>49</v>
      </c>
      <c r="D8085" s="2" t="str">
        <f>IFERROR(__xludf.DUMMYFUNCTION("IFERROR(VLOOKUP(A8085, IMPORTRANGE(""https://docs.google.com/spreadsheets/d/1-3Vjw2Cyy-mry5gbC8ypIR3YVGFfEpyFESummAta6sg/edit"", ""Sheet1!B:D""), 2, FALSE), ""Not Found"")"),"brudɪŋ")</f>
        <v>brudɪŋ</v>
      </c>
      <c r="E8085" s="2" t="str">
        <f>IFERROR(__xludf.DUMMYFUNCTION("IFERROR(VLOOKUP(A8085, IMPORTRANGE(""https://docs.google.com/spreadsheets/d/1-3Vjw2Cyy-mry5gbC8ypIR3YVGFfEpyFESummAta6sg/edit"", ""Sheet1!B:D""), 3, FALSE), ""Not Found"")"),"b r u d ɪ ŋ ")</f>
        <v>b r u d ɪ ŋ </v>
      </c>
    </row>
    <row r="8086">
      <c r="A8086" s="1" t="s">
        <v>8087</v>
      </c>
      <c r="B8086" s="1" t="s">
        <v>6138</v>
      </c>
      <c r="C8086" s="2">
        <f>IFERROR(__xludf.DUMMYFUNCTION("IFERROR(VLOOKUP(A8086, IMPORTRANGE(""https://docs.google.com/spreadsheets/d/1AVX9GT0dgogEBStecCXMMQ29tWz3gBrtNB8yIromXbY/edit?gid=741673867"", ""out1g!A:B""), 2, FALSE), 0)"),156.0)</f>
        <v>156</v>
      </c>
      <c r="D8086" s="2" t="str">
        <f>IFERROR(__xludf.DUMMYFUNCTION("IFERROR(VLOOKUP(A8086, IMPORTRANGE(""https://docs.google.com/spreadsheets/d/1-3Vjw2Cyy-mry5gbC8ypIR3YVGFfEpyFESummAta6sg/edit"", ""Sheet1!B:D""), 2, FALSE), ""Not Found"")"),"səraʊnd")</f>
        <v>səraʊnd</v>
      </c>
      <c r="E8086" s="2" t="str">
        <f>IFERROR(__xludf.DUMMYFUNCTION("IFERROR(VLOOKUP(A8086, IMPORTRANGE(""https://docs.google.com/spreadsheets/d/1-3Vjw2Cyy-mry5gbC8ypIR3YVGFfEpyFESummAta6sg/edit"", ""Sheet1!B:D""), 3, FALSE), ""Not Found"")"),"s ə r a ʊ n d ")</f>
        <v>s ə r a ʊ n d </v>
      </c>
    </row>
    <row r="8087">
      <c r="A8087" s="1" t="s">
        <v>8088</v>
      </c>
      <c r="B8087" s="1" t="s">
        <v>6138</v>
      </c>
      <c r="C8087" s="2">
        <f>IFERROR(__xludf.DUMMYFUNCTION("IFERROR(VLOOKUP(A8087, IMPORTRANGE(""https://docs.google.com/spreadsheets/d/1AVX9GT0dgogEBStecCXMMQ29tWz3gBrtNB8yIromXbY/edit?gid=741673867"", ""out1g!A:B""), 2, FALSE), 0)"),530.0)</f>
        <v>530</v>
      </c>
      <c r="D8087" s="2" t="str">
        <f>IFERROR(__xludf.DUMMYFUNCTION("IFERROR(VLOOKUP(A8087, IMPORTRANGE(""https://docs.google.com/spreadsheets/d/1-3Vjw2Cyy-mry5gbC8ypIR3YVGFfEpyFESummAta6sg/edit"", ""Sheet1!B:D""), 2, FALSE), ""Not Found"")"),"mitɪŋz")</f>
        <v>mitɪŋz</v>
      </c>
      <c r="E8087" s="2" t="str">
        <f>IFERROR(__xludf.DUMMYFUNCTION("IFERROR(VLOOKUP(A8087, IMPORTRANGE(""https://docs.google.com/spreadsheets/d/1-3Vjw2Cyy-mry5gbC8ypIR3YVGFfEpyFESummAta6sg/edit"", ""Sheet1!B:D""), 3, FALSE), ""Not Found"")"),"m i t ɪ ŋ z ")</f>
        <v>m i t ɪ ŋ z </v>
      </c>
    </row>
    <row r="8088">
      <c r="A8088" s="1" t="s">
        <v>8089</v>
      </c>
      <c r="B8088" s="1" t="s">
        <v>6138</v>
      </c>
      <c r="C8088" s="2">
        <f>IFERROR(__xludf.DUMMYFUNCTION("IFERROR(VLOOKUP(A8088, IMPORTRANGE(""https://docs.google.com/spreadsheets/d/1AVX9GT0dgogEBStecCXMMQ29tWz3gBrtNB8yIromXbY/edit?gid=741673867"", ""out1g!A:B""), 2, FALSE), 0)"),453.0)</f>
        <v>453</v>
      </c>
      <c r="D8088" s="2" t="str">
        <f>IFERROR(__xludf.DUMMYFUNCTION("IFERROR(VLOOKUP(A8088, IMPORTRANGE(""https://docs.google.com/spreadsheets/d/1-3Vjw2Cyy-mry5gbC8ypIR3YVGFfEpyFESummAta6sg/edit"", ""Sheet1!B:D""), 2, FALSE), ""Not Found"")"),"dɔrɪs")</f>
        <v>dɔrɪs</v>
      </c>
      <c r="E8088" s="2" t="str">
        <f>IFERROR(__xludf.DUMMYFUNCTION("IFERROR(VLOOKUP(A8088, IMPORTRANGE(""https://docs.google.com/spreadsheets/d/1-3Vjw2Cyy-mry5gbC8ypIR3YVGFfEpyFESummAta6sg/edit"", ""Sheet1!B:D""), 3, FALSE), ""Not Found"")"),"d ɔ r ɪ s ")</f>
        <v>d ɔ r ɪ s </v>
      </c>
    </row>
    <row r="8089">
      <c r="A8089" s="1" t="s">
        <v>8090</v>
      </c>
      <c r="B8089" s="1" t="s">
        <v>6138</v>
      </c>
      <c r="C8089" s="2">
        <f>IFERROR(__xludf.DUMMYFUNCTION("IFERROR(VLOOKUP(A8089, IMPORTRANGE(""https://docs.google.com/spreadsheets/d/1AVX9GT0dgogEBStecCXMMQ29tWz3gBrtNB8yIromXbY/edit?gid=741673867"", ""out1g!A:B""), 2, FALSE), 0)"),31.0)</f>
        <v>31</v>
      </c>
      <c r="D8089" s="2" t="str">
        <f>IFERROR(__xludf.DUMMYFUNCTION("IFERROR(VLOOKUP(A8089, IMPORTRANGE(""https://docs.google.com/spreadsheets/d/1-3Vjw2Cyy-mry5gbC8ypIR3YVGFfEpyFESummAta6sg/edit"", ""Sheet1!B:D""), 2, FALSE), ""Not Found"")"),"klɑts")</f>
        <v>klɑts</v>
      </c>
      <c r="E8089" s="2" t="str">
        <f>IFERROR(__xludf.DUMMYFUNCTION("IFERROR(VLOOKUP(A8089, IMPORTRANGE(""https://docs.google.com/spreadsheets/d/1-3Vjw2Cyy-mry5gbC8ypIR3YVGFfEpyFESummAta6sg/edit"", ""Sheet1!B:D""), 3, FALSE), ""Not Found"")"),"k l ɑ t s ")</f>
        <v>k l ɑ t s </v>
      </c>
    </row>
    <row r="8090">
      <c r="A8090" s="1" t="s">
        <v>8091</v>
      </c>
      <c r="B8090" s="1" t="s">
        <v>6138</v>
      </c>
      <c r="C8090" s="2">
        <f>IFERROR(__xludf.DUMMYFUNCTION("IFERROR(VLOOKUP(A8090, IMPORTRANGE(""https://docs.google.com/spreadsheets/d/1AVX9GT0dgogEBStecCXMMQ29tWz3gBrtNB8yIromXbY/edit?gid=741673867"", ""out1g!A:B""), 2, FALSE), 0)"),1848.0)</f>
        <v>1848</v>
      </c>
      <c r="D8090" s="2" t="str">
        <f>IFERROR(__xludf.DUMMYFUNCTION("IFERROR(VLOOKUP(A8090, IMPORTRANGE(""https://docs.google.com/spreadsheets/d/1-3Vjw2Cyy-mry5gbC8ypIR3YVGFfEpyFESummAta6sg/edit"", ""Sheet1!B:D""), 2, FALSE), ""Not Found"")"),"mɑrkɪt")</f>
        <v>mɑrkɪt</v>
      </c>
      <c r="E8090" s="2" t="str">
        <f>IFERROR(__xludf.DUMMYFUNCTION("IFERROR(VLOOKUP(A8090, IMPORTRANGE(""https://docs.google.com/spreadsheets/d/1-3Vjw2Cyy-mry5gbC8ypIR3YVGFfEpyFESummAta6sg/edit"", ""Sheet1!B:D""), 3, FALSE), ""Not Found"")"),"m ɑ r k ɪ t ")</f>
        <v>m ɑ r k ɪ t </v>
      </c>
    </row>
    <row r="8091">
      <c r="A8091" s="1" t="s">
        <v>8092</v>
      </c>
      <c r="B8091" s="1" t="s">
        <v>6138</v>
      </c>
      <c r="C8091" s="2">
        <f>IFERROR(__xludf.DUMMYFUNCTION("IFERROR(VLOOKUP(A8091, IMPORTRANGE(""https://docs.google.com/spreadsheets/d/1AVX9GT0dgogEBStecCXMMQ29tWz3gBrtNB8yIromXbY/edit?gid=741673867"", ""out1g!A:B""), 2, FALSE), 0)"),150.0)</f>
        <v>150</v>
      </c>
      <c r="D8091" s="2" t="str">
        <f>IFERROR(__xludf.DUMMYFUNCTION("IFERROR(VLOOKUP(A8091, IMPORTRANGE(""https://docs.google.com/spreadsheets/d/1-3Vjw2Cyy-mry5gbC8ypIR3YVGFfEpyFESummAta6sg/edit"", ""Sheet1!B:D""), 2, FALSE), ""Not Found"")"),"əkjut")</f>
        <v>əkjut</v>
      </c>
      <c r="E8091" s="2" t="str">
        <f>IFERROR(__xludf.DUMMYFUNCTION("IFERROR(VLOOKUP(A8091, IMPORTRANGE(""https://docs.google.com/spreadsheets/d/1-3Vjw2Cyy-mry5gbC8ypIR3YVGFfEpyFESummAta6sg/edit"", ""Sheet1!B:D""), 3, FALSE), ""Not Found"")"),"ə k j u t ")</f>
        <v>ə k j u t </v>
      </c>
    </row>
    <row r="8092">
      <c r="A8092" s="1" t="s">
        <v>8093</v>
      </c>
      <c r="B8092" s="1" t="s">
        <v>6138</v>
      </c>
      <c r="C8092" s="2">
        <f>IFERROR(__xludf.DUMMYFUNCTION("IFERROR(VLOOKUP(A8092, IMPORTRANGE(""https://docs.google.com/spreadsheets/d/1AVX9GT0dgogEBStecCXMMQ29tWz3gBrtNB8yIromXbY/edit?gid=741673867"", ""out1g!A:B""), 2, FALSE), 0)"),25.0)</f>
        <v>25</v>
      </c>
      <c r="D8092" s="2" t="str">
        <f>IFERROR(__xludf.DUMMYFUNCTION("IFERROR(VLOOKUP(A8092, IMPORTRANGE(""https://docs.google.com/spreadsheets/d/1-3Vjw2Cyy-mry5gbC8ypIR3YVGFfEpyFESummAta6sg/edit"", ""Sheet1!B:D""), 2, FALSE), ""Not Found"")"),"skoʊps")</f>
        <v>skoʊps</v>
      </c>
      <c r="E8092" s="2" t="str">
        <f>IFERROR(__xludf.DUMMYFUNCTION("IFERROR(VLOOKUP(A8092, IMPORTRANGE(""https://docs.google.com/spreadsheets/d/1-3Vjw2Cyy-mry5gbC8ypIR3YVGFfEpyFESummAta6sg/edit"", ""Sheet1!B:D""), 3, FALSE), ""Not Found"")"),"s k o ʊ p s ")</f>
        <v>s k o ʊ p s </v>
      </c>
    </row>
    <row r="8093">
      <c r="A8093" s="1" t="s">
        <v>8094</v>
      </c>
      <c r="B8093" s="1" t="s">
        <v>6138</v>
      </c>
      <c r="C8093" s="2">
        <f>IFERROR(__xludf.DUMMYFUNCTION("IFERROR(VLOOKUP(A8093, IMPORTRANGE(""https://docs.google.com/spreadsheets/d/1AVX9GT0dgogEBStecCXMMQ29tWz3gBrtNB8yIromXbY/edit?gid=741673867"", ""out1g!A:B""), 2, FALSE), 0)"),74.0)</f>
        <v>74</v>
      </c>
      <c r="D8093" s="2" t="str">
        <f>IFERROR(__xludf.DUMMYFUNCTION("IFERROR(VLOOKUP(A8093, IMPORTRANGE(""https://docs.google.com/spreadsheets/d/1-3Vjw2Cyy-mry5gbC8ypIR3YVGFfEpyFESummAta6sg/edit"", ""Sheet1!B:D""), 2, FALSE), ""Not Found"")"),"taɪtən")</f>
        <v>taɪtən</v>
      </c>
      <c r="E8093" s="2" t="str">
        <f>IFERROR(__xludf.DUMMYFUNCTION("IFERROR(VLOOKUP(A8093, IMPORTRANGE(""https://docs.google.com/spreadsheets/d/1-3Vjw2Cyy-mry5gbC8ypIR3YVGFfEpyFESummAta6sg/edit"", ""Sheet1!B:D""), 3, FALSE), ""Not Found"")"),"t a ɪ t ə n ")</f>
        <v>t a ɪ t ə n </v>
      </c>
    </row>
    <row r="8094">
      <c r="A8094" s="1" t="s">
        <v>8095</v>
      </c>
      <c r="B8094" s="1" t="s">
        <v>6138</v>
      </c>
      <c r="C8094" s="2">
        <f>IFERROR(__xludf.DUMMYFUNCTION("IFERROR(VLOOKUP(A8094, IMPORTRANGE(""https://docs.google.com/spreadsheets/d/1AVX9GT0dgogEBStecCXMMQ29tWz3gBrtNB8yIromXbY/edit?gid=741673867"", ""out1g!A:B""), 2, FALSE), 0)"),100.0)</f>
        <v>100</v>
      </c>
      <c r="D8094" s="2" t="str">
        <f>IFERROR(__xludf.DUMMYFUNCTION("IFERROR(VLOOKUP(A8094, IMPORTRANGE(""https://docs.google.com/spreadsheets/d/1-3Vjw2Cyy-mry5gbC8ypIR3YVGFfEpyFESummAta6sg/edit"", ""Sheet1!B:D""), 2, FALSE), ""Not Found"")"),"mɔrəli")</f>
        <v>mɔrəli</v>
      </c>
      <c r="E8094" s="2" t="str">
        <f>IFERROR(__xludf.DUMMYFUNCTION("IFERROR(VLOOKUP(A8094, IMPORTRANGE(""https://docs.google.com/spreadsheets/d/1-3Vjw2Cyy-mry5gbC8ypIR3YVGFfEpyFESummAta6sg/edit"", ""Sheet1!B:D""), 3, FALSE), ""Not Found"")"),"m ɔ r ə l i ")</f>
        <v>m ɔ r ə l i </v>
      </c>
    </row>
    <row r="8095">
      <c r="A8095" s="1" t="s">
        <v>8096</v>
      </c>
      <c r="B8095" s="1" t="s">
        <v>6138</v>
      </c>
      <c r="C8095" s="2">
        <f>IFERROR(__xludf.DUMMYFUNCTION("IFERROR(VLOOKUP(A8095, IMPORTRANGE(""https://docs.google.com/spreadsheets/d/1AVX9GT0dgogEBStecCXMMQ29tWz3gBrtNB8yIromXbY/edit?gid=741673867"", ""out1g!A:B""), 2, FALSE), 0)"),73.0)</f>
        <v>73</v>
      </c>
      <c r="D8095" s="2" t="str">
        <f>IFERROR(__xludf.DUMMYFUNCTION("IFERROR(VLOOKUP(A8095, IMPORTRANGE(""https://docs.google.com/spreadsheets/d/1-3Vjw2Cyy-mry5gbC8ypIR3YVGFfEpyFESummAta6sg/edit"", ""Sheet1!B:D""), 2, FALSE), ""Not Found"")"),"mjʊr")</f>
        <v>mjʊr</v>
      </c>
      <c r="E8095" s="2" t="str">
        <f>IFERROR(__xludf.DUMMYFUNCTION("IFERROR(VLOOKUP(A8095, IMPORTRANGE(""https://docs.google.com/spreadsheets/d/1-3Vjw2Cyy-mry5gbC8ypIR3YVGFfEpyFESummAta6sg/edit"", ""Sheet1!B:D""), 3, FALSE), ""Not Found"")"),"m j ʊ r ")</f>
        <v>m j ʊ r </v>
      </c>
    </row>
    <row r="8096">
      <c r="A8096" s="1" t="s">
        <v>8097</v>
      </c>
      <c r="B8096" s="1" t="s">
        <v>6138</v>
      </c>
      <c r="C8096" s="2">
        <f>IFERROR(__xludf.DUMMYFUNCTION("IFERROR(VLOOKUP(A8096, IMPORTRANGE(""https://docs.google.com/spreadsheets/d/1AVX9GT0dgogEBStecCXMMQ29tWz3gBrtNB8yIromXbY/edit?gid=741673867"", ""out1g!A:B""), 2, FALSE), 0)"),109.0)</f>
        <v>109</v>
      </c>
      <c r="D8096" s="2" t="str">
        <f>IFERROR(__xludf.DUMMYFUNCTION("IFERROR(VLOOKUP(A8096, IMPORTRANGE(""https://docs.google.com/spreadsheets/d/1-3Vjw2Cyy-mry5gbC8ypIR3YVGFfEpyFESummAta6sg/edit"", ""Sheet1!B:D""), 2, FALSE), ""Not Found"")"),"gu")</f>
        <v>gu</v>
      </c>
      <c r="E8096" s="2" t="str">
        <f>IFERROR(__xludf.DUMMYFUNCTION("IFERROR(VLOOKUP(A8096, IMPORTRANGE(""https://docs.google.com/spreadsheets/d/1-3Vjw2Cyy-mry5gbC8ypIR3YVGFfEpyFESummAta6sg/edit"", ""Sheet1!B:D""), 3, FALSE), ""Not Found"")"),"g u ")</f>
        <v>g u </v>
      </c>
    </row>
    <row r="8097">
      <c r="A8097" s="1" t="s">
        <v>8098</v>
      </c>
      <c r="B8097" s="1" t="s">
        <v>6138</v>
      </c>
      <c r="C8097" s="2">
        <f>IFERROR(__xludf.DUMMYFUNCTION("IFERROR(VLOOKUP(A8097, IMPORTRANGE(""https://docs.google.com/spreadsheets/d/1AVX9GT0dgogEBStecCXMMQ29tWz3gBrtNB8yIromXbY/edit?gid=741673867"", ""out1g!A:B""), 2, FALSE), 0)"),96.0)</f>
        <v>96</v>
      </c>
      <c r="D8097" s="2" t="str">
        <f>IFERROR(__xludf.DUMMYFUNCTION("IFERROR(VLOOKUP(A8097, IMPORTRANGE(""https://docs.google.com/spreadsheets/d/1-3Vjw2Cyy-mry5gbC8ypIR3YVGFfEpyFESummAta6sg/edit"", ""Sheet1!B:D""), 2, FALSE), ""Not Found"")"),"dɛkər")</f>
        <v>dɛkər</v>
      </c>
      <c r="E8097" s="2" t="str">
        <f>IFERROR(__xludf.DUMMYFUNCTION("IFERROR(VLOOKUP(A8097, IMPORTRANGE(""https://docs.google.com/spreadsheets/d/1-3Vjw2Cyy-mry5gbC8ypIR3YVGFfEpyFESummAta6sg/edit"", ""Sheet1!B:D""), 3, FALSE), ""Not Found"")"),"d ɛ k ə r ")</f>
        <v>d ɛ k ə r </v>
      </c>
    </row>
    <row r="8098">
      <c r="A8098" s="1" t="s">
        <v>8099</v>
      </c>
      <c r="B8098" s="1" t="s">
        <v>6138</v>
      </c>
      <c r="C8098" s="2">
        <f>IFERROR(__xludf.DUMMYFUNCTION("IFERROR(VLOOKUP(A8098, IMPORTRANGE(""https://docs.google.com/spreadsheets/d/1AVX9GT0dgogEBStecCXMMQ29tWz3gBrtNB8yIromXbY/edit?gid=741673867"", ""out1g!A:B""), 2, FALSE), 0)"),58.0)</f>
        <v>58</v>
      </c>
      <c r="D8098" s="2" t="str">
        <f>IFERROR(__xludf.DUMMYFUNCTION("IFERROR(VLOOKUP(A8098, IMPORTRANGE(""https://docs.google.com/spreadsheets/d/1-3Vjw2Cyy-mry5gbC8ypIR3YVGFfEpyFESummAta6sg/edit"", ""Sheet1!B:D""), 2, FALSE), ""Not Found"")"),"lɪmpɪŋ")</f>
        <v>lɪmpɪŋ</v>
      </c>
      <c r="E8098" s="2" t="str">
        <f>IFERROR(__xludf.DUMMYFUNCTION("IFERROR(VLOOKUP(A8098, IMPORTRANGE(""https://docs.google.com/spreadsheets/d/1-3Vjw2Cyy-mry5gbC8ypIR3YVGFfEpyFESummAta6sg/edit"", ""Sheet1!B:D""), 3, FALSE), ""Not Found"")"),"l ɪ m p ɪ ŋ ")</f>
        <v>l ɪ m p ɪ ŋ </v>
      </c>
    </row>
    <row r="8099">
      <c r="A8099" s="1" t="s">
        <v>8100</v>
      </c>
      <c r="B8099" s="1" t="s">
        <v>6138</v>
      </c>
      <c r="C8099" s="2">
        <f>IFERROR(__xludf.DUMMYFUNCTION("IFERROR(VLOOKUP(A8099, IMPORTRANGE(""https://docs.google.com/spreadsheets/d/1AVX9GT0dgogEBStecCXMMQ29tWz3gBrtNB8yIromXbY/edit?gid=741673867"", ""out1g!A:B""), 2, FALSE), 0)"),2282.0)</f>
        <v>2282</v>
      </c>
      <c r="D8099" s="2" t="str">
        <f>IFERROR(__xludf.DUMMYFUNCTION("IFERROR(VLOOKUP(A8099, IMPORTRANGE(""https://docs.google.com/spreadsheets/d/1-3Vjw2Cyy-mry5gbC8ypIR3YVGFfEpyFESummAta6sg/edit"", ""Sheet1!B:D""), 2, FALSE), ""Not Found"")"),"brɪŋɪŋ")</f>
        <v>brɪŋɪŋ</v>
      </c>
      <c r="E8099" s="2" t="str">
        <f>IFERROR(__xludf.DUMMYFUNCTION("IFERROR(VLOOKUP(A8099, IMPORTRANGE(""https://docs.google.com/spreadsheets/d/1-3Vjw2Cyy-mry5gbC8ypIR3YVGFfEpyFESummAta6sg/edit"", ""Sheet1!B:D""), 3, FALSE), ""Not Found"")"),"b r ɪ ŋ ɪ ŋ ")</f>
        <v>b r ɪ ŋ ɪ ŋ </v>
      </c>
    </row>
    <row r="8100">
      <c r="A8100" s="1" t="s">
        <v>8101</v>
      </c>
      <c r="B8100" s="1" t="s">
        <v>6138</v>
      </c>
      <c r="C8100" s="2">
        <f>IFERROR(__xludf.DUMMYFUNCTION("IFERROR(VLOOKUP(A8100, IMPORTRANGE(""https://docs.google.com/spreadsheets/d/1AVX9GT0dgogEBStecCXMMQ29tWz3gBrtNB8yIromXbY/edit?gid=741673867"", ""out1g!A:B""), 2, FALSE), 0)"),260.0)</f>
        <v>260</v>
      </c>
      <c r="D8100" s="2" t="str">
        <f>IFERROR(__xludf.DUMMYFUNCTION("IFERROR(VLOOKUP(A8100, IMPORTRANGE(""https://docs.google.com/spreadsheets/d/1-3Vjw2Cyy-mry5gbC8ypIR3YVGFfEpyFESummAta6sg/edit"", ""Sheet1!B:D""), 2, FALSE), ""Not Found"")"),"mɑtoʊ")</f>
        <v>mɑtoʊ</v>
      </c>
      <c r="E8100" s="2" t="str">
        <f>IFERROR(__xludf.DUMMYFUNCTION("IFERROR(VLOOKUP(A8100, IMPORTRANGE(""https://docs.google.com/spreadsheets/d/1-3Vjw2Cyy-mry5gbC8ypIR3YVGFfEpyFESummAta6sg/edit"", ""Sheet1!B:D""), 3, FALSE), ""Not Found"")"),"m ɑ t o ʊ ")</f>
        <v>m ɑ t o ʊ </v>
      </c>
    </row>
    <row r="8101">
      <c r="A8101" s="1" t="s">
        <v>8102</v>
      </c>
      <c r="B8101" s="1" t="s">
        <v>6138</v>
      </c>
      <c r="C8101" s="2">
        <f>IFERROR(__xludf.DUMMYFUNCTION("IFERROR(VLOOKUP(A8101, IMPORTRANGE(""https://docs.google.com/spreadsheets/d/1AVX9GT0dgogEBStecCXMMQ29tWz3gBrtNB8yIromXbY/edit?gid=741673867"", ""out1g!A:B""), 2, FALSE), 0)"),429.0)</f>
        <v>429</v>
      </c>
      <c r="D8101" s="2" t="str">
        <f>IFERROR(__xludf.DUMMYFUNCTION("IFERROR(VLOOKUP(A8101, IMPORTRANGE(""https://docs.google.com/spreadsheets/d/1-3Vjw2Cyy-mry5gbC8ypIR3YVGFfEpyFESummAta6sg/edit"", ""Sheet1!B:D""), 2, FALSE), ""Not Found"")"),"raɪzɪŋ")</f>
        <v>raɪzɪŋ</v>
      </c>
      <c r="E8101" s="2" t="str">
        <f>IFERROR(__xludf.DUMMYFUNCTION("IFERROR(VLOOKUP(A8101, IMPORTRANGE(""https://docs.google.com/spreadsheets/d/1-3Vjw2Cyy-mry5gbC8ypIR3YVGFfEpyFESummAta6sg/edit"", ""Sheet1!B:D""), 3, FALSE), ""Not Found"")"),"r a ɪ z ɪ ŋ ")</f>
        <v>r a ɪ z ɪ ŋ </v>
      </c>
    </row>
    <row r="8102">
      <c r="A8102" s="1" t="s">
        <v>8103</v>
      </c>
      <c r="B8102" s="1" t="s">
        <v>6138</v>
      </c>
      <c r="C8102" s="2">
        <f>IFERROR(__xludf.DUMMYFUNCTION("IFERROR(VLOOKUP(A8102, IMPORTRANGE(""https://docs.google.com/spreadsheets/d/1AVX9GT0dgogEBStecCXMMQ29tWz3gBrtNB8yIromXbY/edit?gid=741673867"", ""out1g!A:B""), 2, FALSE), 0)"),805.0)</f>
        <v>805</v>
      </c>
      <c r="D8102" s="2" t="str">
        <f>IFERROR(__xludf.DUMMYFUNCTION("IFERROR(VLOOKUP(A8102, IMPORTRANGE(""https://docs.google.com/spreadsheets/d/1-3Vjw2Cyy-mry5gbC8ypIR3YVGFfEpyFESummAta6sg/edit"", ""Sheet1!B:D""), 2, FALSE), ""Not Found"")"),"kɔsts")</f>
        <v>kɔsts</v>
      </c>
      <c r="E8102" s="2" t="str">
        <f>IFERROR(__xludf.DUMMYFUNCTION("IFERROR(VLOOKUP(A8102, IMPORTRANGE(""https://docs.google.com/spreadsheets/d/1-3Vjw2Cyy-mry5gbC8ypIR3YVGFfEpyFESummAta6sg/edit"", ""Sheet1!B:D""), 3, FALSE), ""Not Found"")"),"k ɔ s t s ")</f>
        <v>k ɔ s t s </v>
      </c>
    </row>
    <row r="8103">
      <c r="A8103" s="1" t="s">
        <v>8104</v>
      </c>
      <c r="B8103" s="1" t="s">
        <v>6138</v>
      </c>
      <c r="C8103" s="2">
        <f>IFERROR(__xludf.DUMMYFUNCTION("IFERROR(VLOOKUP(A8103, IMPORTRANGE(""https://docs.google.com/spreadsheets/d/1AVX9GT0dgogEBStecCXMMQ29tWz3gBrtNB8yIromXbY/edit?gid=741673867"", ""out1g!A:B""), 2, FALSE), 0)"),1099.0)</f>
        <v>1099</v>
      </c>
      <c r="D8103" s="2" t="str">
        <f>IFERROR(__xludf.DUMMYFUNCTION("IFERROR(VLOOKUP(A8103, IMPORTRANGE(""https://docs.google.com/spreadsheets/d/1-3Vjw2Cyy-mry5gbC8ypIR3YVGFfEpyFESummAta6sg/edit"", ""Sheet1!B:D""), 2, FALSE), ""Not Found"")"),"kæsəl")</f>
        <v>kæsəl</v>
      </c>
      <c r="E8103" s="2" t="str">
        <f>IFERROR(__xludf.DUMMYFUNCTION("IFERROR(VLOOKUP(A8103, IMPORTRANGE(""https://docs.google.com/spreadsheets/d/1-3Vjw2Cyy-mry5gbC8ypIR3YVGFfEpyFESummAta6sg/edit"", ""Sheet1!B:D""), 3, FALSE), ""Not Found"")"),"k æ s ə l ")</f>
        <v>k æ s ə l </v>
      </c>
    </row>
    <row r="8104">
      <c r="A8104" s="1" t="s">
        <v>8105</v>
      </c>
      <c r="B8104" s="1" t="s">
        <v>6138</v>
      </c>
      <c r="C8104" s="2">
        <f>IFERROR(__xludf.DUMMYFUNCTION("IFERROR(VLOOKUP(A8104, IMPORTRANGE(""https://docs.google.com/spreadsheets/d/1AVX9GT0dgogEBStecCXMMQ29tWz3gBrtNB8yIromXbY/edit?gid=741673867"", ""out1g!A:B""), 2, FALSE), 0)"),153.0)</f>
        <v>153</v>
      </c>
      <c r="D8104" s="2" t="str">
        <f>IFERROR(__xludf.DUMMYFUNCTION("IFERROR(VLOOKUP(A8104, IMPORTRANGE(""https://docs.google.com/spreadsheets/d/1-3Vjw2Cyy-mry5gbC8ypIR3YVGFfEpyFESummAta6sg/edit"", ""Sheet1!B:D""), 2, FALSE), ""Not Found"")"),"tərtəlz")</f>
        <v>tərtəlz</v>
      </c>
      <c r="E8104" s="2" t="str">
        <f>IFERROR(__xludf.DUMMYFUNCTION("IFERROR(VLOOKUP(A8104, IMPORTRANGE(""https://docs.google.com/spreadsheets/d/1-3Vjw2Cyy-mry5gbC8ypIR3YVGFfEpyFESummAta6sg/edit"", ""Sheet1!B:D""), 3, FALSE), ""Not Found"")"),"t ə r t ə l z ")</f>
        <v>t ə r t ə l z </v>
      </c>
    </row>
    <row r="8105">
      <c r="A8105" s="1" t="s">
        <v>8106</v>
      </c>
      <c r="B8105" s="1" t="s">
        <v>6138</v>
      </c>
      <c r="C8105" s="2">
        <f>IFERROR(__xludf.DUMMYFUNCTION("IFERROR(VLOOKUP(A8105, IMPORTRANGE(""https://docs.google.com/spreadsheets/d/1AVX9GT0dgogEBStecCXMMQ29tWz3gBrtNB8yIromXbY/edit?gid=741673867"", ""out1g!A:B""), 2, FALSE), 0)"),49.0)</f>
        <v>49</v>
      </c>
      <c r="D8105" s="2" t="str">
        <f>IFERROR(__xludf.DUMMYFUNCTION("IFERROR(VLOOKUP(A8105, IMPORTRANGE(""https://docs.google.com/spreadsheets/d/1-3Vjw2Cyy-mry5gbC8ypIR3YVGFfEpyFESummAta6sg/edit"", ""Sheet1!B:D""), 2, FALSE), ""Not Found"")"),"kəlʧərd")</f>
        <v>kəlʧərd</v>
      </c>
      <c r="E8105" s="2" t="str">
        <f>IFERROR(__xludf.DUMMYFUNCTION("IFERROR(VLOOKUP(A8105, IMPORTRANGE(""https://docs.google.com/spreadsheets/d/1-3Vjw2Cyy-mry5gbC8ypIR3YVGFfEpyFESummAta6sg/edit"", ""Sheet1!B:D""), 3, FALSE), ""Not Found"")"),"k ə l ʧ ə r d ")</f>
        <v>k ə l ʧ ə r d </v>
      </c>
    </row>
    <row r="8106">
      <c r="A8106" s="1" t="s">
        <v>8107</v>
      </c>
      <c r="B8106" s="1" t="s">
        <v>6138</v>
      </c>
      <c r="C8106" s="2">
        <f>IFERROR(__xludf.DUMMYFUNCTION("IFERROR(VLOOKUP(A8106, IMPORTRANGE(""https://docs.google.com/spreadsheets/d/1AVX9GT0dgogEBStecCXMMQ29tWz3gBrtNB8yIromXbY/edit?gid=741673867"", ""out1g!A:B""), 2, FALSE), 0)"),46.0)</f>
        <v>46</v>
      </c>
      <c r="D8106" s="2" t="str">
        <f>IFERROR(__xludf.DUMMYFUNCTION("IFERROR(VLOOKUP(A8106, IMPORTRANGE(""https://docs.google.com/spreadsheets/d/1-3Vjw2Cyy-mry5gbC8ypIR3YVGFfEpyFESummAta6sg/edit"", ""Sheet1!B:D""), 2, FALSE), ""Not Found"")"),"twərlɪŋ")</f>
        <v>twərlɪŋ</v>
      </c>
      <c r="E8106" s="2" t="str">
        <f>IFERROR(__xludf.DUMMYFUNCTION("IFERROR(VLOOKUP(A8106, IMPORTRANGE(""https://docs.google.com/spreadsheets/d/1-3Vjw2Cyy-mry5gbC8ypIR3YVGFfEpyFESummAta6sg/edit"", ""Sheet1!B:D""), 3, FALSE), ""Not Found"")"),"t w ə r l ɪ ŋ ")</f>
        <v>t w ə r l ɪ ŋ </v>
      </c>
    </row>
    <row r="8107">
      <c r="A8107" s="1" t="s">
        <v>8108</v>
      </c>
      <c r="B8107" s="1" t="s">
        <v>6138</v>
      </c>
      <c r="C8107" s="2">
        <f>IFERROR(__xludf.DUMMYFUNCTION("IFERROR(VLOOKUP(A8107, IMPORTRANGE(""https://docs.google.com/spreadsheets/d/1AVX9GT0dgogEBStecCXMMQ29tWz3gBrtNB8yIromXbY/edit?gid=741673867"", ""out1g!A:B""), 2, FALSE), 0)"),723.0)</f>
        <v>723</v>
      </c>
      <c r="D8107" s="2" t="str">
        <f>IFERROR(__xludf.DUMMYFUNCTION("IFERROR(VLOOKUP(A8107, IMPORTRANGE(""https://docs.google.com/spreadsheets/d/1-3Vjw2Cyy-mry5gbC8ypIR3YVGFfEpyFESummAta6sg/edit"", ""Sheet1!B:D""), 2, FALSE), ""Not Found"")"),"roʊzɪz")</f>
        <v>roʊzɪz</v>
      </c>
      <c r="E8107" s="2" t="str">
        <f>IFERROR(__xludf.DUMMYFUNCTION("IFERROR(VLOOKUP(A8107, IMPORTRANGE(""https://docs.google.com/spreadsheets/d/1-3Vjw2Cyy-mry5gbC8ypIR3YVGFfEpyFESummAta6sg/edit"", ""Sheet1!B:D""), 3, FALSE), ""Not Found"")"),"r o ʊ z ɪ z ")</f>
        <v>r o ʊ z ɪ z </v>
      </c>
    </row>
    <row r="8108">
      <c r="A8108" s="1" t="s">
        <v>8109</v>
      </c>
      <c r="B8108" s="1" t="s">
        <v>6138</v>
      </c>
      <c r="C8108" s="2">
        <f>IFERROR(__xludf.DUMMYFUNCTION("IFERROR(VLOOKUP(A8108, IMPORTRANGE(""https://docs.google.com/spreadsheets/d/1AVX9GT0dgogEBStecCXMMQ29tWz3gBrtNB8yIromXbY/edit?gid=741673867"", ""out1g!A:B""), 2, FALSE), 0)"),1417.0)</f>
        <v>1417</v>
      </c>
      <c r="D8108" s="2" t="str">
        <f>IFERROR(__xludf.DUMMYFUNCTION("IFERROR(VLOOKUP(A8108, IMPORTRANGE(""https://docs.google.com/spreadsheets/d/1-3Vjw2Cyy-mry5gbC8ypIR3YVGFfEpyFESummAta6sg/edit"", ""Sheet1!B:D""), 2, FALSE), ""Not Found"")"),"briðɪŋ")</f>
        <v>briðɪŋ</v>
      </c>
      <c r="E8108" s="2" t="str">
        <f>IFERROR(__xludf.DUMMYFUNCTION("IFERROR(VLOOKUP(A8108, IMPORTRANGE(""https://docs.google.com/spreadsheets/d/1-3Vjw2Cyy-mry5gbC8ypIR3YVGFfEpyFESummAta6sg/edit"", ""Sheet1!B:D""), 3, FALSE), ""Not Found"")"),"b r i ð ɪ ŋ ")</f>
        <v>b r i ð ɪ ŋ </v>
      </c>
    </row>
    <row r="8109">
      <c r="A8109" s="1" t="s">
        <v>8110</v>
      </c>
      <c r="B8109" s="1" t="s">
        <v>6138</v>
      </c>
      <c r="C8109" s="2">
        <f>IFERROR(__xludf.DUMMYFUNCTION("IFERROR(VLOOKUP(A8109, IMPORTRANGE(""https://docs.google.com/spreadsheets/d/1AVX9GT0dgogEBStecCXMMQ29tWz3gBrtNB8yIromXbY/edit?gid=741673867"", ""out1g!A:B""), 2, FALSE), 0)"),274.0)</f>
        <v>274</v>
      </c>
      <c r="D8109" s="2" t="str">
        <f>IFERROR(__xludf.DUMMYFUNCTION("IFERROR(VLOOKUP(A8109, IMPORTRANGE(""https://docs.google.com/spreadsheets/d/1-3Vjw2Cyy-mry5gbC8ypIR3YVGFfEpyFESummAta6sg/edit"", ""Sheet1!B:D""), 2, FALSE), ""Not Found"")"),"bændz")</f>
        <v>bændz</v>
      </c>
      <c r="E8109" s="2" t="str">
        <f>IFERROR(__xludf.DUMMYFUNCTION("IFERROR(VLOOKUP(A8109, IMPORTRANGE(""https://docs.google.com/spreadsheets/d/1-3Vjw2Cyy-mry5gbC8ypIR3YVGFfEpyFESummAta6sg/edit"", ""Sheet1!B:D""), 3, FALSE), ""Not Found"")"),"b æ n d z ")</f>
        <v>b æ n d z </v>
      </c>
    </row>
    <row r="8110">
      <c r="A8110" s="1" t="s">
        <v>8111</v>
      </c>
      <c r="B8110" s="1" t="s">
        <v>6138</v>
      </c>
      <c r="C8110" s="2">
        <f>IFERROR(__xludf.DUMMYFUNCTION("IFERROR(VLOOKUP(A8110, IMPORTRANGE(""https://docs.google.com/spreadsheets/d/1AVX9GT0dgogEBStecCXMMQ29tWz3gBrtNB8yIromXbY/edit?gid=741673867"", ""out1g!A:B""), 2, FALSE), 0)"),103.0)</f>
        <v>103</v>
      </c>
      <c r="D8110" s="2" t="str">
        <f>IFERROR(__xludf.DUMMYFUNCTION("IFERROR(VLOOKUP(A8110, IMPORTRANGE(""https://docs.google.com/spreadsheets/d/1-3Vjw2Cyy-mry5gbC8ypIR3YVGFfEpyFESummAta6sg/edit"", ""Sheet1!B:D""), 2, FALSE), ""Not Found"")"),"stoʊnər")</f>
        <v>stoʊnər</v>
      </c>
      <c r="E8110" s="2" t="str">
        <f>IFERROR(__xludf.DUMMYFUNCTION("IFERROR(VLOOKUP(A8110, IMPORTRANGE(""https://docs.google.com/spreadsheets/d/1-3Vjw2Cyy-mry5gbC8ypIR3YVGFfEpyFESummAta6sg/edit"", ""Sheet1!B:D""), 3, FALSE), ""Not Found"")"),"s t o ʊ n ə r ")</f>
        <v>s t o ʊ n ə r </v>
      </c>
    </row>
    <row r="8111">
      <c r="A8111" s="1" t="s">
        <v>8112</v>
      </c>
      <c r="B8111" s="1" t="s">
        <v>6138</v>
      </c>
      <c r="C8111" s="2">
        <f>IFERROR(__xludf.DUMMYFUNCTION("IFERROR(VLOOKUP(A8111, IMPORTRANGE(""https://docs.google.com/spreadsheets/d/1AVX9GT0dgogEBStecCXMMQ29tWz3gBrtNB8yIromXbY/edit?gid=741673867"", ""out1g!A:B""), 2, FALSE), 0)"),188.0)</f>
        <v>188</v>
      </c>
      <c r="D8111" s="2" t="str">
        <f>IFERROR(__xludf.DUMMYFUNCTION("IFERROR(VLOOKUP(A8111, IMPORTRANGE(""https://docs.google.com/spreadsheets/d/1-3Vjw2Cyy-mry5gbC8ypIR3YVGFfEpyFESummAta6sg/edit"", ""Sheet1!B:D""), 2, FALSE), ""Not Found"")"),"lɔrəl")</f>
        <v>lɔrəl</v>
      </c>
      <c r="E8111" s="2" t="str">
        <f>IFERROR(__xludf.DUMMYFUNCTION("IFERROR(VLOOKUP(A8111, IMPORTRANGE(""https://docs.google.com/spreadsheets/d/1-3Vjw2Cyy-mry5gbC8ypIR3YVGFfEpyFESummAta6sg/edit"", ""Sheet1!B:D""), 3, FALSE), ""Not Found"")"),"l ɔ r ə l ")</f>
        <v>l ɔ r ə l </v>
      </c>
    </row>
    <row r="8112">
      <c r="A8112" s="1" t="s">
        <v>8113</v>
      </c>
      <c r="B8112" s="1" t="s">
        <v>6138</v>
      </c>
      <c r="C8112" s="2">
        <f>IFERROR(__xludf.DUMMYFUNCTION("IFERROR(VLOOKUP(A8112, IMPORTRANGE(""https://docs.google.com/spreadsheets/d/1AVX9GT0dgogEBStecCXMMQ29tWz3gBrtNB8yIromXbY/edit?gid=741673867"", ""out1g!A:B""), 2, FALSE), 0)"),70.0)</f>
        <v>70</v>
      </c>
      <c r="D8112" s="2" t="str">
        <f>IFERROR(__xludf.DUMMYFUNCTION("IFERROR(VLOOKUP(A8112, IMPORTRANGE(""https://docs.google.com/spreadsheets/d/1-3Vjw2Cyy-mry5gbC8ypIR3YVGFfEpyFESummAta6sg/edit"", ""Sheet1!B:D""), 2, FALSE), ""Not Found"")"),"paʊərd")</f>
        <v>paʊərd</v>
      </c>
      <c r="E8112" s="2" t="str">
        <f>IFERROR(__xludf.DUMMYFUNCTION("IFERROR(VLOOKUP(A8112, IMPORTRANGE(""https://docs.google.com/spreadsheets/d/1-3Vjw2Cyy-mry5gbC8ypIR3YVGFfEpyFESummAta6sg/edit"", ""Sheet1!B:D""), 3, FALSE), ""Not Found"")"),"p a ʊ ə r d ")</f>
        <v>p a ʊ ə r d </v>
      </c>
    </row>
    <row r="8113">
      <c r="A8113" s="1" t="s">
        <v>8114</v>
      </c>
      <c r="B8113" s="1" t="s">
        <v>6138</v>
      </c>
      <c r="C8113" s="2">
        <f>IFERROR(__xludf.DUMMYFUNCTION("IFERROR(VLOOKUP(A8113, IMPORTRANGE(""https://docs.google.com/spreadsheets/d/1AVX9GT0dgogEBStecCXMMQ29tWz3gBrtNB8yIromXbY/edit?gid=741673867"", ""out1g!A:B""), 2, FALSE), 0)"),152.0)</f>
        <v>152</v>
      </c>
      <c r="D8113" s="2" t="str">
        <f>IFERROR(__xludf.DUMMYFUNCTION("IFERROR(VLOOKUP(A8113, IMPORTRANGE(""https://docs.google.com/spreadsheets/d/1-3Vjw2Cyy-mry5gbC8ypIR3YVGFfEpyFESummAta6sg/edit"", ""Sheet1!B:D""), 2, FALSE), ""Not Found"")"),"bæŋkɪŋ")</f>
        <v>bæŋkɪŋ</v>
      </c>
      <c r="E8113" s="2" t="str">
        <f>IFERROR(__xludf.DUMMYFUNCTION("IFERROR(VLOOKUP(A8113, IMPORTRANGE(""https://docs.google.com/spreadsheets/d/1-3Vjw2Cyy-mry5gbC8ypIR3YVGFfEpyFESummAta6sg/edit"", ""Sheet1!B:D""), 3, FALSE), ""Not Found"")"),"b æ ŋ k ɪ ŋ ")</f>
        <v>b æ ŋ k ɪ ŋ </v>
      </c>
    </row>
    <row r="8114">
      <c r="A8114" s="1" t="s">
        <v>8115</v>
      </c>
      <c r="B8114" s="1" t="s">
        <v>6138</v>
      </c>
      <c r="C8114" s="2">
        <f>IFERROR(__xludf.DUMMYFUNCTION("IFERROR(VLOOKUP(A8114, IMPORTRANGE(""https://docs.google.com/spreadsheets/d/1AVX9GT0dgogEBStecCXMMQ29tWz3gBrtNB8yIromXbY/edit?gid=741673867"", ""out1g!A:B""), 2, FALSE), 0)"),1072.0)</f>
        <v>1072</v>
      </c>
      <c r="D8114" s="2" t="str">
        <f>IFERROR(__xludf.DUMMYFUNCTION("IFERROR(VLOOKUP(A8114, IMPORTRANGE(""https://docs.google.com/spreadsheets/d/1-3Vjw2Cyy-mry5gbC8ypIR3YVGFfEpyFESummAta6sg/edit"", ""Sheet1!B:D""), 2, FALSE), ""Not Found"")"),"maɪndz")</f>
        <v>maɪndz</v>
      </c>
      <c r="E8114" s="2" t="str">
        <f>IFERROR(__xludf.DUMMYFUNCTION("IFERROR(VLOOKUP(A8114, IMPORTRANGE(""https://docs.google.com/spreadsheets/d/1-3Vjw2Cyy-mry5gbC8ypIR3YVGFfEpyFESummAta6sg/edit"", ""Sheet1!B:D""), 3, FALSE), ""Not Found"")"),"m a ɪ n d z ")</f>
        <v>m a ɪ n d z </v>
      </c>
    </row>
    <row r="8115">
      <c r="A8115" s="1" t="s">
        <v>8116</v>
      </c>
      <c r="B8115" s="1" t="s">
        <v>6138</v>
      </c>
      <c r="C8115" s="2">
        <f>IFERROR(__xludf.DUMMYFUNCTION("IFERROR(VLOOKUP(A8115, IMPORTRANGE(""https://docs.google.com/spreadsheets/d/1AVX9GT0dgogEBStecCXMMQ29tWz3gBrtNB8yIromXbY/edit?gid=741673867"", ""out1g!A:B""), 2, FALSE), 0)"),85.0)</f>
        <v>85</v>
      </c>
      <c r="D8115" s="2" t="str">
        <f>IFERROR(__xludf.DUMMYFUNCTION("IFERROR(VLOOKUP(A8115, IMPORTRANGE(""https://docs.google.com/spreadsheets/d/1-3Vjw2Cyy-mry5gbC8ypIR3YVGFfEpyFESummAta6sg/edit"", ""Sheet1!B:D""), 2, FALSE), ""Not Found"")"),"ru")</f>
        <v>ru</v>
      </c>
      <c r="E8115" s="2" t="str">
        <f>IFERROR(__xludf.DUMMYFUNCTION("IFERROR(VLOOKUP(A8115, IMPORTRANGE(""https://docs.google.com/spreadsheets/d/1-3Vjw2Cyy-mry5gbC8ypIR3YVGFfEpyFESummAta6sg/edit"", ""Sheet1!B:D""), 3, FALSE), ""Not Found"")"),"r u ")</f>
        <v>r u </v>
      </c>
    </row>
    <row r="8116">
      <c r="A8116" s="1" t="s">
        <v>8117</v>
      </c>
      <c r="B8116" s="1" t="s">
        <v>6138</v>
      </c>
      <c r="C8116" s="2">
        <f>IFERROR(__xludf.DUMMYFUNCTION("IFERROR(VLOOKUP(A8116, IMPORTRANGE(""https://docs.google.com/spreadsheets/d/1AVX9GT0dgogEBStecCXMMQ29tWz3gBrtNB8yIromXbY/edit?gid=741673867"", ""out1g!A:B""), 2, FALSE), 0)"),640.0)</f>
        <v>640</v>
      </c>
      <c r="D8116" s="2" t="str">
        <f>IFERROR(__xludf.DUMMYFUNCTION("IFERROR(VLOOKUP(A8116, IMPORTRANGE(""https://docs.google.com/spreadsheets/d/1-3Vjw2Cyy-mry5gbC8ypIR3YVGFfEpyFESummAta6sg/edit"", ""Sheet1!B:D""), 2, FALSE), ""Not Found"")"),"bɪŋgoʊ")</f>
        <v>bɪŋgoʊ</v>
      </c>
      <c r="E8116" s="2" t="str">
        <f>IFERROR(__xludf.DUMMYFUNCTION("IFERROR(VLOOKUP(A8116, IMPORTRANGE(""https://docs.google.com/spreadsheets/d/1-3Vjw2Cyy-mry5gbC8ypIR3YVGFfEpyFESummAta6sg/edit"", ""Sheet1!B:D""), 3, FALSE), ""Not Found"")"),"b ɪ ŋ g o ʊ ")</f>
        <v>b ɪ ŋ g o ʊ </v>
      </c>
    </row>
    <row r="8117">
      <c r="A8117" s="1" t="s">
        <v>8118</v>
      </c>
      <c r="B8117" s="1" t="s">
        <v>6138</v>
      </c>
      <c r="C8117" s="2">
        <f>IFERROR(__xludf.DUMMYFUNCTION("IFERROR(VLOOKUP(A8117, IMPORTRANGE(""https://docs.google.com/spreadsheets/d/1AVX9GT0dgogEBStecCXMMQ29tWz3gBrtNB8yIromXbY/edit?gid=741673867"", ""out1g!A:B""), 2, FALSE), 0)"),48.0)</f>
        <v>48</v>
      </c>
      <c r="D8117" s="2" t="str">
        <f>IFERROR(__xludf.DUMMYFUNCTION("IFERROR(VLOOKUP(A8117, IMPORTRANGE(""https://docs.google.com/spreadsheets/d/1-3Vjw2Cyy-mry5gbC8ypIR3YVGFfEpyFESummAta6sg/edit"", ""Sheet1!B:D""), 2, FALSE), ""Not Found"")"),"sizɪŋ")</f>
        <v>sizɪŋ</v>
      </c>
      <c r="E8117" s="2" t="str">
        <f>IFERROR(__xludf.DUMMYFUNCTION("IFERROR(VLOOKUP(A8117, IMPORTRANGE(""https://docs.google.com/spreadsheets/d/1-3Vjw2Cyy-mry5gbC8ypIR3YVGFfEpyFESummAta6sg/edit"", ""Sheet1!B:D""), 3, FALSE), ""Not Found"")"),"s i z ɪ ŋ ")</f>
        <v>s i z ɪ ŋ </v>
      </c>
    </row>
    <row r="8118">
      <c r="A8118" s="1" t="s">
        <v>8119</v>
      </c>
      <c r="B8118" s="1" t="s">
        <v>6138</v>
      </c>
      <c r="C8118" s="2">
        <f>IFERROR(__xludf.DUMMYFUNCTION("IFERROR(VLOOKUP(A8118, IMPORTRANGE(""https://docs.google.com/spreadsheets/d/1AVX9GT0dgogEBStecCXMMQ29tWz3gBrtNB8yIromXbY/edit?gid=741673867"", ""out1g!A:B""), 2, FALSE), 0)"),64.0)</f>
        <v>64</v>
      </c>
      <c r="D8118" s="2" t="str">
        <f>IFERROR(__xludf.DUMMYFUNCTION("IFERROR(VLOOKUP(A8118, IMPORTRANGE(""https://docs.google.com/spreadsheets/d/1-3Vjw2Cyy-mry5gbC8ypIR3YVGFfEpyFESummAta6sg/edit"", ""Sheet1!B:D""), 2, FALSE), ""Not Found"")"),"tænɪŋ")</f>
        <v>tænɪŋ</v>
      </c>
      <c r="E8118" s="2" t="str">
        <f>IFERROR(__xludf.DUMMYFUNCTION("IFERROR(VLOOKUP(A8118, IMPORTRANGE(""https://docs.google.com/spreadsheets/d/1-3Vjw2Cyy-mry5gbC8ypIR3YVGFfEpyFESummAta6sg/edit"", ""Sheet1!B:D""), 3, FALSE), ""Not Found"")"),"t æ n ɪ ŋ ")</f>
        <v>t æ n ɪ ŋ </v>
      </c>
    </row>
    <row r="8119">
      <c r="A8119" s="1" t="s">
        <v>8120</v>
      </c>
      <c r="B8119" s="1" t="s">
        <v>6138</v>
      </c>
      <c r="C8119" s="2">
        <f>IFERROR(__xludf.DUMMYFUNCTION("IFERROR(VLOOKUP(A8119, IMPORTRANGE(""https://docs.google.com/spreadsheets/d/1AVX9GT0dgogEBStecCXMMQ29tWz3gBrtNB8yIromXbY/edit?gid=741673867"", ""out1g!A:B""), 2, FALSE), 0)"),91.0)</f>
        <v>91</v>
      </c>
      <c r="D8119" s="2" t="str">
        <f>IFERROR(__xludf.DUMMYFUNCTION("IFERROR(VLOOKUP(A8119, IMPORTRANGE(""https://docs.google.com/spreadsheets/d/1-3Vjw2Cyy-mry5gbC8ypIR3YVGFfEpyFESummAta6sg/edit"", ""Sheet1!B:D""), 2, FALSE), ""Not Found"")"),"ʤenəs")</f>
        <v>ʤenəs</v>
      </c>
      <c r="E8119" s="2" t="str">
        <f>IFERROR(__xludf.DUMMYFUNCTION("IFERROR(VLOOKUP(A8119, IMPORTRANGE(""https://docs.google.com/spreadsheets/d/1-3Vjw2Cyy-mry5gbC8ypIR3YVGFfEpyFESummAta6sg/edit"", ""Sheet1!B:D""), 3, FALSE), ""Not Found"")"),"ʤ e n ə s ")</f>
        <v>ʤ e n ə s </v>
      </c>
    </row>
    <row r="8120">
      <c r="A8120" s="1" t="s">
        <v>8121</v>
      </c>
      <c r="B8120" s="1" t="s">
        <v>6138</v>
      </c>
      <c r="C8120" s="2">
        <f>IFERROR(__xludf.DUMMYFUNCTION("IFERROR(VLOOKUP(A8120, IMPORTRANGE(""https://docs.google.com/spreadsheets/d/1AVX9GT0dgogEBStecCXMMQ29tWz3gBrtNB8yIromXbY/edit?gid=741673867"", ""out1g!A:B""), 2, FALSE), 0)"),106.0)</f>
        <v>106</v>
      </c>
      <c r="D8120" s="2" t="str">
        <f>IFERROR(__xludf.DUMMYFUNCTION("IFERROR(VLOOKUP(A8120, IMPORTRANGE(""https://docs.google.com/spreadsheets/d/1-3Vjw2Cyy-mry5gbC8ypIR3YVGFfEpyFESummAta6sg/edit"", ""Sheet1!B:D""), 2, FALSE), ""Not Found"")"),"mu")</f>
        <v>mu</v>
      </c>
      <c r="E8120" s="2" t="str">
        <f>IFERROR(__xludf.DUMMYFUNCTION("IFERROR(VLOOKUP(A8120, IMPORTRANGE(""https://docs.google.com/spreadsheets/d/1-3Vjw2Cyy-mry5gbC8ypIR3YVGFfEpyFESummAta6sg/edit"", ""Sheet1!B:D""), 3, FALSE), ""Not Found"")"),"m u ")</f>
        <v>m u </v>
      </c>
    </row>
    <row r="8121">
      <c r="A8121" s="1" t="s">
        <v>8122</v>
      </c>
      <c r="B8121" s="1" t="s">
        <v>6138</v>
      </c>
      <c r="C8121" s="2">
        <f>IFERROR(__xludf.DUMMYFUNCTION("IFERROR(VLOOKUP(A8121, IMPORTRANGE(""https://docs.google.com/spreadsheets/d/1AVX9GT0dgogEBStecCXMMQ29tWz3gBrtNB8yIromXbY/edit?gid=741673867"", ""out1g!A:B""), 2, FALSE), 0)"),679.0)</f>
        <v>679</v>
      </c>
      <c r="D8121" s="2" t="str">
        <f>IFERROR(__xludf.DUMMYFUNCTION("IFERROR(VLOOKUP(A8121, IMPORTRANGE(""https://docs.google.com/spreadsheets/d/1-3Vjw2Cyy-mry5gbC8ypIR3YVGFfEpyFESummAta6sg/edit"", ""Sheet1!B:D""), 2, FALSE), ""Not Found"")"),"θəndər")</f>
        <v>θəndər</v>
      </c>
      <c r="E8121" s="2" t="str">
        <f>IFERROR(__xludf.DUMMYFUNCTION("IFERROR(VLOOKUP(A8121, IMPORTRANGE(""https://docs.google.com/spreadsheets/d/1-3Vjw2Cyy-mry5gbC8ypIR3YVGFfEpyFESummAta6sg/edit"", ""Sheet1!B:D""), 3, FALSE), ""Not Found"")"),"θ ə n d ə r ")</f>
        <v>θ ə n d ə r </v>
      </c>
    </row>
    <row r="8122">
      <c r="A8122" s="1" t="s">
        <v>8123</v>
      </c>
      <c r="B8122" s="1" t="s">
        <v>6138</v>
      </c>
      <c r="C8122" s="2">
        <f>IFERROR(__xludf.DUMMYFUNCTION("IFERROR(VLOOKUP(A8122, IMPORTRANGE(""https://docs.google.com/spreadsheets/d/1AVX9GT0dgogEBStecCXMMQ29tWz3gBrtNB8yIromXbY/edit?gid=741673867"", ""out1g!A:B""), 2, FALSE), 0)"),116.0)</f>
        <v>116</v>
      </c>
      <c r="D8122" s="2" t="str">
        <f>IFERROR(__xludf.DUMMYFUNCTION("IFERROR(VLOOKUP(A8122, IMPORTRANGE(""https://docs.google.com/spreadsheets/d/1-3Vjw2Cyy-mry5gbC8ypIR3YVGFfEpyFESummAta6sg/edit"", ""Sheet1!B:D""), 2, FALSE), ""Not Found"")"),"ɔr")</f>
        <v>ɔr</v>
      </c>
      <c r="E8122" s="2" t="str">
        <f>IFERROR(__xludf.DUMMYFUNCTION("IFERROR(VLOOKUP(A8122, IMPORTRANGE(""https://docs.google.com/spreadsheets/d/1-3Vjw2Cyy-mry5gbC8ypIR3YVGFfEpyFESummAta6sg/edit"", ""Sheet1!B:D""), 3, FALSE), ""Not Found"")"),"ɔ r ")</f>
        <v>ɔ r </v>
      </c>
    </row>
    <row r="8123">
      <c r="A8123" s="1" t="s">
        <v>8124</v>
      </c>
      <c r="B8123" s="1" t="s">
        <v>6138</v>
      </c>
      <c r="C8123" s="2">
        <f>IFERROR(__xludf.DUMMYFUNCTION("IFERROR(VLOOKUP(A8123, IMPORTRANGE(""https://docs.google.com/spreadsheets/d/1AVX9GT0dgogEBStecCXMMQ29tWz3gBrtNB8yIromXbY/edit?gid=741673867"", ""out1g!A:B""), 2, FALSE), 0)"),109.0)</f>
        <v>109</v>
      </c>
      <c r="D8123" s="2" t="str">
        <f>IFERROR(__xludf.DUMMYFUNCTION("IFERROR(VLOOKUP(A8123, IMPORTRANGE(""https://docs.google.com/spreadsheets/d/1-3Vjw2Cyy-mry5gbC8ypIR3YVGFfEpyFESummAta6sg/edit"", ""Sheet1!B:D""), 2, FALSE), ""Not Found"")"),"pərsud")</f>
        <v>pərsud</v>
      </c>
      <c r="E8123" s="2" t="str">
        <f>IFERROR(__xludf.DUMMYFUNCTION("IFERROR(VLOOKUP(A8123, IMPORTRANGE(""https://docs.google.com/spreadsheets/d/1-3Vjw2Cyy-mry5gbC8ypIR3YVGFfEpyFESummAta6sg/edit"", ""Sheet1!B:D""), 3, FALSE), ""Not Found"")"),"p ə r s u d ")</f>
        <v>p ə r s u d </v>
      </c>
    </row>
    <row r="8124">
      <c r="A8124" s="1" t="s">
        <v>8125</v>
      </c>
      <c r="B8124" s="1" t="s">
        <v>6138</v>
      </c>
      <c r="C8124" s="2">
        <f>IFERROR(__xludf.DUMMYFUNCTION("IFERROR(VLOOKUP(A8124, IMPORTRANGE(""https://docs.google.com/spreadsheets/d/1AVX9GT0dgogEBStecCXMMQ29tWz3gBrtNB8yIromXbY/edit?gid=741673867"", ""out1g!A:B""), 2, FALSE), 0)"),540.0)</f>
        <v>540</v>
      </c>
      <c r="D8124" s="2" t="str">
        <f>IFERROR(__xludf.DUMMYFUNCTION("IFERROR(VLOOKUP(A8124, IMPORTRANGE(""https://docs.google.com/spreadsheets/d/1-3Vjw2Cyy-mry5gbC8ypIR3YVGFfEpyFESummAta6sg/edit"", ""Sheet1!B:D""), 2, FALSE), ""Not Found"")"),"tretər")</f>
        <v>tretər</v>
      </c>
      <c r="E8124" s="2" t="str">
        <f>IFERROR(__xludf.DUMMYFUNCTION("IFERROR(VLOOKUP(A8124, IMPORTRANGE(""https://docs.google.com/spreadsheets/d/1-3Vjw2Cyy-mry5gbC8ypIR3YVGFfEpyFESummAta6sg/edit"", ""Sheet1!B:D""), 3, FALSE), ""Not Found"")"),"t r e t ə r ")</f>
        <v>t r e t ə r </v>
      </c>
    </row>
    <row r="8125">
      <c r="A8125" s="1" t="s">
        <v>8126</v>
      </c>
      <c r="B8125" s="1" t="s">
        <v>6138</v>
      </c>
      <c r="C8125" s="2">
        <f>IFERROR(__xludf.DUMMYFUNCTION("IFERROR(VLOOKUP(A8125, IMPORTRANGE(""https://docs.google.com/spreadsheets/d/1AVX9GT0dgogEBStecCXMMQ29tWz3gBrtNB8yIromXbY/edit?gid=741673867"", ""out1g!A:B""), 2, FALSE), 0)"),581.0)</f>
        <v>581</v>
      </c>
      <c r="D8125" s="2" t="str">
        <f>IFERROR(__xludf.DUMMYFUNCTION("IFERROR(VLOOKUP(A8125, IMPORTRANGE(""https://docs.google.com/spreadsheets/d/1-3Vjw2Cyy-mry5gbC8ypIR3YVGFfEpyFESummAta6sg/edit"", ""Sheet1!B:D""), 2, FALSE), ""Not Found"")"),"bɛrz")</f>
        <v>bɛrz</v>
      </c>
      <c r="E8125" s="2" t="str">
        <f>IFERROR(__xludf.DUMMYFUNCTION("IFERROR(VLOOKUP(A8125, IMPORTRANGE(""https://docs.google.com/spreadsheets/d/1-3Vjw2Cyy-mry5gbC8ypIR3YVGFfEpyFESummAta6sg/edit"", ""Sheet1!B:D""), 3, FALSE), ""Not Found"")"),"b ɛ r z ")</f>
        <v>b ɛ r z </v>
      </c>
    </row>
    <row r="8126">
      <c r="A8126" s="1" t="s">
        <v>8127</v>
      </c>
      <c r="B8126" s="1" t="s">
        <v>6138</v>
      </c>
      <c r="C8126" s="2">
        <f>IFERROR(__xludf.DUMMYFUNCTION("IFERROR(VLOOKUP(A8126, IMPORTRANGE(""https://docs.google.com/spreadsheets/d/1AVX9GT0dgogEBStecCXMMQ29tWz3gBrtNB8yIromXbY/edit?gid=741673867"", ""out1g!A:B""), 2, FALSE), 0)"),100.0)</f>
        <v>100</v>
      </c>
      <c r="D8126" s="2" t="str">
        <f>IFERROR(__xludf.DUMMYFUNCTION("IFERROR(VLOOKUP(A8126, IMPORTRANGE(""https://docs.google.com/spreadsheets/d/1-3Vjw2Cyy-mry5gbC8ypIR3YVGFfEpyFESummAta6sg/edit"", ""Sheet1!B:D""), 2, FALSE), ""Not Found"")"),"waɪndɪŋ")</f>
        <v>waɪndɪŋ</v>
      </c>
      <c r="E8126" s="2" t="str">
        <f>IFERROR(__xludf.DUMMYFUNCTION("IFERROR(VLOOKUP(A8126, IMPORTRANGE(""https://docs.google.com/spreadsheets/d/1-3Vjw2Cyy-mry5gbC8ypIR3YVGFfEpyFESummAta6sg/edit"", ""Sheet1!B:D""), 3, FALSE), ""Not Found"")"),"w a ɪ n d ɪ ŋ ")</f>
        <v>w a ɪ n d ɪ ŋ </v>
      </c>
    </row>
    <row r="8127">
      <c r="A8127" s="1" t="s">
        <v>8128</v>
      </c>
      <c r="B8127" s="1" t="s">
        <v>6138</v>
      </c>
      <c r="C8127" s="2">
        <f>IFERROR(__xludf.DUMMYFUNCTION("IFERROR(VLOOKUP(A8127, IMPORTRANGE(""https://docs.google.com/spreadsheets/d/1AVX9GT0dgogEBStecCXMMQ29tWz3gBrtNB8yIromXbY/edit?gid=741673867"", ""out1g!A:B""), 2, FALSE), 0)"),215.0)</f>
        <v>215</v>
      </c>
      <c r="D8127" s="2" t="str">
        <f>IFERROR(__xludf.DUMMYFUNCTION("IFERROR(VLOOKUP(A8127, IMPORTRANGE(""https://docs.google.com/spreadsheets/d/1-3Vjw2Cyy-mry5gbC8ypIR3YVGFfEpyFESummAta6sg/edit"", ""Sheet1!B:D""), 2, FALSE), ""Not Found"")"),"kɪdniz")</f>
        <v>kɪdniz</v>
      </c>
      <c r="E8127" s="2" t="str">
        <f>IFERROR(__xludf.DUMMYFUNCTION("IFERROR(VLOOKUP(A8127, IMPORTRANGE(""https://docs.google.com/spreadsheets/d/1-3Vjw2Cyy-mry5gbC8ypIR3YVGFfEpyFESummAta6sg/edit"", ""Sheet1!B:D""), 3, FALSE), ""Not Found"")"),"k ɪ d n i z ")</f>
        <v>k ɪ d n i z </v>
      </c>
    </row>
    <row r="8128">
      <c r="A8128" s="1" t="s">
        <v>8129</v>
      </c>
      <c r="B8128" s="1" t="s">
        <v>6138</v>
      </c>
      <c r="C8128" s="2">
        <f>IFERROR(__xludf.DUMMYFUNCTION("IFERROR(VLOOKUP(A8128, IMPORTRANGE(""https://docs.google.com/spreadsheets/d/1AVX9GT0dgogEBStecCXMMQ29tWz3gBrtNB8yIromXbY/edit?gid=741673867"", ""out1g!A:B""), 2, FALSE), 0)"),1162.0)</f>
        <v>1162</v>
      </c>
      <c r="D8128" s="2" t="str">
        <f>IFERROR(__xludf.DUMMYFUNCTION("IFERROR(VLOOKUP(A8128, IMPORTRANGE(""https://docs.google.com/spreadsheets/d/1-3Vjw2Cyy-mry5gbC8ypIR3YVGFfEpyFESummAta6sg/edit"", ""Sheet1!B:D""), 2, FALSE), ""Not Found"")"),"pækɪʤ")</f>
        <v>pækɪʤ</v>
      </c>
      <c r="E8128" s="2" t="str">
        <f>IFERROR(__xludf.DUMMYFUNCTION("IFERROR(VLOOKUP(A8128, IMPORTRANGE(""https://docs.google.com/spreadsheets/d/1-3Vjw2Cyy-mry5gbC8ypIR3YVGFfEpyFESummAta6sg/edit"", ""Sheet1!B:D""), 3, FALSE), ""Not Found"")"),"p æ k ɪ ʤ ")</f>
        <v>p æ k ɪ ʤ </v>
      </c>
    </row>
    <row r="8129">
      <c r="A8129" s="1" t="s">
        <v>8130</v>
      </c>
      <c r="B8129" s="1" t="s">
        <v>6138</v>
      </c>
      <c r="C8129" s="2">
        <f>IFERROR(__xludf.DUMMYFUNCTION("IFERROR(VLOOKUP(A8129, IMPORTRANGE(""https://docs.google.com/spreadsheets/d/1AVX9GT0dgogEBStecCXMMQ29tWz3gBrtNB8yIromXbY/edit?gid=741673867"", ""out1g!A:B""), 2, FALSE), 0)"),61.0)</f>
        <v>61</v>
      </c>
      <c r="D8129" s="2" t="str">
        <f>IFERROR(__xludf.DUMMYFUNCTION("IFERROR(VLOOKUP(A8129, IMPORTRANGE(""https://docs.google.com/spreadsheets/d/1-3Vjw2Cyy-mry5gbC8ypIR3YVGFfEpyFESummAta6sg/edit"", ""Sheet1!B:D""), 2, FALSE), ""Not Found"")"),"hæʧər")</f>
        <v>hæʧər</v>
      </c>
      <c r="E8129" s="2" t="str">
        <f>IFERROR(__xludf.DUMMYFUNCTION("IFERROR(VLOOKUP(A8129, IMPORTRANGE(""https://docs.google.com/spreadsheets/d/1-3Vjw2Cyy-mry5gbC8ypIR3YVGFfEpyFESummAta6sg/edit"", ""Sheet1!B:D""), 3, FALSE), ""Not Found"")"),"h æ ʧ ə r ")</f>
        <v>h æ ʧ ə r </v>
      </c>
    </row>
    <row r="8130">
      <c r="A8130" s="1" t="s">
        <v>8131</v>
      </c>
      <c r="B8130" s="1" t="s">
        <v>6138</v>
      </c>
      <c r="C8130" s="2">
        <f>IFERROR(__xludf.DUMMYFUNCTION("IFERROR(VLOOKUP(A8130, IMPORTRANGE(""https://docs.google.com/spreadsheets/d/1AVX9GT0dgogEBStecCXMMQ29tWz3gBrtNB8yIromXbY/edit?gid=741673867"", ""out1g!A:B""), 2, FALSE), 0)"),409.0)</f>
        <v>409</v>
      </c>
      <c r="D8130" s="2" t="str">
        <f>IFERROR(__xludf.DUMMYFUNCTION("IFERROR(VLOOKUP(A8130, IMPORTRANGE(""https://docs.google.com/spreadsheets/d/1-3Vjw2Cyy-mry5gbC8ypIR3YVGFfEpyFESummAta6sg/edit"", ""Sheet1!B:D""), 2, FALSE), ""Not Found"")"),"pel")</f>
        <v>pel</v>
      </c>
      <c r="E8130" s="2" t="str">
        <f>IFERROR(__xludf.DUMMYFUNCTION("IFERROR(VLOOKUP(A8130, IMPORTRANGE(""https://docs.google.com/spreadsheets/d/1-3Vjw2Cyy-mry5gbC8ypIR3YVGFfEpyFESummAta6sg/edit"", ""Sheet1!B:D""), 3, FALSE), ""Not Found"")"),"p e l ")</f>
        <v>p e l </v>
      </c>
    </row>
    <row r="8131">
      <c r="A8131" s="1" t="s">
        <v>8132</v>
      </c>
      <c r="B8131" s="1" t="s">
        <v>6138</v>
      </c>
      <c r="C8131" s="2">
        <f>IFERROR(__xludf.DUMMYFUNCTION("IFERROR(VLOOKUP(A8131, IMPORTRANGE(""https://docs.google.com/spreadsheets/d/1AVX9GT0dgogEBStecCXMMQ29tWz3gBrtNB8yIromXbY/edit?gid=741673867"", ""out1g!A:B""), 2, FALSE), 0)"),3297.0)</f>
        <v>3297</v>
      </c>
      <c r="D8131" s="2" t="str">
        <f>IFERROR(__xludf.DUMMYFUNCTION("IFERROR(VLOOKUP(A8131, IMPORTRANGE(""https://docs.google.com/spreadsheets/d/1-3Vjw2Cyy-mry5gbC8ypIR3YVGFfEpyFESummAta6sg/edit"", ""Sheet1!B:D""), 2, FALSE), ""Not Found"")"),"pɑrdən")</f>
        <v>pɑrdən</v>
      </c>
      <c r="E8131" s="2" t="str">
        <f>IFERROR(__xludf.DUMMYFUNCTION("IFERROR(VLOOKUP(A8131, IMPORTRANGE(""https://docs.google.com/spreadsheets/d/1-3Vjw2Cyy-mry5gbC8ypIR3YVGFfEpyFESummAta6sg/edit"", ""Sheet1!B:D""), 3, FALSE), ""Not Found"")"),"p ɑ r d ə n ")</f>
        <v>p ɑ r d ə n </v>
      </c>
    </row>
    <row r="8132">
      <c r="A8132" s="1" t="s">
        <v>8133</v>
      </c>
      <c r="B8132" s="1" t="s">
        <v>6138</v>
      </c>
      <c r="C8132" s="2">
        <f>IFERROR(__xludf.DUMMYFUNCTION("IFERROR(VLOOKUP(A8132, IMPORTRANGE(""https://docs.google.com/spreadsheets/d/1AVX9GT0dgogEBStecCXMMQ29tWz3gBrtNB8yIromXbY/edit?gid=741673867"", ""out1g!A:B""), 2, FALSE), 0)"),66.0)</f>
        <v>66</v>
      </c>
      <c r="D8132" s="2" t="str">
        <f>IFERROR(__xludf.DUMMYFUNCTION("IFERROR(VLOOKUP(A8132, IMPORTRANGE(""https://docs.google.com/spreadsheets/d/1-3Vjw2Cyy-mry5gbC8ypIR3YVGFfEpyFESummAta6sg/edit"", ""Sheet1!B:D""), 2, FALSE), ""Not Found"")"),"nəkəl")</f>
        <v>nəkəl</v>
      </c>
      <c r="E8132" s="2" t="str">
        <f>IFERROR(__xludf.DUMMYFUNCTION("IFERROR(VLOOKUP(A8132, IMPORTRANGE(""https://docs.google.com/spreadsheets/d/1-3Vjw2Cyy-mry5gbC8ypIR3YVGFfEpyFESummAta6sg/edit"", ""Sheet1!B:D""), 3, FALSE), ""Not Found"")"),"n ə k ə l ")</f>
        <v>n ə k ə l </v>
      </c>
    </row>
    <row r="8133">
      <c r="A8133" s="1" t="s">
        <v>8134</v>
      </c>
      <c r="B8133" s="1" t="s">
        <v>6138</v>
      </c>
      <c r="C8133" s="2">
        <f>IFERROR(__xludf.DUMMYFUNCTION("IFERROR(VLOOKUP(A8133, IMPORTRANGE(""https://docs.google.com/spreadsheets/d/1AVX9GT0dgogEBStecCXMMQ29tWz3gBrtNB8yIromXbY/edit?gid=741673867"", ""out1g!A:B""), 2, FALSE), 0)"),222.0)</f>
        <v>222</v>
      </c>
      <c r="D8133" s="2" t="str">
        <f>IFERROR(__xludf.DUMMYFUNCTION("IFERROR(VLOOKUP(A8133, IMPORTRANGE(""https://docs.google.com/spreadsheets/d/1-3Vjw2Cyy-mry5gbC8ypIR3YVGFfEpyFESummAta6sg/edit"", ""Sheet1!B:D""), 2, FALSE), ""Not Found"")"),"bɔrdz")</f>
        <v>bɔrdz</v>
      </c>
      <c r="E8133" s="2" t="str">
        <f>IFERROR(__xludf.DUMMYFUNCTION("IFERROR(VLOOKUP(A8133, IMPORTRANGE(""https://docs.google.com/spreadsheets/d/1-3Vjw2Cyy-mry5gbC8ypIR3YVGFfEpyFESummAta6sg/edit"", ""Sheet1!B:D""), 3, FALSE), ""Not Found"")"),"b ɔ r d z ")</f>
        <v>b ɔ r d z </v>
      </c>
    </row>
    <row r="8134">
      <c r="A8134" s="1" t="s">
        <v>8135</v>
      </c>
      <c r="B8134" s="1" t="s">
        <v>6138</v>
      </c>
      <c r="C8134" s="2">
        <f>IFERROR(__xludf.DUMMYFUNCTION("IFERROR(VLOOKUP(A8134, IMPORTRANGE(""https://docs.google.com/spreadsheets/d/1AVX9GT0dgogEBStecCXMMQ29tWz3gBrtNB8yIromXbY/edit?gid=741673867"", ""out1g!A:B""), 2, FALSE), 0)"),866.0)</f>
        <v>866</v>
      </c>
      <c r="D8134" s="2" t="str">
        <f>IFERROR(__xludf.DUMMYFUNCTION("IFERROR(VLOOKUP(A8134, IMPORTRANGE(""https://docs.google.com/spreadsheets/d/1-3Vjw2Cyy-mry5gbC8ypIR3YVGFfEpyFESummAta6sg/edit"", ""Sheet1!B:D""), 2, FALSE), ""Not Found"")"),"hɑrpər")</f>
        <v>hɑrpər</v>
      </c>
      <c r="E8134" s="2" t="str">
        <f>IFERROR(__xludf.DUMMYFUNCTION("IFERROR(VLOOKUP(A8134, IMPORTRANGE(""https://docs.google.com/spreadsheets/d/1-3Vjw2Cyy-mry5gbC8ypIR3YVGFfEpyFESummAta6sg/edit"", ""Sheet1!B:D""), 3, FALSE), ""Not Found"")"),"h ɑ r p ə r ")</f>
        <v>h ɑ r p ə r </v>
      </c>
    </row>
    <row r="8135">
      <c r="A8135" s="1" t="s">
        <v>8136</v>
      </c>
      <c r="B8135" s="1" t="s">
        <v>6138</v>
      </c>
      <c r="C8135" s="2">
        <f>IFERROR(__xludf.DUMMYFUNCTION("IFERROR(VLOOKUP(A8135, IMPORTRANGE(""https://docs.google.com/spreadsheets/d/1AVX9GT0dgogEBStecCXMMQ29tWz3gBrtNB8yIromXbY/edit?gid=741673867"", ""out1g!A:B""), 2, FALSE), 0)"),103.0)</f>
        <v>103</v>
      </c>
      <c r="D8135" s="2" t="str">
        <f>IFERROR(__xludf.DUMMYFUNCTION("IFERROR(VLOOKUP(A8135, IMPORTRANGE(""https://docs.google.com/spreadsheets/d/1-3Vjw2Cyy-mry5gbC8ypIR3YVGFfEpyFESummAta6sg/edit"", ""Sheet1!B:D""), 2, FALSE), ""Not Found"")"),"pləgz")</f>
        <v>pləgz</v>
      </c>
      <c r="E8135" s="2" t="str">
        <f>IFERROR(__xludf.DUMMYFUNCTION("IFERROR(VLOOKUP(A8135, IMPORTRANGE(""https://docs.google.com/spreadsheets/d/1-3Vjw2Cyy-mry5gbC8ypIR3YVGFfEpyFESummAta6sg/edit"", ""Sheet1!B:D""), 3, FALSE), ""Not Found"")"),"p l ə g z ")</f>
        <v>p l ə g z </v>
      </c>
    </row>
    <row r="8136">
      <c r="A8136" s="1" t="s">
        <v>8137</v>
      </c>
      <c r="B8136" s="1" t="s">
        <v>6138</v>
      </c>
      <c r="C8136" s="2">
        <f>IFERROR(__xludf.DUMMYFUNCTION("IFERROR(VLOOKUP(A8136, IMPORTRANGE(""https://docs.google.com/spreadsheets/d/1AVX9GT0dgogEBStecCXMMQ29tWz3gBrtNB8yIromXbY/edit?gid=741673867"", ""out1g!A:B""), 2, FALSE), 0)"),85.0)</f>
        <v>85</v>
      </c>
      <c r="D8136" s="2" t="str">
        <f>IFERROR(__xludf.DUMMYFUNCTION("IFERROR(VLOOKUP(A8136, IMPORTRANGE(""https://docs.google.com/spreadsheets/d/1-3Vjw2Cyy-mry5gbC8ypIR3YVGFfEpyFESummAta6sg/edit"", ""Sheet1!B:D""), 2, FALSE), ""Not Found"")"),"draɪɪŋ")</f>
        <v>draɪɪŋ</v>
      </c>
      <c r="E8136" s="2" t="str">
        <f>IFERROR(__xludf.DUMMYFUNCTION("IFERROR(VLOOKUP(A8136, IMPORTRANGE(""https://docs.google.com/spreadsheets/d/1-3Vjw2Cyy-mry5gbC8ypIR3YVGFfEpyFESummAta6sg/edit"", ""Sheet1!B:D""), 3, FALSE), ""Not Found"")"),"d r a ɪ ɪ ŋ ")</f>
        <v>d r a ɪ ɪ ŋ </v>
      </c>
    </row>
    <row r="8137">
      <c r="A8137" s="1" t="s">
        <v>8138</v>
      </c>
      <c r="B8137" s="1" t="s">
        <v>6138</v>
      </c>
      <c r="C8137" s="2">
        <f>IFERROR(__xludf.DUMMYFUNCTION("IFERROR(VLOOKUP(A8137, IMPORTRANGE(""https://docs.google.com/spreadsheets/d/1AVX9GT0dgogEBStecCXMMQ29tWz3gBrtNB8yIromXbY/edit?gid=741673867"", ""out1g!A:B""), 2, FALSE), 0)"),204.0)</f>
        <v>204</v>
      </c>
      <c r="D8137" s="2" t="str">
        <f>IFERROR(__xludf.DUMMYFUNCTION("IFERROR(VLOOKUP(A8137, IMPORTRANGE(""https://docs.google.com/spreadsheets/d/1-3Vjw2Cyy-mry5gbC8ypIR3YVGFfEpyFESummAta6sg/edit"", ""Sheet1!B:D""), 2, FALSE), ""Not Found"")"),"præŋk")</f>
        <v>præŋk</v>
      </c>
      <c r="E8137" s="2" t="str">
        <f>IFERROR(__xludf.DUMMYFUNCTION("IFERROR(VLOOKUP(A8137, IMPORTRANGE(""https://docs.google.com/spreadsheets/d/1-3Vjw2Cyy-mry5gbC8ypIR3YVGFfEpyFESummAta6sg/edit"", ""Sheet1!B:D""), 3, FALSE), ""Not Found"")"),"p r æ ŋ k ")</f>
        <v>p r æ ŋ k </v>
      </c>
    </row>
    <row r="8138">
      <c r="A8138" s="1" t="s">
        <v>8139</v>
      </c>
      <c r="B8138" s="1" t="s">
        <v>6138</v>
      </c>
      <c r="C8138" s="2">
        <f>IFERROR(__xludf.DUMMYFUNCTION("IFERROR(VLOOKUP(A8138, IMPORTRANGE(""https://docs.google.com/spreadsheets/d/1AVX9GT0dgogEBStecCXMMQ29tWz3gBrtNB8yIromXbY/edit?gid=741673867"", ""out1g!A:B""), 2, FALSE), 0)"),265.0)</f>
        <v>265</v>
      </c>
      <c r="D8138" s="2" t="str">
        <f>IFERROR(__xludf.DUMMYFUNCTION("IFERROR(VLOOKUP(A8138, IMPORTRANGE(""https://docs.google.com/spreadsheets/d/1-3Vjw2Cyy-mry5gbC8ypIR3YVGFfEpyFESummAta6sg/edit"", ""Sheet1!B:D""), 2, FALSE), ""Not Found"")"),"hɛrz")</f>
        <v>hɛrz</v>
      </c>
      <c r="E8138" s="2" t="str">
        <f>IFERROR(__xludf.DUMMYFUNCTION("IFERROR(VLOOKUP(A8138, IMPORTRANGE(""https://docs.google.com/spreadsheets/d/1-3Vjw2Cyy-mry5gbC8ypIR3YVGFfEpyFESummAta6sg/edit"", ""Sheet1!B:D""), 3, FALSE), ""Not Found"")"),"h ɛ r z ")</f>
        <v>h ɛ r z </v>
      </c>
    </row>
    <row r="8139">
      <c r="A8139" s="1" t="s">
        <v>8140</v>
      </c>
      <c r="B8139" s="1" t="s">
        <v>6138</v>
      </c>
      <c r="C8139" s="2">
        <f>IFERROR(__xludf.DUMMYFUNCTION("IFERROR(VLOOKUP(A8139, IMPORTRANGE(""https://docs.google.com/spreadsheets/d/1AVX9GT0dgogEBStecCXMMQ29tWz3gBrtNB8yIromXbY/edit?gid=741673867"", ""out1g!A:B""), 2, FALSE), 0)"),433.0)</f>
        <v>433</v>
      </c>
      <c r="D8139" s="2" t="str">
        <f>IFERROR(__xludf.DUMMYFUNCTION("IFERROR(VLOOKUP(A8139, IMPORTRANGE(""https://docs.google.com/spreadsheets/d/1-3Vjw2Cyy-mry5gbC8ypIR3YVGFfEpyFESummAta6sg/edit"", ""Sheet1!B:D""), 2, FALSE), ""Not Found"")"),"ræŋk")</f>
        <v>ræŋk</v>
      </c>
      <c r="E8139" s="2" t="str">
        <f>IFERROR(__xludf.DUMMYFUNCTION("IFERROR(VLOOKUP(A8139, IMPORTRANGE(""https://docs.google.com/spreadsheets/d/1-3Vjw2Cyy-mry5gbC8ypIR3YVGFfEpyFESummAta6sg/edit"", ""Sheet1!B:D""), 3, FALSE), ""Not Found"")"),"r æ ŋ k ")</f>
        <v>r æ ŋ k </v>
      </c>
    </row>
    <row r="8140">
      <c r="A8140" s="1" t="s">
        <v>8141</v>
      </c>
      <c r="B8140" s="1" t="s">
        <v>6138</v>
      </c>
      <c r="C8140" s="2">
        <f>IFERROR(__xludf.DUMMYFUNCTION("IFERROR(VLOOKUP(A8140, IMPORTRANGE(""https://docs.google.com/spreadsheets/d/1AVX9GT0dgogEBStecCXMMQ29tWz3gBrtNB8yIromXbY/edit?gid=741673867"", ""out1g!A:B""), 2, FALSE), 0)"),10.0)</f>
        <v>10</v>
      </c>
      <c r="D8140" s="2" t="str">
        <f>IFERROR(__xludf.DUMMYFUNCTION("IFERROR(VLOOKUP(A8140, IMPORTRANGE(""https://docs.google.com/spreadsheets/d/1-3Vjw2Cyy-mry5gbC8ypIR3YVGFfEpyFESummAta6sg/edit"", ""Sheet1!B:D""), 2, FALSE), ""Not Found"")"),"fɪzəl")</f>
        <v>fɪzəl</v>
      </c>
      <c r="E8140" s="2" t="str">
        <f>IFERROR(__xludf.DUMMYFUNCTION("IFERROR(VLOOKUP(A8140, IMPORTRANGE(""https://docs.google.com/spreadsheets/d/1-3Vjw2Cyy-mry5gbC8ypIR3YVGFfEpyFESummAta6sg/edit"", ""Sheet1!B:D""), 3, FALSE), ""Not Found"")"),"f ɪ z ə l ")</f>
        <v>f ɪ z ə l </v>
      </c>
    </row>
    <row r="8141">
      <c r="A8141" s="1" t="s">
        <v>8142</v>
      </c>
      <c r="B8141" s="1" t="s">
        <v>6138</v>
      </c>
      <c r="C8141" s="2">
        <f>IFERROR(__xludf.DUMMYFUNCTION("IFERROR(VLOOKUP(A8141, IMPORTRANGE(""https://docs.google.com/spreadsheets/d/1AVX9GT0dgogEBStecCXMMQ29tWz3gBrtNB8yIromXbY/edit?gid=741673867"", ""out1g!A:B""), 2, FALSE), 0)"),14895.0)</f>
        <v>14895</v>
      </c>
      <c r="D8141" s="2" t="str">
        <f>IFERROR(__xludf.DUMMYFUNCTION("IFERROR(VLOOKUP(A8141, IMPORTRANGE(""https://docs.google.com/spreadsheets/d/1-3Vjw2Cyy-mry5gbC8ypIR3YVGFfEpyFESummAta6sg/edit"", ""Sheet1!B:D""), 2, FALSE), ""Not Found"")"),"dɔr")</f>
        <v>dɔr</v>
      </c>
      <c r="E8141" s="2" t="str">
        <f>IFERROR(__xludf.DUMMYFUNCTION("IFERROR(VLOOKUP(A8141, IMPORTRANGE(""https://docs.google.com/spreadsheets/d/1-3Vjw2Cyy-mry5gbC8ypIR3YVGFfEpyFESummAta6sg/edit"", ""Sheet1!B:D""), 3, FALSE), ""Not Found"")"),"d ɔ r ")</f>
        <v>d ɔ r </v>
      </c>
    </row>
    <row r="8142">
      <c r="A8142" s="1" t="s">
        <v>8143</v>
      </c>
      <c r="B8142" s="1" t="s">
        <v>6138</v>
      </c>
      <c r="C8142" s="2">
        <f>IFERROR(__xludf.DUMMYFUNCTION("IFERROR(VLOOKUP(A8142, IMPORTRANGE(""https://docs.google.com/spreadsheets/d/1AVX9GT0dgogEBStecCXMMQ29tWz3gBrtNB8yIromXbY/edit?gid=741673867"", ""out1g!A:B""), 2, FALSE), 0)"),612.0)</f>
        <v>612</v>
      </c>
      <c r="D8142" s="2" t="str">
        <f>IFERROR(__xludf.DUMMYFUNCTION("IFERROR(VLOOKUP(A8142, IMPORTRANGE(""https://docs.google.com/spreadsheets/d/1-3Vjw2Cyy-mry5gbC8ypIR3YVGFfEpyFESummAta6sg/edit"", ""Sheet1!B:D""), 2, FALSE), ""Not Found"")"),"juɪŋ")</f>
        <v>juɪŋ</v>
      </c>
      <c r="E8142" s="2" t="str">
        <f>IFERROR(__xludf.DUMMYFUNCTION("IFERROR(VLOOKUP(A8142, IMPORTRANGE(""https://docs.google.com/spreadsheets/d/1-3Vjw2Cyy-mry5gbC8ypIR3YVGFfEpyFESummAta6sg/edit"", ""Sheet1!B:D""), 3, FALSE), ""Not Found"")"),"j u ɪ ŋ ")</f>
        <v>j u ɪ ŋ </v>
      </c>
    </row>
    <row r="8143">
      <c r="A8143" s="1" t="s">
        <v>8144</v>
      </c>
      <c r="B8143" s="1" t="s">
        <v>6138</v>
      </c>
      <c r="C8143" s="2">
        <f>IFERROR(__xludf.DUMMYFUNCTION("IFERROR(VLOOKUP(A8143, IMPORTRANGE(""https://docs.google.com/spreadsheets/d/1AVX9GT0dgogEBStecCXMMQ29tWz3gBrtNB8yIromXbY/edit?gid=741673867"", ""out1g!A:B""), 2, FALSE), 0)"),577.0)</f>
        <v>577</v>
      </c>
      <c r="D8143" s="2" t="str">
        <f>IFERROR(__xludf.DUMMYFUNCTION("IFERROR(VLOOKUP(A8143, IMPORTRANGE(""https://docs.google.com/spreadsheets/d/1-3Vjw2Cyy-mry5gbC8ypIR3YVGFfEpyFESummAta6sg/edit"", ""Sheet1!B:D""), 2, FALSE), ""Not Found"")"),"kɪlərz")</f>
        <v>kɪlərz</v>
      </c>
      <c r="E8143" s="2" t="str">
        <f>IFERROR(__xludf.DUMMYFUNCTION("IFERROR(VLOOKUP(A8143, IMPORTRANGE(""https://docs.google.com/spreadsheets/d/1-3Vjw2Cyy-mry5gbC8ypIR3YVGFfEpyFESummAta6sg/edit"", ""Sheet1!B:D""), 3, FALSE), ""Not Found"")"),"k ɪ l ə r z ")</f>
        <v>k ɪ l ə r z </v>
      </c>
    </row>
    <row r="8144">
      <c r="A8144" s="1" t="s">
        <v>8145</v>
      </c>
      <c r="B8144" s="1" t="s">
        <v>6138</v>
      </c>
      <c r="C8144" s="2">
        <f>IFERROR(__xludf.DUMMYFUNCTION("IFERROR(VLOOKUP(A8144, IMPORTRANGE(""https://docs.google.com/spreadsheets/d/1AVX9GT0dgogEBStecCXMMQ29tWz3gBrtNB8yIromXbY/edit?gid=741673867"", ""out1g!A:B""), 2, FALSE), 0)"),605.0)</f>
        <v>605</v>
      </c>
      <c r="D8144" s="2" t="str">
        <f>IFERROR(__xludf.DUMMYFUNCTION("IFERROR(VLOOKUP(A8144, IMPORTRANGE(""https://docs.google.com/spreadsheets/d/1-3Vjw2Cyy-mry5gbC8ypIR3YVGFfEpyFESummAta6sg/edit"", ""Sheet1!B:D""), 2, FALSE), ""Not Found"")"),"dɪʃɪz")</f>
        <v>dɪʃɪz</v>
      </c>
      <c r="E8144" s="2" t="str">
        <f>IFERROR(__xludf.DUMMYFUNCTION("IFERROR(VLOOKUP(A8144, IMPORTRANGE(""https://docs.google.com/spreadsheets/d/1-3Vjw2Cyy-mry5gbC8ypIR3YVGFfEpyFESummAta6sg/edit"", ""Sheet1!B:D""), 3, FALSE), ""Not Found"")"),"d ɪ ʃ ɪ z ")</f>
        <v>d ɪ ʃ ɪ z </v>
      </c>
    </row>
    <row r="8145">
      <c r="A8145" s="1" t="s">
        <v>8146</v>
      </c>
      <c r="B8145" s="1" t="s">
        <v>6138</v>
      </c>
      <c r="C8145" s="2">
        <f>IFERROR(__xludf.DUMMYFUNCTION("IFERROR(VLOOKUP(A8145, IMPORTRANGE(""https://docs.google.com/spreadsheets/d/1AVX9GT0dgogEBStecCXMMQ29tWz3gBrtNB8yIromXbY/edit?gid=741673867"", ""out1g!A:B""), 2, FALSE), 0)"),1741.0)</f>
        <v>1741</v>
      </c>
      <c r="D8145" s="2" t="str">
        <f>IFERROR(__xludf.DUMMYFUNCTION("IFERROR(VLOOKUP(A8145, IMPORTRANGE(""https://docs.google.com/spreadsheets/d/1-3Vjw2Cyy-mry5gbC8ypIR3YVGFfEpyFESummAta6sg/edit"", ""Sheet1!B:D""), 2, FALSE), ""Not Found"")"),"ɪʃu")</f>
        <v>ɪʃu</v>
      </c>
      <c r="E8145" s="2" t="str">
        <f>IFERROR(__xludf.DUMMYFUNCTION("IFERROR(VLOOKUP(A8145, IMPORTRANGE(""https://docs.google.com/spreadsheets/d/1-3Vjw2Cyy-mry5gbC8ypIR3YVGFfEpyFESummAta6sg/edit"", ""Sheet1!B:D""), 3, FALSE), ""Not Found"")"),"ɪ ʃ u ")</f>
        <v>ɪ ʃ u </v>
      </c>
    </row>
    <row r="8146">
      <c r="A8146" s="1" t="s">
        <v>8147</v>
      </c>
      <c r="B8146" s="1" t="s">
        <v>6138</v>
      </c>
      <c r="C8146" s="2">
        <f>IFERROR(__xludf.DUMMYFUNCTION("IFERROR(VLOOKUP(A8146, IMPORTRANGE(""https://docs.google.com/spreadsheets/d/1AVX9GT0dgogEBStecCXMMQ29tWz3gBrtNB8yIromXbY/edit?gid=741673867"", ""out1g!A:B""), 2, FALSE), 0)"),78.0)</f>
        <v>78</v>
      </c>
      <c r="D8146" s="2" t="str">
        <f>IFERROR(__xludf.DUMMYFUNCTION("IFERROR(VLOOKUP(A8146, IMPORTRANGE(""https://docs.google.com/spreadsheets/d/1-3Vjw2Cyy-mry5gbC8ypIR3YVGFfEpyFESummAta6sg/edit"", ""Sheet1!B:D""), 2, FALSE), ""Not Found"")"),"sɑləs")</f>
        <v>sɑləs</v>
      </c>
      <c r="E8146" s="2" t="str">
        <f>IFERROR(__xludf.DUMMYFUNCTION("IFERROR(VLOOKUP(A8146, IMPORTRANGE(""https://docs.google.com/spreadsheets/d/1-3Vjw2Cyy-mry5gbC8ypIR3YVGFfEpyFESummAta6sg/edit"", ""Sheet1!B:D""), 3, FALSE), ""Not Found"")"),"s ɑ l ə s ")</f>
        <v>s ɑ l ə s </v>
      </c>
    </row>
    <row r="8147">
      <c r="A8147" s="1" t="s">
        <v>8148</v>
      </c>
      <c r="B8147" s="1" t="s">
        <v>6138</v>
      </c>
      <c r="C8147" s="2">
        <f>IFERROR(__xludf.DUMMYFUNCTION("IFERROR(VLOOKUP(A8147, IMPORTRANGE(""https://docs.google.com/spreadsheets/d/1AVX9GT0dgogEBStecCXMMQ29tWz3gBrtNB8yIromXbY/edit?gid=741673867"", ""out1g!A:B""), 2, FALSE), 0)"),7474.0)</f>
        <v>7474</v>
      </c>
      <c r="D8147" s="2" t="str">
        <f>IFERROR(__xludf.DUMMYFUNCTION("IFERROR(VLOOKUP(A8147, IMPORTRANGE(""https://docs.google.com/spreadsheets/d/1-3Vjw2Cyy-mry5gbC8ypIR3YVGFfEpyFESummAta6sg/edit"", ""Sheet1!B:D""), 2, FALSE), ""Not Found"")"),"ʤɔrʤ")</f>
        <v>ʤɔrʤ</v>
      </c>
      <c r="E8147" s="2" t="str">
        <f>IFERROR(__xludf.DUMMYFUNCTION("IFERROR(VLOOKUP(A8147, IMPORTRANGE(""https://docs.google.com/spreadsheets/d/1-3Vjw2Cyy-mry5gbC8ypIR3YVGFfEpyFESummAta6sg/edit"", ""Sheet1!B:D""), 3, FALSE), ""Not Found"")"),"ʤ ɔ r ʤ ")</f>
        <v>ʤ ɔ r ʤ </v>
      </c>
    </row>
    <row r="8148">
      <c r="A8148" s="1" t="s">
        <v>8149</v>
      </c>
      <c r="B8148" s="1" t="s">
        <v>6138</v>
      </c>
      <c r="C8148" s="2">
        <f>IFERROR(__xludf.DUMMYFUNCTION("IFERROR(VLOOKUP(A8148, IMPORTRANGE(""https://docs.google.com/spreadsheets/d/1AVX9GT0dgogEBStecCXMMQ29tWz3gBrtNB8yIromXbY/edit?gid=741673867"", ""out1g!A:B""), 2, FALSE), 0)"),223.0)</f>
        <v>223</v>
      </c>
      <c r="D8148" s="2" t="str">
        <f>IFERROR(__xludf.DUMMYFUNCTION("IFERROR(VLOOKUP(A8148, IMPORTRANGE(""https://docs.google.com/spreadsheets/d/1-3Vjw2Cyy-mry5gbC8ypIR3YVGFfEpyFESummAta6sg/edit"", ""Sheet1!B:D""), 2, FALSE), ""Not Found"")"),"ræpɪd")</f>
        <v>ræpɪd</v>
      </c>
      <c r="E8148" s="2" t="str">
        <f>IFERROR(__xludf.DUMMYFUNCTION("IFERROR(VLOOKUP(A8148, IMPORTRANGE(""https://docs.google.com/spreadsheets/d/1-3Vjw2Cyy-mry5gbC8ypIR3YVGFfEpyFESummAta6sg/edit"", ""Sheet1!B:D""), 3, FALSE), ""Not Found"")"),"r æ p ɪ d ")</f>
        <v>r æ p ɪ d </v>
      </c>
    </row>
    <row r="8149">
      <c r="A8149" s="1" t="s">
        <v>8150</v>
      </c>
      <c r="B8149" s="1" t="s">
        <v>6138</v>
      </c>
      <c r="C8149" s="2">
        <f>IFERROR(__xludf.DUMMYFUNCTION("IFERROR(VLOOKUP(A8149, IMPORTRANGE(""https://docs.google.com/spreadsheets/d/1AVX9GT0dgogEBStecCXMMQ29tWz3gBrtNB8yIromXbY/edit?gid=741673867"", ""out1g!A:B""), 2, FALSE), 0)"),50.0)</f>
        <v>50</v>
      </c>
      <c r="D8149" s="2" t="str">
        <f>IFERROR(__xludf.DUMMYFUNCTION("IFERROR(VLOOKUP(A8149, IMPORTRANGE(""https://docs.google.com/spreadsheets/d/1-3Vjw2Cyy-mry5gbC8ypIR3YVGFfEpyFESummAta6sg/edit"", ""Sheet1!B:D""), 2, FALSE), ""Not Found"")"),"kju")</f>
        <v>kju</v>
      </c>
      <c r="E8149" s="2" t="str">
        <f>IFERROR(__xludf.DUMMYFUNCTION("IFERROR(VLOOKUP(A8149, IMPORTRANGE(""https://docs.google.com/spreadsheets/d/1-3Vjw2Cyy-mry5gbC8ypIR3YVGFfEpyFESummAta6sg/edit"", ""Sheet1!B:D""), 3, FALSE), ""Not Found"")"),"k j u ")</f>
        <v>k j u </v>
      </c>
    </row>
    <row r="8150">
      <c r="A8150" s="1" t="s">
        <v>8151</v>
      </c>
      <c r="B8150" s="1" t="s">
        <v>6138</v>
      </c>
      <c r="C8150" s="2">
        <f>IFERROR(__xludf.DUMMYFUNCTION("IFERROR(VLOOKUP(A8150, IMPORTRANGE(""https://docs.google.com/spreadsheets/d/1AVX9GT0dgogEBStecCXMMQ29tWz3gBrtNB8yIromXbY/edit?gid=741673867"", ""out1g!A:B""), 2, FALSE), 0)"),626.0)</f>
        <v>626</v>
      </c>
      <c r="D8150" s="2" t="str">
        <f>IFERROR(__xludf.DUMMYFUNCTION("IFERROR(VLOOKUP(A8150, IMPORTRANGE(""https://docs.google.com/spreadsheets/d/1-3Vjw2Cyy-mry5gbC8ypIR3YVGFfEpyFESummAta6sg/edit"", ""Sheet1!B:D""), 2, FALSE), ""Not Found"")"),"pɑkəts")</f>
        <v>pɑkəts</v>
      </c>
      <c r="E8150" s="2" t="str">
        <f>IFERROR(__xludf.DUMMYFUNCTION("IFERROR(VLOOKUP(A8150, IMPORTRANGE(""https://docs.google.com/spreadsheets/d/1-3Vjw2Cyy-mry5gbC8ypIR3YVGFfEpyFESummAta6sg/edit"", ""Sheet1!B:D""), 3, FALSE), ""Not Found"")"),"p ɑ k ə t s ")</f>
        <v>p ɑ k ə t s </v>
      </c>
    </row>
    <row r="8151">
      <c r="A8151" s="1" t="s">
        <v>8152</v>
      </c>
      <c r="B8151" s="1" t="s">
        <v>6138</v>
      </c>
      <c r="C8151" s="2">
        <f>IFERROR(__xludf.DUMMYFUNCTION("IFERROR(VLOOKUP(A8151, IMPORTRANGE(""https://docs.google.com/spreadsheets/d/1AVX9GT0dgogEBStecCXMMQ29tWz3gBrtNB8yIromXbY/edit?gid=741673867"", ""out1g!A:B""), 2, FALSE), 0)"),398.0)</f>
        <v>398</v>
      </c>
      <c r="D8151" s="2" t="str">
        <f>IFERROR(__xludf.DUMMYFUNCTION("IFERROR(VLOOKUP(A8151, IMPORTRANGE(""https://docs.google.com/spreadsheets/d/1-3Vjw2Cyy-mry5gbC8ypIR3YVGFfEpyFESummAta6sg/edit"", ""Sheet1!B:D""), 2, FALSE), ""Not Found"")"),"ʃaɪni")</f>
        <v>ʃaɪni</v>
      </c>
      <c r="E8151" s="2" t="str">
        <f>IFERROR(__xludf.DUMMYFUNCTION("IFERROR(VLOOKUP(A8151, IMPORTRANGE(""https://docs.google.com/spreadsheets/d/1-3Vjw2Cyy-mry5gbC8ypIR3YVGFfEpyFESummAta6sg/edit"", ""Sheet1!B:D""), 3, FALSE), ""Not Found"")"),"ʃ a ɪ n i ")</f>
        <v>ʃ a ɪ n i </v>
      </c>
    </row>
    <row r="8152">
      <c r="A8152" s="1" t="s">
        <v>8153</v>
      </c>
      <c r="B8152" s="1" t="s">
        <v>6138</v>
      </c>
      <c r="C8152" s="2">
        <f>IFERROR(__xludf.DUMMYFUNCTION("IFERROR(VLOOKUP(A8152, IMPORTRANGE(""https://docs.google.com/spreadsheets/d/1AVX9GT0dgogEBStecCXMMQ29tWz3gBrtNB8yIromXbY/edit?gid=741673867"", ""out1g!A:B""), 2, FALSE), 0)"),849.0)</f>
        <v>849</v>
      </c>
      <c r="D8152" s="2" t="str">
        <f>IFERROR(__xludf.DUMMYFUNCTION("IFERROR(VLOOKUP(A8152, IMPORTRANGE(""https://docs.google.com/spreadsheets/d/1-3Vjw2Cyy-mry5gbC8ypIR3YVGFfEpyFESummAta6sg/edit"", ""Sheet1!B:D""), 2, FALSE), ""Not Found"")"),"hɑrvi")</f>
        <v>hɑrvi</v>
      </c>
      <c r="E8152" s="2" t="str">
        <f>IFERROR(__xludf.DUMMYFUNCTION("IFERROR(VLOOKUP(A8152, IMPORTRANGE(""https://docs.google.com/spreadsheets/d/1-3Vjw2Cyy-mry5gbC8ypIR3YVGFfEpyFESummAta6sg/edit"", ""Sheet1!B:D""), 3, FALSE), ""Not Found"")"),"h ɑ r v i ")</f>
        <v>h ɑ r v i </v>
      </c>
    </row>
    <row r="8153">
      <c r="A8153" s="1" t="s">
        <v>8154</v>
      </c>
      <c r="B8153" s="1" t="s">
        <v>6138</v>
      </c>
      <c r="C8153" s="2">
        <f>IFERROR(__xludf.DUMMYFUNCTION("IFERROR(VLOOKUP(A8153, IMPORTRANGE(""https://docs.google.com/spreadsheets/d/1AVX9GT0dgogEBStecCXMMQ29tWz3gBrtNB8yIromXbY/edit?gid=741673867"", ""out1g!A:B""), 2, FALSE), 0)"),701.0)</f>
        <v>701</v>
      </c>
      <c r="D8153" s="2" t="str">
        <f>IFERROR(__xludf.DUMMYFUNCTION("IFERROR(VLOOKUP(A8153, IMPORTRANGE(""https://docs.google.com/spreadsheets/d/1-3Vjw2Cyy-mry5gbC8ypIR3YVGFfEpyFESummAta6sg/edit"", ""Sheet1!B:D""), 2, FALSE), ""Not Found"")"),"sel")</f>
        <v>sel</v>
      </c>
      <c r="E8153" s="2" t="str">
        <f>IFERROR(__xludf.DUMMYFUNCTION("IFERROR(VLOOKUP(A8153, IMPORTRANGE(""https://docs.google.com/spreadsheets/d/1-3Vjw2Cyy-mry5gbC8ypIR3YVGFfEpyFESummAta6sg/edit"", ""Sheet1!B:D""), 3, FALSE), ""Not Found"")"),"s e l ")</f>
        <v>s e l </v>
      </c>
    </row>
    <row r="8154">
      <c r="A8154" s="1" t="s">
        <v>8155</v>
      </c>
      <c r="B8154" s="1" t="s">
        <v>6138</v>
      </c>
      <c r="C8154" s="2">
        <f>IFERROR(__xludf.DUMMYFUNCTION("IFERROR(VLOOKUP(A8154, IMPORTRANGE(""https://docs.google.com/spreadsheets/d/1AVX9GT0dgogEBStecCXMMQ29tWz3gBrtNB8yIromXbY/edit?gid=741673867"", ""out1g!A:B""), 2, FALSE), 0)"),101.0)</f>
        <v>101</v>
      </c>
      <c r="D8154" s="2" t="str">
        <f>IFERROR(__xludf.DUMMYFUNCTION("IFERROR(VLOOKUP(A8154, IMPORTRANGE(""https://docs.google.com/spreadsheets/d/1-3Vjw2Cyy-mry5gbC8ypIR3YVGFfEpyFESummAta6sg/edit"", ""Sheet1!B:D""), 2, FALSE), ""Not Found"")"),"tɪkəld")</f>
        <v>tɪkəld</v>
      </c>
      <c r="E8154" s="2" t="str">
        <f>IFERROR(__xludf.DUMMYFUNCTION("IFERROR(VLOOKUP(A8154, IMPORTRANGE(""https://docs.google.com/spreadsheets/d/1-3Vjw2Cyy-mry5gbC8ypIR3YVGFfEpyFESummAta6sg/edit"", ""Sheet1!B:D""), 3, FALSE), ""Not Found"")"),"t ɪ k ə l d ")</f>
        <v>t ɪ k ə l d </v>
      </c>
    </row>
    <row r="8155">
      <c r="A8155" s="1" t="s">
        <v>8156</v>
      </c>
      <c r="B8155" s="1" t="s">
        <v>6138</v>
      </c>
      <c r="C8155" s="2">
        <f>IFERROR(__xludf.DUMMYFUNCTION("IFERROR(VLOOKUP(A8155, IMPORTRANGE(""https://docs.google.com/spreadsheets/d/1AVX9GT0dgogEBStecCXMMQ29tWz3gBrtNB8yIromXbY/edit?gid=741673867"", ""out1g!A:B""), 2, FALSE), 0)"),276.0)</f>
        <v>276</v>
      </c>
      <c r="D8155" s="2" t="str">
        <f>IFERROR(__xludf.DUMMYFUNCTION("IFERROR(VLOOKUP(A8155, IMPORTRANGE(""https://docs.google.com/spreadsheets/d/1-3Vjw2Cyy-mry5gbC8ypIR3YVGFfEpyFESummAta6sg/edit"", ""Sheet1!B:D""), 2, FALSE), ""Not Found"")"),"lɛpərd")</f>
        <v>lɛpərd</v>
      </c>
      <c r="E8155" s="2" t="str">
        <f>IFERROR(__xludf.DUMMYFUNCTION("IFERROR(VLOOKUP(A8155, IMPORTRANGE(""https://docs.google.com/spreadsheets/d/1-3Vjw2Cyy-mry5gbC8ypIR3YVGFfEpyFESummAta6sg/edit"", ""Sheet1!B:D""), 3, FALSE), ""Not Found"")"),"l ɛ p ə r d ")</f>
        <v>l ɛ p ə r d </v>
      </c>
    </row>
    <row r="8156">
      <c r="A8156" s="1" t="s">
        <v>8157</v>
      </c>
      <c r="B8156" s="1" t="s">
        <v>6138</v>
      </c>
      <c r="C8156" s="2">
        <f>IFERROR(__xludf.DUMMYFUNCTION("IFERROR(VLOOKUP(A8156, IMPORTRANGE(""https://docs.google.com/spreadsheets/d/1AVX9GT0dgogEBStecCXMMQ29tWz3gBrtNB8yIromXbY/edit?gid=741673867"", ""out1g!A:B""), 2, FALSE), 0)"),53.0)</f>
        <v>53</v>
      </c>
      <c r="D8156" s="2" t="str">
        <f>IFERROR(__xludf.DUMMYFUNCTION("IFERROR(VLOOKUP(A8156, IMPORTRANGE(""https://docs.google.com/spreadsheets/d/1-3Vjw2Cyy-mry5gbC8ypIR3YVGFfEpyFESummAta6sg/edit"", ""Sheet1!B:D""), 2, FALSE), ""Not Found"")"),"kərin")</f>
        <v>kərin</v>
      </c>
      <c r="E8156" s="2" t="str">
        <f>IFERROR(__xludf.DUMMYFUNCTION("IFERROR(VLOOKUP(A8156, IMPORTRANGE(""https://docs.google.com/spreadsheets/d/1-3Vjw2Cyy-mry5gbC8ypIR3YVGFfEpyFESummAta6sg/edit"", ""Sheet1!B:D""), 3, FALSE), ""Not Found"")"),"k ə r i n ")</f>
        <v>k ə r i n </v>
      </c>
    </row>
    <row r="8157">
      <c r="A8157" s="1" t="s">
        <v>8158</v>
      </c>
      <c r="B8157" s="1" t="s">
        <v>6138</v>
      </c>
      <c r="C8157" s="2">
        <f>IFERROR(__xludf.DUMMYFUNCTION("IFERROR(VLOOKUP(A8157, IMPORTRANGE(""https://docs.google.com/spreadsheets/d/1AVX9GT0dgogEBStecCXMMQ29tWz3gBrtNB8yIromXbY/edit?gid=741673867"", ""out1g!A:B""), 2, FALSE), 0)"),46.0)</f>
        <v>46</v>
      </c>
      <c r="D8157" s="2" t="str">
        <f>IFERROR(__xludf.DUMMYFUNCTION("IFERROR(VLOOKUP(A8157, IMPORTRANGE(""https://docs.google.com/spreadsheets/d/1-3Vjw2Cyy-mry5gbC8ypIR3YVGFfEpyFESummAta6sg/edit"", ""Sheet1!B:D""), 2, FALSE), ""Not Found"")"),"ɪʃuɪŋ")</f>
        <v>ɪʃuɪŋ</v>
      </c>
      <c r="E8157" s="2" t="str">
        <f>IFERROR(__xludf.DUMMYFUNCTION("IFERROR(VLOOKUP(A8157, IMPORTRANGE(""https://docs.google.com/spreadsheets/d/1-3Vjw2Cyy-mry5gbC8ypIR3YVGFfEpyFESummAta6sg/edit"", ""Sheet1!B:D""), 3, FALSE), ""Not Found"")"),"ɪ ʃ u ɪ ŋ ")</f>
        <v>ɪ ʃ u ɪ ŋ </v>
      </c>
    </row>
    <row r="8158">
      <c r="A8158" s="1" t="s">
        <v>8159</v>
      </c>
      <c r="B8158" s="1" t="s">
        <v>6138</v>
      </c>
      <c r="C8158" s="2">
        <f>IFERROR(__xludf.DUMMYFUNCTION("IFERROR(VLOOKUP(A8158, IMPORTRANGE(""https://docs.google.com/spreadsheets/d/1AVX9GT0dgogEBStecCXMMQ29tWz3gBrtNB8yIromXbY/edit?gid=741673867"", ""out1g!A:B""), 2, FALSE), 0)"),52.0)</f>
        <v>52</v>
      </c>
      <c r="D8158" s="2" t="str">
        <f>IFERROR(__xludf.DUMMYFUNCTION("IFERROR(VLOOKUP(A8158, IMPORTRANGE(""https://docs.google.com/spreadsheets/d/1-3Vjw2Cyy-mry5gbC8ypIR3YVGFfEpyFESummAta6sg/edit"", ""Sheet1!B:D""), 2, FALSE), ""Not Found"")"),"ənʃʊr")</f>
        <v>ənʃʊr</v>
      </c>
      <c r="E8158" s="2" t="str">
        <f>IFERROR(__xludf.DUMMYFUNCTION("IFERROR(VLOOKUP(A8158, IMPORTRANGE(""https://docs.google.com/spreadsheets/d/1-3Vjw2Cyy-mry5gbC8ypIR3YVGFfEpyFESummAta6sg/edit"", ""Sheet1!B:D""), 3, FALSE), ""Not Found"")"),"ə n ʃ ʊ r ")</f>
        <v>ə n ʃ ʊ r </v>
      </c>
    </row>
    <row r="8159">
      <c r="A8159" s="1" t="s">
        <v>8160</v>
      </c>
      <c r="B8159" s="1" t="s">
        <v>6138</v>
      </c>
      <c r="C8159" s="2">
        <f>IFERROR(__xludf.DUMMYFUNCTION("IFERROR(VLOOKUP(A8159, IMPORTRANGE(""https://docs.google.com/spreadsheets/d/1AVX9GT0dgogEBStecCXMMQ29tWz3gBrtNB8yIromXbY/edit?gid=741673867"", ""out1g!A:B""), 2, FALSE), 0)"),198.0)</f>
        <v>198</v>
      </c>
      <c r="D8159" s="2" t="str">
        <f>IFERROR(__xludf.DUMMYFUNCTION("IFERROR(VLOOKUP(A8159, IMPORTRANGE(""https://docs.google.com/spreadsheets/d/1-3Vjw2Cyy-mry5gbC8ypIR3YVGFfEpyFESummAta6sg/edit"", ""Sheet1!B:D""), 2, FALSE), ""Not Found"")"),"weʤɪz")</f>
        <v>weʤɪz</v>
      </c>
      <c r="E8159" s="2" t="str">
        <f>IFERROR(__xludf.DUMMYFUNCTION("IFERROR(VLOOKUP(A8159, IMPORTRANGE(""https://docs.google.com/spreadsheets/d/1-3Vjw2Cyy-mry5gbC8ypIR3YVGFfEpyFESummAta6sg/edit"", ""Sheet1!B:D""), 3, FALSE), ""Not Found"")"),"w e ʤ ɪ z ")</f>
        <v>w e ʤ ɪ z </v>
      </c>
    </row>
    <row r="8160">
      <c r="A8160" s="1" t="s">
        <v>8161</v>
      </c>
      <c r="B8160" s="1" t="s">
        <v>6138</v>
      </c>
      <c r="C8160" s="2">
        <f>IFERROR(__xludf.DUMMYFUNCTION("IFERROR(VLOOKUP(A8160, IMPORTRANGE(""https://docs.google.com/spreadsheets/d/1AVX9GT0dgogEBStecCXMMQ29tWz3gBrtNB8yIromXbY/edit?gid=741673867"", ""out1g!A:B""), 2, FALSE), 0)"),138.0)</f>
        <v>138</v>
      </c>
      <c r="D8160" s="2" t="str">
        <f>IFERROR(__xludf.DUMMYFUNCTION("IFERROR(VLOOKUP(A8160, IMPORTRANGE(""https://docs.google.com/spreadsheets/d/1-3Vjw2Cyy-mry5gbC8ypIR3YVGFfEpyFESummAta6sg/edit"", ""Sheet1!B:D""), 2, FALSE), ""Not Found"")"),"ɪrɪŋ")</f>
        <v>ɪrɪŋ</v>
      </c>
      <c r="E8160" s="2" t="str">
        <f>IFERROR(__xludf.DUMMYFUNCTION("IFERROR(VLOOKUP(A8160, IMPORTRANGE(""https://docs.google.com/spreadsheets/d/1-3Vjw2Cyy-mry5gbC8ypIR3YVGFfEpyFESummAta6sg/edit"", ""Sheet1!B:D""), 3, FALSE), ""Not Found"")"),"ɪ r ɪ ŋ ")</f>
        <v>ɪ r ɪ ŋ </v>
      </c>
    </row>
    <row r="8161">
      <c r="A8161" s="1" t="s">
        <v>8162</v>
      </c>
      <c r="B8161" s="1" t="s">
        <v>6138</v>
      </c>
      <c r="C8161" s="2">
        <f>IFERROR(__xludf.DUMMYFUNCTION("IFERROR(VLOOKUP(A8161, IMPORTRANGE(""https://docs.google.com/spreadsheets/d/1AVX9GT0dgogEBStecCXMMQ29tWz3gBrtNB8yIromXbY/edit?gid=741673867"", ""out1g!A:B""), 2, FALSE), 0)"),80.0)</f>
        <v>80</v>
      </c>
      <c r="D8161" s="2" t="str">
        <f>IFERROR(__xludf.DUMMYFUNCTION("IFERROR(VLOOKUP(A8161, IMPORTRANGE(""https://docs.google.com/spreadsheets/d/1-3Vjw2Cyy-mry5gbC8ypIR3YVGFfEpyFESummAta6sg/edit"", ""Sheet1!B:D""), 2, FALSE), ""Not Found"")"),"ʤɪfi")</f>
        <v>ʤɪfi</v>
      </c>
      <c r="E8161" s="2" t="str">
        <f>IFERROR(__xludf.DUMMYFUNCTION("IFERROR(VLOOKUP(A8161, IMPORTRANGE(""https://docs.google.com/spreadsheets/d/1-3Vjw2Cyy-mry5gbC8ypIR3YVGFfEpyFESummAta6sg/edit"", ""Sheet1!B:D""), 3, FALSE), ""Not Found"")"),"ʤ ɪ f i ")</f>
        <v>ʤ ɪ f i </v>
      </c>
    </row>
    <row r="8162">
      <c r="A8162" s="1" t="s">
        <v>8163</v>
      </c>
      <c r="B8162" s="1" t="s">
        <v>6138</v>
      </c>
      <c r="C8162" s="2">
        <f>IFERROR(__xludf.DUMMYFUNCTION("IFERROR(VLOOKUP(A8162, IMPORTRANGE(""https://docs.google.com/spreadsheets/d/1AVX9GT0dgogEBStecCXMMQ29tWz3gBrtNB8yIromXbY/edit?gid=741673867"", ""out1g!A:B""), 2, FALSE), 0)"),11401.0)</f>
        <v>11401</v>
      </c>
      <c r="D8162" s="2" t="str">
        <f>IFERROR(__xludf.DUMMYFUNCTION("IFERROR(VLOOKUP(A8162, IMPORTRANGE(""https://docs.google.com/spreadsheets/d/1-3Vjw2Cyy-mry5gbC8ypIR3YVGFfEpyFESummAta6sg/edit"", ""Sheet1!B:D""), 2, FALSE), ""Not Found"")"),"trəbəl")</f>
        <v>trəbəl</v>
      </c>
      <c r="E8162" s="2" t="str">
        <f>IFERROR(__xludf.DUMMYFUNCTION("IFERROR(VLOOKUP(A8162, IMPORTRANGE(""https://docs.google.com/spreadsheets/d/1-3Vjw2Cyy-mry5gbC8ypIR3YVGFfEpyFESummAta6sg/edit"", ""Sheet1!B:D""), 3, FALSE), ""Not Found"")"),"t r ə b ə l ")</f>
        <v>t r ə b ə l </v>
      </c>
    </row>
    <row r="8163">
      <c r="A8163" s="1" t="s">
        <v>8164</v>
      </c>
      <c r="B8163" s="1" t="s">
        <v>6138</v>
      </c>
      <c r="C8163" s="2">
        <f>IFERROR(__xludf.DUMMYFUNCTION("IFERROR(VLOOKUP(A8163, IMPORTRANGE(""https://docs.google.com/spreadsheets/d/1AVX9GT0dgogEBStecCXMMQ29tWz3gBrtNB8yIromXbY/edit?gid=741673867"", ""out1g!A:B""), 2, FALSE), 0)"),107.0)</f>
        <v>107</v>
      </c>
      <c r="D8163" s="2" t="str">
        <f>IFERROR(__xludf.DUMMYFUNCTION("IFERROR(VLOOKUP(A8163, IMPORTRANGE(""https://docs.google.com/spreadsheets/d/1-3Vjw2Cyy-mry5gbC8ypIR3YVGFfEpyFESummAta6sg/edit"", ""Sheet1!B:D""), 2, FALSE), ""Not Found"")"),"pɛpərz")</f>
        <v>pɛpərz</v>
      </c>
      <c r="E8163" s="2" t="str">
        <f>IFERROR(__xludf.DUMMYFUNCTION("IFERROR(VLOOKUP(A8163, IMPORTRANGE(""https://docs.google.com/spreadsheets/d/1-3Vjw2Cyy-mry5gbC8ypIR3YVGFfEpyFESummAta6sg/edit"", ""Sheet1!B:D""), 3, FALSE), ""Not Found"")"),"p ɛ p ə r z ")</f>
        <v>p ɛ p ə r z </v>
      </c>
    </row>
    <row r="8164">
      <c r="A8164" s="1" t="s">
        <v>8165</v>
      </c>
      <c r="B8164" s="1" t="s">
        <v>6138</v>
      </c>
      <c r="C8164" s="2">
        <f>IFERROR(__xludf.DUMMYFUNCTION("IFERROR(VLOOKUP(A8164, IMPORTRANGE(""https://docs.google.com/spreadsheets/d/1AVX9GT0dgogEBStecCXMMQ29tWz3gBrtNB8yIromXbY/edit?gid=741673867"", ""out1g!A:B""), 2, FALSE), 0)"),82.0)</f>
        <v>82</v>
      </c>
      <c r="D8164" s="2" t="str">
        <f>IFERROR(__xludf.DUMMYFUNCTION("IFERROR(VLOOKUP(A8164, IMPORTRANGE(""https://docs.google.com/spreadsheets/d/1-3Vjw2Cyy-mry5gbC8ypIR3YVGFfEpyFESummAta6sg/edit"", ""Sheet1!B:D""), 2, FALSE), ""Not Found"")"),"mɑrkɪŋ")</f>
        <v>mɑrkɪŋ</v>
      </c>
      <c r="E8164" s="2" t="str">
        <f>IFERROR(__xludf.DUMMYFUNCTION("IFERROR(VLOOKUP(A8164, IMPORTRANGE(""https://docs.google.com/spreadsheets/d/1-3Vjw2Cyy-mry5gbC8ypIR3YVGFfEpyFESummAta6sg/edit"", ""Sheet1!B:D""), 3, FALSE), ""Not Found"")"),"m ɑ r k ɪ ŋ ")</f>
        <v>m ɑ r k ɪ ŋ </v>
      </c>
    </row>
    <row r="8165">
      <c r="A8165" s="1" t="s">
        <v>8166</v>
      </c>
      <c r="B8165" s="1" t="s">
        <v>6138</v>
      </c>
      <c r="C8165" s="2">
        <f>IFERROR(__xludf.DUMMYFUNCTION("IFERROR(VLOOKUP(A8165, IMPORTRANGE(""https://docs.google.com/spreadsheets/d/1AVX9GT0dgogEBStecCXMMQ29tWz3gBrtNB8yIromXbY/edit?gid=741673867"", ""out1g!A:B""), 2, FALSE), 0)"),139.0)</f>
        <v>139</v>
      </c>
      <c r="D8165" s="2" t="str">
        <f>IFERROR(__xludf.DUMMYFUNCTION("IFERROR(VLOOKUP(A8165, IMPORTRANGE(""https://docs.google.com/spreadsheets/d/1-3Vjw2Cyy-mry5gbC8ypIR3YVGFfEpyFESummAta6sg/edit"", ""Sheet1!B:D""), 2, FALSE), ""Not Found"")"),"rəmbəl")</f>
        <v>rəmbəl</v>
      </c>
      <c r="E8165" s="2" t="str">
        <f>IFERROR(__xludf.DUMMYFUNCTION("IFERROR(VLOOKUP(A8165, IMPORTRANGE(""https://docs.google.com/spreadsheets/d/1-3Vjw2Cyy-mry5gbC8ypIR3YVGFfEpyFESummAta6sg/edit"", ""Sheet1!B:D""), 3, FALSE), ""Not Found"")"),"r ə m b ə l ")</f>
        <v>r ə m b ə l </v>
      </c>
    </row>
    <row r="8166">
      <c r="A8166" s="1" t="s">
        <v>8167</v>
      </c>
      <c r="B8166" s="1" t="s">
        <v>6138</v>
      </c>
      <c r="C8166" s="2">
        <f>IFERROR(__xludf.DUMMYFUNCTION("IFERROR(VLOOKUP(A8166, IMPORTRANGE(""https://docs.google.com/spreadsheets/d/1AVX9GT0dgogEBStecCXMMQ29tWz3gBrtNB8yIromXbY/edit?gid=741673867"", ""out1g!A:B""), 2, FALSE), 0)"),506.0)</f>
        <v>506</v>
      </c>
      <c r="D8166" s="2" t="str">
        <f>IFERROR(__xludf.DUMMYFUNCTION("IFERROR(VLOOKUP(A8166, IMPORTRANGE(""https://docs.google.com/spreadsheets/d/1-3Vjw2Cyy-mry5gbC8ypIR3YVGFfEpyFESummAta6sg/edit"", ""Sheet1!B:D""), 2, FALSE), ""Not Found"")"),"sɑlvd")</f>
        <v>sɑlvd</v>
      </c>
      <c r="E8166" s="2" t="str">
        <f>IFERROR(__xludf.DUMMYFUNCTION("IFERROR(VLOOKUP(A8166, IMPORTRANGE(""https://docs.google.com/spreadsheets/d/1-3Vjw2Cyy-mry5gbC8ypIR3YVGFfEpyFESummAta6sg/edit"", ""Sheet1!B:D""), 3, FALSE), ""Not Found"")"),"s ɑ l v d ")</f>
        <v>s ɑ l v d </v>
      </c>
    </row>
    <row r="8167">
      <c r="A8167" s="1" t="s">
        <v>8168</v>
      </c>
      <c r="B8167" s="1" t="s">
        <v>6138</v>
      </c>
      <c r="C8167" s="2">
        <f>IFERROR(__xludf.DUMMYFUNCTION("IFERROR(VLOOKUP(A8167, IMPORTRANGE(""https://docs.google.com/spreadsheets/d/1AVX9GT0dgogEBStecCXMMQ29tWz3gBrtNB8yIromXbY/edit?gid=741673867"", ""out1g!A:B""), 2, FALSE), 0)"),1456.0)</f>
        <v>1456</v>
      </c>
      <c r="D8167" s="2" t="str">
        <f>IFERROR(__xludf.DUMMYFUNCTION("IFERROR(VLOOKUP(A8167, IMPORTRANGE(""https://docs.google.com/spreadsheets/d/1-3Vjw2Cyy-mry5gbC8ypIR3YVGFfEpyFESummAta6sg/edit"", ""Sheet1!B:D""), 2, FALSE), ""Not Found"")"),"bægz")</f>
        <v>bægz</v>
      </c>
      <c r="E8167" s="2" t="str">
        <f>IFERROR(__xludf.DUMMYFUNCTION("IFERROR(VLOOKUP(A8167, IMPORTRANGE(""https://docs.google.com/spreadsheets/d/1-3Vjw2Cyy-mry5gbC8ypIR3YVGFfEpyFESummAta6sg/edit"", ""Sheet1!B:D""), 3, FALSE), ""Not Found"")"),"b æ g z ")</f>
        <v>b æ g z </v>
      </c>
    </row>
    <row r="8168">
      <c r="A8168" s="1" t="s">
        <v>8169</v>
      </c>
      <c r="B8168" s="1" t="s">
        <v>6138</v>
      </c>
      <c r="C8168" s="2">
        <f>IFERROR(__xludf.DUMMYFUNCTION("IFERROR(VLOOKUP(A8168, IMPORTRANGE(""https://docs.google.com/spreadsheets/d/1AVX9GT0dgogEBStecCXMMQ29tWz3gBrtNB8yIromXbY/edit?gid=741673867"", ""out1g!A:B""), 2, FALSE), 0)"),6752.0)</f>
        <v>6752</v>
      </c>
      <c r="D8168" s="2" t="str">
        <f>IFERROR(__xludf.DUMMYFUNCTION("IFERROR(VLOOKUP(A8168, IMPORTRANGE(""https://docs.google.com/spreadsheets/d/1-3Vjw2Cyy-mry5gbC8ypIR3YVGFfEpyFESummAta6sg/edit"", ""Sheet1!B:D""), 2, FALSE), ""Not Found"")"),"mitɪŋ")</f>
        <v>mitɪŋ</v>
      </c>
      <c r="E8168" s="2" t="str">
        <f>IFERROR(__xludf.DUMMYFUNCTION("IFERROR(VLOOKUP(A8168, IMPORTRANGE(""https://docs.google.com/spreadsheets/d/1-3Vjw2Cyy-mry5gbC8ypIR3YVGFfEpyFESummAta6sg/edit"", ""Sheet1!B:D""), 3, FALSE), ""Not Found"")"),"m i t ɪ ŋ ")</f>
        <v>m i t ɪ ŋ </v>
      </c>
    </row>
    <row r="8169">
      <c r="A8169" s="1" t="s">
        <v>8170</v>
      </c>
      <c r="B8169" s="1" t="s">
        <v>6138</v>
      </c>
      <c r="C8169" s="2">
        <f>IFERROR(__xludf.DUMMYFUNCTION("IFERROR(VLOOKUP(A8169, IMPORTRANGE(""https://docs.google.com/spreadsheets/d/1AVX9GT0dgogEBStecCXMMQ29tWz3gBrtNB8yIromXbY/edit?gid=741673867"", ""out1g!A:B""), 2, FALSE), 0)"),148.0)</f>
        <v>148</v>
      </c>
      <c r="D8169" s="2" t="str">
        <f>IFERROR(__xludf.DUMMYFUNCTION("IFERROR(VLOOKUP(A8169, IMPORTRANGE(""https://docs.google.com/spreadsheets/d/1-3Vjw2Cyy-mry5gbC8ypIR3YVGFfEpyFESummAta6sg/edit"", ""Sheet1!B:D""), 2, FALSE), ""Not Found"")"),"dəbəlz")</f>
        <v>dəbəlz</v>
      </c>
      <c r="E8169" s="2" t="str">
        <f>IFERROR(__xludf.DUMMYFUNCTION("IFERROR(VLOOKUP(A8169, IMPORTRANGE(""https://docs.google.com/spreadsheets/d/1-3Vjw2Cyy-mry5gbC8ypIR3YVGFfEpyFESummAta6sg/edit"", ""Sheet1!B:D""), 3, FALSE), ""Not Found"")"),"d ə b ə l z ")</f>
        <v>d ə b ə l z </v>
      </c>
    </row>
    <row r="8170">
      <c r="A8170" s="1" t="s">
        <v>8171</v>
      </c>
      <c r="B8170" s="1" t="s">
        <v>6138</v>
      </c>
      <c r="C8170" s="2">
        <f>IFERROR(__xludf.DUMMYFUNCTION("IFERROR(VLOOKUP(A8170, IMPORTRANGE(""https://docs.google.com/spreadsheets/d/1AVX9GT0dgogEBStecCXMMQ29tWz3gBrtNB8yIromXbY/edit?gid=741673867"", ""out1g!A:B""), 2, FALSE), 0)"),5966.0)</f>
        <v>5966</v>
      </c>
      <c r="D8170" s="2" t="str">
        <f>IFERROR(__xludf.DUMMYFUNCTION("IFERROR(VLOOKUP(A8170, IMPORTRANGE(""https://docs.google.com/spreadsheets/d/1-3Vjw2Cyy-mry5gbC8ypIR3YVGFfEpyFESummAta6sg/edit"", ""Sheet1!B:D""), 2, FALSE), ""Not Found"")"),"wəndər")</f>
        <v>wəndər</v>
      </c>
      <c r="E8170" s="2" t="str">
        <f>IFERROR(__xludf.DUMMYFUNCTION("IFERROR(VLOOKUP(A8170, IMPORTRANGE(""https://docs.google.com/spreadsheets/d/1-3Vjw2Cyy-mry5gbC8ypIR3YVGFfEpyFESummAta6sg/edit"", ""Sheet1!B:D""), 3, FALSE), ""Not Found"")"),"w ə n d ə r ")</f>
        <v>w ə n d ə r </v>
      </c>
    </row>
    <row r="8171">
      <c r="A8171" s="1" t="s">
        <v>8172</v>
      </c>
      <c r="B8171" s="1" t="s">
        <v>6138</v>
      </c>
      <c r="C8171" s="2">
        <f>IFERROR(__xludf.DUMMYFUNCTION("IFERROR(VLOOKUP(A8171, IMPORTRANGE(""https://docs.google.com/spreadsheets/d/1AVX9GT0dgogEBStecCXMMQ29tWz3gBrtNB8yIromXbY/edit?gid=741673867"", ""out1g!A:B""), 2, FALSE), 0)"),92.0)</f>
        <v>92</v>
      </c>
      <c r="D8171" s="2" t="str">
        <f>IFERROR(__xludf.DUMMYFUNCTION("IFERROR(VLOOKUP(A8171, IMPORTRANGE(""https://docs.google.com/spreadsheets/d/1-3Vjw2Cyy-mry5gbC8ypIR3YVGFfEpyFESummAta6sg/edit"", ""Sheet1!B:D""), 2, FALSE), ""Not Found"")"),"tentɪd")</f>
        <v>tentɪd</v>
      </c>
      <c r="E8171" s="2" t="str">
        <f>IFERROR(__xludf.DUMMYFUNCTION("IFERROR(VLOOKUP(A8171, IMPORTRANGE(""https://docs.google.com/spreadsheets/d/1-3Vjw2Cyy-mry5gbC8ypIR3YVGFfEpyFESummAta6sg/edit"", ""Sheet1!B:D""), 3, FALSE), ""Not Found"")"),"t e n t ɪ d ")</f>
        <v>t e n t ɪ d </v>
      </c>
    </row>
    <row r="8172">
      <c r="A8172" s="1" t="s">
        <v>8173</v>
      </c>
      <c r="B8172" s="1" t="s">
        <v>6138</v>
      </c>
      <c r="C8172" s="2">
        <f>IFERROR(__xludf.DUMMYFUNCTION("IFERROR(VLOOKUP(A8172, IMPORTRANGE(""https://docs.google.com/spreadsheets/d/1AVX9GT0dgogEBStecCXMMQ29tWz3gBrtNB8yIromXbY/edit?gid=741673867"", ""out1g!A:B""), 2, FALSE), 0)"),795.0)</f>
        <v>795</v>
      </c>
      <c r="D8172" s="2" t="str">
        <f>IFERROR(__xludf.DUMMYFUNCTION("IFERROR(VLOOKUP(A8172, IMPORTRANGE(""https://docs.google.com/spreadsheets/d/1-3Vjw2Cyy-mry5gbC8ypIR3YVGFfEpyFESummAta6sg/edit"", ""Sheet1!B:D""), 2, FALSE), ""Not Found"")"),"pɔrtər")</f>
        <v>pɔrtər</v>
      </c>
      <c r="E8172" s="2" t="str">
        <f>IFERROR(__xludf.DUMMYFUNCTION("IFERROR(VLOOKUP(A8172, IMPORTRANGE(""https://docs.google.com/spreadsheets/d/1-3Vjw2Cyy-mry5gbC8ypIR3YVGFfEpyFESummAta6sg/edit"", ""Sheet1!B:D""), 3, FALSE), ""Not Found"")"),"p ɔ r t ə r ")</f>
        <v>p ɔ r t ə r </v>
      </c>
    </row>
    <row r="8173">
      <c r="A8173" s="1" t="s">
        <v>8174</v>
      </c>
      <c r="B8173" s="1" t="s">
        <v>6138</v>
      </c>
      <c r="C8173" s="2">
        <f>IFERROR(__xludf.DUMMYFUNCTION("IFERROR(VLOOKUP(A8173, IMPORTRANGE(""https://docs.google.com/spreadsheets/d/1AVX9GT0dgogEBStecCXMMQ29tWz3gBrtNB8yIromXbY/edit?gid=741673867"", ""out1g!A:B""), 2, FALSE), 0)"),234.0)</f>
        <v>234</v>
      </c>
      <c r="D8173" s="2" t="str">
        <f>IFERROR(__xludf.DUMMYFUNCTION("IFERROR(VLOOKUP(A8173, IMPORTRANGE(""https://docs.google.com/spreadsheets/d/1-3Vjw2Cyy-mry5gbC8ypIR3YVGFfEpyFESummAta6sg/edit"", ""Sheet1!B:D""), 2, FALSE), ""Not Found"")"),"səpɔrtɪŋ")</f>
        <v>səpɔrtɪŋ</v>
      </c>
      <c r="E8173" s="2" t="str">
        <f>IFERROR(__xludf.DUMMYFUNCTION("IFERROR(VLOOKUP(A8173, IMPORTRANGE(""https://docs.google.com/spreadsheets/d/1-3Vjw2Cyy-mry5gbC8ypIR3YVGFfEpyFESummAta6sg/edit"", ""Sheet1!B:D""), 3, FALSE), ""Not Found"")"),"s ə p ɔ r t ɪ ŋ ")</f>
        <v>s ə p ɔ r t ɪ ŋ </v>
      </c>
    </row>
    <row r="8174">
      <c r="A8174" s="1" t="s">
        <v>8175</v>
      </c>
      <c r="B8174" s="1" t="s">
        <v>6138</v>
      </c>
      <c r="C8174" s="2">
        <f>IFERROR(__xludf.DUMMYFUNCTION("IFERROR(VLOOKUP(A8174, IMPORTRANGE(""https://docs.google.com/spreadsheets/d/1AVX9GT0dgogEBStecCXMMQ29tWz3gBrtNB8yIromXbY/edit?gid=741673867"", ""out1g!A:B""), 2, FALSE), 0)"),472.0)</f>
        <v>472</v>
      </c>
      <c r="D8174" s="2" t="str">
        <f>IFERROR(__xludf.DUMMYFUNCTION("IFERROR(VLOOKUP(A8174, IMPORTRANGE(""https://docs.google.com/spreadsheets/d/1-3Vjw2Cyy-mry5gbC8ypIR3YVGFfEpyFESummAta6sg/edit"", ""Sheet1!B:D""), 2, FALSE), ""Not Found"")"),"lædər")</f>
        <v>lædər</v>
      </c>
      <c r="E8174" s="2" t="str">
        <f>IFERROR(__xludf.DUMMYFUNCTION("IFERROR(VLOOKUP(A8174, IMPORTRANGE(""https://docs.google.com/spreadsheets/d/1-3Vjw2Cyy-mry5gbC8ypIR3YVGFfEpyFESummAta6sg/edit"", ""Sheet1!B:D""), 3, FALSE), ""Not Found"")"),"l æ d ə r ")</f>
        <v>l æ d ə r </v>
      </c>
    </row>
    <row r="8175">
      <c r="A8175" s="1" t="s">
        <v>8176</v>
      </c>
      <c r="B8175" s="1" t="s">
        <v>6138</v>
      </c>
      <c r="C8175" s="2">
        <f>IFERROR(__xludf.DUMMYFUNCTION("IFERROR(VLOOKUP(A8175, IMPORTRANGE(""https://docs.google.com/spreadsheets/d/1AVX9GT0dgogEBStecCXMMQ29tWz3gBrtNB8yIromXbY/edit?gid=741673867"", ""out1g!A:B""), 2, FALSE), 0)"),338.0)</f>
        <v>338</v>
      </c>
      <c r="D8175" s="2" t="str">
        <f>IFERROR(__xludf.DUMMYFUNCTION("IFERROR(VLOOKUP(A8175, IMPORTRANGE(""https://docs.google.com/spreadsheets/d/1-3Vjw2Cyy-mry5gbC8ypIR3YVGFfEpyFESummAta6sg/edit"", ""Sheet1!B:D""), 2, FALSE), ""Not Found"")"),"dɪsk")</f>
        <v>dɪsk</v>
      </c>
      <c r="E8175" s="2" t="str">
        <f>IFERROR(__xludf.DUMMYFUNCTION("IFERROR(VLOOKUP(A8175, IMPORTRANGE(""https://docs.google.com/spreadsheets/d/1-3Vjw2Cyy-mry5gbC8ypIR3YVGFfEpyFESummAta6sg/edit"", ""Sheet1!B:D""), 3, FALSE), ""Not Found"")"),"d ɪ s k ")</f>
        <v>d ɪ s k </v>
      </c>
    </row>
    <row r="8176">
      <c r="A8176" s="1" t="s">
        <v>8177</v>
      </c>
      <c r="B8176" s="1" t="s">
        <v>6138</v>
      </c>
      <c r="C8176" s="2">
        <f>IFERROR(__xludf.DUMMYFUNCTION("IFERROR(VLOOKUP(A8176, IMPORTRANGE(""https://docs.google.com/spreadsheets/d/1AVX9GT0dgogEBStecCXMMQ29tWz3gBrtNB8yIromXbY/edit?gid=741673867"", ""out1g!A:B""), 2, FALSE), 0)"),665.0)</f>
        <v>665</v>
      </c>
      <c r="D8176" s="2" t="str">
        <f>IFERROR(__xludf.DUMMYFUNCTION("IFERROR(VLOOKUP(A8176, IMPORTRANGE(""https://docs.google.com/spreadsheets/d/1-3Vjw2Cyy-mry5gbC8ypIR3YVGFfEpyFESummAta6sg/edit"", ""Sheet1!B:D""), 2, FALSE), ""Not Found"")"),"ʧəkəlz")</f>
        <v>ʧəkəlz</v>
      </c>
      <c r="E8176" s="2" t="str">
        <f>IFERROR(__xludf.DUMMYFUNCTION("IFERROR(VLOOKUP(A8176, IMPORTRANGE(""https://docs.google.com/spreadsheets/d/1-3Vjw2Cyy-mry5gbC8ypIR3YVGFfEpyFESummAta6sg/edit"", ""Sheet1!B:D""), 3, FALSE), ""Not Found"")"),"ʧ ə k ə l z ")</f>
        <v>ʧ ə k ə l z </v>
      </c>
    </row>
    <row r="8177">
      <c r="A8177" s="1" t="s">
        <v>8178</v>
      </c>
      <c r="B8177" s="1" t="s">
        <v>6138</v>
      </c>
      <c r="C8177" s="2">
        <f>IFERROR(__xludf.DUMMYFUNCTION("IFERROR(VLOOKUP(A8177, IMPORTRANGE(""https://docs.google.com/spreadsheets/d/1AVX9GT0dgogEBStecCXMMQ29tWz3gBrtNB8yIromXbY/edit?gid=741673867"", ""out1g!A:B""), 2, FALSE), 0)"),181.0)</f>
        <v>181</v>
      </c>
      <c r="D8177" s="2" t="str">
        <f>IFERROR(__xludf.DUMMYFUNCTION("IFERROR(VLOOKUP(A8177, IMPORTRANGE(""https://docs.google.com/spreadsheets/d/1-3Vjw2Cyy-mry5gbC8ypIR3YVGFfEpyFESummAta6sg/edit"", ""Sheet1!B:D""), 2, FALSE), ""Not Found"")"),"wɛræz")</f>
        <v>wɛræz</v>
      </c>
      <c r="E8177" s="2" t="str">
        <f>IFERROR(__xludf.DUMMYFUNCTION("IFERROR(VLOOKUP(A8177, IMPORTRANGE(""https://docs.google.com/spreadsheets/d/1-3Vjw2Cyy-mry5gbC8ypIR3YVGFfEpyFESummAta6sg/edit"", ""Sheet1!B:D""), 3, FALSE), ""Not Found"")"),"w ɛ r æ z ")</f>
        <v>w ɛ r æ z </v>
      </c>
    </row>
    <row r="8178">
      <c r="A8178" s="1" t="s">
        <v>8179</v>
      </c>
      <c r="B8178" s="1" t="s">
        <v>6138</v>
      </c>
      <c r="C8178" s="2">
        <f>IFERROR(__xludf.DUMMYFUNCTION("IFERROR(VLOOKUP(A8178, IMPORTRANGE(""https://docs.google.com/spreadsheets/d/1AVX9GT0dgogEBStecCXMMQ29tWz3gBrtNB8yIromXbY/edit?gid=741673867"", ""out1g!A:B""), 2, FALSE), 0)"),140.0)</f>
        <v>140</v>
      </c>
      <c r="D8178" s="2" t="str">
        <f>IFERROR(__xludf.DUMMYFUNCTION("IFERROR(VLOOKUP(A8178, IMPORTRANGE(""https://docs.google.com/spreadsheets/d/1-3Vjw2Cyy-mry5gbC8ypIR3YVGFfEpyFESummAta6sg/edit"", ""Sheet1!B:D""), 2, FALSE), ""Not Found"")"),"fɔrmɪŋ")</f>
        <v>fɔrmɪŋ</v>
      </c>
      <c r="E8178" s="2" t="str">
        <f>IFERROR(__xludf.DUMMYFUNCTION("IFERROR(VLOOKUP(A8178, IMPORTRANGE(""https://docs.google.com/spreadsheets/d/1-3Vjw2Cyy-mry5gbC8ypIR3YVGFfEpyFESummAta6sg/edit"", ""Sheet1!B:D""), 3, FALSE), ""Not Found"")"),"f ɔ r m ɪ ŋ ")</f>
        <v>f ɔ r m ɪ ŋ </v>
      </c>
    </row>
    <row r="8179">
      <c r="A8179" s="1" t="s">
        <v>8180</v>
      </c>
      <c r="B8179" s="1" t="s">
        <v>6138</v>
      </c>
      <c r="C8179" s="2">
        <f>IFERROR(__xludf.DUMMYFUNCTION("IFERROR(VLOOKUP(A8179, IMPORTRANGE(""https://docs.google.com/spreadsheets/d/1AVX9GT0dgogEBStecCXMMQ29tWz3gBrtNB8yIromXbY/edit?gid=741673867"", ""out1g!A:B""), 2, FALSE), 0)"),92.0)</f>
        <v>92</v>
      </c>
      <c r="D8179" s="2" t="str">
        <f>IFERROR(__xludf.DUMMYFUNCTION("IFERROR(VLOOKUP(A8179, IMPORTRANGE(""https://docs.google.com/spreadsheets/d/1-3Vjw2Cyy-mry5gbC8ypIR3YVGFfEpyFESummAta6sg/edit"", ""Sheet1!B:D""), 2, FALSE), ""Not Found"")"),"mɑrkɪŋz")</f>
        <v>mɑrkɪŋz</v>
      </c>
      <c r="E8179" s="2" t="str">
        <f>IFERROR(__xludf.DUMMYFUNCTION("IFERROR(VLOOKUP(A8179, IMPORTRANGE(""https://docs.google.com/spreadsheets/d/1-3Vjw2Cyy-mry5gbC8ypIR3YVGFfEpyFESummAta6sg/edit"", ""Sheet1!B:D""), 3, FALSE), ""Not Found"")"),"m ɑ r k ɪ ŋ z ")</f>
        <v>m ɑ r k ɪ ŋ z </v>
      </c>
    </row>
    <row r="8180">
      <c r="A8180" s="1" t="s">
        <v>8181</v>
      </c>
      <c r="B8180" s="1" t="s">
        <v>6138</v>
      </c>
      <c r="C8180" s="2">
        <f>IFERROR(__xludf.DUMMYFUNCTION("IFERROR(VLOOKUP(A8180, IMPORTRANGE(""https://docs.google.com/spreadsheets/d/1AVX9GT0dgogEBStecCXMMQ29tWz3gBrtNB8yIromXbY/edit?gid=741673867"", ""out1g!A:B""), 2, FALSE), 0)"),58.0)</f>
        <v>58</v>
      </c>
      <c r="D8180" s="2" t="str">
        <f>IFERROR(__xludf.DUMMYFUNCTION("IFERROR(VLOOKUP(A8180, IMPORTRANGE(""https://docs.google.com/spreadsheets/d/1-3Vjw2Cyy-mry5gbC8ypIR3YVGFfEpyFESummAta6sg/edit"", ""Sheet1!B:D""), 2, FALSE), ""Not Found"")"),"sələd")</f>
        <v>sələd</v>
      </c>
      <c r="E8180" s="2" t="str">
        <f>IFERROR(__xludf.DUMMYFUNCTION("IFERROR(VLOOKUP(A8180, IMPORTRANGE(""https://docs.google.com/spreadsheets/d/1-3Vjw2Cyy-mry5gbC8ypIR3YVGFfEpyFESummAta6sg/edit"", ""Sheet1!B:D""), 3, FALSE), ""Not Found"")"),"s ə l ə d ")</f>
        <v>s ə l ə d </v>
      </c>
    </row>
    <row r="8181">
      <c r="A8181" s="1" t="s">
        <v>8182</v>
      </c>
      <c r="B8181" s="1" t="s">
        <v>6138</v>
      </c>
      <c r="C8181" s="2">
        <f>IFERROR(__xludf.DUMMYFUNCTION("IFERROR(VLOOKUP(A8181, IMPORTRANGE(""https://docs.google.com/spreadsheets/d/1AVX9GT0dgogEBStecCXMMQ29tWz3gBrtNB8yIromXbY/edit?gid=741673867"", ""out1g!A:B""), 2, FALSE), 0)"),149.0)</f>
        <v>149</v>
      </c>
      <c r="D8181" s="2" t="str">
        <f>IFERROR(__xludf.DUMMYFUNCTION("IFERROR(VLOOKUP(A8181, IMPORTRANGE(""https://docs.google.com/spreadsheets/d/1-3Vjw2Cyy-mry5gbC8ypIR3YVGFfEpyFESummAta6sg/edit"", ""Sheet1!B:D""), 2, FALSE), ""Not Found"")"),"mɔrəlz")</f>
        <v>mɔrəlz</v>
      </c>
      <c r="E8181" s="2" t="str">
        <f>IFERROR(__xludf.DUMMYFUNCTION("IFERROR(VLOOKUP(A8181, IMPORTRANGE(""https://docs.google.com/spreadsheets/d/1-3Vjw2Cyy-mry5gbC8ypIR3YVGFfEpyFESummAta6sg/edit"", ""Sheet1!B:D""), 3, FALSE), ""Not Found"")"),"m ɔ r ə l z ")</f>
        <v>m ɔ r ə l z </v>
      </c>
    </row>
    <row r="8182">
      <c r="A8182" s="1" t="s">
        <v>8183</v>
      </c>
      <c r="B8182" s="1" t="s">
        <v>6138</v>
      </c>
      <c r="C8182" s="2">
        <f>IFERROR(__xludf.DUMMYFUNCTION("IFERROR(VLOOKUP(A8182, IMPORTRANGE(""https://docs.google.com/spreadsheets/d/1AVX9GT0dgogEBStecCXMMQ29tWz3gBrtNB8yIromXbY/edit?gid=741673867"", ""out1g!A:B""), 2, FALSE), 0)"),12.0)</f>
        <v>12</v>
      </c>
      <c r="D8182" s="2" t="str">
        <f>IFERROR(__xludf.DUMMYFUNCTION("IFERROR(VLOOKUP(A8182, IMPORTRANGE(""https://docs.google.com/spreadsheets/d/1-3Vjw2Cyy-mry5gbC8ypIR3YVGFfEpyFESummAta6sg/edit"", ""Sheet1!B:D""), 2, FALSE), ""Not Found"")"),"gəzəl")</f>
        <v>gəzəl</v>
      </c>
      <c r="E8182" s="2" t="str">
        <f>IFERROR(__xludf.DUMMYFUNCTION("IFERROR(VLOOKUP(A8182, IMPORTRANGE(""https://docs.google.com/spreadsheets/d/1-3Vjw2Cyy-mry5gbC8ypIR3YVGFfEpyFESummAta6sg/edit"", ""Sheet1!B:D""), 3, FALSE), ""Not Found"")"),"g ə z ə l ")</f>
        <v>g ə z ə l </v>
      </c>
    </row>
    <row r="8183">
      <c r="A8183" s="1" t="s">
        <v>8184</v>
      </c>
      <c r="B8183" s="1" t="s">
        <v>6138</v>
      </c>
      <c r="C8183" s="2">
        <f>IFERROR(__xludf.DUMMYFUNCTION("IFERROR(VLOOKUP(A8183, IMPORTRANGE(""https://docs.google.com/spreadsheets/d/1AVX9GT0dgogEBStecCXMMQ29tWz3gBrtNB8yIromXbY/edit?gid=741673867"", ""out1g!A:B""), 2, FALSE), 0)"),327.0)</f>
        <v>327</v>
      </c>
      <c r="D8183" s="2" t="str">
        <f>IFERROR(__xludf.DUMMYFUNCTION("IFERROR(VLOOKUP(A8183, IMPORTRANGE(""https://docs.google.com/spreadsheets/d/1-3Vjw2Cyy-mry5gbC8ypIR3YVGFfEpyFESummAta6sg/edit"", ""Sheet1!B:D""), 2, FALSE), ""Not Found"")"),"tɪrɪŋ")</f>
        <v>tɪrɪŋ</v>
      </c>
      <c r="E8183" s="2" t="str">
        <f>IFERROR(__xludf.DUMMYFUNCTION("IFERROR(VLOOKUP(A8183, IMPORTRANGE(""https://docs.google.com/spreadsheets/d/1-3Vjw2Cyy-mry5gbC8ypIR3YVGFfEpyFESummAta6sg/edit"", ""Sheet1!B:D""), 3, FALSE), ""Not Found"")"),"t ɪ r ɪ ŋ ")</f>
        <v>t ɪ r ɪ ŋ </v>
      </c>
    </row>
    <row r="8184">
      <c r="A8184" s="1" t="s">
        <v>8185</v>
      </c>
      <c r="B8184" s="1" t="s">
        <v>6138</v>
      </c>
      <c r="C8184" s="2">
        <f>IFERROR(__xludf.DUMMYFUNCTION("IFERROR(VLOOKUP(A8184, IMPORTRANGE(""https://docs.google.com/spreadsheets/d/1AVX9GT0dgogEBStecCXMMQ29tWz3gBrtNB8yIromXbY/edit?gid=741673867"", ""out1g!A:B""), 2, FALSE), 0)"),58.0)</f>
        <v>58</v>
      </c>
      <c r="D8184" s="2" t="str">
        <f>IFERROR(__xludf.DUMMYFUNCTION("IFERROR(VLOOKUP(A8184, IMPORTRANGE(""https://docs.google.com/spreadsheets/d/1-3Vjw2Cyy-mry5gbC8ypIR3YVGFfEpyFESummAta6sg/edit"", ""Sheet1!B:D""), 2, FALSE), ""Not Found"")"),"əploʊd")</f>
        <v>əploʊd</v>
      </c>
      <c r="E8184" s="2" t="str">
        <f>IFERROR(__xludf.DUMMYFUNCTION("IFERROR(VLOOKUP(A8184, IMPORTRANGE(""https://docs.google.com/spreadsheets/d/1-3Vjw2Cyy-mry5gbC8ypIR3YVGFfEpyFESummAta6sg/edit"", ""Sheet1!B:D""), 3, FALSE), ""Not Found"")"),"ə p l o ʊ d ")</f>
        <v>ə p l o ʊ d </v>
      </c>
    </row>
    <row r="8185">
      <c r="A8185" s="1" t="s">
        <v>8186</v>
      </c>
      <c r="B8185" s="1" t="s">
        <v>6138</v>
      </c>
      <c r="C8185" s="2">
        <f>IFERROR(__xludf.DUMMYFUNCTION("IFERROR(VLOOKUP(A8185, IMPORTRANGE(""https://docs.google.com/spreadsheets/d/1AVX9GT0dgogEBStecCXMMQ29tWz3gBrtNB8yIromXbY/edit?gid=741673867"", ""out1g!A:B""), 2, FALSE), 0)"),52.0)</f>
        <v>52</v>
      </c>
      <c r="D8185" s="2" t="str">
        <f>IFERROR(__xludf.DUMMYFUNCTION("IFERROR(VLOOKUP(A8185, IMPORTRANGE(""https://docs.google.com/spreadsheets/d/1-3Vjw2Cyy-mry5gbC8ypIR3YVGFfEpyFESummAta6sg/edit"", ""Sheet1!B:D""), 2, FALSE), ""Not Found"")"),"ʧɛsts")</f>
        <v>ʧɛsts</v>
      </c>
      <c r="E8185" s="2" t="str">
        <f>IFERROR(__xludf.DUMMYFUNCTION("IFERROR(VLOOKUP(A8185, IMPORTRANGE(""https://docs.google.com/spreadsheets/d/1-3Vjw2Cyy-mry5gbC8ypIR3YVGFfEpyFESummAta6sg/edit"", ""Sheet1!B:D""), 3, FALSE), ""Not Found"")"),"ʧ ɛ s t s ")</f>
        <v>ʧ ɛ s t s </v>
      </c>
    </row>
    <row r="8186">
      <c r="A8186" s="1" t="s">
        <v>8187</v>
      </c>
      <c r="B8186" s="1" t="s">
        <v>6138</v>
      </c>
      <c r="C8186" s="2">
        <f>IFERROR(__xludf.DUMMYFUNCTION("IFERROR(VLOOKUP(A8186, IMPORTRANGE(""https://docs.google.com/spreadsheets/d/1AVX9GT0dgogEBStecCXMMQ29tWz3gBrtNB8yIromXbY/edit?gid=741673867"", ""out1g!A:B""), 2, FALSE), 0)"),63.0)</f>
        <v>63</v>
      </c>
      <c r="D8186" s="2" t="str">
        <f>IFERROR(__xludf.DUMMYFUNCTION("IFERROR(VLOOKUP(A8186, IMPORTRANGE(""https://docs.google.com/spreadsheets/d/1-3Vjw2Cyy-mry5gbC8ypIR3YVGFfEpyFESummAta6sg/edit"", ""Sheet1!B:D""), 2, FALSE), ""Not Found"")"),"rəʃɪz")</f>
        <v>rəʃɪz</v>
      </c>
      <c r="E8186" s="2" t="str">
        <f>IFERROR(__xludf.DUMMYFUNCTION("IFERROR(VLOOKUP(A8186, IMPORTRANGE(""https://docs.google.com/spreadsheets/d/1-3Vjw2Cyy-mry5gbC8ypIR3YVGFfEpyFESummAta6sg/edit"", ""Sheet1!B:D""), 3, FALSE), ""Not Found"")"),"r ə ʃ ɪ z ")</f>
        <v>r ə ʃ ɪ z </v>
      </c>
    </row>
    <row r="8187">
      <c r="A8187" s="1" t="s">
        <v>8188</v>
      </c>
      <c r="B8187" s="1" t="s">
        <v>6138</v>
      </c>
      <c r="C8187" s="2">
        <f>IFERROR(__xludf.DUMMYFUNCTION("IFERROR(VLOOKUP(A8187, IMPORTRANGE(""https://docs.google.com/spreadsheets/d/1AVX9GT0dgogEBStecCXMMQ29tWz3gBrtNB8yIromXbY/edit?gid=741673867"", ""out1g!A:B""), 2, FALSE), 0)"),51.0)</f>
        <v>51</v>
      </c>
      <c r="D8187" s="2" t="str">
        <f>IFERROR(__xludf.DUMMYFUNCTION("IFERROR(VLOOKUP(A8187, IMPORTRANGE(""https://docs.google.com/spreadsheets/d/1-3Vjw2Cyy-mry5gbC8ypIR3YVGFfEpyFESummAta6sg/edit"", ""Sheet1!B:D""), 2, FALSE), ""Not Found"")"),"slaɪsɪŋ")</f>
        <v>slaɪsɪŋ</v>
      </c>
      <c r="E8187" s="2" t="str">
        <f>IFERROR(__xludf.DUMMYFUNCTION("IFERROR(VLOOKUP(A8187, IMPORTRANGE(""https://docs.google.com/spreadsheets/d/1-3Vjw2Cyy-mry5gbC8ypIR3YVGFfEpyFESummAta6sg/edit"", ""Sheet1!B:D""), 3, FALSE), ""Not Found"")"),"s l a ɪ s ɪ ŋ ")</f>
        <v>s l a ɪ s ɪ ŋ </v>
      </c>
    </row>
    <row r="8188">
      <c r="A8188" s="1" t="s">
        <v>8189</v>
      </c>
      <c r="B8188" s="1" t="s">
        <v>6138</v>
      </c>
      <c r="C8188" s="2">
        <f>IFERROR(__xludf.DUMMYFUNCTION("IFERROR(VLOOKUP(A8188, IMPORTRANGE(""https://docs.google.com/spreadsheets/d/1AVX9GT0dgogEBStecCXMMQ29tWz3gBrtNB8yIromXbY/edit?gid=741673867"", ""out1g!A:B""), 2, FALSE), 0)"),1337.0)</f>
        <v>1337</v>
      </c>
      <c r="D8188" s="2" t="str">
        <f>IFERROR(__xludf.DUMMYFUNCTION("IFERROR(VLOOKUP(A8188, IMPORTRANGE(""https://docs.google.com/spreadsheets/d/1-3Vjw2Cyy-mry5gbC8ypIR3YVGFfEpyFESummAta6sg/edit"", ""Sheet1!B:D""), 2, FALSE), ""Not Found"")"),"wɪntər")</f>
        <v>wɪntər</v>
      </c>
      <c r="E8188" s="2" t="str">
        <f>IFERROR(__xludf.DUMMYFUNCTION("IFERROR(VLOOKUP(A8188, IMPORTRANGE(""https://docs.google.com/spreadsheets/d/1-3Vjw2Cyy-mry5gbC8ypIR3YVGFfEpyFESummAta6sg/edit"", ""Sheet1!B:D""), 3, FALSE), ""Not Found"")"),"w ɪ n t ə r ")</f>
        <v>w ɪ n t ə r </v>
      </c>
    </row>
    <row r="8189">
      <c r="A8189" s="1" t="s">
        <v>8190</v>
      </c>
      <c r="B8189" s="1" t="s">
        <v>6138</v>
      </c>
      <c r="C8189" s="2">
        <f>IFERROR(__xludf.DUMMYFUNCTION("IFERROR(VLOOKUP(A8189, IMPORTRANGE(""https://docs.google.com/spreadsheets/d/1AVX9GT0dgogEBStecCXMMQ29tWz3gBrtNB8yIromXbY/edit?gid=741673867"", ""out1g!A:B""), 2, FALSE), 0)"),15194.0)</f>
        <v>15194</v>
      </c>
      <c r="D8189" s="2" t="str">
        <f>IFERROR(__xludf.DUMMYFUNCTION("IFERROR(VLOOKUP(A8189, IMPORTRANGE(""https://docs.google.com/spreadsheets/d/1-3Vjw2Cyy-mry5gbC8ypIR3YVGFfEpyFESummAta6sg/edit"", ""Sheet1!B:D""), 2, FALSE), ""Not Found"")"),"dɑktər")</f>
        <v>dɑktər</v>
      </c>
      <c r="E8189" s="2" t="str">
        <f>IFERROR(__xludf.DUMMYFUNCTION("IFERROR(VLOOKUP(A8189, IMPORTRANGE(""https://docs.google.com/spreadsheets/d/1-3Vjw2Cyy-mry5gbC8ypIR3YVGFfEpyFESummAta6sg/edit"", ""Sheet1!B:D""), 3, FALSE), ""Not Found"")"),"d ɑ k t ə r ")</f>
        <v>d ɑ k t ə r </v>
      </c>
    </row>
    <row r="8190">
      <c r="A8190" s="1" t="s">
        <v>8191</v>
      </c>
      <c r="B8190" s="1" t="s">
        <v>6138</v>
      </c>
      <c r="C8190" s="2">
        <f>IFERROR(__xludf.DUMMYFUNCTION("IFERROR(VLOOKUP(A8190, IMPORTRANGE(""https://docs.google.com/spreadsheets/d/1AVX9GT0dgogEBStecCXMMQ29tWz3gBrtNB8yIromXbY/edit?gid=741673867"", ""out1g!A:B""), 2, FALSE), 0)"),13461.0)</f>
        <v>13461</v>
      </c>
      <c r="D8190" s="2" t="str">
        <f>IFERROR(__xludf.DUMMYFUNCTION("IFERROR(VLOOKUP(A8190, IMPORTRANGE(""https://docs.google.com/spreadsheets/d/1-3Vjw2Cyy-mry5gbC8ypIR3YVGFfEpyFESummAta6sg/edit"", ""Sheet1!B:D""), 2, FALSE), ""Not Found"")"),"dɔktər")</f>
        <v>dɔktər</v>
      </c>
      <c r="E8190" s="2" t="str">
        <f>IFERROR(__xludf.DUMMYFUNCTION("IFERROR(VLOOKUP(A8190, IMPORTRANGE(""https://docs.google.com/spreadsheets/d/1-3Vjw2Cyy-mry5gbC8ypIR3YVGFfEpyFESummAta6sg/edit"", ""Sheet1!B:D""), 3, FALSE), ""Not Found"")"),"d ɔ k t ə r ")</f>
        <v>d ɔ k t ə r </v>
      </c>
    </row>
    <row r="8191">
      <c r="A8191" s="1" t="s">
        <v>8192</v>
      </c>
      <c r="B8191" s="1" t="s">
        <v>6138</v>
      </c>
      <c r="C8191" s="2">
        <f>IFERROR(__xludf.DUMMYFUNCTION("IFERROR(VLOOKUP(A8191, IMPORTRANGE(""https://docs.google.com/spreadsheets/d/1AVX9GT0dgogEBStecCXMMQ29tWz3gBrtNB8yIromXbY/edit?gid=741673867"", ""out1g!A:B""), 2, FALSE), 0)"),215.0)</f>
        <v>215</v>
      </c>
      <c r="D8191" s="2" t="str">
        <f>IFERROR(__xludf.DUMMYFUNCTION("IFERROR(VLOOKUP(A8191, IMPORTRANGE(""https://docs.google.com/spreadsheets/d/1-3Vjw2Cyy-mry5gbC8ypIR3YVGFfEpyFESummAta6sg/edit"", ""Sheet1!B:D""), 2, FALSE), ""Not Found"")"),"əpɛrənt")</f>
        <v>əpɛrənt</v>
      </c>
      <c r="E8191" s="2" t="str">
        <f>IFERROR(__xludf.DUMMYFUNCTION("IFERROR(VLOOKUP(A8191, IMPORTRANGE(""https://docs.google.com/spreadsheets/d/1-3Vjw2Cyy-mry5gbC8ypIR3YVGFfEpyFESummAta6sg/edit"", ""Sheet1!B:D""), 3, FALSE), ""Not Found"")"),"ə p ɛ r ə n t ")</f>
        <v>ə p ɛ r ə n t </v>
      </c>
    </row>
    <row r="8192">
      <c r="A8192" s="1" t="s">
        <v>8193</v>
      </c>
      <c r="B8192" s="1" t="s">
        <v>6138</v>
      </c>
      <c r="C8192" s="2">
        <f>IFERROR(__xludf.DUMMYFUNCTION("IFERROR(VLOOKUP(A8192, IMPORTRANGE(""https://docs.google.com/spreadsheets/d/1AVX9GT0dgogEBStecCXMMQ29tWz3gBrtNB8yIromXbY/edit?gid=741673867"", ""out1g!A:B""), 2, FALSE), 0)"),29.0)</f>
        <v>29</v>
      </c>
      <c r="D8192" s="2" t="str">
        <f>IFERROR(__xludf.DUMMYFUNCTION("IFERROR(VLOOKUP(A8192, IMPORTRANGE(""https://docs.google.com/spreadsheets/d/1-3Vjw2Cyy-mry5gbC8ypIR3YVGFfEpyFESummAta6sg/edit"", ""Sheet1!B:D""), 2, FALSE), ""Not Found"")"),"ʃaɪnəs")</f>
        <v>ʃaɪnəs</v>
      </c>
      <c r="E8192" s="2" t="str">
        <f>IFERROR(__xludf.DUMMYFUNCTION("IFERROR(VLOOKUP(A8192, IMPORTRANGE(""https://docs.google.com/spreadsheets/d/1-3Vjw2Cyy-mry5gbC8ypIR3YVGFfEpyFESummAta6sg/edit"", ""Sheet1!B:D""), 3, FALSE), ""Not Found"")"),"ʃ a ɪ n ə s ")</f>
        <v>ʃ a ɪ n ə s </v>
      </c>
    </row>
    <row r="8193">
      <c r="A8193" s="1" t="s">
        <v>8194</v>
      </c>
      <c r="B8193" s="1" t="s">
        <v>6138</v>
      </c>
      <c r="C8193" s="2">
        <f>IFERROR(__xludf.DUMMYFUNCTION("IFERROR(VLOOKUP(A8193, IMPORTRANGE(""https://docs.google.com/spreadsheets/d/1AVX9GT0dgogEBStecCXMMQ29tWz3gBrtNB8yIromXbY/edit?gid=741673867"", ""out1g!A:B""), 2, FALSE), 0)"),29.0)</f>
        <v>29</v>
      </c>
      <c r="D8193" s="2" t="str">
        <f>IFERROR(__xludf.DUMMYFUNCTION("IFERROR(VLOOKUP(A8193, IMPORTRANGE(""https://docs.google.com/spreadsheets/d/1-3Vjw2Cyy-mry5gbC8ypIR3YVGFfEpyFESummAta6sg/edit"", ""Sheet1!B:D""), 2, FALSE), ""Not Found"")"),"əndu")</f>
        <v>əndu</v>
      </c>
      <c r="E8193" s="2" t="str">
        <f>IFERROR(__xludf.DUMMYFUNCTION("IFERROR(VLOOKUP(A8193, IMPORTRANGE(""https://docs.google.com/spreadsheets/d/1-3Vjw2Cyy-mry5gbC8ypIR3YVGFfEpyFESummAta6sg/edit"", ""Sheet1!B:D""), 3, FALSE), ""Not Found"")"),"ə n d u ")</f>
        <v>ə n d u </v>
      </c>
    </row>
    <row r="8194">
      <c r="A8194" s="1" t="s">
        <v>8195</v>
      </c>
      <c r="B8194" s="1" t="s">
        <v>6138</v>
      </c>
      <c r="C8194" s="2">
        <f>IFERROR(__xludf.DUMMYFUNCTION("IFERROR(VLOOKUP(A8194, IMPORTRANGE(""https://docs.google.com/spreadsheets/d/1AVX9GT0dgogEBStecCXMMQ29tWz3gBrtNB8yIromXbY/edit?gid=741673867"", ""out1g!A:B""), 2, FALSE), 0)"),80.0)</f>
        <v>80</v>
      </c>
      <c r="D8194" s="2" t="str">
        <f>IFERROR(__xludf.DUMMYFUNCTION("IFERROR(VLOOKUP(A8194, IMPORTRANGE(""https://docs.google.com/spreadsheets/d/1-3Vjw2Cyy-mry5gbC8ypIR3YVGFfEpyFESummAta6sg/edit"", ""Sheet1!B:D""), 2, FALSE), ""Not Found"")"),"spɔɪlɪŋ")</f>
        <v>spɔɪlɪŋ</v>
      </c>
      <c r="E8194" s="2" t="str">
        <f>IFERROR(__xludf.DUMMYFUNCTION("IFERROR(VLOOKUP(A8194, IMPORTRANGE(""https://docs.google.com/spreadsheets/d/1-3Vjw2Cyy-mry5gbC8ypIR3YVGFfEpyFESummAta6sg/edit"", ""Sheet1!B:D""), 3, FALSE), ""Not Found"")"),"s p ɔ ɪ l ɪ ŋ ")</f>
        <v>s p ɔ ɪ l ɪ ŋ </v>
      </c>
    </row>
    <row r="8195">
      <c r="A8195" s="1" t="s">
        <v>8196</v>
      </c>
      <c r="B8195" s="1" t="s">
        <v>6138</v>
      </c>
      <c r="C8195" s="2">
        <f>IFERROR(__xludf.DUMMYFUNCTION("IFERROR(VLOOKUP(A8195, IMPORTRANGE(""https://docs.google.com/spreadsheets/d/1AVX9GT0dgogEBStecCXMMQ29tWz3gBrtNB8yIromXbY/edit?gid=741673867"", ""out1g!A:B""), 2, FALSE), 0)"),55.0)</f>
        <v>55</v>
      </c>
      <c r="D8195" s="2" t="str">
        <f>IFERROR(__xludf.DUMMYFUNCTION("IFERROR(VLOOKUP(A8195, IMPORTRANGE(""https://docs.google.com/spreadsheets/d/1-3Vjw2Cyy-mry5gbC8ypIR3YVGFfEpyFESummAta6sg/edit"", ""Sheet1!B:D""), 2, FALSE), ""Not Found"")"),"tɛndɪŋ")</f>
        <v>tɛndɪŋ</v>
      </c>
      <c r="E8195" s="2" t="str">
        <f>IFERROR(__xludf.DUMMYFUNCTION("IFERROR(VLOOKUP(A8195, IMPORTRANGE(""https://docs.google.com/spreadsheets/d/1-3Vjw2Cyy-mry5gbC8ypIR3YVGFfEpyFESummAta6sg/edit"", ""Sheet1!B:D""), 3, FALSE), ""Not Found"")"),"t ɛ n d ɪ ŋ ")</f>
        <v>t ɛ n d ɪ ŋ </v>
      </c>
    </row>
    <row r="8196">
      <c r="A8196" s="1" t="s">
        <v>8197</v>
      </c>
      <c r="B8196" s="1" t="s">
        <v>6138</v>
      </c>
      <c r="C8196" s="2">
        <f>IFERROR(__xludf.DUMMYFUNCTION("IFERROR(VLOOKUP(A8196, IMPORTRANGE(""https://docs.google.com/spreadsheets/d/1AVX9GT0dgogEBStecCXMMQ29tWz3gBrtNB8yIromXbY/edit?gid=741673867"", ""out1g!A:B""), 2, FALSE), 0)"),220.0)</f>
        <v>220</v>
      </c>
      <c r="D8196" s="2" t="str">
        <f>IFERROR(__xludf.DUMMYFUNCTION("IFERROR(VLOOKUP(A8196, IMPORTRANGE(""https://docs.google.com/spreadsheets/d/1-3Vjw2Cyy-mry5gbC8ypIR3YVGFfEpyFESummAta6sg/edit"", ""Sheet1!B:D""), 2, FALSE), ""Not Found"")"),"ɔrəl")</f>
        <v>ɔrəl</v>
      </c>
      <c r="E8196" s="2" t="str">
        <f>IFERROR(__xludf.DUMMYFUNCTION("IFERROR(VLOOKUP(A8196, IMPORTRANGE(""https://docs.google.com/spreadsheets/d/1-3Vjw2Cyy-mry5gbC8ypIR3YVGFfEpyFESummAta6sg/edit"", ""Sheet1!B:D""), 3, FALSE), ""Not Found"")"),"ɔ r ə l ")</f>
        <v>ɔ r ə l </v>
      </c>
    </row>
    <row r="8197">
      <c r="A8197" s="1" t="s">
        <v>8198</v>
      </c>
      <c r="B8197" s="1" t="s">
        <v>6138</v>
      </c>
      <c r="C8197" s="2">
        <f>IFERROR(__xludf.DUMMYFUNCTION("IFERROR(VLOOKUP(A8197, IMPORTRANGE(""https://docs.google.com/spreadsheets/d/1AVX9GT0dgogEBStecCXMMQ29tWz3gBrtNB8yIromXbY/edit?gid=741673867"", ""out1g!A:B""), 2, FALSE), 0)"),547.0)</f>
        <v>547</v>
      </c>
      <c r="D8197" s="2" t="str">
        <f>IFERROR(__xludf.DUMMYFUNCTION("IFERROR(VLOOKUP(A8197, IMPORTRANGE(""https://docs.google.com/spreadsheets/d/1-3Vjw2Cyy-mry5gbC8ypIR3YVGFfEpyFESummAta6sg/edit"", ""Sheet1!B:D""), 2, FALSE), ""Not Found"")"),"tɪʃu")</f>
        <v>tɪʃu</v>
      </c>
      <c r="E8197" s="2" t="str">
        <f>IFERROR(__xludf.DUMMYFUNCTION("IFERROR(VLOOKUP(A8197, IMPORTRANGE(""https://docs.google.com/spreadsheets/d/1-3Vjw2Cyy-mry5gbC8ypIR3YVGFfEpyFESummAta6sg/edit"", ""Sheet1!B:D""), 3, FALSE), ""Not Found"")"),"t ɪ ʃ u ")</f>
        <v>t ɪ ʃ u </v>
      </c>
    </row>
    <row r="8198">
      <c r="A8198" s="1" t="s">
        <v>8199</v>
      </c>
      <c r="B8198" s="1" t="s">
        <v>6138</v>
      </c>
      <c r="C8198" s="2">
        <f>IFERROR(__xludf.DUMMYFUNCTION("IFERROR(VLOOKUP(A8198, IMPORTRANGE(""https://docs.google.com/spreadsheets/d/1AVX9GT0dgogEBStecCXMMQ29tWz3gBrtNB8yIromXbY/edit?gid=741673867"", ""out1g!A:B""), 2, FALSE), 0)"),109.0)</f>
        <v>109</v>
      </c>
      <c r="D8198" s="2" t="str">
        <f>IFERROR(__xludf.DUMMYFUNCTION("IFERROR(VLOOKUP(A8198, IMPORTRANGE(""https://docs.google.com/spreadsheets/d/1-3Vjw2Cyy-mry5gbC8ypIR3YVGFfEpyFESummAta6sg/edit"", ""Sheet1!B:D""), 2, FALSE), ""Not Found"")"),"du")</f>
        <v>du</v>
      </c>
      <c r="E8198" s="2" t="str">
        <f>IFERROR(__xludf.DUMMYFUNCTION("IFERROR(VLOOKUP(A8198, IMPORTRANGE(""https://docs.google.com/spreadsheets/d/1-3Vjw2Cyy-mry5gbC8ypIR3YVGFfEpyFESummAta6sg/edit"", ""Sheet1!B:D""), 3, FALSE), ""Not Found"")"),"d u ")</f>
        <v>d u </v>
      </c>
    </row>
    <row r="8199">
      <c r="A8199" s="1" t="s">
        <v>8200</v>
      </c>
      <c r="B8199" s="1" t="s">
        <v>6138</v>
      </c>
      <c r="C8199" s="2">
        <f>IFERROR(__xludf.DUMMYFUNCTION("IFERROR(VLOOKUP(A8199, IMPORTRANGE(""https://docs.google.com/spreadsheets/d/1AVX9GT0dgogEBStecCXMMQ29tWz3gBrtNB8yIromXbY/edit?gid=741673867"", ""out1g!A:B""), 2, FALSE), 0)"),217.0)</f>
        <v>217</v>
      </c>
      <c r="D8199" s="2" t="str">
        <f>IFERROR(__xludf.DUMMYFUNCTION("IFERROR(VLOOKUP(A8199, IMPORTRANGE(""https://docs.google.com/spreadsheets/d/1-3Vjw2Cyy-mry5gbC8ypIR3YVGFfEpyFESummAta6sg/edit"", ""Sheet1!B:D""), 2, FALSE), ""Not Found"")"),"linɪŋ")</f>
        <v>linɪŋ</v>
      </c>
      <c r="E8199" s="2" t="str">
        <f>IFERROR(__xludf.DUMMYFUNCTION("IFERROR(VLOOKUP(A8199, IMPORTRANGE(""https://docs.google.com/spreadsheets/d/1-3Vjw2Cyy-mry5gbC8ypIR3YVGFfEpyFESummAta6sg/edit"", ""Sheet1!B:D""), 3, FALSE), ""Not Found"")"),"l i n ɪ ŋ ")</f>
        <v>l i n ɪ ŋ </v>
      </c>
    </row>
    <row r="8200">
      <c r="A8200" s="1" t="s">
        <v>8201</v>
      </c>
      <c r="B8200" s="1" t="s">
        <v>6138</v>
      </c>
      <c r="C8200" s="2">
        <f>IFERROR(__xludf.DUMMYFUNCTION("IFERROR(VLOOKUP(A8200, IMPORTRANGE(""https://docs.google.com/spreadsheets/d/1AVX9GT0dgogEBStecCXMMQ29tWz3gBrtNB8yIromXbY/edit?gid=741673867"", ""out1g!A:B""), 2, FALSE), 0)"),300.0)</f>
        <v>300</v>
      </c>
      <c r="D8200" s="2" t="str">
        <f>IFERROR(__xludf.DUMMYFUNCTION("IFERROR(VLOOKUP(A8200, IMPORTRANGE(""https://docs.google.com/spreadsheets/d/1-3Vjw2Cyy-mry5gbC8ypIR3YVGFfEpyFESummAta6sg/edit"", ""Sheet1!B:D""), 2, FALSE), ""Not Found"")"),"ʃɔrtər")</f>
        <v>ʃɔrtər</v>
      </c>
      <c r="E8200" s="2" t="str">
        <f>IFERROR(__xludf.DUMMYFUNCTION("IFERROR(VLOOKUP(A8200, IMPORTRANGE(""https://docs.google.com/spreadsheets/d/1-3Vjw2Cyy-mry5gbC8ypIR3YVGFfEpyFESummAta6sg/edit"", ""Sheet1!B:D""), 3, FALSE), ""Not Found"")"),"ʃ ɔ r t ə r ")</f>
        <v>ʃ ɔ r t ə r </v>
      </c>
    </row>
    <row r="8201">
      <c r="A8201" s="1" t="s">
        <v>8202</v>
      </c>
      <c r="B8201" s="1" t="s">
        <v>6138</v>
      </c>
      <c r="C8201" s="2">
        <f>IFERROR(__xludf.DUMMYFUNCTION("IFERROR(VLOOKUP(A8201, IMPORTRANGE(""https://docs.google.com/spreadsheets/d/1AVX9GT0dgogEBStecCXMMQ29tWz3gBrtNB8yIromXbY/edit?gid=741673867"", ""out1g!A:B""), 2, FALSE), 0)"),52.0)</f>
        <v>52</v>
      </c>
      <c r="D8201" s="2" t="str">
        <f>IFERROR(__xludf.DUMMYFUNCTION("IFERROR(VLOOKUP(A8201, IMPORTRANGE(""https://docs.google.com/spreadsheets/d/1-3Vjw2Cyy-mry5gbC8ypIR3YVGFfEpyFESummAta6sg/edit"", ""Sheet1!B:D""), 2, FALSE), ""Not Found"")"),"brændz")</f>
        <v>brændz</v>
      </c>
      <c r="E8201" s="2" t="str">
        <f>IFERROR(__xludf.DUMMYFUNCTION("IFERROR(VLOOKUP(A8201, IMPORTRANGE(""https://docs.google.com/spreadsheets/d/1-3Vjw2Cyy-mry5gbC8ypIR3YVGFfEpyFESummAta6sg/edit"", ""Sheet1!B:D""), 3, FALSE), ""Not Found"")"),"b r æ n d z ")</f>
        <v>b r æ n d z </v>
      </c>
    </row>
    <row r="8202">
      <c r="A8202" s="1" t="s">
        <v>8203</v>
      </c>
      <c r="B8202" s="1" t="s">
        <v>6138</v>
      </c>
      <c r="C8202" s="2">
        <f>IFERROR(__xludf.DUMMYFUNCTION("IFERROR(VLOOKUP(A8202, IMPORTRANGE(""https://docs.google.com/spreadsheets/d/1AVX9GT0dgogEBStecCXMMQ29tWz3gBrtNB8yIromXbY/edit?gid=741673867"", ""out1g!A:B""), 2, FALSE), 0)"),27.0)</f>
        <v>27</v>
      </c>
      <c r="D8202" s="2" t="str">
        <f>IFERROR(__xludf.DUMMYFUNCTION("IFERROR(VLOOKUP(A8202, IMPORTRANGE(""https://docs.google.com/spreadsheets/d/1-3Vjw2Cyy-mry5gbC8ypIR3YVGFfEpyFESummAta6sg/edit"", ""Sheet1!B:D""), 2, FALSE), ""Not Found"")"),"dɑktər")</f>
        <v>dɑktər</v>
      </c>
      <c r="E8202" s="2" t="str">
        <f>IFERROR(__xludf.DUMMYFUNCTION("IFERROR(VLOOKUP(A8202, IMPORTRANGE(""https://docs.google.com/spreadsheets/d/1-3Vjw2Cyy-mry5gbC8ypIR3YVGFfEpyFESummAta6sg/edit"", ""Sheet1!B:D""), 3, FALSE), ""Not Found"")"),"d ɑ k t ə r ")</f>
        <v>d ɑ k t ə r </v>
      </c>
    </row>
    <row r="8203">
      <c r="A8203" s="1" t="s">
        <v>8204</v>
      </c>
      <c r="B8203" s="1" t="s">
        <v>6138</v>
      </c>
      <c r="C8203" s="2">
        <f>IFERROR(__xludf.DUMMYFUNCTION("IFERROR(VLOOKUP(A8203, IMPORTRANGE(""https://docs.google.com/spreadsheets/d/1AVX9GT0dgogEBStecCXMMQ29tWz3gBrtNB8yIromXbY/edit?gid=741673867"", ""out1g!A:B""), 2, FALSE), 0)"),73.0)</f>
        <v>73</v>
      </c>
      <c r="D8203" s="2" t="str">
        <f>IFERROR(__xludf.DUMMYFUNCTION("IFERROR(VLOOKUP(A8203, IMPORTRANGE(""https://docs.google.com/spreadsheets/d/1-3Vjw2Cyy-mry5gbC8ypIR3YVGFfEpyFESummAta6sg/edit"", ""Sheet1!B:D""), 2, FALSE), ""Not Found"")"),"dɪtɛst")</f>
        <v>dɪtɛst</v>
      </c>
      <c r="E8203" s="2" t="str">
        <f>IFERROR(__xludf.DUMMYFUNCTION("IFERROR(VLOOKUP(A8203, IMPORTRANGE(""https://docs.google.com/spreadsheets/d/1-3Vjw2Cyy-mry5gbC8ypIR3YVGFfEpyFESummAta6sg/edit"", ""Sheet1!B:D""), 3, FALSE), ""Not Found"")"),"d ɪ t ɛ s t ")</f>
        <v>d ɪ t ɛ s t </v>
      </c>
    </row>
    <row r="8204">
      <c r="A8204" s="1" t="s">
        <v>8205</v>
      </c>
      <c r="B8204" s="1" t="s">
        <v>6138</v>
      </c>
      <c r="C8204" s="2">
        <f>IFERROR(__xludf.DUMMYFUNCTION("IFERROR(VLOOKUP(A8204, IMPORTRANGE(""https://docs.google.com/spreadsheets/d/1AVX9GT0dgogEBStecCXMMQ29tWz3gBrtNB8yIromXbY/edit?gid=741673867"", ""out1g!A:B""), 2, FALSE), 0)"),111.0)</f>
        <v>111</v>
      </c>
      <c r="D8204" s="2" t="str">
        <f>IFERROR(__xludf.DUMMYFUNCTION("IFERROR(VLOOKUP(A8204, IMPORTRANGE(""https://docs.google.com/spreadsheets/d/1-3Vjw2Cyy-mry5gbC8ypIR3YVGFfEpyFESummAta6sg/edit"", ""Sheet1!B:D""), 2, FALSE), ""Not Found"")"),"klɪps")</f>
        <v>klɪps</v>
      </c>
      <c r="E8204" s="2" t="str">
        <f>IFERROR(__xludf.DUMMYFUNCTION("IFERROR(VLOOKUP(A8204, IMPORTRANGE(""https://docs.google.com/spreadsheets/d/1-3Vjw2Cyy-mry5gbC8ypIR3YVGFfEpyFESummAta6sg/edit"", ""Sheet1!B:D""), 3, FALSE), ""Not Found"")"),"k l ɪ p s ")</f>
        <v>k l ɪ p s </v>
      </c>
    </row>
    <row r="8205">
      <c r="A8205" s="1" t="s">
        <v>8206</v>
      </c>
      <c r="B8205" s="1" t="s">
        <v>6138</v>
      </c>
      <c r="C8205" s="2">
        <f>IFERROR(__xludf.DUMMYFUNCTION("IFERROR(VLOOKUP(A8205, IMPORTRANGE(""https://docs.google.com/spreadsheets/d/1AVX9GT0dgogEBStecCXMMQ29tWz3gBrtNB8yIromXbY/edit?gid=741673867"", ""out1g!A:B""), 2, FALSE), 0)"),127.0)</f>
        <v>127</v>
      </c>
      <c r="D8205" s="2" t="str">
        <f>IFERROR(__xludf.DUMMYFUNCTION("IFERROR(VLOOKUP(A8205, IMPORTRANGE(""https://docs.google.com/spreadsheets/d/1-3Vjw2Cyy-mry5gbC8ypIR3YVGFfEpyFESummAta6sg/edit"", ""Sheet1!B:D""), 2, FALSE), ""Not Found"")"),"kəbərd")</f>
        <v>kəbərd</v>
      </c>
      <c r="E8205" s="2" t="str">
        <f>IFERROR(__xludf.DUMMYFUNCTION("IFERROR(VLOOKUP(A8205, IMPORTRANGE(""https://docs.google.com/spreadsheets/d/1-3Vjw2Cyy-mry5gbC8ypIR3YVGFfEpyFESummAta6sg/edit"", ""Sheet1!B:D""), 3, FALSE), ""Not Found"")"),"k ə b ə r d ")</f>
        <v>k ə b ə r d </v>
      </c>
    </row>
    <row r="8206">
      <c r="A8206" s="1" t="s">
        <v>8207</v>
      </c>
      <c r="B8206" s="1" t="s">
        <v>6138</v>
      </c>
      <c r="C8206" s="2">
        <f>IFERROR(__xludf.DUMMYFUNCTION("IFERROR(VLOOKUP(A8206, IMPORTRANGE(""https://docs.google.com/spreadsheets/d/1AVX9GT0dgogEBStecCXMMQ29tWz3gBrtNB8yIromXbY/edit?gid=741673867"", ""out1g!A:B""), 2, FALSE), 0)"),54.0)</f>
        <v>54</v>
      </c>
      <c r="D8206" s="2" t="str">
        <f>IFERROR(__xludf.DUMMYFUNCTION("IFERROR(VLOOKUP(A8206, IMPORTRANGE(""https://docs.google.com/spreadsheets/d/1-3Vjw2Cyy-mry5gbC8ypIR3YVGFfEpyFESummAta6sg/edit"", ""Sheet1!B:D""), 2, FALSE), ""Not Found"")"),"skwiks")</f>
        <v>skwiks</v>
      </c>
      <c r="E8206" s="2" t="str">
        <f>IFERROR(__xludf.DUMMYFUNCTION("IFERROR(VLOOKUP(A8206, IMPORTRANGE(""https://docs.google.com/spreadsheets/d/1-3Vjw2Cyy-mry5gbC8ypIR3YVGFfEpyFESummAta6sg/edit"", ""Sheet1!B:D""), 3, FALSE), ""Not Found"")"),"s k w i k s ")</f>
        <v>s k w i k s </v>
      </c>
    </row>
    <row r="8207">
      <c r="A8207" s="1" t="s">
        <v>8208</v>
      </c>
      <c r="B8207" s="1" t="s">
        <v>6138</v>
      </c>
      <c r="C8207" s="2">
        <f>IFERROR(__xludf.DUMMYFUNCTION("IFERROR(VLOOKUP(A8207, IMPORTRANGE(""https://docs.google.com/spreadsheets/d/1AVX9GT0dgogEBStecCXMMQ29tWz3gBrtNB8yIromXbY/edit?gid=741673867"", ""out1g!A:B""), 2, FALSE), 0)"),108.0)</f>
        <v>108</v>
      </c>
      <c r="D8207" s="2" t="str">
        <f>IFERROR(__xludf.DUMMYFUNCTION("IFERROR(VLOOKUP(A8207, IMPORTRANGE(""https://docs.google.com/spreadsheets/d/1-3Vjw2Cyy-mry5gbC8ypIR3YVGFfEpyFESummAta6sg/edit"", ""Sheet1!B:D""), 2, FALSE), ""Not Found"")"),"mɑrʧt")</f>
        <v>mɑrʧt</v>
      </c>
      <c r="E8207" s="2" t="str">
        <f>IFERROR(__xludf.DUMMYFUNCTION("IFERROR(VLOOKUP(A8207, IMPORTRANGE(""https://docs.google.com/spreadsheets/d/1-3Vjw2Cyy-mry5gbC8ypIR3YVGFfEpyFESummAta6sg/edit"", ""Sheet1!B:D""), 3, FALSE), ""Not Found"")"),"m ɑ r ʧ t ")</f>
        <v>m ɑ r ʧ t </v>
      </c>
    </row>
    <row r="8208">
      <c r="A8208" s="1" t="s">
        <v>8209</v>
      </c>
      <c r="B8208" s="1" t="s">
        <v>6138</v>
      </c>
      <c r="C8208" s="2">
        <f>IFERROR(__xludf.DUMMYFUNCTION("IFERROR(VLOOKUP(A8208, IMPORTRANGE(""https://docs.google.com/spreadsheets/d/1AVX9GT0dgogEBStecCXMMQ29tWz3gBrtNB8yIromXbY/edit?gid=741673867"", ""out1g!A:B""), 2, FALSE), 0)"),464.0)</f>
        <v>464</v>
      </c>
      <c r="D8208" s="2" t="str">
        <f>IFERROR(__xludf.DUMMYFUNCTION("IFERROR(VLOOKUP(A8208, IMPORTRANGE(""https://docs.google.com/spreadsheets/d/1-3Vjw2Cyy-mry5gbC8ypIR3YVGFfEpyFESummAta6sg/edit"", ""Sheet1!B:D""), 2, FALSE), ""Not Found"")"),"səmwət")</f>
        <v>səmwət</v>
      </c>
      <c r="E8208" s="2" t="str">
        <f>IFERROR(__xludf.DUMMYFUNCTION("IFERROR(VLOOKUP(A8208, IMPORTRANGE(""https://docs.google.com/spreadsheets/d/1-3Vjw2Cyy-mry5gbC8ypIR3YVGFfEpyFESummAta6sg/edit"", ""Sheet1!B:D""), 3, FALSE), ""Not Found"")"),"s ə m w ə t ")</f>
        <v>s ə m w ə t </v>
      </c>
    </row>
    <row r="8209">
      <c r="A8209" s="1" t="s">
        <v>8210</v>
      </c>
      <c r="B8209" s="1" t="s">
        <v>6138</v>
      </c>
      <c r="C8209" s="2">
        <f>IFERROR(__xludf.DUMMYFUNCTION("IFERROR(VLOOKUP(A8209, IMPORTRANGE(""https://docs.google.com/spreadsheets/d/1AVX9GT0dgogEBStecCXMMQ29tWz3gBrtNB8yIromXbY/edit?gid=741673867"", ""out1g!A:B""), 2, FALSE), 0)"),1694.0)</f>
        <v>1694</v>
      </c>
      <c r="D8209" s="2" t="str">
        <f>IFERROR(__xludf.DUMMYFUNCTION("IFERROR(VLOOKUP(A8209, IMPORTRANGE(""https://docs.google.com/spreadsheets/d/1-3Vjw2Cyy-mry5gbC8ypIR3YVGFfEpyFESummAta6sg/edit"", ""Sheet1!B:D""), 2, FALSE), ""Not Found"")"),"rɪmen")</f>
        <v>rɪmen</v>
      </c>
      <c r="E8209" s="2" t="str">
        <f>IFERROR(__xludf.DUMMYFUNCTION("IFERROR(VLOOKUP(A8209, IMPORTRANGE(""https://docs.google.com/spreadsheets/d/1-3Vjw2Cyy-mry5gbC8ypIR3YVGFfEpyFESummAta6sg/edit"", ""Sheet1!B:D""), 3, FALSE), ""Not Found"")"),"r ɪ m e n ")</f>
        <v>r ɪ m e n </v>
      </c>
    </row>
    <row r="8210">
      <c r="A8210" s="1" t="s">
        <v>8211</v>
      </c>
      <c r="B8210" s="1" t="s">
        <v>6138</v>
      </c>
      <c r="C8210" s="2">
        <f>IFERROR(__xludf.DUMMYFUNCTION("IFERROR(VLOOKUP(A8210, IMPORTRANGE(""https://docs.google.com/spreadsheets/d/1AVX9GT0dgogEBStecCXMMQ29tWz3gBrtNB8yIromXbY/edit?gid=741673867"", ""out1g!A:B""), 2, FALSE), 0)"),605.0)</f>
        <v>605</v>
      </c>
      <c r="D8210" s="2" t="str">
        <f>IFERROR(__xludf.DUMMYFUNCTION("IFERROR(VLOOKUP(A8210, IMPORTRANGE(""https://docs.google.com/spreadsheets/d/1-3Vjw2Cyy-mry5gbC8ypIR3YVGFfEpyFESummAta6sg/edit"", ""Sheet1!B:D""), 2, FALSE), ""Not Found"")"),"bekən")</f>
        <v>bekən</v>
      </c>
      <c r="E8210" s="2" t="str">
        <f>IFERROR(__xludf.DUMMYFUNCTION("IFERROR(VLOOKUP(A8210, IMPORTRANGE(""https://docs.google.com/spreadsheets/d/1-3Vjw2Cyy-mry5gbC8ypIR3YVGFfEpyFESummAta6sg/edit"", ""Sheet1!B:D""), 3, FALSE), ""Not Found"")"),"b e k ə n ")</f>
        <v>b e k ə n </v>
      </c>
    </row>
    <row r="8211">
      <c r="A8211" s="1" t="s">
        <v>8212</v>
      </c>
      <c r="B8211" s="1" t="s">
        <v>6138</v>
      </c>
      <c r="C8211" s="2">
        <f>IFERROR(__xludf.DUMMYFUNCTION("IFERROR(VLOOKUP(A8211, IMPORTRANGE(""https://docs.google.com/spreadsheets/d/1AVX9GT0dgogEBStecCXMMQ29tWz3gBrtNB8yIromXbY/edit?gid=741673867"", ""out1g!A:B""), 2, FALSE), 0)"),111.0)</f>
        <v>111</v>
      </c>
      <c r="D8211" s="2" t="str">
        <f>IFERROR(__xludf.DUMMYFUNCTION("IFERROR(VLOOKUP(A8211, IMPORTRANGE(""https://docs.google.com/spreadsheets/d/1-3Vjw2Cyy-mry5gbC8ypIR3YVGFfEpyFESummAta6sg/edit"", ""Sheet1!B:D""), 2, FALSE), ""Not Found"")"),"pæsɪv")</f>
        <v>pæsɪv</v>
      </c>
      <c r="E8211" s="2" t="str">
        <f>IFERROR(__xludf.DUMMYFUNCTION("IFERROR(VLOOKUP(A8211, IMPORTRANGE(""https://docs.google.com/spreadsheets/d/1-3Vjw2Cyy-mry5gbC8ypIR3YVGFfEpyFESummAta6sg/edit"", ""Sheet1!B:D""), 3, FALSE), ""Not Found"")"),"p æ s ɪ v ")</f>
        <v>p æ s ɪ v </v>
      </c>
    </row>
    <row r="8212">
      <c r="A8212" s="1" t="s">
        <v>8213</v>
      </c>
      <c r="B8212" s="1" t="s">
        <v>6138</v>
      </c>
      <c r="C8212" s="2">
        <f>IFERROR(__xludf.DUMMYFUNCTION("IFERROR(VLOOKUP(A8212, IMPORTRANGE(""https://docs.google.com/spreadsheets/d/1AVX9GT0dgogEBStecCXMMQ29tWz3gBrtNB8yIromXbY/edit?gid=741673867"", ""out1g!A:B""), 2, FALSE), 0)"),67.0)</f>
        <v>67</v>
      </c>
      <c r="D8212" s="2" t="str">
        <f>IFERROR(__xludf.DUMMYFUNCTION("IFERROR(VLOOKUP(A8212, IMPORTRANGE(""https://docs.google.com/spreadsheets/d/1-3Vjw2Cyy-mry5gbC8ypIR3YVGFfEpyFESummAta6sg/edit"", ""Sheet1!B:D""), 2, FALSE), ""Not Found"")"),"bɑrbd")</f>
        <v>bɑrbd</v>
      </c>
      <c r="E8212" s="2" t="str">
        <f>IFERROR(__xludf.DUMMYFUNCTION("IFERROR(VLOOKUP(A8212, IMPORTRANGE(""https://docs.google.com/spreadsheets/d/1-3Vjw2Cyy-mry5gbC8ypIR3YVGFfEpyFESummAta6sg/edit"", ""Sheet1!B:D""), 3, FALSE), ""Not Found"")"),"b ɑ r b d ")</f>
        <v>b ɑ r b d </v>
      </c>
    </row>
    <row r="8213">
      <c r="A8213" s="1" t="s">
        <v>8214</v>
      </c>
      <c r="B8213" s="1" t="s">
        <v>6138</v>
      </c>
      <c r="C8213" s="2">
        <f>IFERROR(__xludf.DUMMYFUNCTION("IFERROR(VLOOKUP(A8213, IMPORTRANGE(""https://docs.google.com/spreadsheets/d/1AVX9GT0dgogEBStecCXMMQ29tWz3gBrtNB8yIromXbY/edit?gid=741673867"", ""out1g!A:B""), 2, FALSE), 0)"),82.0)</f>
        <v>82</v>
      </c>
      <c r="D8213" s="2" t="str">
        <f>IFERROR(__xludf.DUMMYFUNCTION("IFERROR(VLOOKUP(A8213, IMPORTRANGE(""https://docs.google.com/spreadsheets/d/1-3Vjw2Cyy-mry5gbC8ypIR3YVGFfEpyFESummAta6sg/edit"", ""Sheet1!B:D""), 2, FALSE), ""Not Found"")"),"kərsɪz")</f>
        <v>kərsɪz</v>
      </c>
      <c r="E8213" s="2" t="str">
        <f>IFERROR(__xludf.DUMMYFUNCTION("IFERROR(VLOOKUP(A8213, IMPORTRANGE(""https://docs.google.com/spreadsheets/d/1-3Vjw2Cyy-mry5gbC8ypIR3YVGFfEpyFESummAta6sg/edit"", ""Sheet1!B:D""), 3, FALSE), ""Not Found"")"),"k ə r s ɪ z ")</f>
        <v>k ə r s ɪ z </v>
      </c>
    </row>
    <row r="8214">
      <c r="A8214" s="1" t="s">
        <v>8215</v>
      </c>
      <c r="B8214" s="1" t="s">
        <v>6138</v>
      </c>
      <c r="C8214" s="2">
        <f>IFERROR(__xludf.DUMMYFUNCTION("IFERROR(VLOOKUP(A8214, IMPORTRANGE(""https://docs.google.com/spreadsheets/d/1AVX9GT0dgogEBStecCXMMQ29tWz3gBrtNB8yIromXbY/edit?gid=741673867"", ""out1g!A:B""), 2, FALSE), 0)"),178.0)</f>
        <v>178</v>
      </c>
      <c r="D8214" s="2" t="str">
        <f>IFERROR(__xludf.DUMMYFUNCTION("IFERROR(VLOOKUP(A8214, IMPORTRANGE(""https://docs.google.com/spreadsheets/d/1-3Vjw2Cyy-mry5gbC8ypIR3YVGFfEpyFESummAta6sg/edit"", ""Sheet1!B:D""), 2, FALSE), ""Not Found"")"),"jɑndər")</f>
        <v>jɑndər</v>
      </c>
      <c r="E8214" s="2" t="str">
        <f>IFERROR(__xludf.DUMMYFUNCTION("IFERROR(VLOOKUP(A8214, IMPORTRANGE(""https://docs.google.com/spreadsheets/d/1-3Vjw2Cyy-mry5gbC8ypIR3YVGFfEpyFESummAta6sg/edit"", ""Sheet1!B:D""), 3, FALSE), ""Not Found"")"),"j ɑ n d ə r ")</f>
        <v>j ɑ n d ə r </v>
      </c>
    </row>
    <row r="8215">
      <c r="A8215" s="1" t="s">
        <v>8216</v>
      </c>
      <c r="B8215" s="1" t="s">
        <v>6138</v>
      </c>
      <c r="C8215" s="2">
        <f>IFERROR(__xludf.DUMMYFUNCTION("IFERROR(VLOOKUP(A8215, IMPORTRANGE(""https://docs.google.com/spreadsheets/d/1AVX9GT0dgogEBStecCXMMQ29tWz3gBrtNB8yIromXbY/edit?gid=741673867"", ""out1g!A:B""), 2, FALSE), 0)"),991.0)</f>
        <v>991</v>
      </c>
      <c r="D8215" s="2" t="str">
        <f>IFERROR(__xludf.DUMMYFUNCTION("IFERROR(VLOOKUP(A8215, IMPORTRANGE(""https://docs.google.com/spreadsheets/d/1-3Vjw2Cyy-mry5gbC8ypIR3YVGFfEpyFESummAta6sg/edit"", ""Sheet1!B:D""), 2, FALSE), ""Not Found"")"),"æŋgər")</f>
        <v>æŋgər</v>
      </c>
      <c r="E8215" s="2" t="str">
        <f>IFERROR(__xludf.DUMMYFUNCTION("IFERROR(VLOOKUP(A8215, IMPORTRANGE(""https://docs.google.com/spreadsheets/d/1-3Vjw2Cyy-mry5gbC8ypIR3YVGFfEpyFESummAta6sg/edit"", ""Sheet1!B:D""), 3, FALSE), ""Not Found"")"),"æ ŋ g ə r ")</f>
        <v>æ ŋ g ə r </v>
      </c>
    </row>
    <row r="8216">
      <c r="A8216" s="1" t="s">
        <v>8217</v>
      </c>
      <c r="B8216" s="1" t="s">
        <v>6138</v>
      </c>
      <c r="C8216" s="2">
        <f>IFERROR(__xludf.DUMMYFUNCTION("IFERROR(VLOOKUP(A8216, IMPORTRANGE(""https://docs.google.com/spreadsheets/d/1AVX9GT0dgogEBStecCXMMQ29tWz3gBrtNB8yIromXbY/edit?gid=741673867"", ""out1g!A:B""), 2, FALSE), 0)"),56.0)</f>
        <v>56</v>
      </c>
      <c r="D8216" s="2" t="str">
        <f>IFERROR(__xludf.DUMMYFUNCTION("IFERROR(VLOOKUP(A8216, IMPORTRANGE(""https://docs.google.com/spreadsheets/d/1-3Vjw2Cyy-mry5gbC8ypIR3YVGFfEpyFESummAta6sg/edit"", ""Sheet1!B:D""), 2, FALSE), ""Not Found"")"),"hævz")</f>
        <v>hævz</v>
      </c>
      <c r="E8216" s="2" t="str">
        <f>IFERROR(__xludf.DUMMYFUNCTION("IFERROR(VLOOKUP(A8216, IMPORTRANGE(""https://docs.google.com/spreadsheets/d/1-3Vjw2Cyy-mry5gbC8ypIR3YVGFfEpyFESummAta6sg/edit"", ""Sheet1!B:D""), 3, FALSE), ""Not Found"")"),"h æ v z ")</f>
        <v>h æ v z </v>
      </c>
    </row>
    <row r="8217">
      <c r="A8217" s="1" t="s">
        <v>8218</v>
      </c>
      <c r="B8217" s="1" t="s">
        <v>6138</v>
      </c>
      <c r="C8217" s="2">
        <f>IFERROR(__xludf.DUMMYFUNCTION("IFERROR(VLOOKUP(A8217, IMPORTRANGE(""https://docs.google.com/spreadsheets/d/1AVX9GT0dgogEBStecCXMMQ29tWz3gBrtNB8yIromXbY/edit?gid=741673867"", ""out1g!A:B""), 2, FALSE), 0)"),436.0)</f>
        <v>436</v>
      </c>
      <c r="D8217" s="2" t="str">
        <f>IFERROR(__xludf.DUMMYFUNCTION("IFERROR(VLOOKUP(A8217, IMPORTRANGE(""https://docs.google.com/spreadsheets/d/1-3Vjw2Cyy-mry5gbC8ypIR3YVGFfEpyFESummAta6sg/edit"", ""Sheet1!B:D""), 2, FALSE), ""Not Found"")"),"hæk")</f>
        <v>hæk</v>
      </c>
      <c r="E8217" s="2" t="str">
        <f>IFERROR(__xludf.DUMMYFUNCTION("IFERROR(VLOOKUP(A8217, IMPORTRANGE(""https://docs.google.com/spreadsheets/d/1-3Vjw2Cyy-mry5gbC8ypIR3YVGFfEpyFESummAta6sg/edit"", ""Sheet1!B:D""), 3, FALSE), ""Not Found"")"),"h æ k ")</f>
        <v>h æ k </v>
      </c>
    </row>
    <row r="8218">
      <c r="A8218" s="1" t="s">
        <v>8219</v>
      </c>
      <c r="B8218" s="1" t="s">
        <v>6138</v>
      </c>
      <c r="C8218" s="2">
        <f>IFERROR(__xludf.DUMMYFUNCTION("IFERROR(VLOOKUP(A8218, IMPORTRANGE(""https://docs.google.com/spreadsheets/d/1AVX9GT0dgogEBStecCXMMQ29tWz3gBrtNB8yIromXbY/edit?gid=741673867"", ""out1g!A:B""), 2, FALSE), 0)"),182.0)</f>
        <v>182</v>
      </c>
      <c r="D8218" s="2" t="str">
        <f>IFERROR(__xludf.DUMMYFUNCTION("IFERROR(VLOOKUP(A8218, IMPORTRANGE(""https://docs.google.com/spreadsheets/d/1-3Vjw2Cyy-mry5gbC8ypIR3YVGFfEpyFESummAta6sg/edit"", ""Sheet1!B:D""), 2, FALSE), ""Not Found"")"),"besɪz")</f>
        <v>besɪz</v>
      </c>
      <c r="E8218" s="2" t="str">
        <f>IFERROR(__xludf.DUMMYFUNCTION("IFERROR(VLOOKUP(A8218, IMPORTRANGE(""https://docs.google.com/spreadsheets/d/1-3Vjw2Cyy-mry5gbC8ypIR3YVGFfEpyFESummAta6sg/edit"", ""Sheet1!B:D""), 3, FALSE), ""Not Found"")"),"b e s ɪ z ")</f>
        <v>b e s ɪ z </v>
      </c>
    </row>
    <row r="8219">
      <c r="A8219" s="1" t="s">
        <v>8220</v>
      </c>
      <c r="B8219" s="1" t="s">
        <v>6138</v>
      </c>
      <c r="C8219" s="2">
        <f>IFERROR(__xludf.DUMMYFUNCTION("IFERROR(VLOOKUP(A8219, IMPORTRANGE(""https://docs.google.com/spreadsheets/d/1AVX9GT0dgogEBStecCXMMQ29tWz3gBrtNB8yIromXbY/edit?gid=741673867"", ""out1g!A:B""), 2, FALSE), 0)"),65.0)</f>
        <v>65</v>
      </c>
      <c r="D8219" s="2" t="str">
        <f>IFERROR(__xludf.DUMMYFUNCTION("IFERROR(VLOOKUP(A8219, IMPORTRANGE(""https://docs.google.com/spreadsheets/d/1-3Vjw2Cyy-mry5gbC8ypIR3YVGFfEpyFESummAta6sg/edit"", ""Sheet1!B:D""), 2, FALSE), ""Not Found"")"),"taɪmən")</f>
        <v>taɪmən</v>
      </c>
      <c r="E8219" s="2" t="str">
        <f>IFERROR(__xludf.DUMMYFUNCTION("IFERROR(VLOOKUP(A8219, IMPORTRANGE(""https://docs.google.com/spreadsheets/d/1-3Vjw2Cyy-mry5gbC8ypIR3YVGFfEpyFESummAta6sg/edit"", ""Sheet1!B:D""), 3, FALSE), ""Not Found"")"),"t a ɪ m ə n ")</f>
        <v>t a ɪ m ə n </v>
      </c>
    </row>
    <row r="8220">
      <c r="A8220" s="1" t="s">
        <v>8221</v>
      </c>
      <c r="B8220" s="1" t="s">
        <v>6138</v>
      </c>
      <c r="C8220" s="2">
        <f>IFERROR(__xludf.DUMMYFUNCTION("IFERROR(VLOOKUP(A8220, IMPORTRANGE(""https://docs.google.com/spreadsheets/d/1AVX9GT0dgogEBStecCXMMQ29tWz3gBrtNB8yIromXbY/edit?gid=741673867"", ""out1g!A:B""), 2, FALSE), 0)"),68.0)</f>
        <v>68</v>
      </c>
      <c r="D8220" s="2" t="str">
        <f>IFERROR(__xludf.DUMMYFUNCTION("IFERROR(VLOOKUP(A8220, IMPORTRANGE(""https://docs.google.com/spreadsheets/d/1-3Vjw2Cyy-mry5gbC8ypIR3YVGFfEpyFESummAta6sg/edit"", ""Sheet1!B:D""), 2, FALSE), ""Not Found"")"),"hænsəl")</f>
        <v>hænsəl</v>
      </c>
      <c r="E8220" s="2" t="str">
        <f>IFERROR(__xludf.DUMMYFUNCTION("IFERROR(VLOOKUP(A8220, IMPORTRANGE(""https://docs.google.com/spreadsheets/d/1-3Vjw2Cyy-mry5gbC8ypIR3YVGFfEpyFESummAta6sg/edit"", ""Sheet1!B:D""), 3, FALSE), ""Not Found"")"),"h æ n s ə l ")</f>
        <v>h æ n s ə l </v>
      </c>
    </row>
    <row r="8221">
      <c r="A8221" s="1" t="s">
        <v>8222</v>
      </c>
      <c r="B8221" s="1" t="s">
        <v>6138</v>
      </c>
      <c r="C8221" s="2">
        <f>IFERROR(__xludf.DUMMYFUNCTION("IFERROR(VLOOKUP(A8221, IMPORTRANGE(""https://docs.google.com/spreadsheets/d/1AVX9GT0dgogEBStecCXMMQ29tWz3gBrtNB8yIromXbY/edit?gid=741673867"", ""out1g!A:B""), 2, FALSE), 0)"),1493.0)</f>
        <v>1493</v>
      </c>
      <c r="D8221" s="2" t="str">
        <f>IFERROR(__xludf.DUMMYFUNCTION("IFERROR(VLOOKUP(A8221, IMPORTRANGE(""https://docs.google.com/spreadsheets/d/1-3Vjw2Cyy-mry5gbC8ypIR3YVGFfEpyFESummAta6sg/edit"", ""Sheet1!B:D""), 2, FALSE), ""Not Found"")"),"gru")</f>
        <v>gru</v>
      </c>
      <c r="E8221" s="2" t="str">
        <f>IFERROR(__xludf.DUMMYFUNCTION("IFERROR(VLOOKUP(A8221, IMPORTRANGE(""https://docs.google.com/spreadsheets/d/1-3Vjw2Cyy-mry5gbC8ypIR3YVGFfEpyFESummAta6sg/edit"", ""Sheet1!B:D""), 3, FALSE), ""Not Found"")"),"g r u ")</f>
        <v>g r u </v>
      </c>
    </row>
    <row r="8222">
      <c r="A8222" s="1" t="s">
        <v>8223</v>
      </c>
      <c r="B8222" s="1" t="s">
        <v>6138</v>
      </c>
      <c r="C8222" s="2">
        <f>IFERROR(__xludf.DUMMYFUNCTION("IFERROR(VLOOKUP(A8222, IMPORTRANGE(""https://docs.google.com/spreadsheets/d/1AVX9GT0dgogEBStecCXMMQ29tWz3gBrtNB8yIromXbY/edit?gid=741673867"", ""out1g!A:B""), 2, FALSE), 0)"),56.0)</f>
        <v>56</v>
      </c>
      <c r="D8222" s="2" t="str">
        <f>IFERROR(__xludf.DUMMYFUNCTION("IFERROR(VLOOKUP(A8222, IMPORTRANGE(""https://docs.google.com/spreadsheets/d/1-3Vjw2Cyy-mry5gbC8ypIR3YVGFfEpyFESummAta6sg/edit"", ""Sheet1!B:D""), 2, FALSE), ""Not Found"")"),"ʧɛkər")</f>
        <v>ʧɛkər</v>
      </c>
      <c r="E8222" s="2" t="str">
        <f>IFERROR(__xludf.DUMMYFUNCTION("IFERROR(VLOOKUP(A8222, IMPORTRANGE(""https://docs.google.com/spreadsheets/d/1-3Vjw2Cyy-mry5gbC8ypIR3YVGFfEpyFESummAta6sg/edit"", ""Sheet1!B:D""), 3, FALSE), ""Not Found"")"),"ʧ ɛ k ə r ")</f>
        <v>ʧ ɛ k ə r </v>
      </c>
    </row>
    <row r="8223">
      <c r="A8223" s="1" t="s">
        <v>8224</v>
      </c>
      <c r="B8223" s="1" t="s">
        <v>6138</v>
      </c>
      <c r="C8223" s="2">
        <f>IFERROR(__xludf.DUMMYFUNCTION("IFERROR(VLOOKUP(A8223, IMPORTRANGE(""https://docs.google.com/spreadsheets/d/1AVX9GT0dgogEBStecCXMMQ29tWz3gBrtNB8yIromXbY/edit?gid=741673867"", ""out1g!A:B""), 2, FALSE), 0)"),68.0)</f>
        <v>68</v>
      </c>
      <c r="D8223" s="2" t="str">
        <f>IFERROR(__xludf.DUMMYFUNCTION("IFERROR(VLOOKUP(A8223, IMPORTRANGE(""https://docs.google.com/spreadsheets/d/1-3Vjw2Cyy-mry5gbC8ypIR3YVGFfEpyFESummAta6sg/edit"", ""Sheet1!B:D""), 2, FALSE), ""Not Found"")"),"bɛkət")</f>
        <v>bɛkət</v>
      </c>
      <c r="E8223" s="2" t="str">
        <f>IFERROR(__xludf.DUMMYFUNCTION("IFERROR(VLOOKUP(A8223, IMPORTRANGE(""https://docs.google.com/spreadsheets/d/1-3Vjw2Cyy-mry5gbC8ypIR3YVGFfEpyFESummAta6sg/edit"", ""Sheet1!B:D""), 3, FALSE), ""Not Found"")"),"b ɛ k ə t ")</f>
        <v>b ɛ k ə t </v>
      </c>
    </row>
    <row r="8224">
      <c r="A8224" s="1" t="s">
        <v>8225</v>
      </c>
      <c r="B8224" s="1" t="s">
        <v>6138</v>
      </c>
      <c r="C8224" s="2">
        <f>IFERROR(__xludf.DUMMYFUNCTION("IFERROR(VLOOKUP(A8224, IMPORTRANGE(""https://docs.google.com/spreadsheets/d/1AVX9GT0dgogEBStecCXMMQ29tWz3gBrtNB8yIromXbY/edit?gid=741673867"", ""out1g!A:B""), 2, FALSE), 0)"),513.0)</f>
        <v>513</v>
      </c>
      <c r="D8224" s="2" t="str">
        <f>IFERROR(__xludf.DUMMYFUNCTION("IFERROR(VLOOKUP(A8224, IMPORTRANGE(""https://docs.google.com/spreadsheets/d/1-3Vjw2Cyy-mry5gbC8ypIR3YVGFfEpyFESummAta6sg/edit"", ""Sheet1!B:D""), 2, FALSE), ""Not Found"")"),"pɪstəl")</f>
        <v>pɪstəl</v>
      </c>
      <c r="E8224" s="2" t="str">
        <f>IFERROR(__xludf.DUMMYFUNCTION("IFERROR(VLOOKUP(A8224, IMPORTRANGE(""https://docs.google.com/spreadsheets/d/1-3Vjw2Cyy-mry5gbC8ypIR3YVGFfEpyFESummAta6sg/edit"", ""Sheet1!B:D""), 3, FALSE), ""Not Found"")"),"p ɪ s t ə l ")</f>
        <v>p ɪ s t ə l </v>
      </c>
    </row>
    <row r="8225">
      <c r="A8225" s="1" t="s">
        <v>8226</v>
      </c>
      <c r="B8225" s="1" t="s">
        <v>6138</v>
      </c>
      <c r="C8225" s="2">
        <f>IFERROR(__xludf.DUMMYFUNCTION("IFERROR(VLOOKUP(A8225, IMPORTRANGE(""https://docs.google.com/spreadsheets/d/1AVX9GT0dgogEBStecCXMMQ29tWz3gBrtNB8yIromXbY/edit?gid=741673867"", ""out1g!A:B""), 2, FALSE), 0)"),70.0)</f>
        <v>70</v>
      </c>
      <c r="D8225" s="2" t="str">
        <f>IFERROR(__xludf.DUMMYFUNCTION("IFERROR(VLOOKUP(A8225, IMPORTRANGE(""https://docs.google.com/spreadsheets/d/1-3Vjw2Cyy-mry5gbC8ypIR3YVGFfEpyFESummAta6sg/edit"", ""Sheet1!B:D""), 2, FALSE), ""Not Found"")"),"mæstərd")</f>
        <v>mæstərd</v>
      </c>
      <c r="E8225" s="2" t="str">
        <f>IFERROR(__xludf.DUMMYFUNCTION("IFERROR(VLOOKUP(A8225, IMPORTRANGE(""https://docs.google.com/spreadsheets/d/1-3Vjw2Cyy-mry5gbC8ypIR3YVGFfEpyFESummAta6sg/edit"", ""Sheet1!B:D""), 3, FALSE), ""Not Found"")"),"m æ s t ə r d ")</f>
        <v>m æ s t ə r d </v>
      </c>
    </row>
    <row r="8226">
      <c r="A8226" s="1" t="s">
        <v>8227</v>
      </c>
      <c r="B8226" s="1" t="s">
        <v>6138</v>
      </c>
      <c r="C8226" s="2">
        <f>IFERROR(__xludf.DUMMYFUNCTION("IFERROR(VLOOKUP(A8226, IMPORTRANGE(""https://docs.google.com/spreadsheets/d/1AVX9GT0dgogEBStecCXMMQ29tWz3gBrtNB8yIromXbY/edit?gid=741673867"", ""out1g!A:B""), 2, FALSE), 0)"),46.0)</f>
        <v>46</v>
      </c>
      <c r="D8226" s="2" t="str">
        <f>IFERROR(__xludf.DUMMYFUNCTION("IFERROR(VLOOKUP(A8226, IMPORTRANGE(""https://docs.google.com/spreadsheets/d/1-3Vjw2Cyy-mry5gbC8ypIR3YVGFfEpyFESummAta6sg/edit"", ""Sheet1!B:D""), 2, FALSE), ""Not Found"")"),"lɛpərz")</f>
        <v>lɛpərz</v>
      </c>
      <c r="E8226" s="2" t="str">
        <f>IFERROR(__xludf.DUMMYFUNCTION("IFERROR(VLOOKUP(A8226, IMPORTRANGE(""https://docs.google.com/spreadsheets/d/1-3Vjw2Cyy-mry5gbC8ypIR3YVGFfEpyFESummAta6sg/edit"", ""Sheet1!B:D""), 3, FALSE), ""Not Found"")"),"l ɛ p ə r z ")</f>
        <v>l ɛ p ə r z </v>
      </c>
    </row>
    <row r="8227">
      <c r="A8227" s="1" t="s">
        <v>8228</v>
      </c>
      <c r="B8227" s="1" t="s">
        <v>6138</v>
      </c>
      <c r="C8227" s="2">
        <f>IFERROR(__xludf.DUMMYFUNCTION("IFERROR(VLOOKUP(A8227, IMPORTRANGE(""https://docs.google.com/spreadsheets/d/1AVX9GT0dgogEBStecCXMMQ29tWz3gBrtNB8yIromXbY/edit?gid=741673867"", ""out1g!A:B""), 2, FALSE), 0)"),715.0)</f>
        <v>715</v>
      </c>
      <c r="D8227" s="2" t="str">
        <f>IFERROR(__xludf.DUMMYFUNCTION("IFERROR(VLOOKUP(A8227, IMPORTRANGE(""https://docs.google.com/spreadsheets/d/1-3Vjw2Cyy-mry5gbC8ypIR3YVGFfEpyFESummAta6sg/edit"", ""Sheet1!B:D""), 2, FALSE), ""Not Found"")"),"ətɛnd")</f>
        <v>ətɛnd</v>
      </c>
      <c r="E8227" s="2" t="str">
        <f>IFERROR(__xludf.DUMMYFUNCTION("IFERROR(VLOOKUP(A8227, IMPORTRANGE(""https://docs.google.com/spreadsheets/d/1-3Vjw2Cyy-mry5gbC8ypIR3YVGFfEpyFESummAta6sg/edit"", ""Sheet1!B:D""), 3, FALSE), ""Not Found"")"),"ə t ɛ n d ")</f>
        <v>ə t ɛ n d </v>
      </c>
    </row>
    <row r="8228">
      <c r="A8228" s="1" t="s">
        <v>8229</v>
      </c>
      <c r="B8228" s="1" t="s">
        <v>6138</v>
      </c>
      <c r="C8228" s="2">
        <f>IFERROR(__xludf.DUMMYFUNCTION("IFERROR(VLOOKUP(A8228, IMPORTRANGE(""https://docs.google.com/spreadsheets/d/1AVX9GT0dgogEBStecCXMMQ29tWz3gBrtNB8yIromXbY/edit?gid=741673867"", ""out1g!A:B""), 2, FALSE), 0)"),87.0)</f>
        <v>87</v>
      </c>
      <c r="D8228" s="2" t="str">
        <f>IFERROR(__xludf.DUMMYFUNCTION("IFERROR(VLOOKUP(A8228, IMPORTRANGE(""https://docs.google.com/spreadsheets/d/1-3Vjw2Cyy-mry5gbC8ypIR3YVGFfEpyFESummAta6sg/edit"", ""Sheet1!B:D""), 2, FALSE), ""Not Found"")"),"straɪpt")</f>
        <v>straɪpt</v>
      </c>
      <c r="E8228" s="2" t="str">
        <f>IFERROR(__xludf.DUMMYFUNCTION("IFERROR(VLOOKUP(A8228, IMPORTRANGE(""https://docs.google.com/spreadsheets/d/1-3Vjw2Cyy-mry5gbC8ypIR3YVGFfEpyFESummAta6sg/edit"", ""Sheet1!B:D""), 3, FALSE), ""Not Found"")"),"s t r a ɪ p t ")</f>
        <v>s t r a ɪ p t </v>
      </c>
    </row>
    <row r="8229">
      <c r="A8229" s="1" t="s">
        <v>8230</v>
      </c>
      <c r="B8229" s="1" t="s">
        <v>6138</v>
      </c>
      <c r="C8229" s="2">
        <f>IFERROR(__xludf.DUMMYFUNCTION("IFERROR(VLOOKUP(A8229, IMPORTRANGE(""https://docs.google.com/spreadsheets/d/1AVX9GT0dgogEBStecCXMMQ29tWz3gBrtNB8yIromXbY/edit?gid=741673867"", ""out1g!A:B""), 2, FALSE), 0)"),147.0)</f>
        <v>147</v>
      </c>
      <c r="D8229" s="2" t="str">
        <f>IFERROR(__xludf.DUMMYFUNCTION("IFERROR(VLOOKUP(A8229, IMPORTRANGE(""https://docs.google.com/spreadsheets/d/1-3Vjw2Cyy-mry5gbC8ypIR3YVGFfEpyFESummAta6sg/edit"", ""Sheet1!B:D""), 2, FALSE), ""Not Found"")"),"brevəri")</f>
        <v>brevəri</v>
      </c>
      <c r="E8229" s="2" t="str">
        <f>IFERROR(__xludf.DUMMYFUNCTION("IFERROR(VLOOKUP(A8229, IMPORTRANGE(""https://docs.google.com/spreadsheets/d/1-3Vjw2Cyy-mry5gbC8ypIR3YVGFfEpyFESummAta6sg/edit"", ""Sheet1!B:D""), 3, FALSE), ""Not Found"")"),"b r e v ə r i ")</f>
        <v>b r e v ə r i </v>
      </c>
    </row>
    <row r="8230">
      <c r="A8230" s="1" t="s">
        <v>8231</v>
      </c>
      <c r="B8230" s="1" t="s">
        <v>6138</v>
      </c>
      <c r="C8230" s="2">
        <f>IFERROR(__xludf.DUMMYFUNCTION("IFERROR(VLOOKUP(A8230, IMPORTRANGE(""https://docs.google.com/spreadsheets/d/1AVX9GT0dgogEBStecCXMMQ29tWz3gBrtNB8yIromXbY/edit?gid=741673867"", ""out1g!A:B""), 2, FALSE), 0)"),96.0)</f>
        <v>96</v>
      </c>
      <c r="D8230" s="2" t="str">
        <f>IFERROR(__xludf.DUMMYFUNCTION("IFERROR(VLOOKUP(A8230, IMPORTRANGE(""https://docs.google.com/spreadsheets/d/1-3Vjw2Cyy-mry5gbC8ypIR3YVGFfEpyFESummAta6sg/edit"", ""Sheet1!B:D""), 2, FALSE), ""Not Found"")"),"haʊndz")</f>
        <v>haʊndz</v>
      </c>
      <c r="E8230" s="2" t="str">
        <f>IFERROR(__xludf.DUMMYFUNCTION("IFERROR(VLOOKUP(A8230, IMPORTRANGE(""https://docs.google.com/spreadsheets/d/1-3Vjw2Cyy-mry5gbC8ypIR3YVGFfEpyFESummAta6sg/edit"", ""Sheet1!B:D""), 3, FALSE), ""Not Found"")"),"h a ʊ n d z ")</f>
        <v>h a ʊ n d z </v>
      </c>
    </row>
    <row r="8231">
      <c r="A8231" s="1" t="s">
        <v>8232</v>
      </c>
      <c r="B8231" s="1" t="s">
        <v>6138</v>
      </c>
      <c r="C8231" s="2">
        <f>IFERROR(__xludf.DUMMYFUNCTION("IFERROR(VLOOKUP(A8231, IMPORTRANGE(""https://docs.google.com/spreadsheets/d/1AVX9GT0dgogEBStecCXMMQ29tWz3gBrtNB8yIromXbY/edit?gid=741673867"", ""out1g!A:B""), 2, FALSE), 0)"),67.0)</f>
        <v>67</v>
      </c>
      <c r="D8231" s="2" t="str">
        <f>IFERROR(__xludf.DUMMYFUNCTION("IFERROR(VLOOKUP(A8231, IMPORTRANGE(""https://docs.google.com/spreadsheets/d/1-3Vjw2Cyy-mry5gbC8ypIR3YVGFfEpyFESummAta6sg/edit"", ""Sheet1!B:D""), 2, FALSE), ""Not Found"")"),"gɔrʤ")</f>
        <v>gɔrʤ</v>
      </c>
      <c r="E8231" s="2" t="str">
        <f>IFERROR(__xludf.DUMMYFUNCTION("IFERROR(VLOOKUP(A8231, IMPORTRANGE(""https://docs.google.com/spreadsheets/d/1-3Vjw2Cyy-mry5gbC8ypIR3YVGFfEpyFESummAta6sg/edit"", ""Sheet1!B:D""), 3, FALSE), ""Not Found"")"),"g ɔ r ʤ ")</f>
        <v>g ɔ r ʤ </v>
      </c>
    </row>
    <row r="8232">
      <c r="A8232" s="1" t="s">
        <v>8233</v>
      </c>
      <c r="B8232" s="1" t="s">
        <v>6138</v>
      </c>
      <c r="C8232" s="2">
        <f>IFERROR(__xludf.DUMMYFUNCTION("IFERROR(VLOOKUP(A8232, IMPORTRANGE(""https://docs.google.com/spreadsheets/d/1AVX9GT0dgogEBStecCXMMQ29tWz3gBrtNB8yIromXbY/edit?gid=741673867"", ""out1g!A:B""), 2, FALSE), 0)"),5271.0)</f>
        <v>5271</v>
      </c>
      <c r="D8232" s="2" t="str">
        <f>IFERROR(__xludf.DUMMYFUNCTION("IFERROR(VLOOKUP(A8232, IMPORTRANGE(""https://docs.google.com/spreadsheets/d/1-3Vjw2Cyy-mry5gbC8ypIR3YVGFfEpyFESummAta6sg/edit"", ""Sheet1!B:D""), 2, FALSE), ""Not Found"")"),"pepər")</f>
        <v>pepər</v>
      </c>
      <c r="E8232" s="2" t="str">
        <f>IFERROR(__xludf.DUMMYFUNCTION("IFERROR(VLOOKUP(A8232, IMPORTRANGE(""https://docs.google.com/spreadsheets/d/1-3Vjw2Cyy-mry5gbC8ypIR3YVGFfEpyFESummAta6sg/edit"", ""Sheet1!B:D""), 3, FALSE), ""Not Found"")"),"p e p ə r ")</f>
        <v>p e p ə r </v>
      </c>
    </row>
    <row r="8233">
      <c r="A8233" s="1" t="s">
        <v>8234</v>
      </c>
      <c r="B8233" s="1" t="s">
        <v>6138</v>
      </c>
      <c r="C8233" s="2">
        <f>IFERROR(__xludf.DUMMYFUNCTION("IFERROR(VLOOKUP(A8233, IMPORTRANGE(""https://docs.google.com/spreadsheets/d/1AVX9GT0dgogEBStecCXMMQ29tWz3gBrtNB8yIromXbY/edit?gid=741673867"", ""out1g!A:B""), 2, FALSE), 0)"),250.0)</f>
        <v>250</v>
      </c>
      <c r="D8233" s="2" t="str">
        <f>IFERROR(__xludf.DUMMYFUNCTION("IFERROR(VLOOKUP(A8233, IMPORTRANGE(""https://docs.google.com/spreadsheets/d/1-3Vjw2Cyy-mry5gbC8ypIR3YVGFfEpyFESummAta6sg/edit"", ""Sheet1!B:D""), 2, FALSE), ""Not Found"")"),"gel")</f>
        <v>gel</v>
      </c>
      <c r="E8233" s="2" t="str">
        <f>IFERROR(__xludf.DUMMYFUNCTION("IFERROR(VLOOKUP(A8233, IMPORTRANGE(""https://docs.google.com/spreadsheets/d/1-3Vjw2Cyy-mry5gbC8ypIR3YVGFfEpyFESummAta6sg/edit"", ""Sheet1!B:D""), 3, FALSE), ""Not Found"")"),"g e l ")</f>
        <v>g e l </v>
      </c>
    </row>
    <row r="8234">
      <c r="A8234" s="1" t="s">
        <v>8235</v>
      </c>
      <c r="B8234" s="1" t="s">
        <v>6138</v>
      </c>
      <c r="C8234" s="2">
        <f>IFERROR(__xludf.DUMMYFUNCTION("IFERROR(VLOOKUP(A8234, IMPORTRANGE(""https://docs.google.com/spreadsheets/d/1AVX9GT0dgogEBStecCXMMQ29tWz3gBrtNB8yIromXbY/edit?gid=741673867"", ""out1g!A:B""), 2, FALSE), 0)"),130.0)</f>
        <v>130</v>
      </c>
      <c r="D8234" s="2" t="str">
        <f>IFERROR(__xludf.DUMMYFUNCTION("IFERROR(VLOOKUP(A8234, IMPORTRANGE(""https://docs.google.com/spreadsheets/d/1-3Vjw2Cyy-mry5gbC8ypIR3YVGFfEpyFESummAta6sg/edit"", ""Sheet1!B:D""), 2, FALSE), ""Not Found"")"),"bʊki")</f>
        <v>bʊki</v>
      </c>
      <c r="E8234" s="2" t="str">
        <f>IFERROR(__xludf.DUMMYFUNCTION("IFERROR(VLOOKUP(A8234, IMPORTRANGE(""https://docs.google.com/spreadsheets/d/1-3Vjw2Cyy-mry5gbC8ypIR3YVGFfEpyFESummAta6sg/edit"", ""Sheet1!B:D""), 3, FALSE), ""Not Found"")"),"b ʊ k i ")</f>
        <v>b ʊ k i </v>
      </c>
    </row>
    <row r="8235">
      <c r="A8235" s="1" t="s">
        <v>8236</v>
      </c>
      <c r="B8235" s="1" t="s">
        <v>6138</v>
      </c>
      <c r="C8235" s="2">
        <f>IFERROR(__xludf.DUMMYFUNCTION("IFERROR(VLOOKUP(A8235, IMPORTRANGE(""https://docs.google.com/spreadsheets/d/1AVX9GT0dgogEBStecCXMMQ29tWz3gBrtNB8yIromXbY/edit?gid=741673867"", ""out1g!A:B""), 2, FALSE), 0)"),57.0)</f>
        <v>57</v>
      </c>
      <c r="D8235" s="2" t="str">
        <f>IFERROR(__xludf.DUMMYFUNCTION("IFERROR(VLOOKUP(A8235, IMPORTRANGE(""https://docs.google.com/spreadsheets/d/1-3Vjw2Cyy-mry5gbC8ypIR3YVGFfEpyFESummAta6sg/edit"", ""Sheet1!B:D""), 2, FALSE), ""Not Found"")"),"kraʊdɪŋ")</f>
        <v>kraʊdɪŋ</v>
      </c>
      <c r="E8235" s="2" t="str">
        <f>IFERROR(__xludf.DUMMYFUNCTION("IFERROR(VLOOKUP(A8235, IMPORTRANGE(""https://docs.google.com/spreadsheets/d/1-3Vjw2Cyy-mry5gbC8ypIR3YVGFfEpyFESummAta6sg/edit"", ""Sheet1!B:D""), 3, FALSE), ""Not Found"")"),"k r a ʊ d ɪ ŋ ")</f>
        <v>k r a ʊ d ɪ ŋ </v>
      </c>
    </row>
    <row r="8236">
      <c r="A8236" s="1" t="s">
        <v>8237</v>
      </c>
      <c r="B8236" s="1" t="s">
        <v>6138</v>
      </c>
      <c r="C8236" s="2">
        <f>IFERROR(__xludf.DUMMYFUNCTION("IFERROR(VLOOKUP(A8236, IMPORTRANGE(""https://docs.google.com/spreadsheets/d/1AVX9GT0dgogEBStecCXMMQ29tWz3gBrtNB8yIromXbY/edit?gid=741673867"", ""out1g!A:B""), 2, FALSE), 0)"),55.0)</f>
        <v>55</v>
      </c>
      <c r="D8236" s="2" t="str">
        <f>IFERROR(__xludf.DUMMYFUNCTION("IFERROR(VLOOKUP(A8236, IMPORTRANGE(""https://docs.google.com/spreadsheets/d/1-3Vjw2Cyy-mry5gbC8ypIR3YVGFfEpyFESummAta6sg/edit"", ""Sheet1!B:D""), 2, FALSE), ""Not Found"")"),"rɪgɪŋ")</f>
        <v>rɪgɪŋ</v>
      </c>
      <c r="E8236" s="2" t="str">
        <f>IFERROR(__xludf.DUMMYFUNCTION("IFERROR(VLOOKUP(A8236, IMPORTRANGE(""https://docs.google.com/spreadsheets/d/1-3Vjw2Cyy-mry5gbC8ypIR3YVGFfEpyFESummAta6sg/edit"", ""Sheet1!B:D""), 3, FALSE), ""Not Found"")"),"r ɪ g ɪ ŋ ")</f>
        <v>r ɪ g ɪ ŋ </v>
      </c>
    </row>
    <row r="8237">
      <c r="A8237" s="1" t="s">
        <v>8238</v>
      </c>
      <c r="B8237" s="1" t="s">
        <v>6138</v>
      </c>
      <c r="C8237" s="2">
        <f>IFERROR(__xludf.DUMMYFUNCTION("IFERROR(VLOOKUP(A8237, IMPORTRANGE(""https://docs.google.com/spreadsheets/d/1AVX9GT0dgogEBStecCXMMQ29tWz3gBrtNB8yIromXbY/edit?gid=741673867"", ""out1g!A:B""), 2, FALSE), 0)"),253.0)</f>
        <v>253</v>
      </c>
      <c r="D8237" s="2" t="str">
        <f>IFERROR(__xludf.DUMMYFUNCTION("IFERROR(VLOOKUP(A8237, IMPORTRANGE(""https://docs.google.com/spreadsheets/d/1-3Vjw2Cyy-mry5gbC8ypIR3YVGFfEpyFESummAta6sg/edit"", ""Sheet1!B:D""), 2, FALSE), ""Not Found"")"),"smɛlɪŋ")</f>
        <v>smɛlɪŋ</v>
      </c>
      <c r="E8237" s="2" t="str">
        <f>IFERROR(__xludf.DUMMYFUNCTION("IFERROR(VLOOKUP(A8237, IMPORTRANGE(""https://docs.google.com/spreadsheets/d/1-3Vjw2Cyy-mry5gbC8ypIR3YVGFfEpyFESummAta6sg/edit"", ""Sheet1!B:D""), 3, FALSE), ""Not Found"")"),"s m ɛ l ɪ ŋ ")</f>
        <v>s m ɛ l ɪ ŋ </v>
      </c>
    </row>
    <row r="8238">
      <c r="A8238" s="1" t="s">
        <v>8239</v>
      </c>
      <c r="B8238" s="1" t="s">
        <v>6138</v>
      </c>
      <c r="C8238" s="2">
        <f>IFERROR(__xludf.DUMMYFUNCTION("IFERROR(VLOOKUP(A8238, IMPORTRANGE(""https://docs.google.com/spreadsheets/d/1AVX9GT0dgogEBStecCXMMQ29tWz3gBrtNB8yIromXbY/edit?gid=741673867"", ""out1g!A:B""), 2, FALSE), 0)"),10.0)</f>
        <v>10</v>
      </c>
      <c r="D8238" s="2" t="str">
        <f>IFERROR(__xludf.DUMMYFUNCTION("IFERROR(VLOOKUP(A8238, IMPORTRANGE(""https://docs.google.com/spreadsheets/d/1-3Vjw2Cyy-mry5gbC8ypIR3YVGFfEpyFESummAta6sg/edit"", ""Sheet1!B:D""), 2, FALSE), ""Not Found"")"),"doʊpərz")</f>
        <v>doʊpərz</v>
      </c>
      <c r="E8238" s="2" t="str">
        <f>IFERROR(__xludf.DUMMYFUNCTION("IFERROR(VLOOKUP(A8238, IMPORTRANGE(""https://docs.google.com/spreadsheets/d/1-3Vjw2Cyy-mry5gbC8ypIR3YVGFfEpyFESummAta6sg/edit"", ""Sheet1!B:D""), 3, FALSE), ""Not Found"")"),"d o ʊ p ə r z ")</f>
        <v>d o ʊ p ə r z </v>
      </c>
    </row>
    <row r="8239">
      <c r="A8239" s="1" t="s">
        <v>8240</v>
      </c>
      <c r="B8239" s="1" t="s">
        <v>6138</v>
      </c>
      <c r="C8239" s="2">
        <f>IFERROR(__xludf.DUMMYFUNCTION("IFERROR(VLOOKUP(A8239, IMPORTRANGE(""https://docs.google.com/spreadsheets/d/1AVX9GT0dgogEBStecCXMMQ29tWz3gBrtNB8yIromXbY/edit?gid=741673867"", ""out1g!A:B""), 2, FALSE), 0)"),168.0)</f>
        <v>168</v>
      </c>
      <c r="D8239" s="2" t="str">
        <f>IFERROR(__xludf.DUMMYFUNCTION("IFERROR(VLOOKUP(A8239, IMPORTRANGE(""https://docs.google.com/spreadsheets/d/1-3Vjw2Cyy-mry5gbC8ypIR3YVGFfEpyFESummAta6sg/edit"", ""Sheet1!B:D""), 2, FALSE), ""Not Found"")"),"dɛmoʊ")</f>
        <v>dɛmoʊ</v>
      </c>
      <c r="E8239" s="2" t="str">
        <f>IFERROR(__xludf.DUMMYFUNCTION("IFERROR(VLOOKUP(A8239, IMPORTRANGE(""https://docs.google.com/spreadsheets/d/1-3Vjw2Cyy-mry5gbC8ypIR3YVGFfEpyFESummAta6sg/edit"", ""Sheet1!B:D""), 3, FALSE), ""Not Found"")"),"d ɛ m o ʊ ")</f>
        <v>d ɛ m o ʊ </v>
      </c>
    </row>
    <row r="8240">
      <c r="A8240" s="1" t="s">
        <v>8241</v>
      </c>
      <c r="B8240" s="1" t="s">
        <v>6138</v>
      </c>
      <c r="C8240" s="2">
        <f>IFERROR(__xludf.DUMMYFUNCTION("IFERROR(VLOOKUP(A8240, IMPORTRANGE(""https://docs.google.com/spreadsheets/d/1AVX9GT0dgogEBStecCXMMQ29tWz3gBrtNB8yIromXbY/edit?gid=741673867"", ""out1g!A:B""), 2, FALSE), 0)"),160.0)</f>
        <v>160</v>
      </c>
      <c r="D8240" s="2" t="str">
        <f>IFERROR(__xludf.DUMMYFUNCTION("IFERROR(VLOOKUP(A8240, IMPORTRANGE(""https://docs.google.com/spreadsheets/d/1-3Vjw2Cyy-mry5gbC8ypIR3YVGFfEpyFESummAta6sg/edit"", ""Sheet1!B:D""), 2, FALSE), ""Not Found"")"),"skwɑt")</f>
        <v>skwɑt</v>
      </c>
      <c r="E8240" s="2" t="str">
        <f>IFERROR(__xludf.DUMMYFUNCTION("IFERROR(VLOOKUP(A8240, IMPORTRANGE(""https://docs.google.com/spreadsheets/d/1-3Vjw2Cyy-mry5gbC8ypIR3YVGFfEpyFESummAta6sg/edit"", ""Sheet1!B:D""), 3, FALSE), ""Not Found"")"),"s k w ɑ t ")</f>
        <v>s k w ɑ t </v>
      </c>
    </row>
    <row r="8241">
      <c r="A8241" s="1" t="s">
        <v>8242</v>
      </c>
      <c r="B8241" s="1" t="s">
        <v>6138</v>
      </c>
      <c r="C8241" s="2">
        <f>IFERROR(__xludf.DUMMYFUNCTION("IFERROR(VLOOKUP(A8241, IMPORTRANGE(""https://docs.google.com/spreadsheets/d/1AVX9GT0dgogEBStecCXMMQ29tWz3gBrtNB8yIromXbY/edit?gid=741673867"", ""out1g!A:B""), 2, FALSE), 0)"),98.0)</f>
        <v>98</v>
      </c>
      <c r="D8241" s="2" t="str">
        <f>IFERROR(__xludf.DUMMYFUNCTION("IFERROR(VLOOKUP(A8241, IMPORTRANGE(""https://docs.google.com/spreadsheets/d/1-3Vjw2Cyy-mry5gbC8ypIR3YVGFfEpyFESummAta6sg/edit"", ""Sheet1!B:D""), 2, FALSE), ""Not Found"")"),"tɛnts")</f>
        <v>tɛnts</v>
      </c>
      <c r="E8241" s="2" t="str">
        <f>IFERROR(__xludf.DUMMYFUNCTION("IFERROR(VLOOKUP(A8241, IMPORTRANGE(""https://docs.google.com/spreadsheets/d/1-3Vjw2Cyy-mry5gbC8ypIR3YVGFfEpyFESummAta6sg/edit"", ""Sheet1!B:D""), 3, FALSE), ""Not Found"")"),"t ɛ n t s ")</f>
        <v>t ɛ n t s </v>
      </c>
    </row>
    <row r="8242">
      <c r="A8242" s="1" t="s">
        <v>8243</v>
      </c>
      <c r="B8242" s="1" t="s">
        <v>6138</v>
      </c>
      <c r="C8242" s="2">
        <f>IFERROR(__xludf.DUMMYFUNCTION("IFERROR(VLOOKUP(A8242, IMPORTRANGE(""https://docs.google.com/spreadsheets/d/1AVX9GT0dgogEBStecCXMMQ29tWz3gBrtNB8yIromXbY/edit?gid=741673867"", ""out1g!A:B""), 2, FALSE), 0)"),294.0)</f>
        <v>294</v>
      </c>
      <c r="D8242" s="2" t="str">
        <f>IFERROR(__xludf.DUMMYFUNCTION("IFERROR(VLOOKUP(A8242, IMPORTRANGE(""https://docs.google.com/spreadsheets/d/1-3Vjw2Cyy-mry5gbC8ypIR3YVGFfEpyFESummAta6sg/edit"", ""Sheet1!B:D""), 2, FALSE), ""Not Found"")"),"dɪskoʊ")</f>
        <v>dɪskoʊ</v>
      </c>
      <c r="E8242" s="2" t="str">
        <f>IFERROR(__xludf.DUMMYFUNCTION("IFERROR(VLOOKUP(A8242, IMPORTRANGE(""https://docs.google.com/spreadsheets/d/1-3Vjw2Cyy-mry5gbC8ypIR3YVGFfEpyFESummAta6sg/edit"", ""Sheet1!B:D""), 3, FALSE), ""Not Found"")"),"d ɪ s k o ʊ ")</f>
        <v>d ɪ s k o ʊ </v>
      </c>
    </row>
    <row r="8243">
      <c r="A8243" s="1" t="s">
        <v>8244</v>
      </c>
      <c r="B8243" s="1" t="s">
        <v>6138</v>
      </c>
      <c r="C8243" s="2">
        <f>IFERROR(__xludf.DUMMYFUNCTION("IFERROR(VLOOKUP(A8243, IMPORTRANGE(""https://docs.google.com/spreadsheets/d/1AVX9GT0dgogEBStecCXMMQ29tWz3gBrtNB8yIromXbY/edit?gid=741673867"", ""out1g!A:B""), 2, FALSE), 0)"),121.0)</f>
        <v>121</v>
      </c>
      <c r="D8243" s="2" t="str">
        <f>IFERROR(__xludf.DUMMYFUNCTION("IFERROR(VLOOKUP(A8243, IMPORTRANGE(""https://docs.google.com/spreadsheets/d/1-3Vjw2Cyy-mry5gbC8ypIR3YVGFfEpyFESummAta6sg/edit"", ""Sheet1!B:D""), 2, FALSE), ""Not Found"")"),"kɔrəl")</f>
        <v>kɔrəl</v>
      </c>
      <c r="E8243" s="2" t="str">
        <f>IFERROR(__xludf.DUMMYFUNCTION("IFERROR(VLOOKUP(A8243, IMPORTRANGE(""https://docs.google.com/spreadsheets/d/1-3Vjw2Cyy-mry5gbC8ypIR3YVGFfEpyFESummAta6sg/edit"", ""Sheet1!B:D""), 3, FALSE), ""Not Found"")"),"k ɔ r ə l ")</f>
        <v>k ɔ r ə l </v>
      </c>
    </row>
    <row r="8244">
      <c r="A8244" s="1" t="s">
        <v>8245</v>
      </c>
      <c r="B8244" s="1" t="s">
        <v>6138</v>
      </c>
      <c r="C8244" s="2">
        <f>IFERROR(__xludf.DUMMYFUNCTION("IFERROR(VLOOKUP(A8244, IMPORTRANGE(""https://docs.google.com/spreadsheets/d/1AVX9GT0dgogEBStecCXMMQ29tWz3gBrtNB8yIromXbY/edit?gid=741673867"", ""out1g!A:B""), 2, FALSE), 0)"),66.0)</f>
        <v>66</v>
      </c>
      <c r="D8244" s="2" t="str">
        <f>IFERROR(__xludf.DUMMYFUNCTION("IFERROR(VLOOKUP(A8244, IMPORTRANGE(""https://docs.google.com/spreadsheets/d/1-3Vjw2Cyy-mry5gbC8ypIR3YVGFfEpyFESummAta6sg/edit"", ""Sheet1!B:D""), 2, FALSE), ""Not Found"")"),"ʧesər")</f>
        <v>ʧesər</v>
      </c>
      <c r="E8244" s="2" t="str">
        <f>IFERROR(__xludf.DUMMYFUNCTION("IFERROR(VLOOKUP(A8244, IMPORTRANGE(""https://docs.google.com/spreadsheets/d/1-3Vjw2Cyy-mry5gbC8ypIR3YVGFfEpyFESummAta6sg/edit"", ""Sheet1!B:D""), 3, FALSE), ""Not Found"")"),"ʧ e s ə r ")</f>
        <v>ʧ e s ə r </v>
      </c>
    </row>
    <row r="8245">
      <c r="A8245" s="1" t="s">
        <v>8246</v>
      </c>
      <c r="B8245" s="1" t="s">
        <v>6138</v>
      </c>
      <c r="C8245" s="2">
        <f>IFERROR(__xludf.DUMMYFUNCTION("IFERROR(VLOOKUP(A8245, IMPORTRANGE(""https://docs.google.com/spreadsheets/d/1AVX9GT0dgogEBStecCXMMQ29tWz3gBrtNB8yIromXbY/edit?gid=741673867"", ""out1g!A:B""), 2, FALSE), 0)"),321.0)</f>
        <v>321</v>
      </c>
      <c r="D8245" s="2" t="str">
        <f>IFERROR(__xludf.DUMMYFUNCTION("IFERROR(VLOOKUP(A8245, IMPORTRANGE(""https://docs.google.com/spreadsheets/d/1-3Vjw2Cyy-mry5gbC8ypIR3YVGFfEpyFESummAta6sg/edit"", ""Sheet1!B:D""), 2, FALSE), ""Not Found"")"),"dɪsist")</f>
        <v>dɪsist</v>
      </c>
      <c r="E8245" s="2" t="str">
        <f>IFERROR(__xludf.DUMMYFUNCTION("IFERROR(VLOOKUP(A8245, IMPORTRANGE(""https://docs.google.com/spreadsheets/d/1-3Vjw2Cyy-mry5gbC8ypIR3YVGFfEpyFESummAta6sg/edit"", ""Sheet1!B:D""), 3, FALSE), ""Not Found"")"),"d ɪ s i s t ")</f>
        <v>d ɪ s i s t </v>
      </c>
    </row>
    <row r="8246">
      <c r="A8246" s="1" t="s">
        <v>8247</v>
      </c>
      <c r="B8246" s="1" t="s">
        <v>6138</v>
      </c>
      <c r="C8246" s="2">
        <f>IFERROR(__xludf.DUMMYFUNCTION("IFERROR(VLOOKUP(A8246, IMPORTRANGE(""https://docs.google.com/spreadsheets/d/1AVX9GT0dgogEBStecCXMMQ29tWz3gBrtNB8yIromXbY/edit?gid=741673867"", ""out1g!A:B""), 2, FALSE), 0)"),90.0)</f>
        <v>90</v>
      </c>
      <c r="D8246" s="2" t="str">
        <f>IFERROR(__xludf.DUMMYFUNCTION("IFERROR(VLOOKUP(A8246, IMPORTRANGE(""https://docs.google.com/spreadsheets/d/1-3Vjw2Cyy-mry5gbC8ypIR3YVGFfEpyFESummAta6sg/edit"", ""Sheet1!B:D""), 2, FALSE), ""Not Found"")"),"jʊr")</f>
        <v>jʊr</v>
      </c>
      <c r="E8246" s="2" t="str">
        <f>IFERROR(__xludf.DUMMYFUNCTION("IFERROR(VLOOKUP(A8246, IMPORTRANGE(""https://docs.google.com/spreadsheets/d/1-3Vjw2Cyy-mry5gbC8ypIR3YVGFfEpyFESummAta6sg/edit"", ""Sheet1!B:D""), 3, FALSE), ""Not Found"")"),"j ʊ r ")</f>
        <v>j ʊ r </v>
      </c>
    </row>
    <row r="8247">
      <c r="A8247" s="1" t="s">
        <v>8248</v>
      </c>
      <c r="B8247" s="1" t="s">
        <v>6138</v>
      </c>
      <c r="C8247" s="2">
        <f>IFERROR(__xludf.DUMMYFUNCTION("IFERROR(VLOOKUP(A8247, IMPORTRANGE(""https://docs.google.com/spreadsheets/d/1AVX9GT0dgogEBStecCXMMQ29tWz3gBrtNB8yIromXbY/edit?gid=741673867"", ""out1g!A:B""), 2, FALSE), 0)"),12.0)</f>
        <v>12</v>
      </c>
      <c r="D8247" s="2" t="str">
        <f>IFERROR(__xludf.DUMMYFUNCTION("IFERROR(VLOOKUP(A8247, IMPORTRANGE(""https://docs.google.com/spreadsheets/d/1-3Vjw2Cyy-mry5gbC8ypIR3YVGFfEpyFESummAta6sg/edit"", ""Sheet1!B:D""), 2, FALSE), ""Not Found"")"),"sɪksər")</f>
        <v>sɪksər</v>
      </c>
      <c r="E8247" s="2" t="str">
        <f>IFERROR(__xludf.DUMMYFUNCTION("IFERROR(VLOOKUP(A8247, IMPORTRANGE(""https://docs.google.com/spreadsheets/d/1-3Vjw2Cyy-mry5gbC8ypIR3YVGFfEpyFESummAta6sg/edit"", ""Sheet1!B:D""), 3, FALSE), ""Not Found"")"),"s ɪ k s ə r ")</f>
        <v>s ɪ k s ə r </v>
      </c>
    </row>
    <row r="8248">
      <c r="A8248" s="1" t="s">
        <v>8249</v>
      </c>
      <c r="B8248" s="1" t="s">
        <v>6138</v>
      </c>
      <c r="C8248" s="2">
        <f>IFERROR(__xludf.DUMMYFUNCTION("IFERROR(VLOOKUP(A8248, IMPORTRANGE(""https://docs.google.com/spreadsheets/d/1AVX9GT0dgogEBStecCXMMQ29tWz3gBrtNB8yIromXbY/edit?gid=741673867"", ""out1g!A:B""), 2, FALSE), 0)"),49.0)</f>
        <v>49</v>
      </c>
      <c r="D8248" s="2" t="str">
        <f>IFERROR(__xludf.DUMMYFUNCTION("IFERROR(VLOOKUP(A8248, IMPORTRANGE(""https://docs.google.com/spreadsheets/d/1-3Vjw2Cyy-mry5gbC8ypIR3YVGFfEpyFESummAta6sg/edit"", ""Sheet1!B:D""), 2, FALSE), ""Not Found"")"),"pərsɪz")</f>
        <v>pərsɪz</v>
      </c>
      <c r="E8248" s="2" t="str">
        <f>IFERROR(__xludf.DUMMYFUNCTION("IFERROR(VLOOKUP(A8248, IMPORTRANGE(""https://docs.google.com/spreadsheets/d/1-3Vjw2Cyy-mry5gbC8ypIR3YVGFfEpyFESummAta6sg/edit"", ""Sheet1!B:D""), 3, FALSE), ""Not Found"")"),"p ə r s ɪ z ")</f>
        <v>p ə r s ɪ z </v>
      </c>
    </row>
    <row r="8249">
      <c r="A8249" s="1" t="s">
        <v>8250</v>
      </c>
      <c r="B8249" s="1" t="s">
        <v>6138</v>
      </c>
      <c r="C8249" s="2">
        <f>IFERROR(__xludf.DUMMYFUNCTION("IFERROR(VLOOKUP(A8249, IMPORTRANGE(""https://docs.google.com/spreadsheets/d/1AVX9GT0dgogEBStecCXMMQ29tWz3gBrtNB8yIromXbY/edit?gid=741673867"", ""out1g!A:B""), 2, FALSE), 0)"),74.0)</f>
        <v>74</v>
      </c>
      <c r="D8249" s="2" t="str">
        <f>IFERROR(__xludf.DUMMYFUNCTION("IFERROR(VLOOKUP(A8249, IMPORTRANGE(""https://docs.google.com/spreadsheets/d/1-3Vjw2Cyy-mry5gbC8ypIR3YVGFfEpyFESummAta6sg/edit"", ""Sheet1!B:D""), 2, FALSE), ""Not Found"")"),"prɪks")</f>
        <v>prɪks</v>
      </c>
      <c r="E8249" s="2" t="str">
        <f>IFERROR(__xludf.DUMMYFUNCTION("IFERROR(VLOOKUP(A8249, IMPORTRANGE(""https://docs.google.com/spreadsheets/d/1-3Vjw2Cyy-mry5gbC8ypIR3YVGFfEpyFESummAta6sg/edit"", ""Sheet1!B:D""), 3, FALSE), ""Not Found"")"),"p r ɪ k s ")</f>
        <v>p r ɪ k s </v>
      </c>
    </row>
    <row r="8250">
      <c r="A8250" s="1" t="s">
        <v>8251</v>
      </c>
      <c r="B8250" s="1" t="s">
        <v>6138</v>
      </c>
      <c r="C8250" s="2">
        <f>IFERROR(__xludf.DUMMYFUNCTION("IFERROR(VLOOKUP(A8250, IMPORTRANGE(""https://docs.google.com/spreadsheets/d/1AVX9GT0dgogEBStecCXMMQ29tWz3gBrtNB8yIromXbY/edit?gid=741673867"", ""out1g!A:B""), 2, FALSE), 0)"),1554.0)</f>
        <v>1554</v>
      </c>
      <c r="D8250" s="2" t="str">
        <f>IFERROR(__xludf.DUMMYFUNCTION("IFERROR(VLOOKUP(A8250, IMPORTRANGE(""https://docs.google.com/spreadsheets/d/1-3Vjw2Cyy-mry5gbC8ypIR3YVGFfEpyFESummAta6sg/edit"", ""Sheet1!B:D""), 2, FALSE), ""Not Found"")"),"paɪpər")</f>
        <v>paɪpər</v>
      </c>
      <c r="E8250" s="2" t="str">
        <f>IFERROR(__xludf.DUMMYFUNCTION("IFERROR(VLOOKUP(A8250, IMPORTRANGE(""https://docs.google.com/spreadsheets/d/1-3Vjw2Cyy-mry5gbC8ypIR3YVGFfEpyFESummAta6sg/edit"", ""Sheet1!B:D""), 3, FALSE), ""Not Found"")"),"p a ɪ p ə r ")</f>
        <v>p a ɪ p ə r </v>
      </c>
    </row>
    <row r="8251">
      <c r="A8251" s="1" t="s">
        <v>8252</v>
      </c>
      <c r="B8251" s="1" t="s">
        <v>6138</v>
      </c>
      <c r="C8251" s="2">
        <f>IFERROR(__xludf.DUMMYFUNCTION("IFERROR(VLOOKUP(A8251, IMPORTRANGE(""https://docs.google.com/spreadsheets/d/1AVX9GT0dgogEBStecCXMMQ29tWz3gBrtNB8yIromXbY/edit?gid=741673867"", ""out1g!A:B""), 2, FALSE), 0)"),511.0)</f>
        <v>511</v>
      </c>
      <c r="D8251" s="2" t="str">
        <f>IFERROR(__xludf.DUMMYFUNCTION("IFERROR(VLOOKUP(A8251, IMPORTRANGE(""https://docs.google.com/spreadsheets/d/1-3Vjw2Cyy-mry5gbC8ypIR3YVGFfEpyFESummAta6sg/edit"", ""Sheet1!B:D""), 2, FALSE), ""Not Found"")"),"klaʊdz")</f>
        <v>klaʊdz</v>
      </c>
      <c r="E8251" s="2" t="str">
        <f>IFERROR(__xludf.DUMMYFUNCTION("IFERROR(VLOOKUP(A8251, IMPORTRANGE(""https://docs.google.com/spreadsheets/d/1-3Vjw2Cyy-mry5gbC8ypIR3YVGFfEpyFESummAta6sg/edit"", ""Sheet1!B:D""), 3, FALSE), ""Not Found"")"),"k l a ʊ d z ")</f>
        <v>k l a ʊ d z </v>
      </c>
    </row>
    <row r="8252">
      <c r="A8252" s="1" t="s">
        <v>8253</v>
      </c>
      <c r="B8252" s="1" t="s">
        <v>6138</v>
      </c>
      <c r="C8252" s="2">
        <f>IFERROR(__xludf.DUMMYFUNCTION("IFERROR(VLOOKUP(A8252, IMPORTRANGE(""https://docs.google.com/spreadsheets/d/1AVX9GT0dgogEBStecCXMMQ29tWz3gBrtNB8yIromXbY/edit?gid=741673867"", ""out1g!A:B""), 2, FALSE), 0)"),852.0)</f>
        <v>852</v>
      </c>
      <c r="D8252" s="2" t="str">
        <f>IFERROR(__xludf.DUMMYFUNCTION("IFERROR(VLOOKUP(A8252, IMPORTRANGE(""https://docs.google.com/spreadsheets/d/1-3Vjw2Cyy-mry5gbC8ypIR3YVGFfEpyFESummAta6sg/edit"", ""Sheet1!B:D""), 2, FALSE), ""Not Found"")"),"kʊki")</f>
        <v>kʊki</v>
      </c>
      <c r="E8252" s="2" t="str">
        <f>IFERROR(__xludf.DUMMYFUNCTION("IFERROR(VLOOKUP(A8252, IMPORTRANGE(""https://docs.google.com/spreadsheets/d/1-3Vjw2Cyy-mry5gbC8ypIR3YVGFfEpyFESummAta6sg/edit"", ""Sheet1!B:D""), 3, FALSE), ""Not Found"")"),"k ʊ k i ")</f>
        <v>k ʊ k i </v>
      </c>
    </row>
    <row r="8253">
      <c r="A8253" s="1" t="s">
        <v>8254</v>
      </c>
      <c r="B8253" s="1" t="s">
        <v>6138</v>
      </c>
      <c r="C8253" s="2">
        <f>IFERROR(__xludf.DUMMYFUNCTION("IFERROR(VLOOKUP(A8253, IMPORTRANGE(""https://docs.google.com/spreadsheets/d/1AVX9GT0dgogEBStecCXMMQ29tWz3gBrtNB8yIromXbY/edit?gid=741673867"", ""out1g!A:B""), 2, FALSE), 0)"),761.0)</f>
        <v>761</v>
      </c>
      <c r="D8253" s="2" t="str">
        <f>IFERROR(__xludf.DUMMYFUNCTION("IFERROR(VLOOKUP(A8253, IMPORTRANGE(""https://docs.google.com/spreadsheets/d/1-3Vjw2Cyy-mry5gbC8ypIR3YVGFfEpyFESummAta6sg/edit"", ""Sheet1!B:D""), 2, FALSE), ""Not Found"")"),"æŋgəl")</f>
        <v>æŋgəl</v>
      </c>
      <c r="E8253" s="2" t="str">
        <f>IFERROR(__xludf.DUMMYFUNCTION("IFERROR(VLOOKUP(A8253, IMPORTRANGE(""https://docs.google.com/spreadsheets/d/1-3Vjw2Cyy-mry5gbC8ypIR3YVGFfEpyFESummAta6sg/edit"", ""Sheet1!B:D""), 3, FALSE), ""Not Found"")"),"æ ŋ g ə l ")</f>
        <v>æ ŋ g ə l </v>
      </c>
    </row>
    <row r="8254">
      <c r="A8254" s="1" t="s">
        <v>8255</v>
      </c>
      <c r="B8254" s="1" t="s">
        <v>6138</v>
      </c>
      <c r="C8254" s="2">
        <f>IFERROR(__xludf.DUMMYFUNCTION("IFERROR(VLOOKUP(A8254, IMPORTRANGE(""https://docs.google.com/spreadsheets/d/1AVX9GT0dgogEBStecCXMMQ29tWz3gBrtNB8yIromXbY/edit?gid=741673867"", ""out1g!A:B""), 2, FALSE), 0)"),260.0)</f>
        <v>260</v>
      </c>
      <c r="D8254" s="2" t="str">
        <f>IFERROR(__xludf.DUMMYFUNCTION("IFERROR(VLOOKUP(A8254, IMPORTRANGE(""https://docs.google.com/spreadsheets/d/1-3Vjw2Cyy-mry5gbC8ypIR3YVGFfEpyFESummAta6sg/edit"", ""Sheet1!B:D""), 2, FALSE), ""Not Found"")"),"sɪrəp")</f>
        <v>sɪrəp</v>
      </c>
      <c r="E8254" s="2" t="str">
        <f>IFERROR(__xludf.DUMMYFUNCTION("IFERROR(VLOOKUP(A8254, IMPORTRANGE(""https://docs.google.com/spreadsheets/d/1-3Vjw2Cyy-mry5gbC8ypIR3YVGFfEpyFESummAta6sg/edit"", ""Sheet1!B:D""), 3, FALSE), ""Not Found"")"),"s ɪ r ə p ")</f>
        <v>s ɪ r ə p </v>
      </c>
    </row>
    <row r="8255">
      <c r="A8255" s="1" t="s">
        <v>8256</v>
      </c>
      <c r="B8255" s="1" t="s">
        <v>6138</v>
      </c>
      <c r="C8255" s="2">
        <f>IFERROR(__xludf.DUMMYFUNCTION("IFERROR(VLOOKUP(A8255, IMPORTRANGE(""https://docs.google.com/spreadsheets/d/1AVX9GT0dgogEBStecCXMMQ29tWz3gBrtNB8yIromXbY/edit?gid=741673867"", ""out1g!A:B""), 2, FALSE), 0)"),628.0)</f>
        <v>628</v>
      </c>
      <c r="D8255" s="2" t="str">
        <f>IFERROR(__xludf.DUMMYFUNCTION("IFERROR(VLOOKUP(A8255, IMPORTRANGE(""https://docs.google.com/spreadsheets/d/1-3Vjw2Cyy-mry5gbC8ypIR3YVGFfEpyFESummAta6sg/edit"", ""Sheet1!B:D""), 2, FALSE), ""Not Found"")"),"aɪtəm")</f>
        <v>aɪtəm</v>
      </c>
      <c r="E8255" s="2" t="str">
        <f>IFERROR(__xludf.DUMMYFUNCTION("IFERROR(VLOOKUP(A8255, IMPORTRANGE(""https://docs.google.com/spreadsheets/d/1-3Vjw2Cyy-mry5gbC8ypIR3YVGFfEpyFESummAta6sg/edit"", ""Sheet1!B:D""), 3, FALSE), ""Not Found"")"),"a ɪ t ə m ")</f>
        <v>a ɪ t ə m </v>
      </c>
    </row>
    <row r="8256">
      <c r="A8256" s="1" t="s">
        <v>8257</v>
      </c>
      <c r="B8256" s="1" t="s">
        <v>6138</v>
      </c>
      <c r="C8256" s="2">
        <f>IFERROR(__xludf.DUMMYFUNCTION("IFERROR(VLOOKUP(A8256, IMPORTRANGE(""https://docs.google.com/spreadsheets/d/1AVX9GT0dgogEBStecCXMMQ29tWz3gBrtNB8yIromXbY/edit?gid=741673867"", ""out1g!A:B""), 2, FALSE), 0)"),55.0)</f>
        <v>55</v>
      </c>
      <c r="D8256" s="2" t="str">
        <f>IFERROR(__xludf.DUMMYFUNCTION("IFERROR(VLOOKUP(A8256, IMPORTRANGE(""https://docs.google.com/spreadsheets/d/1-3Vjw2Cyy-mry5gbC8ypIR3YVGFfEpyFESummAta6sg/edit"", ""Sheet1!B:D""), 2, FALSE), ""Not Found"")"),"tɪkər")</f>
        <v>tɪkər</v>
      </c>
      <c r="E8256" s="2" t="str">
        <f>IFERROR(__xludf.DUMMYFUNCTION("IFERROR(VLOOKUP(A8256, IMPORTRANGE(""https://docs.google.com/spreadsheets/d/1-3Vjw2Cyy-mry5gbC8ypIR3YVGFfEpyFESummAta6sg/edit"", ""Sheet1!B:D""), 3, FALSE), ""Not Found"")"),"t ɪ k ə r ")</f>
        <v>t ɪ k ə r </v>
      </c>
    </row>
    <row r="8257">
      <c r="A8257" s="1" t="s">
        <v>8258</v>
      </c>
      <c r="B8257" s="1" t="s">
        <v>6138</v>
      </c>
      <c r="C8257" s="2">
        <f>IFERROR(__xludf.DUMMYFUNCTION("IFERROR(VLOOKUP(A8257, IMPORTRANGE(""https://docs.google.com/spreadsheets/d/1AVX9GT0dgogEBStecCXMMQ29tWz3gBrtNB8yIromXbY/edit?gid=741673867"", ""out1g!A:B""), 2, FALSE), 0)"),113.0)</f>
        <v>113</v>
      </c>
      <c r="D8257" s="2" t="str">
        <f>IFERROR(__xludf.DUMMYFUNCTION("IFERROR(VLOOKUP(A8257, IMPORTRANGE(""https://docs.google.com/spreadsheets/d/1-3Vjw2Cyy-mry5gbC8ypIR3YVGFfEpyFESummAta6sg/edit"", ""Sheet1!B:D""), 2, FALSE), ""Not Found"")"),"grənt")</f>
        <v>grənt</v>
      </c>
      <c r="E8257" s="2" t="str">
        <f>IFERROR(__xludf.DUMMYFUNCTION("IFERROR(VLOOKUP(A8257, IMPORTRANGE(""https://docs.google.com/spreadsheets/d/1-3Vjw2Cyy-mry5gbC8ypIR3YVGFfEpyFESummAta6sg/edit"", ""Sheet1!B:D""), 3, FALSE), ""Not Found"")"),"g r ə n t ")</f>
        <v>g r ə n t </v>
      </c>
    </row>
    <row r="8258">
      <c r="A8258" s="1" t="s">
        <v>8259</v>
      </c>
      <c r="B8258" s="1" t="s">
        <v>6138</v>
      </c>
      <c r="C8258" s="2">
        <f>IFERROR(__xludf.DUMMYFUNCTION("IFERROR(VLOOKUP(A8258, IMPORTRANGE(""https://docs.google.com/spreadsheets/d/1AVX9GT0dgogEBStecCXMMQ29tWz3gBrtNB8yIromXbY/edit?gid=741673867"", ""out1g!A:B""), 2, FALSE), 0)"),70.0)</f>
        <v>70</v>
      </c>
      <c r="D8258" s="2" t="str">
        <f>IFERROR(__xludf.DUMMYFUNCTION("IFERROR(VLOOKUP(A8258, IMPORTRANGE(""https://docs.google.com/spreadsheets/d/1-3Vjw2Cyy-mry5gbC8ypIR3YVGFfEpyFESummAta6sg/edit"", ""Sheet1!B:D""), 2, FALSE), ""Not Found"")"),"mɑrʃəlz")</f>
        <v>mɑrʃəlz</v>
      </c>
      <c r="E8258" s="2" t="str">
        <f>IFERROR(__xludf.DUMMYFUNCTION("IFERROR(VLOOKUP(A8258, IMPORTRANGE(""https://docs.google.com/spreadsheets/d/1-3Vjw2Cyy-mry5gbC8ypIR3YVGFfEpyFESummAta6sg/edit"", ""Sheet1!B:D""), 3, FALSE), ""Not Found"")"),"m ɑ r ʃ ə l z ")</f>
        <v>m ɑ r ʃ ə l z </v>
      </c>
    </row>
    <row r="8259">
      <c r="A8259" s="1" t="s">
        <v>8260</v>
      </c>
      <c r="B8259" s="1" t="s">
        <v>6138</v>
      </c>
      <c r="C8259" s="2">
        <f>IFERROR(__xludf.DUMMYFUNCTION("IFERROR(VLOOKUP(A8259, IMPORTRANGE(""https://docs.google.com/spreadsheets/d/1AVX9GT0dgogEBStecCXMMQ29tWz3gBrtNB8yIromXbY/edit?gid=741673867"", ""out1g!A:B""), 2, FALSE), 0)"),147.0)</f>
        <v>147</v>
      </c>
      <c r="D8259" s="2" t="str">
        <f>IFERROR(__xludf.DUMMYFUNCTION("IFERROR(VLOOKUP(A8259, IMPORTRANGE(""https://docs.google.com/spreadsheets/d/1-3Vjw2Cyy-mry5gbC8ypIR3YVGFfEpyFESummAta6sg/edit"", ""Sheet1!B:D""), 2, FALSE), ""Not Found"")"),"snɔrɪŋ")</f>
        <v>snɔrɪŋ</v>
      </c>
      <c r="E8259" s="2" t="str">
        <f>IFERROR(__xludf.DUMMYFUNCTION("IFERROR(VLOOKUP(A8259, IMPORTRANGE(""https://docs.google.com/spreadsheets/d/1-3Vjw2Cyy-mry5gbC8ypIR3YVGFfEpyFESummAta6sg/edit"", ""Sheet1!B:D""), 3, FALSE), ""Not Found"")"),"s n ɔ r ɪ ŋ ")</f>
        <v>s n ɔ r ɪ ŋ </v>
      </c>
    </row>
    <row r="8260">
      <c r="A8260" s="1" t="s">
        <v>8261</v>
      </c>
      <c r="B8260" s="1" t="s">
        <v>6138</v>
      </c>
      <c r="C8260" s="2">
        <f>IFERROR(__xludf.DUMMYFUNCTION("IFERROR(VLOOKUP(A8260, IMPORTRANGE(""https://docs.google.com/spreadsheets/d/1AVX9GT0dgogEBStecCXMMQ29tWz3gBrtNB8yIromXbY/edit?gid=741673867"", ""out1g!A:B""), 2, FALSE), 0)"),72.0)</f>
        <v>72</v>
      </c>
      <c r="D8260" s="2" t="str">
        <f>IFERROR(__xludf.DUMMYFUNCTION("IFERROR(VLOOKUP(A8260, IMPORTRANGE(""https://docs.google.com/spreadsheets/d/1-3Vjw2Cyy-mry5gbC8ypIR3YVGFfEpyFESummAta6sg/edit"", ""Sheet1!B:D""), 2, FALSE), ""Not Found"")"),"ɪʤɛkt")</f>
        <v>ɪʤɛkt</v>
      </c>
      <c r="E8260" s="2" t="str">
        <f>IFERROR(__xludf.DUMMYFUNCTION("IFERROR(VLOOKUP(A8260, IMPORTRANGE(""https://docs.google.com/spreadsheets/d/1-3Vjw2Cyy-mry5gbC8ypIR3YVGFfEpyFESummAta6sg/edit"", ""Sheet1!B:D""), 3, FALSE), ""Not Found"")"),"ɪ ʤ ɛ k t ")</f>
        <v>ɪ ʤ ɛ k t </v>
      </c>
    </row>
    <row r="8261">
      <c r="A8261" s="1" t="s">
        <v>8262</v>
      </c>
      <c r="B8261" s="1" t="s">
        <v>6138</v>
      </c>
      <c r="C8261" s="2">
        <f>IFERROR(__xludf.DUMMYFUNCTION("IFERROR(VLOOKUP(A8261, IMPORTRANGE(""https://docs.google.com/spreadsheets/d/1AVX9GT0dgogEBStecCXMMQ29tWz3gBrtNB8yIromXbY/edit?gid=741673867"", ""out1g!A:B""), 2, FALSE), 0)"),54.0)</f>
        <v>54</v>
      </c>
      <c r="D8261" s="2" t="str">
        <f>IFERROR(__xludf.DUMMYFUNCTION("IFERROR(VLOOKUP(A8261, IMPORTRANGE(""https://docs.google.com/spreadsheets/d/1-3Vjw2Cyy-mry5gbC8ypIR3YVGFfEpyFESummAta6sg/edit"", ""Sheet1!B:D""), 2, FALSE), ""Not Found"")"),"oʊldən")</f>
        <v>oʊldən</v>
      </c>
      <c r="E8261" s="2" t="str">
        <f>IFERROR(__xludf.DUMMYFUNCTION("IFERROR(VLOOKUP(A8261, IMPORTRANGE(""https://docs.google.com/spreadsheets/d/1-3Vjw2Cyy-mry5gbC8ypIR3YVGFfEpyFESummAta6sg/edit"", ""Sheet1!B:D""), 3, FALSE), ""Not Found"")"),"o ʊ l d ə n ")</f>
        <v>o ʊ l d ə n </v>
      </c>
    </row>
    <row r="8262">
      <c r="A8262" s="1" t="s">
        <v>8263</v>
      </c>
      <c r="B8262" s="1" t="s">
        <v>6138</v>
      </c>
      <c r="C8262" s="2">
        <f>IFERROR(__xludf.DUMMYFUNCTION("IFERROR(VLOOKUP(A8262, IMPORTRANGE(""https://docs.google.com/spreadsheets/d/1AVX9GT0dgogEBStecCXMMQ29tWz3gBrtNB8yIromXbY/edit?gid=741673867"", ""out1g!A:B""), 2, FALSE), 0)"),204.0)</f>
        <v>204</v>
      </c>
      <c r="D8262" s="2" t="str">
        <f>IFERROR(__xludf.DUMMYFUNCTION("IFERROR(VLOOKUP(A8262, IMPORTRANGE(""https://docs.google.com/spreadsheets/d/1-3Vjw2Cyy-mry5gbC8ypIR3YVGFfEpyFESummAta6sg/edit"", ""Sheet1!B:D""), 2, FALSE), ""Not Found"")"),"ʤɪŋks")</f>
        <v>ʤɪŋks</v>
      </c>
      <c r="E8262" s="2" t="str">
        <f>IFERROR(__xludf.DUMMYFUNCTION("IFERROR(VLOOKUP(A8262, IMPORTRANGE(""https://docs.google.com/spreadsheets/d/1-3Vjw2Cyy-mry5gbC8ypIR3YVGFfEpyFESummAta6sg/edit"", ""Sheet1!B:D""), 3, FALSE), ""Not Found"")"),"ʤ ɪ ŋ k s ")</f>
        <v>ʤ ɪ ŋ k s </v>
      </c>
    </row>
    <row r="8263">
      <c r="A8263" s="1" t="s">
        <v>8264</v>
      </c>
      <c r="B8263" s="1" t="s">
        <v>6138</v>
      </c>
      <c r="C8263" s="2">
        <f>IFERROR(__xludf.DUMMYFUNCTION("IFERROR(VLOOKUP(A8263, IMPORTRANGE(""https://docs.google.com/spreadsheets/d/1AVX9GT0dgogEBStecCXMMQ29tWz3gBrtNB8yIromXbY/edit?gid=741673867"", ""out1g!A:B""), 2, FALSE), 0)"),112.0)</f>
        <v>112</v>
      </c>
      <c r="D8263" s="2" t="str">
        <f>IFERROR(__xludf.DUMMYFUNCTION("IFERROR(VLOOKUP(A8263, IMPORTRANGE(""https://docs.google.com/spreadsheets/d/1-3Vjw2Cyy-mry5gbC8ypIR3YVGFfEpyFESummAta6sg/edit"", ""Sheet1!B:D""), 2, FALSE), ""Not Found"")"),"kræʃɪz")</f>
        <v>kræʃɪz</v>
      </c>
      <c r="E8263" s="2" t="str">
        <f>IFERROR(__xludf.DUMMYFUNCTION("IFERROR(VLOOKUP(A8263, IMPORTRANGE(""https://docs.google.com/spreadsheets/d/1-3Vjw2Cyy-mry5gbC8ypIR3YVGFfEpyFESummAta6sg/edit"", ""Sheet1!B:D""), 3, FALSE), ""Not Found"")"),"k r æ ʃ ɪ z ")</f>
        <v>k r æ ʃ ɪ z </v>
      </c>
    </row>
    <row r="8264">
      <c r="A8264" s="1" t="s">
        <v>8265</v>
      </c>
      <c r="B8264" s="1" t="s">
        <v>6138</v>
      </c>
      <c r="C8264" s="2">
        <f>IFERROR(__xludf.DUMMYFUNCTION("IFERROR(VLOOKUP(A8264, IMPORTRANGE(""https://docs.google.com/spreadsheets/d/1AVX9GT0dgogEBStecCXMMQ29tWz3gBrtNB8yIromXbY/edit?gid=741673867"", ""out1g!A:B""), 2, FALSE), 0)"),52.0)</f>
        <v>52</v>
      </c>
      <c r="D8264" s="2" t="str">
        <f>IFERROR(__xludf.DUMMYFUNCTION("IFERROR(VLOOKUP(A8264, IMPORTRANGE(""https://docs.google.com/spreadsheets/d/1-3Vjw2Cyy-mry5gbC8ypIR3YVGFfEpyFESummAta6sg/edit"", ""Sheet1!B:D""), 2, FALSE), ""Not Found"")"),"foʊldz")</f>
        <v>foʊldz</v>
      </c>
      <c r="E8264" s="2" t="str">
        <f>IFERROR(__xludf.DUMMYFUNCTION("IFERROR(VLOOKUP(A8264, IMPORTRANGE(""https://docs.google.com/spreadsheets/d/1-3Vjw2Cyy-mry5gbC8ypIR3YVGFfEpyFESummAta6sg/edit"", ""Sheet1!B:D""), 3, FALSE), ""Not Found"")"),"f o ʊ l d z ")</f>
        <v>f o ʊ l d z </v>
      </c>
    </row>
    <row r="8265">
      <c r="A8265" s="1" t="s">
        <v>8266</v>
      </c>
      <c r="B8265" s="1" t="s">
        <v>6138</v>
      </c>
      <c r="C8265" s="2">
        <f>IFERROR(__xludf.DUMMYFUNCTION("IFERROR(VLOOKUP(A8265, IMPORTRANGE(""https://docs.google.com/spreadsheets/d/1AVX9GT0dgogEBStecCXMMQ29tWz3gBrtNB8yIromXbY/edit?gid=741673867"", ""out1g!A:B""), 2, FALSE), 0)"),161.0)</f>
        <v>161</v>
      </c>
      <c r="D8265" s="2" t="str">
        <f>IFERROR(__xludf.DUMMYFUNCTION("IFERROR(VLOOKUP(A8265, IMPORTRANGE(""https://docs.google.com/spreadsheets/d/1-3Vjw2Cyy-mry5gbC8ypIR3YVGFfEpyFESummAta6sg/edit"", ""Sheet1!B:D""), 2, FALSE), ""Not Found"")"),"fəŋk")</f>
        <v>fəŋk</v>
      </c>
      <c r="E8265" s="2" t="str">
        <f>IFERROR(__xludf.DUMMYFUNCTION("IFERROR(VLOOKUP(A8265, IMPORTRANGE(""https://docs.google.com/spreadsheets/d/1-3Vjw2Cyy-mry5gbC8ypIR3YVGFfEpyFESummAta6sg/edit"", ""Sheet1!B:D""), 3, FALSE), ""Not Found"")"),"f ə ŋ k ")</f>
        <v>f ə ŋ k </v>
      </c>
    </row>
    <row r="8266">
      <c r="A8266" s="1" t="s">
        <v>8267</v>
      </c>
      <c r="B8266" s="1" t="s">
        <v>6138</v>
      </c>
      <c r="C8266" s="2">
        <f>IFERROR(__xludf.DUMMYFUNCTION("IFERROR(VLOOKUP(A8266, IMPORTRANGE(""https://docs.google.com/spreadsheets/d/1AVX9GT0dgogEBStecCXMMQ29tWz3gBrtNB8yIromXbY/edit?gid=741673867"", ""out1g!A:B""), 2, FALSE), 0)"),49.0)</f>
        <v>49</v>
      </c>
      <c r="D8266" s="2" t="str">
        <f>IFERROR(__xludf.DUMMYFUNCTION("IFERROR(VLOOKUP(A8266, IMPORTRANGE(""https://docs.google.com/spreadsheets/d/1-3Vjw2Cyy-mry5gbC8ypIR3YVGFfEpyFESummAta6sg/edit"", ""Sheet1!B:D""), 2, FALSE), ""Not Found"")"),"rækəts")</f>
        <v>rækəts</v>
      </c>
      <c r="E8266" s="2" t="str">
        <f>IFERROR(__xludf.DUMMYFUNCTION("IFERROR(VLOOKUP(A8266, IMPORTRANGE(""https://docs.google.com/spreadsheets/d/1-3Vjw2Cyy-mry5gbC8ypIR3YVGFfEpyFESummAta6sg/edit"", ""Sheet1!B:D""), 3, FALSE), ""Not Found"")"),"r æ k ə t s ")</f>
        <v>r æ k ə t s </v>
      </c>
    </row>
    <row r="8267">
      <c r="A8267" s="1" t="s">
        <v>8268</v>
      </c>
      <c r="B8267" s="1" t="s">
        <v>6138</v>
      </c>
      <c r="C8267" s="2">
        <f>IFERROR(__xludf.DUMMYFUNCTION("IFERROR(VLOOKUP(A8267, IMPORTRANGE(""https://docs.google.com/spreadsheets/d/1AVX9GT0dgogEBStecCXMMQ29tWz3gBrtNB8yIromXbY/edit?gid=741673867"", ""out1g!A:B""), 2, FALSE), 0)"),53.0)</f>
        <v>53</v>
      </c>
      <c r="D8267" s="2" t="str">
        <f>IFERROR(__xludf.DUMMYFUNCTION("IFERROR(VLOOKUP(A8267, IMPORTRANGE(""https://docs.google.com/spreadsheets/d/1-3Vjw2Cyy-mry5gbC8ypIR3YVGFfEpyFESummAta6sg/edit"", ""Sheet1!B:D""), 2, FALSE), ""Not Found"")"),"lʊkər")</f>
        <v>lʊkər</v>
      </c>
      <c r="E8267" s="2" t="str">
        <f>IFERROR(__xludf.DUMMYFUNCTION("IFERROR(VLOOKUP(A8267, IMPORTRANGE(""https://docs.google.com/spreadsheets/d/1-3Vjw2Cyy-mry5gbC8ypIR3YVGFfEpyFESummAta6sg/edit"", ""Sheet1!B:D""), 3, FALSE), ""Not Found"")"),"l ʊ k ə r ")</f>
        <v>l ʊ k ə r </v>
      </c>
    </row>
    <row r="8268">
      <c r="A8268" s="1" t="s">
        <v>8269</v>
      </c>
      <c r="B8268" s="1" t="s">
        <v>6138</v>
      </c>
      <c r="C8268" s="2">
        <f>IFERROR(__xludf.DUMMYFUNCTION("IFERROR(VLOOKUP(A8268, IMPORTRANGE(""https://docs.google.com/spreadsheets/d/1AVX9GT0dgogEBStecCXMMQ29tWz3gBrtNB8yIromXbY/edit?gid=741673867"", ""out1g!A:B""), 2, FALSE), 0)"),81.0)</f>
        <v>81</v>
      </c>
      <c r="D8268" s="2" t="str">
        <f>IFERROR(__xludf.DUMMYFUNCTION("IFERROR(VLOOKUP(A8268, IMPORTRANGE(""https://docs.google.com/spreadsheets/d/1-3Vjw2Cyy-mry5gbC8ypIR3YVGFfEpyFESummAta6sg/edit"", ""Sheet1!B:D""), 2, FALSE), ""Not Found"")"),"taɪtənz")</f>
        <v>taɪtənz</v>
      </c>
      <c r="E8268" s="2" t="str">
        <f>IFERROR(__xludf.DUMMYFUNCTION("IFERROR(VLOOKUP(A8268, IMPORTRANGE(""https://docs.google.com/spreadsheets/d/1-3Vjw2Cyy-mry5gbC8ypIR3YVGFfEpyFESummAta6sg/edit"", ""Sheet1!B:D""), 3, FALSE), ""Not Found"")"),"t a ɪ t ə n z ")</f>
        <v>t a ɪ t ə n z </v>
      </c>
    </row>
    <row r="8269">
      <c r="A8269" s="1" t="s">
        <v>8270</v>
      </c>
      <c r="B8269" s="1" t="s">
        <v>6138</v>
      </c>
      <c r="C8269" s="2">
        <f>IFERROR(__xludf.DUMMYFUNCTION("IFERROR(VLOOKUP(A8269, IMPORTRANGE(""https://docs.google.com/spreadsheets/d/1AVX9GT0dgogEBStecCXMMQ29tWz3gBrtNB8yIromXbY/edit?gid=741673867"", ""out1g!A:B""), 2, FALSE), 0)"),926.0)</f>
        <v>926</v>
      </c>
      <c r="D8269" s="2" t="str">
        <f>IFERROR(__xludf.DUMMYFUNCTION("IFERROR(VLOOKUP(A8269, IMPORTRANGE(""https://docs.google.com/spreadsheets/d/1-3Vjw2Cyy-mry5gbC8ypIR3YVGFfEpyFESummAta6sg/edit"", ""Sheet1!B:D""), 2, FALSE), ""Not Found"")"),"dɪvaɪs")</f>
        <v>dɪvaɪs</v>
      </c>
      <c r="E8269" s="2" t="str">
        <f>IFERROR(__xludf.DUMMYFUNCTION("IFERROR(VLOOKUP(A8269, IMPORTRANGE(""https://docs.google.com/spreadsheets/d/1-3Vjw2Cyy-mry5gbC8ypIR3YVGFfEpyFESummAta6sg/edit"", ""Sheet1!B:D""), 3, FALSE), ""Not Found"")"),"d ɪ v a ɪ s ")</f>
        <v>d ɪ v a ɪ s </v>
      </c>
    </row>
    <row r="8270">
      <c r="A8270" s="1" t="s">
        <v>8271</v>
      </c>
      <c r="B8270" s="1" t="s">
        <v>6138</v>
      </c>
      <c r="C8270" s="2">
        <f>IFERROR(__xludf.DUMMYFUNCTION("IFERROR(VLOOKUP(A8270, IMPORTRANGE(""https://docs.google.com/spreadsheets/d/1AVX9GT0dgogEBStecCXMMQ29tWz3gBrtNB8yIromXbY/edit?gid=741673867"", ""out1g!A:B""), 2, FALSE), 0)"),503.0)</f>
        <v>503</v>
      </c>
      <c r="D8270" s="2" t="str">
        <f>IFERROR(__xludf.DUMMYFUNCTION("IFERROR(VLOOKUP(A8270, IMPORTRANGE(""https://docs.google.com/spreadsheets/d/1-3Vjw2Cyy-mry5gbC8ypIR3YVGFfEpyFESummAta6sg/edit"", ""Sheet1!B:D""), 2, FALSE), ""Not Found"")"),"trəks")</f>
        <v>trəks</v>
      </c>
      <c r="E8270" s="2" t="str">
        <f>IFERROR(__xludf.DUMMYFUNCTION("IFERROR(VLOOKUP(A8270, IMPORTRANGE(""https://docs.google.com/spreadsheets/d/1-3Vjw2Cyy-mry5gbC8ypIR3YVGFfEpyFESummAta6sg/edit"", ""Sheet1!B:D""), 3, FALSE), ""Not Found"")"),"t r ə k s ")</f>
        <v>t r ə k s </v>
      </c>
    </row>
    <row r="8271">
      <c r="A8271" s="1" t="s">
        <v>8272</v>
      </c>
      <c r="B8271" s="1" t="s">
        <v>6138</v>
      </c>
      <c r="C8271" s="2">
        <f>IFERROR(__xludf.DUMMYFUNCTION("IFERROR(VLOOKUP(A8271, IMPORTRANGE(""https://docs.google.com/spreadsheets/d/1AVX9GT0dgogEBStecCXMMQ29tWz3gBrtNB8yIromXbY/edit?gid=741673867"", ""out1g!A:B""), 2, FALSE), 0)"),584.0)</f>
        <v>584</v>
      </c>
      <c r="D8271" s="2" t="str">
        <f>IFERROR(__xludf.DUMMYFUNCTION("IFERROR(VLOOKUP(A8271, IMPORTRANGE(""https://docs.google.com/spreadsheets/d/1-3Vjw2Cyy-mry5gbC8ypIR3YVGFfEpyFESummAta6sg/edit"", ""Sheet1!B:D""), 2, FALSE), ""Not Found"")"),"dɪnaɪd")</f>
        <v>dɪnaɪd</v>
      </c>
      <c r="E8271" s="2" t="str">
        <f>IFERROR(__xludf.DUMMYFUNCTION("IFERROR(VLOOKUP(A8271, IMPORTRANGE(""https://docs.google.com/spreadsheets/d/1-3Vjw2Cyy-mry5gbC8ypIR3YVGFfEpyFESummAta6sg/edit"", ""Sheet1!B:D""), 3, FALSE), ""Not Found"")"),"d ɪ n a ɪ d ")</f>
        <v>d ɪ n a ɪ d </v>
      </c>
    </row>
    <row r="8272">
      <c r="A8272" s="1" t="s">
        <v>8273</v>
      </c>
      <c r="B8272" s="1" t="s">
        <v>6138</v>
      </c>
      <c r="C8272" s="2">
        <f>IFERROR(__xludf.DUMMYFUNCTION("IFERROR(VLOOKUP(A8272, IMPORTRANGE(""https://docs.google.com/spreadsheets/d/1AVX9GT0dgogEBStecCXMMQ29tWz3gBrtNB8yIromXbY/edit?gid=741673867"", ""out1g!A:B""), 2, FALSE), 0)"),82.0)</f>
        <v>82</v>
      </c>
      <c r="D8272" s="2" t="str">
        <f>IFERROR(__xludf.DUMMYFUNCTION("IFERROR(VLOOKUP(A8272, IMPORTRANGE(""https://docs.google.com/spreadsheets/d/1-3Vjw2Cyy-mry5gbC8ypIR3YVGFfEpyFESummAta6sg/edit"", ""Sheet1!B:D""), 2, FALSE), ""Not Found"")"),"henəs")</f>
        <v>henəs</v>
      </c>
      <c r="E8272" s="2" t="str">
        <f>IFERROR(__xludf.DUMMYFUNCTION("IFERROR(VLOOKUP(A8272, IMPORTRANGE(""https://docs.google.com/spreadsheets/d/1-3Vjw2Cyy-mry5gbC8ypIR3YVGFfEpyFESummAta6sg/edit"", ""Sheet1!B:D""), 3, FALSE), ""Not Found"")"),"h e n ə s ")</f>
        <v>h e n ə s </v>
      </c>
    </row>
    <row r="8273">
      <c r="A8273" s="1" t="s">
        <v>8274</v>
      </c>
      <c r="B8273" s="1" t="s">
        <v>6138</v>
      </c>
      <c r="C8273" s="2">
        <f>IFERROR(__xludf.DUMMYFUNCTION("IFERROR(VLOOKUP(A8273, IMPORTRANGE(""https://docs.google.com/spreadsheets/d/1AVX9GT0dgogEBStecCXMMQ29tWz3gBrtNB8yIromXbY/edit?gid=741673867"", ""out1g!A:B""), 2, FALSE), 0)"),49.0)</f>
        <v>49</v>
      </c>
      <c r="D8273" s="2" t="str">
        <f>IFERROR(__xludf.DUMMYFUNCTION("IFERROR(VLOOKUP(A8273, IMPORTRANGE(""https://docs.google.com/spreadsheets/d/1-3Vjw2Cyy-mry5gbC8ypIR3YVGFfEpyFESummAta6sg/edit"", ""Sheet1!B:D""), 2, FALSE), ""Not Found"")"),"mɛndɪŋ")</f>
        <v>mɛndɪŋ</v>
      </c>
      <c r="E8273" s="2" t="str">
        <f>IFERROR(__xludf.DUMMYFUNCTION("IFERROR(VLOOKUP(A8273, IMPORTRANGE(""https://docs.google.com/spreadsheets/d/1-3Vjw2Cyy-mry5gbC8ypIR3YVGFfEpyFESummAta6sg/edit"", ""Sheet1!B:D""), 3, FALSE), ""Not Found"")"),"m ɛ n d ɪ ŋ ")</f>
        <v>m ɛ n d ɪ ŋ </v>
      </c>
    </row>
    <row r="8274">
      <c r="A8274" s="1" t="s">
        <v>8275</v>
      </c>
      <c r="B8274" s="1" t="s">
        <v>6138</v>
      </c>
      <c r="C8274" s="2">
        <f>IFERROR(__xludf.DUMMYFUNCTION("IFERROR(VLOOKUP(A8274, IMPORTRANGE(""https://docs.google.com/spreadsheets/d/1AVX9GT0dgogEBStecCXMMQ29tWz3gBrtNB8yIromXbY/edit?gid=741673867"", ""out1g!A:B""), 2, FALSE), 0)"),303.0)</f>
        <v>303</v>
      </c>
      <c r="D8274" s="2" t="str">
        <f>IFERROR(__xludf.DUMMYFUNCTION("IFERROR(VLOOKUP(A8274, IMPORTRANGE(""https://docs.google.com/spreadsheets/d/1-3Vjw2Cyy-mry5gbC8ypIR3YVGFfEpyFESummAta6sg/edit"", ""Sheet1!B:D""), 2, FALSE), ""Not Found"")"),"raɪtərz")</f>
        <v>raɪtərz</v>
      </c>
      <c r="E8274" s="2" t="str">
        <f>IFERROR(__xludf.DUMMYFUNCTION("IFERROR(VLOOKUP(A8274, IMPORTRANGE(""https://docs.google.com/spreadsheets/d/1-3Vjw2Cyy-mry5gbC8ypIR3YVGFfEpyFESummAta6sg/edit"", ""Sheet1!B:D""), 3, FALSE), ""Not Found"")"),"r a ɪ t ə r z ")</f>
        <v>r a ɪ t ə r z </v>
      </c>
    </row>
    <row r="8275">
      <c r="A8275" s="1" t="s">
        <v>8276</v>
      </c>
      <c r="B8275" s="1" t="s">
        <v>6138</v>
      </c>
      <c r="C8275" s="2">
        <f>IFERROR(__xludf.DUMMYFUNCTION("IFERROR(VLOOKUP(A8275, IMPORTRANGE(""https://docs.google.com/spreadsheets/d/1AVX9GT0dgogEBStecCXMMQ29tWz3gBrtNB8yIromXbY/edit?gid=741673867"", ""out1g!A:B""), 2, FALSE), 0)"),189.0)</f>
        <v>189</v>
      </c>
      <c r="D8275" s="2" t="str">
        <f>IFERROR(__xludf.DUMMYFUNCTION("IFERROR(VLOOKUP(A8275, IMPORTRANGE(""https://docs.google.com/spreadsheets/d/1-3Vjw2Cyy-mry5gbC8ypIR3YVGFfEpyFESummAta6sg/edit"", ""Sheet1!B:D""), 2, FALSE), ""Not Found"")"),"skræʧɪŋ")</f>
        <v>skræʧɪŋ</v>
      </c>
      <c r="E8275" s="2" t="str">
        <f>IFERROR(__xludf.DUMMYFUNCTION("IFERROR(VLOOKUP(A8275, IMPORTRANGE(""https://docs.google.com/spreadsheets/d/1-3Vjw2Cyy-mry5gbC8ypIR3YVGFfEpyFESummAta6sg/edit"", ""Sheet1!B:D""), 3, FALSE), ""Not Found"")"),"s k r æ ʧ ɪ ŋ ")</f>
        <v>s k r æ ʧ ɪ ŋ </v>
      </c>
    </row>
    <row r="8276">
      <c r="A8276" s="1" t="s">
        <v>8277</v>
      </c>
      <c r="B8276" s="1" t="s">
        <v>6138</v>
      </c>
      <c r="C8276" s="2">
        <f>IFERROR(__xludf.DUMMYFUNCTION("IFERROR(VLOOKUP(A8276, IMPORTRANGE(""https://docs.google.com/spreadsheets/d/1AVX9GT0dgogEBStecCXMMQ29tWz3gBrtNB8yIromXbY/edit?gid=741673867"", ""out1g!A:B""), 2, FALSE), 0)"),85.0)</f>
        <v>85</v>
      </c>
      <c r="D8276" s="2" t="str">
        <f>IFERROR(__xludf.DUMMYFUNCTION("IFERROR(VLOOKUP(A8276, IMPORTRANGE(""https://docs.google.com/spreadsheets/d/1-3Vjw2Cyy-mry5gbC8ypIR3YVGFfEpyFESummAta6sg/edit"", ""Sheet1!B:D""), 2, FALSE), ""Not Found"")"),"ɑldən")</f>
        <v>ɑldən</v>
      </c>
      <c r="E8276" s="2" t="str">
        <f>IFERROR(__xludf.DUMMYFUNCTION("IFERROR(VLOOKUP(A8276, IMPORTRANGE(""https://docs.google.com/spreadsheets/d/1-3Vjw2Cyy-mry5gbC8ypIR3YVGFfEpyFESummAta6sg/edit"", ""Sheet1!B:D""), 3, FALSE), ""Not Found"")"),"ɑ l d ə n ")</f>
        <v>ɑ l d ə n </v>
      </c>
    </row>
    <row r="8277">
      <c r="A8277" s="1" t="s">
        <v>8278</v>
      </c>
      <c r="B8277" s="1" t="s">
        <v>6138</v>
      </c>
      <c r="C8277" s="2">
        <f>IFERROR(__xludf.DUMMYFUNCTION("IFERROR(VLOOKUP(A8277, IMPORTRANGE(""https://docs.google.com/spreadsheets/d/1AVX9GT0dgogEBStecCXMMQ29tWz3gBrtNB8yIromXbY/edit?gid=741673867"", ""out1g!A:B""), 2, FALSE), 0)"),58.0)</f>
        <v>58</v>
      </c>
      <c r="D8277" s="2" t="str">
        <f>IFERROR(__xludf.DUMMYFUNCTION("IFERROR(VLOOKUP(A8277, IMPORTRANGE(""https://docs.google.com/spreadsheets/d/1-3Vjw2Cyy-mry5gbC8ypIR3YVGFfEpyFESummAta6sg/edit"", ""Sheet1!B:D""), 2, FALSE), ""Not Found"")"),"pɑrʧt")</f>
        <v>pɑrʧt</v>
      </c>
      <c r="E8277" s="2" t="str">
        <f>IFERROR(__xludf.DUMMYFUNCTION("IFERROR(VLOOKUP(A8277, IMPORTRANGE(""https://docs.google.com/spreadsheets/d/1-3Vjw2Cyy-mry5gbC8ypIR3YVGFfEpyFESummAta6sg/edit"", ""Sheet1!B:D""), 3, FALSE), ""Not Found"")"),"p ɑ r ʧ t ")</f>
        <v>p ɑ r ʧ t </v>
      </c>
    </row>
    <row r="8278">
      <c r="A8278" s="1" t="s">
        <v>8279</v>
      </c>
      <c r="B8278" s="1" t="s">
        <v>6138</v>
      </c>
      <c r="C8278" s="2">
        <f>IFERROR(__xludf.DUMMYFUNCTION("IFERROR(VLOOKUP(A8278, IMPORTRANGE(""https://docs.google.com/spreadsheets/d/1AVX9GT0dgogEBStecCXMMQ29tWz3gBrtNB8yIromXbY/edit?gid=741673867"", ""out1g!A:B""), 2, FALSE), 0)"),1081.0)</f>
        <v>1081</v>
      </c>
      <c r="D8278" s="2" t="str">
        <f>IFERROR(__xludf.DUMMYFUNCTION("IFERROR(VLOOKUP(A8278, IMPORTRANGE(""https://docs.google.com/spreadsheets/d/1-3Vjw2Cyy-mry5gbC8ypIR3YVGFfEpyFESummAta6sg/edit"", ""Sheet1!B:D""), 2, FALSE), ""Not Found"")"),"wɔr")</f>
        <v>wɔr</v>
      </c>
      <c r="E8278" s="2" t="str">
        <f>IFERROR(__xludf.DUMMYFUNCTION("IFERROR(VLOOKUP(A8278, IMPORTRANGE(""https://docs.google.com/spreadsheets/d/1-3Vjw2Cyy-mry5gbC8ypIR3YVGFfEpyFESummAta6sg/edit"", ""Sheet1!B:D""), 3, FALSE), ""Not Found"")"),"w ɔ r ")</f>
        <v>w ɔ r </v>
      </c>
    </row>
    <row r="8279">
      <c r="A8279" s="1" t="s">
        <v>8280</v>
      </c>
      <c r="B8279" s="1" t="s">
        <v>6138</v>
      </c>
      <c r="C8279" s="2">
        <f>IFERROR(__xludf.DUMMYFUNCTION("IFERROR(VLOOKUP(A8279, IMPORTRANGE(""https://docs.google.com/spreadsheets/d/1AVX9GT0dgogEBStecCXMMQ29tWz3gBrtNB8yIromXbY/edit?gid=741673867"", ""out1g!A:B""), 2, FALSE), 0)"),272.0)</f>
        <v>272</v>
      </c>
      <c r="D8279" s="2" t="str">
        <f>IFERROR(__xludf.DUMMYFUNCTION("IFERROR(VLOOKUP(A8279, IMPORTRANGE(""https://docs.google.com/spreadsheets/d/1-3Vjw2Cyy-mry5gbC8ypIR3YVGFfEpyFESummAta6sg/edit"", ""Sheet1!B:D""), 2, FALSE), ""Not Found"")"),"kræŋk")</f>
        <v>kræŋk</v>
      </c>
      <c r="E8279" s="2" t="str">
        <f>IFERROR(__xludf.DUMMYFUNCTION("IFERROR(VLOOKUP(A8279, IMPORTRANGE(""https://docs.google.com/spreadsheets/d/1-3Vjw2Cyy-mry5gbC8ypIR3YVGFfEpyFESummAta6sg/edit"", ""Sheet1!B:D""), 3, FALSE), ""Not Found"")"),"k r æ ŋ k ")</f>
        <v>k r æ ŋ k </v>
      </c>
    </row>
    <row r="8280">
      <c r="A8280" s="1" t="s">
        <v>8281</v>
      </c>
      <c r="B8280" s="1" t="s">
        <v>6138</v>
      </c>
      <c r="C8280" s="2">
        <f>IFERROR(__xludf.DUMMYFUNCTION("IFERROR(VLOOKUP(A8280, IMPORTRANGE(""https://docs.google.com/spreadsheets/d/1AVX9GT0dgogEBStecCXMMQ29tWz3gBrtNB8yIromXbY/edit?gid=741673867"", ""out1g!A:B""), 2, FALSE), 0)"),74.0)</f>
        <v>74</v>
      </c>
      <c r="D8280" s="2" t="str">
        <f>IFERROR(__xludf.DUMMYFUNCTION("IFERROR(VLOOKUP(A8280, IMPORTRANGE(""https://docs.google.com/spreadsheets/d/1-3Vjw2Cyy-mry5gbC8ypIR3YVGFfEpyFESummAta6sg/edit"", ""Sheet1!B:D""), 2, FALSE), ""Not Found"")"),"fɑrts")</f>
        <v>fɑrts</v>
      </c>
      <c r="E8280" s="2" t="str">
        <f>IFERROR(__xludf.DUMMYFUNCTION("IFERROR(VLOOKUP(A8280, IMPORTRANGE(""https://docs.google.com/spreadsheets/d/1-3Vjw2Cyy-mry5gbC8ypIR3YVGFfEpyFESummAta6sg/edit"", ""Sheet1!B:D""), 3, FALSE), ""Not Found"")"),"f ɑ r t s ")</f>
        <v>f ɑ r t s </v>
      </c>
    </row>
    <row r="8281">
      <c r="A8281" s="1" t="s">
        <v>8282</v>
      </c>
      <c r="B8281" s="1" t="s">
        <v>6138</v>
      </c>
      <c r="C8281" s="2">
        <f>IFERROR(__xludf.DUMMYFUNCTION("IFERROR(VLOOKUP(A8281, IMPORTRANGE(""https://docs.google.com/spreadsheets/d/1AVX9GT0dgogEBStecCXMMQ29tWz3gBrtNB8yIromXbY/edit?gid=741673867"", ""out1g!A:B""), 2, FALSE), 0)"),271.0)</f>
        <v>271</v>
      </c>
      <c r="D8281" s="2" t="str">
        <f>IFERROR(__xludf.DUMMYFUNCTION("IFERROR(VLOOKUP(A8281, IMPORTRANGE(""https://docs.google.com/spreadsheets/d/1-3Vjw2Cyy-mry5gbC8ypIR3YVGFfEpyFESummAta6sg/edit"", ""Sheet1!B:D""), 2, FALSE), ""Not Found"")"),"rɪvərz")</f>
        <v>rɪvərz</v>
      </c>
      <c r="E8281" s="2" t="str">
        <f>IFERROR(__xludf.DUMMYFUNCTION("IFERROR(VLOOKUP(A8281, IMPORTRANGE(""https://docs.google.com/spreadsheets/d/1-3Vjw2Cyy-mry5gbC8ypIR3YVGFfEpyFESummAta6sg/edit"", ""Sheet1!B:D""), 3, FALSE), ""Not Found"")"),"r ɪ v ə r z ")</f>
        <v>r ɪ v ə r z </v>
      </c>
    </row>
    <row r="8282">
      <c r="A8282" s="1" t="s">
        <v>8283</v>
      </c>
      <c r="B8282" s="1" t="s">
        <v>6138</v>
      </c>
      <c r="C8282" s="2">
        <f>IFERROR(__xludf.DUMMYFUNCTION("IFERROR(VLOOKUP(A8282, IMPORTRANGE(""https://docs.google.com/spreadsheets/d/1AVX9GT0dgogEBStecCXMMQ29tWz3gBrtNB8yIromXbY/edit?gid=741673867"", ""out1g!A:B""), 2, FALSE), 0)"),67.0)</f>
        <v>67</v>
      </c>
      <c r="D8282" s="2" t="str">
        <f>IFERROR(__xludf.DUMMYFUNCTION("IFERROR(VLOOKUP(A8282, IMPORTRANGE(""https://docs.google.com/spreadsheets/d/1-3Vjw2Cyy-mry5gbC8ypIR3YVGFfEpyFESummAta6sg/edit"", ""Sheet1!B:D""), 2, FALSE), ""Not Found"")"),"mədinə")</f>
        <v>mədinə</v>
      </c>
      <c r="E8282" s="2" t="str">
        <f>IFERROR(__xludf.DUMMYFUNCTION("IFERROR(VLOOKUP(A8282, IMPORTRANGE(""https://docs.google.com/spreadsheets/d/1-3Vjw2Cyy-mry5gbC8ypIR3YVGFfEpyFESummAta6sg/edit"", ""Sheet1!B:D""), 3, FALSE), ""Not Found"")"),"m ə d i n ə ")</f>
        <v>m ə d i n ə </v>
      </c>
    </row>
    <row r="8283">
      <c r="A8283" s="1" t="s">
        <v>8284</v>
      </c>
      <c r="B8283" s="1" t="s">
        <v>6138</v>
      </c>
      <c r="C8283" s="2">
        <f>IFERROR(__xludf.DUMMYFUNCTION("IFERROR(VLOOKUP(A8283, IMPORTRANGE(""https://docs.google.com/spreadsheets/d/1AVX9GT0dgogEBStecCXMMQ29tWz3gBrtNB8yIromXbY/edit?gid=741673867"", ""out1g!A:B""), 2, FALSE), 0)"),498.0)</f>
        <v>498</v>
      </c>
      <c r="D8283" s="2" t="str">
        <f>IFERROR(__xludf.DUMMYFUNCTION("IFERROR(VLOOKUP(A8283, IMPORTRANGE(""https://docs.google.com/spreadsheets/d/1-3Vjw2Cyy-mry5gbC8ypIR3YVGFfEpyFESummAta6sg/edit"", ""Sheet1!B:D""), 2, FALSE), ""Not Found"")"),"faɪərz")</f>
        <v>faɪərz</v>
      </c>
      <c r="E8283" s="2" t="str">
        <f>IFERROR(__xludf.DUMMYFUNCTION("IFERROR(VLOOKUP(A8283, IMPORTRANGE(""https://docs.google.com/spreadsheets/d/1-3Vjw2Cyy-mry5gbC8ypIR3YVGFfEpyFESummAta6sg/edit"", ""Sheet1!B:D""), 3, FALSE), ""Not Found"")"),"f a ɪ ə r z ")</f>
        <v>f a ɪ ə r z </v>
      </c>
    </row>
    <row r="8284">
      <c r="A8284" s="1" t="s">
        <v>8285</v>
      </c>
      <c r="B8284" s="1" t="s">
        <v>6138</v>
      </c>
      <c r="C8284" s="2">
        <f>IFERROR(__xludf.DUMMYFUNCTION("IFERROR(VLOOKUP(A8284, IMPORTRANGE(""https://docs.google.com/spreadsheets/d/1AVX9GT0dgogEBStecCXMMQ29tWz3gBrtNB8yIromXbY/edit?gid=741673867"", ""out1g!A:B""), 2, FALSE), 0)"),18.0)</f>
        <v>18</v>
      </c>
      <c r="D8284" s="2" t="str">
        <f>IFERROR(__xludf.DUMMYFUNCTION("IFERROR(VLOOKUP(A8284, IMPORTRANGE(""https://docs.google.com/spreadsheets/d/1-3Vjw2Cyy-mry5gbC8ypIR3YVGFfEpyFESummAta6sg/edit"", ""Sheet1!B:D""), 2, FALSE), ""Not Found"")"),"koʊsts")</f>
        <v>koʊsts</v>
      </c>
      <c r="E8284" s="2" t="str">
        <f>IFERROR(__xludf.DUMMYFUNCTION("IFERROR(VLOOKUP(A8284, IMPORTRANGE(""https://docs.google.com/spreadsheets/d/1-3Vjw2Cyy-mry5gbC8ypIR3YVGFfEpyFESummAta6sg/edit"", ""Sheet1!B:D""), 3, FALSE), ""Not Found"")"),"k o ʊ s t s ")</f>
        <v>k o ʊ s t s </v>
      </c>
    </row>
    <row r="8285">
      <c r="A8285" s="1" t="s">
        <v>8286</v>
      </c>
      <c r="B8285" s="1" t="s">
        <v>6138</v>
      </c>
      <c r="C8285" s="2">
        <f>IFERROR(__xludf.DUMMYFUNCTION("IFERROR(VLOOKUP(A8285, IMPORTRANGE(""https://docs.google.com/spreadsheets/d/1AVX9GT0dgogEBStecCXMMQ29tWz3gBrtNB8yIromXbY/edit?gid=741673867"", ""out1g!A:B""), 2, FALSE), 0)"),74.0)</f>
        <v>74</v>
      </c>
      <c r="D8285" s="2" t="str">
        <f>IFERROR(__xludf.DUMMYFUNCTION("IFERROR(VLOOKUP(A8285, IMPORTRANGE(""https://docs.google.com/spreadsheets/d/1-3Vjw2Cyy-mry5gbC8ypIR3YVGFfEpyFESummAta6sg/edit"", ""Sheet1!B:D""), 2, FALSE), ""Not Found"")"),"pərsiv")</f>
        <v>pərsiv</v>
      </c>
      <c r="E8285" s="2" t="str">
        <f>IFERROR(__xludf.DUMMYFUNCTION("IFERROR(VLOOKUP(A8285, IMPORTRANGE(""https://docs.google.com/spreadsheets/d/1-3Vjw2Cyy-mry5gbC8ypIR3YVGFfEpyFESummAta6sg/edit"", ""Sheet1!B:D""), 3, FALSE), ""Not Found"")"),"p ə r s i v ")</f>
        <v>p ə r s i v </v>
      </c>
    </row>
    <row r="8286">
      <c r="A8286" s="1" t="s">
        <v>8287</v>
      </c>
      <c r="B8286" s="1" t="s">
        <v>6138</v>
      </c>
      <c r="C8286" s="2">
        <f>IFERROR(__xludf.DUMMYFUNCTION("IFERROR(VLOOKUP(A8286, IMPORTRANGE(""https://docs.google.com/spreadsheets/d/1AVX9GT0dgogEBStecCXMMQ29tWz3gBrtNB8yIromXbY/edit?gid=741673867"", ""out1g!A:B""), 2, FALSE), 0)"),121.0)</f>
        <v>121</v>
      </c>
      <c r="D8286" s="2" t="str">
        <f>IFERROR(__xludf.DUMMYFUNCTION("IFERROR(VLOOKUP(A8286, IMPORTRANGE(""https://docs.google.com/spreadsheets/d/1-3Vjw2Cyy-mry5gbC8ypIR3YVGFfEpyFESummAta6sg/edit"", ""Sheet1!B:D""), 2, FALSE), ""Not Found"")"),"hɑpɪŋ")</f>
        <v>hɑpɪŋ</v>
      </c>
      <c r="E8286" s="2" t="str">
        <f>IFERROR(__xludf.DUMMYFUNCTION("IFERROR(VLOOKUP(A8286, IMPORTRANGE(""https://docs.google.com/spreadsheets/d/1-3Vjw2Cyy-mry5gbC8ypIR3YVGFfEpyFESummAta6sg/edit"", ""Sheet1!B:D""), 3, FALSE), ""Not Found"")"),"h ɑ p ɪ ŋ ")</f>
        <v>h ɑ p ɪ ŋ </v>
      </c>
    </row>
    <row r="8287">
      <c r="A8287" s="1" t="s">
        <v>8288</v>
      </c>
      <c r="B8287" s="1" t="s">
        <v>6138</v>
      </c>
      <c r="C8287" s="2">
        <f>IFERROR(__xludf.DUMMYFUNCTION("IFERROR(VLOOKUP(A8287, IMPORTRANGE(""https://docs.google.com/spreadsheets/d/1AVX9GT0dgogEBStecCXMMQ29tWz3gBrtNB8yIromXbY/edit?gid=741673867"", ""out1g!A:B""), 2, FALSE), 0)"),124.0)</f>
        <v>124</v>
      </c>
      <c r="D8287" s="2" t="str">
        <f>IFERROR(__xludf.DUMMYFUNCTION("IFERROR(VLOOKUP(A8287, IMPORTRANGE(""https://docs.google.com/spreadsheets/d/1-3Vjw2Cyy-mry5gbC8ypIR3YVGFfEpyFESummAta6sg/edit"", ""Sheet1!B:D""), 2, FALSE), ""Not Found"")"),"skætər")</f>
        <v>skætər</v>
      </c>
      <c r="E8287" s="2" t="str">
        <f>IFERROR(__xludf.DUMMYFUNCTION("IFERROR(VLOOKUP(A8287, IMPORTRANGE(""https://docs.google.com/spreadsheets/d/1-3Vjw2Cyy-mry5gbC8ypIR3YVGFfEpyFESummAta6sg/edit"", ""Sheet1!B:D""), 3, FALSE), ""Not Found"")"),"s k æ t ə r ")</f>
        <v>s k æ t ə r </v>
      </c>
    </row>
    <row r="8288">
      <c r="A8288" s="1" t="s">
        <v>8289</v>
      </c>
      <c r="B8288" s="1" t="s">
        <v>6138</v>
      </c>
      <c r="C8288" s="2">
        <f>IFERROR(__xludf.DUMMYFUNCTION("IFERROR(VLOOKUP(A8288, IMPORTRANGE(""https://docs.google.com/spreadsheets/d/1AVX9GT0dgogEBStecCXMMQ29tWz3gBrtNB8yIromXbY/edit?gid=741673867"", ""out1g!A:B""), 2, FALSE), 0)"),21.0)</f>
        <v>21</v>
      </c>
      <c r="D8288" s="2" t="str">
        <f>IFERROR(__xludf.DUMMYFUNCTION("IFERROR(VLOOKUP(A8288, IMPORTRANGE(""https://docs.google.com/spreadsheets/d/1-3Vjw2Cyy-mry5gbC8ypIR3YVGFfEpyFESummAta6sg/edit"", ""Sheet1!B:D""), 2, FALSE), ""Not Found"")"),"kæŋkər")</f>
        <v>kæŋkər</v>
      </c>
      <c r="E8288" s="2" t="str">
        <f>IFERROR(__xludf.DUMMYFUNCTION("IFERROR(VLOOKUP(A8288, IMPORTRANGE(""https://docs.google.com/spreadsheets/d/1-3Vjw2Cyy-mry5gbC8ypIR3YVGFfEpyFESummAta6sg/edit"", ""Sheet1!B:D""), 3, FALSE), ""Not Found"")"),"k æ ŋ k ə r ")</f>
        <v>k æ ŋ k ə r </v>
      </c>
    </row>
    <row r="8289">
      <c r="A8289" s="1" t="s">
        <v>8290</v>
      </c>
      <c r="B8289" s="1" t="s">
        <v>6138</v>
      </c>
      <c r="C8289" s="2">
        <f>IFERROR(__xludf.DUMMYFUNCTION("IFERROR(VLOOKUP(A8289, IMPORTRANGE(""https://docs.google.com/spreadsheets/d/1AVX9GT0dgogEBStecCXMMQ29tWz3gBrtNB8yIromXbY/edit?gid=741673867"", ""out1g!A:B""), 2, FALSE), 0)"),25.0)</f>
        <v>25</v>
      </c>
      <c r="D8289" s="2" t="str">
        <f>IFERROR(__xludf.DUMMYFUNCTION("IFERROR(VLOOKUP(A8289, IMPORTRANGE(""https://docs.google.com/spreadsheets/d/1-3Vjw2Cyy-mry5gbC8ypIR3YVGFfEpyFESummAta6sg/edit"", ""Sheet1!B:D""), 2, FALSE), ""Not Found"")"),"məsti")</f>
        <v>məsti</v>
      </c>
      <c r="E8289" s="2" t="str">
        <f>IFERROR(__xludf.DUMMYFUNCTION("IFERROR(VLOOKUP(A8289, IMPORTRANGE(""https://docs.google.com/spreadsheets/d/1-3Vjw2Cyy-mry5gbC8ypIR3YVGFfEpyFESummAta6sg/edit"", ""Sheet1!B:D""), 3, FALSE), ""Not Found"")"),"m ə s t i ")</f>
        <v>m ə s t i </v>
      </c>
    </row>
    <row r="8290">
      <c r="A8290" s="1" t="s">
        <v>8291</v>
      </c>
      <c r="B8290" s="1" t="s">
        <v>6138</v>
      </c>
      <c r="C8290" s="2">
        <f>IFERROR(__xludf.DUMMYFUNCTION("IFERROR(VLOOKUP(A8290, IMPORTRANGE(""https://docs.google.com/spreadsheets/d/1AVX9GT0dgogEBStecCXMMQ29tWz3gBrtNB8yIromXbY/edit?gid=741673867"", ""out1g!A:B""), 2, FALSE), 0)"),261.0)</f>
        <v>261</v>
      </c>
      <c r="D8290" s="2" t="str">
        <f>IFERROR(__xludf.DUMMYFUNCTION("IFERROR(VLOOKUP(A8290, IMPORTRANGE(""https://docs.google.com/spreadsheets/d/1-3Vjw2Cyy-mry5gbC8ypIR3YVGFfEpyFESummAta6sg/edit"", ""Sheet1!B:D""), 2, FALSE), ""Not Found"")"),"dɪtɛkt")</f>
        <v>dɪtɛkt</v>
      </c>
      <c r="E8290" s="2" t="str">
        <f>IFERROR(__xludf.DUMMYFUNCTION("IFERROR(VLOOKUP(A8290, IMPORTRANGE(""https://docs.google.com/spreadsheets/d/1-3Vjw2Cyy-mry5gbC8ypIR3YVGFfEpyFESummAta6sg/edit"", ""Sheet1!B:D""), 3, FALSE), ""Not Found"")"),"d ɪ t ɛ k t ")</f>
        <v>d ɪ t ɛ k t </v>
      </c>
    </row>
    <row r="8291">
      <c r="A8291" s="1" t="s">
        <v>8292</v>
      </c>
      <c r="B8291" s="1" t="s">
        <v>6138</v>
      </c>
      <c r="C8291" s="2">
        <f>IFERROR(__xludf.DUMMYFUNCTION("IFERROR(VLOOKUP(A8291, IMPORTRANGE(""https://docs.google.com/spreadsheets/d/1AVX9GT0dgogEBStecCXMMQ29tWz3gBrtNB8yIromXbY/edit?gid=741673867"", ""out1g!A:B""), 2, FALSE), 0)"),179.0)</f>
        <v>179</v>
      </c>
      <c r="D8291" s="2" t="str">
        <f>IFERROR(__xludf.DUMMYFUNCTION("IFERROR(VLOOKUP(A8291, IMPORTRANGE(""https://docs.google.com/spreadsheets/d/1-3Vjw2Cyy-mry5gbC8ypIR3YVGFfEpyFESummAta6sg/edit"", ""Sheet1!B:D""), 2, FALSE), ""Not Found"")"),"hɛlənə")</f>
        <v>hɛlənə</v>
      </c>
      <c r="E8291" s="2" t="str">
        <f>IFERROR(__xludf.DUMMYFUNCTION("IFERROR(VLOOKUP(A8291, IMPORTRANGE(""https://docs.google.com/spreadsheets/d/1-3Vjw2Cyy-mry5gbC8ypIR3YVGFfEpyFESummAta6sg/edit"", ""Sheet1!B:D""), 3, FALSE), ""Not Found"")"),"h ɛ l ə n ə ")</f>
        <v>h ɛ l ə n ə </v>
      </c>
    </row>
    <row r="8292">
      <c r="A8292" s="1" t="s">
        <v>8293</v>
      </c>
      <c r="B8292" s="1" t="s">
        <v>6138</v>
      </c>
      <c r="C8292" s="2">
        <f>IFERROR(__xludf.DUMMYFUNCTION("IFERROR(VLOOKUP(A8292, IMPORTRANGE(""https://docs.google.com/spreadsheets/d/1AVX9GT0dgogEBStecCXMMQ29tWz3gBrtNB8yIromXbY/edit?gid=741673867"", ""out1g!A:B""), 2, FALSE), 0)"),4076.0)</f>
        <v>4076</v>
      </c>
      <c r="D8292" s="2" t="str">
        <f>IFERROR(__xludf.DUMMYFUNCTION("IFERROR(VLOOKUP(A8292, IMPORTRANGE(""https://docs.google.com/spreadsheets/d/1-3Vjw2Cyy-mry5gbC8ypIR3YVGFfEpyFESummAta6sg/edit"", ""Sheet1!B:D""), 2, FALSE), ""Not Found"")"),"sərvɪs")</f>
        <v>sərvɪs</v>
      </c>
      <c r="E8292" s="2" t="str">
        <f>IFERROR(__xludf.DUMMYFUNCTION("IFERROR(VLOOKUP(A8292, IMPORTRANGE(""https://docs.google.com/spreadsheets/d/1-3Vjw2Cyy-mry5gbC8ypIR3YVGFfEpyFESummAta6sg/edit"", ""Sheet1!B:D""), 3, FALSE), ""Not Found"")"),"s ə r v ɪ s ")</f>
        <v>s ə r v ɪ s </v>
      </c>
    </row>
    <row r="8293">
      <c r="A8293" s="1" t="s">
        <v>8294</v>
      </c>
      <c r="B8293" s="1" t="s">
        <v>6138</v>
      </c>
      <c r="C8293" s="2">
        <f>IFERROR(__xludf.DUMMYFUNCTION("IFERROR(VLOOKUP(A8293, IMPORTRANGE(""https://docs.google.com/spreadsheets/d/1AVX9GT0dgogEBStecCXMMQ29tWz3gBrtNB8yIromXbY/edit?gid=741673867"", ""out1g!A:B""), 2, FALSE), 0)"),670.0)</f>
        <v>670</v>
      </c>
      <c r="D8293" s="2" t="str">
        <f>IFERROR(__xludf.DUMMYFUNCTION("IFERROR(VLOOKUP(A8293, IMPORTRANGE(""https://docs.google.com/spreadsheets/d/1-3Vjw2Cyy-mry5gbC8ypIR3YVGFfEpyFESummAta6sg/edit"", ""Sheet1!B:D""), 2, FALSE), ""Not Found"")"),"mɪsəl")</f>
        <v>mɪsəl</v>
      </c>
      <c r="E8293" s="2" t="str">
        <f>IFERROR(__xludf.DUMMYFUNCTION("IFERROR(VLOOKUP(A8293, IMPORTRANGE(""https://docs.google.com/spreadsheets/d/1-3Vjw2Cyy-mry5gbC8ypIR3YVGFfEpyFESummAta6sg/edit"", ""Sheet1!B:D""), 3, FALSE), ""Not Found"")"),"m ɪ s ə l ")</f>
        <v>m ɪ s ə l </v>
      </c>
    </row>
    <row r="8294">
      <c r="A8294" s="1" t="s">
        <v>8295</v>
      </c>
      <c r="B8294" s="1" t="s">
        <v>6138</v>
      </c>
      <c r="C8294" s="2">
        <f>IFERROR(__xludf.DUMMYFUNCTION("IFERROR(VLOOKUP(A8294, IMPORTRANGE(""https://docs.google.com/spreadsheets/d/1AVX9GT0dgogEBStecCXMMQ29tWz3gBrtNB8yIromXbY/edit?gid=741673867"", ""out1g!A:B""), 2, FALSE), 0)"),451.0)</f>
        <v>451</v>
      </c>
      <c r="D8294" s="2" t="str">
        <f>IFERROR(__xludf.DUMMYFUNCTION("IFERROR(VLOOKUP(A8294, IMPORTRANGE(""https://docs.google.com/spreadsheets/d/1-3Vjw2Cyy-mry5gbC8ypIR3YVGFfEpyFESummAta6sg/edit"", ""Sheet1!B:D""), 2, FALSE), ""Not Found"")"),"mɑdəlz")</f>
        <v>mɑdəlz</v>
      </c>
      <c r="E8294" s="2" t="str">
        <f>IFERROR(__xludf.DUMMYFUNCTION("IFERROR(VLOOKUP(A8294, IMPORTRANGE(""https://docs.google.com/spreadsheets/d/1-3Vjw2Cyy-mry5gbC8ypIR3YVGFfEpyFESummAta6sg/edit"", ""Sheet1!B:D""), 3, FALSE), ""Not Found"")"),"m ɑ d ə l z ")</f>
        <v>m ɑ d ə l z </v>
      </c>
    </row>
    <row r="8295">
      <c r="A8295" s="1" t="s">
        <v>8296</v>
      </c>
      <c r="B8295" s="1" t="s">
        <v>6138</v>
      </c>
      <c r="C8295" s="2">
        <f>IFERROR(__xludf.DUMMYFUNCTION("IFERROR(VLOOKUP(A8295, IMPORTRANGE(""https://docs.google.com/spreadsheets/d/1AVX9GT0dgogEBStecCXMMQ29tWz3gBrtNB8yIromXbY/edit?gid=741673867"", ""out1g!A:B""), 2, FALSE), 0)"),56.0)</f>
        <v>56</v>
      </c>
      <c r="D8295" s="2" t="str">
        <f>IFERROR(__xludf.DUMMYFUNCTION("IFERROR(VLOOKUP(A8295, IMPORTRANGE(""https://docs.google.com/spreadsheets/d/1-3Vjw2Cyy-mry5gbC8ypIR3YVGFfEpyFESummAta6sg/edit"", ""Sheet1!B:D""), 2, FALSE), ""Not Found"")"),"vərsɪz")</f>
        <v>vərsɪz</v>
      </c>
      <c r="E8295" s="2" t="str">
        <f>IFERROR(__xludf.DUMMYFUNCTION("IFERROR(VLOOKUP(A8295, IMPORTRANGE(""https://docs.google.com/spreadsheets/d/1-3Vjw2Cyy-mry5gbC8ypIR3YVGFfEpyFESummAta6sg/edit"", ""Sheet1!B:D""), 3, FALSE), ""Not Found"")"),"v ə r s ɪ z ")</f>
        <v>v ə r s ɪ z </v>
      </c>
    </row>
    <row r="8296">
      <c r="A8296" s="1" t="s">
        <v>8297</v>
      </c>
      <c r="B8296" s="1" t="s">
        <v>6138</v>
      </c>
      <c r="C8296" s="2">
        <f>IFERROR(__xludf.DUMMYFUNCTION("IFERROR(VLOOKUP(A8296, IMPORTRANGE(""https://docs.google.com/spreadsheets/d/1AVX9GT0dgogEBStecCXMMQ29tWz3gBrtNB8yIromXbY/edit?gid=741673867"", ""out1g!A:B""), 2, FALSE), 0)"),1433.0)</f>
        <v>1433</v>
      </c>
      <c r="D8296" s="2" t="str">
        <f>IFERROR(__xludf.DUMMYFUNCTION("IFERROR(VLOOKUP(A8296, IMPORTRANGE(""https://docs.google.com/spreadsheets/d/1-3Vjw2Cyy-mry5gbC8ypIR3YVGFfEpyFESummAta6sg/edit"", ""Sheet1!B:D""), 2, FALSE), ""Not Found"")"),"disənt")</f>
        <v>disənt</v>
      </c>
      <c r="E8296" s="2" t="str">
        <f>IFERROR(__xludf.DUMMYFUNCTION("IFERROR(VLOOKUP(A8296, IMPORTRANGE(""https://docs.google.com/spreadsheets/d/1-3Vjw2Cyy-mry5gbC8ypIR3YVGFfEpyFESummAta6sg/edit"", ""Sheet1!B:D""), 3, FALSE), ""Not Found"")"),"d i s ə n t ")</f>
        <v>d i s ə n t </v>
      </c>
    </row>
    <row r="8297">
      <c r="A8297" s="1" t="s">
        <v>8298</v>
      </c>
      <c r="B8297" s="1" t="s">
        <v>6138</v>
      </c>
      <c r="C8297" s="2">
        <f>IFERROR(__xludf.DUMMYFUNCTION("IFERROR(VLOOKUP(A8297, IMPORTRANGE(""https://docs.google.com/spreadsheets/d/1AVX9GT0dgogEBStecCXMMQ29tWz3gBrtNB8yIromXbY/edit?gid=741673867"", ""out1g!A:B""), 2, FALSE), 0)"),298.0)</f>
        <v>298</v>
      </c>
      <c r="D8297" s="2" t="str">
        <f>IFERROR(__xludf.DUMMYFUNCTION("IFERROR(VLOOKUP(A8297, IMPORTRANGE(""https://docs.google.com/spreadsheets/d/1-3Vjw2Cyy-mry5gbC8ypIR3YVGFfEpyFESummAta6sg/edit"", ""Sheet1!B:D""), 2, FALSE), ""Not Found"")"),"dɪvaɪd")</f>
        <v>dɪvaɪd</v>
      </c>
      <c r="E8297" s="2" t="str">
        <f>IFERROR(__xludf.DUMMYFUNCTION("IFERROR(VLOOKUP(A8297, IMPORTRANGE(""https://docs.google.com/spreadsheets/d/1-3Vjw2Cyy-mry5gbC8ypIR3YVGFfEpyFESummAta6sg/edit"", ""Sheet1!B:D""), 3, FALSE), ""Not Found"")"),"d ɪ v a ɪ d ")</f>
        <v>d ɪ v a ɪ d </v>
      </c>
    </row>
    <row r="8298">
      <c r="A8298" s="1" t="s">
        <v>8299</v>
      </c>
      <c r="B8298" s="1" t="s">
        <v>6138</v>
      </c>
      <c r="C8298" s="2">
        <f>IFERROR(__xludf.DUMMYFUNCTION("IFERROR(VLOOKUP(A8298, IMPORTRANGE(""https://docs.google.com/spreadsheets/d/1AVX9GT0dgogEBStecCXMMQ29tWz3gBrtNB8yIromXbY/edit?gid=741673867"", ""out1g!A:B""), 2, FALSE), 0)"),3531.0)</f>
        <v>3531</v>
      </c>
      <c r="D8298" s="2" t="str">
        <f>IFERROR(__xludf.DUMMYFUNCTION("IFERROR(VLOOKUP(A8298, IMPORTRANGE(""https://docs.google.com/spreadsheets/d/1-3Vjw2Cyy-mry5gbC8ypIR3YVGFfEpyFESummAta6sg/edit"", ""Sheet1!B:D""), 2, FALSE), ""Not Found"")"),"pɛrɪs")</f>
        <v>pɛrɪs</v>
      </c>
      <c r="E8298" s="2" t="str">
        <f>IFERROR(__xludf.DUMMYFUNCTION("IFERROR(VLOOKUP(A8298, IMPORTRANGE(""https://docs.google.com/spreadsheets/d/1-3Vjw2Cyy-mry5gbC8ypIR3YVGFfEpyFESummAta6sg/edit"", ""Sheet1!B:D""), 3, FALSE), ""Not Found"")"),"p ɛ r ɪ s ")</f>
        <v>p ɛ r ɪ s </v>
      </c>
    </row>
    <row r="8299">
      <c r="A8299" s="1" t="s">
        <v>8300</v>
      </c>
      <c r="B8299" s="1" t="s">
        <v>6138</v>
      </c>
      <c r="C8299" s="2">
        <f>IFERROR(__xludf.DUMMYFUNCTION("IFERROR(VLOOKUP(A8299, IMPORTRANGE(""https://docs.google.com/spreadsheets/d/1AVX9GT0dgogEBStecCXMMQ29tWz3gBrtNB8yIromXbY/edit?gid=741673867"", ""out1g!A:B""), 2, FALSE), 0)"),76.0)</f>
        <v>76</v>
      </c>
      <c r="D8299" s="2" t="str">
        <f>IFERROR(__xludf.DUMMYFUNCTION("IFERROR(VLOOKUP(A8299, IMPORTRANGE(""https://docs.google.com/spreadsheets/d/1-3Vjw2Cyy-mry5gbC8ypIR3YVGFfEpyFESummAta6sg/edit"", ""Sheet1!B:D""), 2, FALSE), ""Not Found"")"),"frezər")</f>
        <v>frezər</v>
      </c>
      <c r="E8299" s="2" t="str">
        <f>IFERROR(__xludf.DUMMYFUNCTION("IFERROR(VLOOKUP(A8299, IMPORTRANGE(""https://docs.google.com/spreadsheets/d/1-3Vjw2Cyy-mry5gbC8ypIR3YVGFfEpyFESummAta6sg/edit"", ""Sheet1!B:D""), 3, FALSE), ""Not Found"")"),"f r e z ə r ")</f>
        <v>f r e z ə r </v>
      </c>
    </row>
    <row r="8300">
      <c r="A8300" s="1" t="s">
        <v>8301</v>
      </c>
      <c r="B8300" s="1" t="s">
        <v>6138</v>
      </c>
      <c r="C8300" s="2">
        <f>IFERROR(__xludf.DUMMYFUNCTION("IFERROR(VLOOKUP(A8300, IMPORTRANGE(""https://docs.google.com/spreadsheets/d/1AVX9GT0dgogEBStecCXMMQ29tWz3gBrtNB8yIromXbY/edit?gid=741673867"", ""out1g!A:B""), 2, FALSE), 0)"),105.0)</f>
        <v>105</v>
      </c>
      <c r="D8300" s="2" t="str">
        <f>IFERROR(__xludf.DUMMYFUNCTION("IFERROR(VLOOKUP(A8300, IMPORTRANGE(""https://docs.google.com/spreadsheets/d/1-3Vjw2Cyy-mry5gbC8ypIR3YVGFfEpyFESummAta6sg/edit"", ""Sheet1!B:D""), 2, FALSE), ""Not Found"")"),"stɪŋkər")</f>
        <v>stɪŋkər</v>
      </c>
      <c r="E8300" s="2" t="str">
        <f>IFERROR(__xludf.DUMMYFUNCTION("IFERROR(VLOOKUP(A8300, IMPORTRANGE(""https://docs.google.com/spreadsheets/d/1-3Vjw2Cyy-mry5gbC8ypIR3YVGFfEpyFESummAta6sg/edit"", ""Sheet1!B:D""), 3, FALSE), ""Not Found"")"),"s t ɪ ŋ k ə r ")</f>
        <v>s t ɪ ŋ k ə r </v>
      </c>
    </row>
    <row r="8301">
      <c r="A8301" s="1" t="s">
        <v>8302</v>
      </c>
      <c r="B8301" s="1" t="s">
        <v>6138</v>
      </c>
      <c r="C8301" s="2">
        <f>IFERROR(__xludf.DUMMYFUNCTION("IFERROR(VLOOKUP(A8301, IMPORTRANGE(""https://docs.google.com/spreadsheets/d/1AVX9GT0dgogEBStecCXMMQ29tWz3gBrtNB8yIromXbY/edit?gid=741673867"", ""out1g!A:B""), 2, FALSE), 0)"),51.0)</f>
        <v>51</v>
      </c>
      <c r="D8301" s="2" t="str">
        <f>IFERROR(__xludf.DUMMYFUNCTION("IFERROR(VLOOKUP(A8301, IMPORTRANGE(""https://docs.google.com/spreadsheets/d/1-3Vjw2Cyy-mry5gbC8ypIR3YVGFfEpyFESummAta6sg/edit"", ""Sheet1!B:D""), 2, FALSE), ""Not Found"")"),"dɑtɪd")</f>
        <v>dɑtɪd</v>
      </c>
      <c r="E8301" s="2" t="str">
        <f>IFERROR(__xludf.DUMMYFUNCTION("IFERROR(VLOOKUP(A8301, IMPORTRANGE(""https://docs.google.com/spreadsheets/d/1-3Vjw2Cyy-mry5gbC8ypIR3YVGFfEpyFESummAta6sg/edit"", ""Sheet1!B:D""), 3, FALSE), ""Not Found"")"),"d ɑ t ɪ d ")</f>
        <v>d ɑ t ɪ d </v>
      </c>
    </row>
    <row r="8302">
      <c r="A8302" s="1" t="s">
        <v>8303</v>
      </c>
      <c r="B8302" s="1" t="s">
        <v>6138</v>
      </c>
      <c r="C8302" s="2">
        <f>IFERROR(__xludf.DUMMYFUNCTION("IFERROR(VLOOKUP(A8302, IMPORTRANGE(""https://docs.google.com/spreadsheets/d/1AVX9GT0dgogEBStecCXMMQ29tWz3gBrtNB8yIromXbY/edit?gid=741673867"", ""out1g!A:B""), 2, FALSE), 0)"),76.0)</f>
        <v>76</v>
      </c>
      <c r="D8302" s="2" t="str">
        <f>IFERROR(__xludf.DUMMYFUNCTION("IFERROR(VLOOKUP(A8302, IMPORTRANGE(""https://docs.google.com/spreadsheets/d/1-3Vjw2Cyy-mry5gbC8ypIR3YVGFfEpyFESummAta6sg/edit"", ""Sheet1!B:D""), 2, FALSE), ""Not Found"")"),"noʊbəlz")</f>
        <v>noʊbəlz</v>
      </c>
      <c r="E8302" s="2" t="str">
        <f>IFERROR(__xludf.DUMMYFUNCTION("IFERROR(VLOOKUP(A8302, IMPORTRANGE(""https://docs.google.com/spreadsheets/d/1-3Vjw2Cyy-mry5gbC8ypIR3YVGFfEpyFESummAta6sg/edit"", ""Sheet1!B:D""), 3, FALSE), ""Not Found"")"),"n o ʊ b ə l z ")</f>
        <v>n o ʊ b ə l z </v>
      </c>
    </row>
    <row r="8303">
      <c r="A8303" s="1" t="s">
        <v>8304</v>
      </c>
      <c r="B8303" s="1" t="s">
        <v>6138</v>
      </c>
      <c r="C8303" s="2">
        <f>IFERROR(__xludf.DUMMYFUNCTION("IFERROR(VLOOKUP(A8303, IMPORTRANGE(""https://docs.google.com/spreadsheets/d/1AVX9GT0dgogEBStecCXMMQ29tWz3gBrtNB8yIromXbY/edit?gid=741673867"", ""out1g!A:B""), 2, FALSE), 0)"),211.0)</f>
        <v>211</v>
      </c>
      <c r="D8303" s="2" t="str">
        <f>IFERROR(__xludf.DUMMYFUNCTION("IFERROR(VLOOKUP(A8303, IMPORTRANGE(""https://docs.google.com/spreadsheets/d/1-3Vjw2Cyy-mry5gbC8ypIR3YVGFfEpyFESummAta6sg/edit"", ""Sheet1!B:D""), 2, FALSE), ""Not Found"")"),"pɔrtər")</f>
        <v>pɔrtər</v>
      </c>
      <c r="E8303" s="2" t="str">
        <f>IFERROR(__xludf.DUMMYFUNCTION("IFERROR(VLOOKUP(A8303, IMPORTRANGE(""https://docs.google.com/spreadsheets/d/1-3Vjw2Cyy-mry5gbC8ypIR3YVGFfEpyFESummAta6sg/edit"", ""Sheet1!B:D""), 3, FALSE), ""Not Found"")"),"p ɔ r t ə r ")</f>
        <v>p ɔ r t ə r </v>
      </c>
    </row>
    <row r="8304">
      <c r="A8304" s="1" t="s">
        <v>8305</v>
      </c>
      <c r="B8304" s="1" t="s">
        <v>6138</v>
      </c>
      <c r="C8304" s="2">
        <f>IFERROR(__xludf.DUMMYFUNCTION("IFERROR(VLOOKUP(A8304, IMPORTRANGE(""https://docs.google.com/spreadsheets/d/1AVX9GT0dgogEBStecCXMMQ29tWz3gBrtNB8yIromXbY/edit?gid=741673867"", ""out1g!A:B""), 2, FALSE), 0)"),34812.0)</f>
        <v>34812</v>
      </c>
      <c r="D8304" s="2" t="str">
        <f>IFERROR(__xludf.DUMMYFUNCTION("IFERROR(VLOOKUP(A8304, IMPORTRANGE(""https://docs.google.com/spreadsheets/d/1-3Vjw2Cyy-mry5gbC8ypIR3YVGFfEpyFESummAta6sg/edit"", ""Sheet1!B:D""), 2, FALSE), ""Not Found"")"),"æftər")</f>
        <v>æftər</v>
      </c>
      <c r="E8304" s="2" t="str">
        <f>IFERROR(__xludf.DUMMYFUNCTION("IFERROR(VLOOKUP(A8304, IMPORTRANGE(""https://docs.google.com/spreadsheets/d/1-3Vjw2Cyy-mry5gbC8ypIR3YVGFfEpyFESummAta6sg/edit"", ""Sheet1!B:D""), 3, FALSE), ""Not Found"")"),"æ f t ə r ")</f>
        <v>æ f t ə r </v>
      </c>
    </row>
    <row r="8305">
      <c r="A8305" s="1" t="s">
        <v>8306</v>
      </c>
      <c r="B8305" s="1" t="s">
        <v>6138</v>
      </c>
      <c r="C8305" s="2">
        <f>IFERROR(__xludf.DUMMYFUNCTION("IFERROR(VLOOKUP(A8305, IMPORTRANGE(""https://docs.google.com/spreadsheets/d/1AVX9GT0dgogEBStecCXMMQ29tWz3gBrtNB8yIromXbY/edit?gid=741673867"", ""out1g!A:B""), 2, FALSE), 0)"),143.0)</f>
        <v>143</v>
      </c>
      <c r="D8305" s="2" t="str">
        <f>IFERROR(__xludf.DUMMYFUNCTION("IFERROR(VLOOKUP(A8305, IMPORTRANGE(""https://docs.google.com/spreadsheets/d/1-3Vjw2Cyy-mry5gbC8ypIR3YVGFfEpyFESummAta6sg/edit"", ""Sheet1!B:D""), 2, FALSE), ""Not Found"")"),"bɔrdərz")</f>
        <v>bɔrdərz</v>
      </c>
      <c r="E8305" s="2" t="str">
        <f>IFERROR(__xludf.DUMMYFUNCTION("IFERROR(VLOOKUP(A8305, IMPORTRANGE(""https://docs.google.com/spreadsheets/d/1-3Vjw2Cyy-mry5gbC8ypIR3YVGFfEpyFESummAta6sg/edit"", ""Sheet1!B:D""), 3, FALSE), ""Not Found"")"),"b ɔ r d ə r z ")</f>
        <v>b ɔ r d ə r z </v>
      </c>
    </row>
    <row r="8306">
      <c r="A8306" s="1" t="s">
        <v>8307</v>
      </c>
      <c r="B8306" s="1" t="s">
        <v>6138</v>
      </c>
      <c r="C8306" s="2">
        <f>IFERROR(__xludf.DUMMYFUNCTION("IFERROR(VLOOKUP(A8306, IMPORTRANGE(""https://docs.google.com/spreadsheets/d/1AVX9GT0dgogEBStecCXMMQ29tWz3gBrtNB8yIromXbY/edit?gid=741673867"", ""out1g!A:B""), 2, FALSE), 0)"),163.0)</f>
        <v>163</v>
      </c>
      <c r="D8306" s="2" t="str">
        <f>IFERROR(__xludf.DUMMYFUNCTION("IFERROR(VLOOKUP(A8306, IMPORTRANGE(""https://docs.google.com/spreadsheets/d/1-3Vjw2Cyy-mry5gbC8ypIR3YVGFfEpyFESummAta6sg/edit"", ""Sheet1!B:D""), 2, FALSE), ""Not Found"")"),"flæʃɪŋ")</f>
        <v>flæʃɪŋ</v>
      </c>
      <c r="E8306" s="2" t="str">
        <f>IFERROR(__xludf.DUMMYFUNCTION("IFERROR(VLOOKUP(A8306, IMPORTRANGE(""https://docs.google.com/spreadsheets/d/1-3Vjw2Cyy-mry5gbC8ypIR3YVGFfEpyFESummAta6sg/edit"", ""Sheet1!B:D""), 3, FALSE), ""Not Found"")"),"f l æ ʃ ɪ ŋ ")</f>
        <v>f l æ ʃ ɪ ŋ </v>
      </c>
    </row>
    <row r="8307">
      <c r="A8307" s="1" t="s">
        <v>8308</v>
      </c>
      <c r="B8307" s="1" t="s">
        <v>6138</v>
      </c>
      <c r="C8307" s="2">
        <f>IFERROR(__xludf.DUMMYFUNCTION("IFERROR(VLOOKUP(A8307, IMPORTRANGE(""https://docs.google.com/spreadsheets/d/1AVX9GT0dgogEBStecCXMMQ29tWz3gBrtNB8yIromXbY/edit?gid=741673867"", ""out1g!A:B""), 2, FALSE), 0)"),65.0)</f>
        <v>65</v>
      </c>
      <c r="D8307" s="2" t="str">
        <f>IFERROR(__xludf.DUMMYFUNCTION("IFERROR(VLOOKUP(A8307, IMPORTRANGE(""https://docs.google.com/spreadsheets/d/1-3Vjw2Cyy-mry5gbC8ypIR3YVGFfEpyFESummAta6sg/edit"", ""Sheet1!B:D""), 2, FALSE), ""Not Found"")"),"ʃɑrpər")</f>
        <v>ʃɑrpər</v>
      </c>
      <c r="E8307" s="2" t="str">
        <f>IFERROR(__xludf.DUMMYFUNCTION("IFERROR(VLOOKUP(A8307, IMPORTRANGE(""https://docs.google.com/spreadsheets/d/1-3Vjw2Cyy-mry5gbC8ypIR3YVGFfEpyFESummAta6sg/edit"", ""Sheet1!B:D""), 3, FALSE), ""Not Found"")"),"ʃ ɑ r p ə r ")</f>
        <v>ʃ ɑ r p ə r </v>
      </c>
    </row>
    <row r="8308">
      <c r="A8308" s="1" t="s">
        <v>8309</v>
      </c>
      <c r="B8308" s="1" t="s">
        <v>6138</v>
      </c>
      <c r="C8308" s="2">
        <f>IFERROR(__xludf.DUMMYFUNCTION("IFERROR(VLOOKUP(A8308, IMPORTRANGE(""https://docs.google.com/spreadsheets/d/1AVX9GT0dgogEBStecCXMMQ29tWz3gBrtNB8yIromXbY/edit?gid=741673867"", ""out1g!A:B""), 2, FALSE), 0)"),163.0)</f>
        <v>163</v>
      </c>
      <c r="D8308" s="2" t="str">
        <f>IFERROR(__xludf.DUMMYFUNCTION("IFERROR(VLOOKUP(A8308, IMPORTRANGE(""https://docs.google.com/spreadsheets/d/1-3Vjw2Cyy-mry5gbC8ypIR3YVGFfEpyFESummAta6sg/edit"", ""Sheet1!B:D""), 2, FALSE), ""Not Found"")"),"ʤɪmboʊ")</f>
        <v>ʤɪmboʊ</v>
      </c>
      <c r="E8308" s="2" t="str">
        <f>IFERROR(__xludf.DUMMYFUNCTION("IFERROR(VLOOKUP(A8308, IMPORTRANGE(""https://docs.google.com/spreadsheets/d/1-3Vjw2Cyy-mry5gbC8ypIR3YVGFfEpyFESummAta6sg/edit"", ""Sheet1!B:D""), 3, FALSE), ""Not Found"")"),"ʤ ɪ m b o ʊ ")</f>
        <v>ʤ ɪ m b o ʊ </v>
      </c>
    </row>
    <row r="8309">
      <c r="A8309" s="1" t="s">
        <v>8310</v>
      </c>
      <c r="B8309" s="1" t="s">
        <v>6138</v>
      </c>
      <c r="C8309" s="2">
        <f>IFERROR(__xludf.DUMMYFUNCTION("IFERROR(VLOOKUP(A8309, IMPORTRANGE(""https://docs.google.com/spreadsheets/d/1AVX9GT0dgogEBStecCXMMQ29tWz3gBrtNB8yIromXbY/edit?gid=741673867"", ""out1g!A:B""), 2, FALSE), 0)"),114.0)</f>
        <v>114</v>
      </c>
      <c r="D8309" s="2" t="str">
        <f>IFERROR(__xludf.DUMMYFUNCTION("IFERROR(VLOOKUP(A8309, IMPORTRANGE(""https://docs.google.com/spreadsheets/d/1-3Vjw2Cyy-mry5gbC8ypIR3YVGFfEpyFESummAta6sg/edit"", ""Sheet1!B:D""), 2, FALSE), ""Not Found"")"),"grɪld")</f>
        <v>grɪld</v>
      </c>
      <c r="E8309" s="2" t="str">
        <f>IFERROR(__xludf.DUMMYFUNCTION("IFERROR(VLOOKUP(A8309, IMPORTRANGE(""https://docs.google.com/spreadsheets/d/1-3Vjw2Cyy-mry5gbC8ypIR3YVGFfEpyFESummAta6sg/edit"", ""Sheet1!B:D""), 3, FALSE), ""Not Found"")"),"g r ɪ l d ")</f>
        <v>g r ɪ l d </v>
      </c>
    </row>
    <row r="8310">
      <c r="A8310" s="1" t="s">
        <v>8311</v>
      </c>
      <c r="B8310" s="1" t="s">
        <v>6138</v>
      </c>
      <c r="C8310" s="2">
        <f>IFERROR(__xludf.DUMMYFUNCTION("IFERROR(VLOOKUP(A8310, IMPORTRANGE(""https://docs.google.com/spreadsheets/d/1AVX9GT0dgogEBStecCXMMQ29tWz3gBrtNB8yIromXbY/edit?gid=741673867"", ""out1g!A:B""), 2, FALSE), 0)"),154.0)</f>
        <v>154</v>
      </c>
      <c r="D8310" s="2" t="str">
        <f>IFERROR(__xludf.DUMMYFUNCTION("IFERROR(VLOOKUP(A8310, IMPORTRANGE(""https://docs.google.com/spreadsheets/d/1-3Vjw2Cyy-mry5gbC8ypIR3YVGFfEpyFESummAta6sg/edit"", ""Sheet1!B:D""), 2, FALSE), ""Not Found"")"),"saɪzɪz")</f>
        <v>saɪzɪz</v>
      </c>
      <c r="E8310" s="2" t="str">
        <f>IFERROR(__xludf.DUMMYFUNCTION("IFERROR(VLOOKUP(A8310, IMPORTRANGE(""https://docs.google.com/spreadsheets/d/1-3Vjw2Cyy-mry5gbC8ypIR3YVGFfEpyFESummAta6sg/edit"", ""Sheet1!B:D""), 3, FALSE), ""Not Found"")"),"s a ɪ z ɪ z ")</f>
        <v>s a ɪ z ɪ z </v>
      </c>
    </row>
    <row r="8311">
      <c r="A8311" s="1" t="s">
        <v>8312</v>
      </c>
      <c r="B8311" s="1" t="s">
        <v>6138</v>
      </c>
      <c r="C8311" s="2">
        <f>IFERROR(__xludf.DUMMYFUNCTION("IFERROR(VLOOKUP(A8311, IMPORTRANGE(""https://docs.google.com/spreadsheets/d/1AVX9GT0dgogEBStecCXMMQ29tWz3gBrtNB8yIromXbY/edit?gid=741673867"", ""out1g!A:B""), 2, FALSE), 0)"),106.0)</f>
        <v>106</v>
      </c>
      <c r="D8311" s="2" t="str">
        <f>IFERROR(__xludf.DUMMYFUNCTION("IFERROR(VLOOKUP(A8311, IMPORTRANGE(""https://docs.google.com/spreadsheets/d/1-3Vjw2Cyy-mry5gbC8ypIR3YVGFfEpyFESummAta6sg/edit"", ""Sheet1!B:D""), 2, FALSE), ""Not Found"")"),"oʊnɪŋ")</f>
        <v>oʊnɪŋ</v>
      </c>
      <c r="E8311" s="2" t="str">
        <f>IFERROR(__xludf.DUMMYFUNCTION("IFERROR(VLOOKUP(A8311, IMPORTRANGE(""https://docs.google.com/spreadsheets/d/1-3Vjw2Cyy-mry5gbC8ypIR3YVGFfEpyFESummAta6sg/edit"", ""Sheet1!B:D""), 3, FALSE), ""Not Found"")"),"o ʊ n ɪ ŋ ")</f>
        <v>o ʊ n ɪ ŋ </v>
      </c>
    </row>
    <row r="8312">
      <c r="A8312" s="1" t="s">
        <v>8313</v>
      </c>
      <c r="B8312" s="1" t="s">
        <v>6138</v>
      </c>
      <c r="C8312" s="2">
        <f>IFERROR(__xludf.DUMMYFUNCTION("IFERROR(VLOOKUP(A8312, IMPORTRANGE(""https://docs.google.com/spreadsheets/d/1AVX9GT0dgogEBStecCXMMQ29tWz3gBrtNB8yIromXbY/edit?gid=741673867"", ""out1g!A:B""), 2, FALSE), 0)"),144.0)</f>
        <v>144</v>
      </c>
      <c r="D8312" s="2" t="str">
        <f>IFERROR(__xludf.DUMMYFUNCTION("IFERROR(VLOOKUP(A8312, IMPORTRANGE(""https://docs.google.com/spreadsheets/d/1-3Vjw2Cyy-mry5gbC8ypIR3YVGFfEpyFESummAta6sg/edit"", ""Sheet1!B:D""), 2, FALSE), ""Not Found"")"),"nɪpəl")</f>
        <v>nɪpəl</v>
      </c>
      <c r="E8312" s="2" t="str">
        <f>IFERROR(__xludf.DUMMYFUNCTION("IFERROR(VLOOKUP(A8312, IMPORTRANGE(""https://docs.google.com/spreadsheets/d/1-3Vjw2Cyy-mry5gbC8ypIR3YVGFfEpyFESummAta6sg/edit"", ""Sheet1!B:D""), 3, FALSE), ""Not Found"")"),"n ɪ p ə l ")</f>
        <v>n ɪ p ə l </v>
      </c>
    </row>
    <row r="8313">
      <c r="A8313" s="1" t="s">
        <v>8314</v>
      </c>
      <c r="B8313" s="1" t="s">
        <v>6138</v>
      </c>
      <c r="C8313" s="2">
        <f>IFERROR(__xludf.DUMMYFUNCTION("IFERROR(VLOOKUP(A8313, IMPORTRANGE(""https://docs.google.com/spreadsheets/d/1AVX9GT0dgogEBStecCXMMQ29tWz3gBrtNB8yIromXbY/edit?gid=741673867"", ""out1g!A:B""), 2, FALSE), 0)"),52.0)</f>
        <v>52</v>
      </c>
      <c r="D8313" s="2" t="str">
        <f>IFERROR(__xludf.DUMMYFUNCTION("IFERROR(VLOOKUP(A8313, IMPORTRANGE(""https://docs.google.com/spreadsheets/d/1-3Vjw2Cyy-mry5gbC8ypIR3YVGFfEpyFESummAta6sg/edit"", ""Sheet1!B:D""), 2, FALSE), ""Not Found"")"),"ʃɔrtən")</f>
        <v>ʃɔrtən</v>
      </c>
      <c r="E8313" s="2" t="str">
        <f>IFERROR(__xludf.DUMMYFUNCTION("IFERROR(VLOOKUP(A8313, IMPORTRANGE(""https://docs.google.com/spreadsheets/d/1-3Vjw2Cyy-mry5gbC8ypIR3YVGFfEpyFESummAta6sg/edit"", ""Sheet1!B:D""), 3, FALSE), ""Not Found"")"),"ʃ ɔ r t ə n ")</f>
        <v>ʃ ɔ r t ə n </v>
      </c>
    </row>
    <row r="8314">
      <c r="A8314" s="1" t="s">
        <v>8315</v>
      </c>
      <c r="B8314" s="1" t="s">
        <v>6138</v>
      </c>
      <c r="C8314" s="2">
        <f>IFERROR(__xludf.DUMMYFUNCTION("IFERROR(VLOOKUP(A8314, IMPORTRANGE(""https://docs.google.com/spreadsheets/d/1AVX9GT0dgogEBStecCXMMQ29tWz3gBrtNB8yIromXbY/edit?gid=741673867"", ""out1g!A:B""), 2, FALSE), 0)"),378.0)</f>
        <v>378</v>
      </c>
      <c r="D8314" s="2" t="str">
        <f>IFERROR(__xludf.DUMMYFUNCTION("IFERROR(VLOOKUP(A8314, IMPORTRANGE(""https://docs.google.com/spreadsheets/d/1-3Vjw2Cyy-mry5gbC8ypIR3YVGFfEpyFESummAta6sg/edit"", ""Sheet1!B:D""), 2, FALSE), ""Not Found"")"),"ælɪsən")</f>
        <v>ælɪsən</v>
      </c>
      <c r="E8314" s="2" t="str">
        <f>IFERROR(__xludf.DUMMYFUNCTION("IFERROR(VLOOKUP(A8314, IMPORTRANGE(""https://docs.google.com/spreadsheets/d/1-3Vjw2Cyy-mry5gbC8ypIR3YVGFfEpyFESummAta6sg/edit"", ""Sheet1!B:D""), 3, FALSE), ""Not Found"")"),"æ l ɪ s ə n ")</f>
        <v>æ l ɪ s ə n </v>
      </c>
    </row>
    <row r="8315">
      <c r="A8315" s="1" t="s">
        <v>8316</v>
      </c>
      <c r="B8315" s="1" t="s">
        <v>6138</v>
      </c>
      <c r="C8315" s="2">
        <f>IFERROR(__xludf.DUMMYFUNCTION("IFERROR(VLOOKUP(A8315, IMPORTRANGE(""https://docs.google.com/spreadsheets/d/1AVX9GT0dgogEBStecCXMMQ29tWz3gBrtNB8yIromXbY/edit?gid=741673867"", ""out1g!A:B""), 2, FALSE), 0)"),62.0)</f>
        <v>62</v>
      </c>
      <c r="D8315" s="2" t="str">
        <f>IFERROR(__xludf.DUMMYFUNCTION("IFERROR(VLOOKUP(A8315, IMPORTRANGE(""https://docs.google.com/spreadsheets/d/1-3Vjw2Cyy-mry5gbC8ypIR3YVGFfEpyFESummAta6sg/edit"", ""Sheet1!B:D""), 2, FALSE), ""Not Found"")"),"ɪnfɛkt")</f>
        <v>ɪnfɛkt</v>
      </c>
      <c r="E8315" s="2" t="str">
        <f>IFERROR(__xludf.DUMMYFUNCTION("IFERROR(VLOOKUP(A8315, IMPORTRANGE(""https://docs.google.com/spreadsheets/d/1-3Vjw2Cyy-mry5gbC8ypIR3YVGFfEpyFESummAta6sg/edit"", ""Sheet1!B:D""), 3, FALSE), ""Not Found"")"),"ɪ n f ɛ k t ")</f>
        <v>ɪ n f ɛ k t </v>
      </c>
    </row>
    <row r="8316">
      <c r="A8316" s="1" t="s">
        <v>8317</v>
      </c>
      <c r="B8316" s="1" t="s">
        <v>6138</v>
      </c>
      <c r="C8316" s="2">
        <f>IFERROR(__xludf.DUMMYFUNCTION("IFERROR(VLOOKUP(A8316, IMPORTRANGE(""https://docs.google.com/spreadsheets/d/1AVX9GT0dgogEBStecCXMMQ29tWz3gBrtNB8yIromXbY/edit?gid=741673867"", ""out1g!A:B""), 2, FALSE), 0)"),5061.0)</f>
        <v>5061</v>
      </c>
      <c r="D8316" s="2" t="str">
        <f>IFERROR(__xludf.DUMMYFUNCTION("IFERROR(VLOOKUP(A8316, IMPORTRANGE(""https://docs.google.com/spreadsheets/d/1-3Vjw2Cyy-mry5gbC8ypIR3YVGFfEpyFESummAta6sg/edit"", ""Sheet1!B:D""), 2, FALSE), ""Not Found"")"),"əðərz")</f>
        <v>əðərz</v>
      </c>
      <c r="E8316" s="2" t="str">
        <f>IFERROR(__xludf.DUMMYFUNCTION("IFERROR(VLOOKUP(A8316, IMPORTRANGE(""https://docs.google.com/spreadsheets/d/1-3Vjw2Cyy-mry5gbC8ypIR3YVGFfEpyFESummAta6sg/edit"", ""Sheet1!B:D""), 3, FALSE), ""Not Found"")"),"ə ð ə r z ")</f>
        <v>ə ð ə r z </v>
      </c>
    </row>
    <row r="8317">
      <c r="A8317" s="1" t="s">
        <v>8318</v>
      </c>
      <c r="B8317" s="1" t="s">
        <v>6138</v>
      </c>
      <c r="C8317" s="2">
        <f>IFERROR(__xludf.DUMMYFUNCTION("IFERROR(VLOOKUP(A8317, IMPORTRANGE(""https://docs.google.com/spreadsheets/d/1AVX9GT0dgogEBStecCXMMQ29tWz3gBrtNB8yIromXbY/edit?gid=741673867"", ""out1g!A:B""), 2, FALSE), 0)"),153.0)</f>
        <v>153</v>
      </c>
      <c r="D8317" s="2" t="str">
        <f>IFERROR(__xludf.DUMMYFUNCTION("IFERROR(VLOOKUP(A8317, IMPORTRANGE(""https://docs.google.com/spreadsheets/d/1-3Vjw2Cyy-mry5gbC8ypIR3YVGFfEpyFESummAta6sg/edit"", ""Sheet1!B:D""), 2, FALSE), ""Not Found"")"),"ɑrsən")</f>
        <v>ɑrsən</v>
      </c>
      <c r="E8317" s="2" t="str">
        <f>IFERROR(__xludf.DUMMYFUNCTION("IFERROR(VLOOKUP(A8317, IMPORTRANGE(""https://docs.google.com/spreadsheets/d/1-3Vjw2Cyy-mry5gbC8ypIR3YVGFfEpyFESummAta6sg/edit"", ""Sheet1!B:D""), 3, FALSE), ""Not Found"")"),"ɑ r s ə n ")</f>
        <v>ɑ r s ə n </v>
      </c>
    </row>
    <row r="8318">
      <c r="A8318" s="1" t="s">
        <v>8319</v>
      </c>
      <c r="B8318" s="1" t="s">
        <v>6138</v>
      </c>
      <c r="C8318" s="2">
        <f>IFERROR(__xludf.DUMMYFUNCTION("IFERROR(VLOOKUP(A8318, IMPORTRANGE(""https://docs.google.com/spreadsheets/d/1AVX9GT0dgogEBStecCXMMQ29tWz3gBrtNB8yIromXbY/edit?gid=741673867"", ""out1g!A:B""), 2, FALSE), 0)"),243.0)</f>
        <v>243</v>
      </c>
      <c r="D8318" s="2" t="str">
        <f>IFERROR(__xludf.DUMMYFUNCTION("IFERROR(VLOOKUP(A8318, IMPORTRANGE(""https://docs.google.com/spreadsheets/d/1-3Vjw2Cyy-mry5gbC8ypIR3YVGFfEpyFESummAta6sg/edit"", ""Sheet1!B:D""), 2, FALSE), ""Not Found"")"),"bæŋkər")</f>
        <v>bæŋkər</v>
      </c>
      <c r="E8318" s="2" t="str">
        <f>IFERROR(__xludf.DUMMYFUNCTION("IFERROR(VLOOKUP(A8318, IMPORTRANGE(""https://docs.google.com/spreadsheets/d/1-3Vjw2Cyy-mry5gbC8ypIR3YVGFfEpyFESummAta6sg/edit"", ""Sheet1!B:D""), 3, FALSE), ""Not Found"")"),"b æ ŋ k ə r ")</f>
        <v>b æ ŋ k ə r </v>
      </c>
    </row>
    <row r="8319">
      <c r="A8319" s="1" t="s">
        <v>8320</v>
      </c>
      <c r="B8319" s="1" t="s">
        <v>6138</v>
      </c>
      <c r="C8319" s="2">
        <f>IFERROR(__xludf.DUMMYFUNCTION("IFERROR(VLOOKUP(A8319, IMPORTRANGE(""https://docs.google.com/spreadsheets/d/1AVX9GT0dgogEBStecCXMMQ29tWz3gBrtNB8yIromXbY/edit?gid=741673867"", ""out1g!A:B""), 2, FALSE), 0)"),8986.0)</f>
        <v>8986</v>
      </c>
      <c r="D8319" s="2" t="str">
        <f>IFERROR(__xludf.DUMMYFUNCTION("IFERROR(VLOOKUP(A8319, IMPORTRANGE(""https://docs.google.com/spreadsheets/d/1-3Vjw2Cyy-mry5gbC8ypIR3YVGFfEpyFESummAta6sg/edit"", ""Sheet1!B:D""), 2, FALSE), ""Not Found"")"),"ænsər")</f>
        <v>ænsər</v>
      </c>
      <c r="E8319" s="2" t="str">
        <f>IFERROR(__xludf.DUMMYFUNCTION("IFERROR(VLOOKUP(A8319, IMPORTRANGE(""https://docs.google.com/spreadsheets/d/1-3Vjw2Cyy-mry5gbC8ypIR3YVGFfEpyFESummAta6sg/edit"", ""Sheet1!B:D""), 3, FALSE), ""Not Found"")"),"æ n s ə r ")</f>
        <v>æ n s ə r </v>
      </c>
    </row>
    <row r="8320">
      <c r="A8320" s="1" t="s">
        <v>8321</v>
      </c>
      <c r="B8320" s="1" t="s">
        <v>6138</v>
      </c>
      <c r="C8320" s="2">
        <f>IFERROR(__xludf.DUMMYFUNCTION("IFERROR(VLOOKUP(A8320, IMPORTRANGE(""https://docs.google.com/spreadsheets/d/1AVX9GT0dgogEBStecCXMMQ29tWz3gBrtNB8yIromXbY/edit?gid=741673867"", ""out1g!A:B""), 2, FALSE), 0)"),21.0)</f>
        <v>21</v>
      </c>
      <c r="D8320" s="2" t="str">
        <f>IFERROR(__xludf.DUMMYFUNCTION("IFERROR(VLOOKUP(A8320, IMPORTRANGE(""https://docs.google.com/spreadsheets/d/1-3Vjw2Cyy-mry5gbC8ypIR3YVGFfEpyFESummAta6sg/edit"", ""Sheet1!B:D""), 2, FALSE), ""Not Found"")"),"rɪgəl")</f>
        <v>rɪgəl</v>
      </c>
      <c r="E8320" s="2" t="str">
        <f>IFERROR(__xludf.DUMMYFUNCTION("IFERROR(VLOOKUP(A8320, IMPORTRANGE(""https://docs.google.com/spreadsheets/d/1-3Vjw2Cyy-mry5gbC8ypIR3YVGFfEpyFESummAta6sg/edit"", ""Sheet1!B:D""), 3, FALSE), ""Not Found"")"),"r ɪ g ə l ")</f>
        <v>r ɪ g ə l </v>
      </c>
    </row>
    <row r="8321">
      <c r="A8321" s="1" t="s">
        <v>8322</v>
      </c>
      <c r="B8321" s="1" t="s">
        <v>6138</v>
      </c>
      <c r="C8321" s="2">
        <f>IFERROR(__xludf.DUMMYFUNCTION("IFERROR(VLOOKUP(A8321, IMPORTRANGE(""https://docs.google.com/spreadsheets/d/1AVX9GT0dgogEBStecCXMMQ29tWz3gBrtNB8yIromXbY/edit?gid=741673867"", ""out1g!A:B""), 2, FALSE), 0)"),5894.0)</f>
        <v>5894</v>
      </c>
      <c r="D8321" s="2" t="str">
        <f>IFERROR(__xludf.DUMMYFUNCTION("IFERROR(VLOOKUP(A8321, IMPORTRANGE(""https://docs.google.com/spreadsheets/d/1-3Vjw2Cyy-mry5gbC8ypIR3YVGFfEpyFESummAta6sg/edit"", ""Sheet1!B:D""), 2, FALSE), ""Not Found"")"),"bɪkəm")</f>
        <v>bɪkəm</v>
      </c>
      <c r="E8321" s="2" t="str">
        <f>IFERROR(__xludf.DUMMYFUNCTION("IFERROR(VLOOKUP(A8321, IMPORTRANGE(""https://docs.google.com/spreadsheets/d/1-3Vjw2Cyy-mry5gbC8ypIR3YVGFfEpyFESummAta6sg/edit"", ""Sheet1!B:D""), 3, FALSE), ""Not Found"")"),"b ɪ k ə m ")</f>
        <v>b ɪ k ə m </v>
      </c>
    </row>
    <row r="8322">
      <c r="A8322" s="1" t="s">
        <v>8323</v>
      </c>
      <c r="B8322" s="1" t="s">
        <v>6138</v>
      </c>
      <c r="C8322" s="2">
        <f>IFERROR(__xludf.DUMMYFUNCTION("IFERROR(VLOOKUP(A8322, IMPORTRANGE(""https://docs.google.com/spreadsheets/d/1AVX9GT0dgogEBStecCXMMQ29tWz3gBrtNB8yIromXbY/edit?gid=741673867"", ""out1g!A:B""), 2, FALSE), 0)"),47.0)</f>
        <v>47</v>
      </c>
      <c r="D8322" s="2" t="str">
        <f>IFERROR(__xludf.DUMMYFUNCTION("IFERROR(VLOOKUP(A8322, IMPORTRANGE(""https://docs.google.com/spreadsheets/d/1-3Vjw2Cyy-mry5gbC8ypIR3YVGFfEpyFESummAta6sg/edit"", ""Sheet1!B:D""), 2, FALSE), ""Not Found"")"),"rirən")</f>
        <v>rirən</v>
      </c>
      <c r="E8322" s="2" t="str">
        <f>IFERROR(__xludf.DUMMYFUNCTION("IFERROR(VLOOKUP(A8322, IMPORTRANGE(""https://docs.google.com/spreadsheets/d/1-3Vjw2Cyy-mry5gbC8ypIR3YVGFfEpyFESummAta6sg/edit"", ""Sheet1!B:D""), 3, FALSE), ""Not Found"")"),"r i r ə n ")</f>
        <v>r i r ə n </v>
      </c>
    </row>
    <row r="8323">
      <c r="A8323" s="1" t="s">
        <v>8324</v>
      </c>
      <c r="B8323" s="1" t="s">
        <v>6138</v>
      </c>
      <c r="C8323" s="2">
        <f>IFERROR(__xludf.DUMMYFUNCTION("IFERROR(VLOOKUP(A8323, IMPORTRANGE(""https://docs.google.com/spreadsheets/d/1AVX9GT0dgogEBStecCXMMQ29tWz3gBrtNB8yIromXbY/edit?gid=741673867"", ""out1g!A:B""), 2, FALSE), 0)"),129.0)</f>
        <v>129</v>
      </c>
      <c r="D8323" s="2" t="str">
        <f>IFERROR(__xludf.DUMMYFUNCTION("IFERROR(VLOOKUP(A8323, IMPORTRANGE(""https://docs.google.com/spreadsheets/d/1-3Vjw2Cyy-mry5gbC8ypIR3YVGFfEpyFESummAta6sg/edit"", ""Sheet1!B:D""), 2, FALSE), ""Not Found"")"),"ɛriəl")</f>
        <v>ɛriəl</v>
      </c>
      <c r="E8323" s="2" t="str">
        <f>IFERROR(__xludf.DUMMYFUNCTION("IFERROR(VLOOKUP(A8323, IMPORTRANGE(""https://docs.google.com/spreadsheets/d/1-3Vjw2Cyy-mry5gbC8ypIR3YVGFfEpyFESummAta6sg/edit"", ""Sheet1!B:D""), 3, FALSE), ""Not Found"")"),"ɛ r i ə l ")</f>
        <v>ɛ r i ə l </v>
      </c>
    </row>
    <row r="8324">
      <c r="A8324" s="1" t="s">
        <v>8325</v>
      </c>
      <c r="B8324" s="1" t="s">
        <v>6138</v>
      </c>
      <c r="C8324" s="2">
        <f>IFERROR(__xludf.DUMMYFUNCTION("IFERROR(VLOOKUP(A8324, IMPORTRANGE(""https://docs.google.com/spreadsheets/d/1AVX9GT0dgogEBStecCXMMQ29tWz3gBrtNB8yIromXbY/edit?gid=741673867"", ""out1g!A:B""), 2, FALSE), 0)"),209.0)</f>
        <v>209</v>
      </c>
      <c r="D8324" s="2" t="str">
        <f>IFERROR(__xludf.DUMMYFUNCTION("IFERROR(VLOOKUP(A8324, IMPORTRANGE(""https://docs.google.com/spreadsheets/d/1-3Vjw2Cyy-mry5gbC8ypIR3YVGFfEpyFESummAta6sg/edit"", ""Sheet1!B:D""), 2, FALSE), ""Not Found"")"),"fɛrɪs")</f>
        <v>fɛrɪs</v>
      </c>
      <c r="E8324" s="2" t="str">
        <f>IFERROR(__xludf.DUMMYFUNCTION("IFERROR(VLOOKUP(A8324, IMPORTRANGE(""https://docs.google.com/spreadsheets/d/1-3Vjw2Cyy-mry5gbC8ypIR3YVGFfEpyFESummAta6sg/edit"", ""Sheet1!B:D""), 3, FALSE), ""Not Found"")"),"f ɛ r ɪ s ")</f>
        <v>f ɛ r ɪ s </v>
      </c>
    </row>
    <row r="8325">
      <c r="A8325" s="1" t="s">
        <v>8326</v>
      </c>
      <c r="B8325" s="1" t="s">
        <v>6138</v>
      </c>
      <c r="C8325" s="2">
        <f>IFERROR(__xludf.DUMMYFUNCTION("IFERROR(VLOOKUP(A8325, IMPORTRANGE(""https://docs.google.com/spreadsheets/d/1AVX9GT0dgogEBStecCXMMQ29tWz3gBrtNB8yIromXbY/edit?gid=741673867"", ""out1g!A:B""), 2, FALSE), 0)"),2938.0)</f>
        <v>2938</v>
      </c>
      <c r="D8325" s="2" t="str">
        <f>IFERROR(__xludf.DUMMYFUNCTION("IFERROR(VLOOKUP(A8325, IMPORTRANGE(""https://docs.google.com/spreadsheets/d/1-3Vjw2Cyy-mry5gbC8ypIR3YVGFfEpyFESummAta6sg/edit"", ""Sheet1!B:D""), 2, FALSE), ""Not Found"")"),"filɪŋz")</f>
        <v>filɪŋz</v>
      </c>
      <c r="E8325" s="2" t="str">
        <f>IFERROR(__xludf.DUMMYFUNCTION("IFERROR(VLOOKUP(A8325, IMPORTRANGE(""https://docs.google.com/spreadsheets/d/1-3Vjw2Cyy-mry5gbC8ypIR3YVGFfEpyFESummAta6sg/edit"", ""Sheet1!B:D""), 3, FALSE), ""Not Found"")"),"f i l ɪ ŋ z ")</f>
        <v>f i l ɪ ŋ z </v>
      </c>
    </row>
    <row r="8326">
      <c r="A8326" s="1" t="s">
        <v>8327</v>
      </c>
      <c r="B8326" s="1" t="s">
        <v>6138</v>
      </c>
      <c r="C8326" s="2">
        <f>IFERROR(__xludf.DUMMYFUNCTION("IFERROR(VLOOKUP(A8326, IMPORTRANGE(""https://docs.google.com/spreadsheets/d/1AVX9GT0dgogEBStecCXMMQ29tWz3gBrtNB8yIromXbY/edit?gid=741673867"", ""out1g!A:B""), 2, FALSE), 0)"),49.0)</f>
        <v>49</v>
      </c>
      <c r="D8326" s="2" t="str">
        <f>IFERROR(__xludf.DUMMYFUNCTION("IFERROR(VLOOKUP(A8326, IMPORTRANGE(""https://docs.google.com/spreadsheets/d/1-3Vjw2Cyy-mry5gbC8ypIR3YVGFfEpyFESummAta6sg/edit"", ""Sheet1!B:D""), 2, FALSE), ""Not Found"")"),"kæʃɪŋ")</f>
        <v>kæʃɪŋ</v>
      </c>
      <c r="E8326" s="2" t="str">
        <f>IFERROR(__xludf.DUMMYFUNCTION("IFERROR(VLOOKUP(A8326, IMPORTRANGE(""https://docs.google.com/spreadsheets/d/1-3Vjw2Cyy-mry5gbC8ypIR3YVGFfEpyFESummAta6sg/edit"", ""Sheet1!B:D""), 3, FALSE), ""Not Found"")"),"k æ ʃ ɪ ŋ ")</f>
        <v>k æ ʃ ɪ ŋ </v>
      </c>
    </row>
    <row r="8327">
      <c r="A8327" s="1" t="s">
        <v>8328</v>
      </c>
      <c r="B8327" s="1" t="s">
        <v>6138</v>
      </c>
      <c r="C8327" s="2">
        <f>IFERROR(__xludf.DUMMYFUNCTION("IFERROR(VLOOKUP(A8327, IMPORTRANGE(""https://docs.google.com/spreadsheets/d/1AVX9GT0dgogEBStecCXMMQ29tWz3gBrtNB8yIromXbY/edit?gid=741673867"", ""out1g!A:B""), 2, FALSE), 0)"),82.0)</f>
        <v>82</v>
      </c>
      <c r="D8327" s="2" t="str">
        <f>IFERROR(__xludf.DUMMYFUNCTION("IFERROR(VLOOKUP(A8327, IMPORTRANGE(""https://docs.google.com/spreadsheets/d/1-3Vjw2Cyy-mry5gbC8ypIR3YVGFfEpyFESummAta6sg/edit"", ""Sheet1!B:D""), 2, FALSE), ""Not Found"")"),"swɪʃ")</f>
        <v>swɪʃ</v>
      </c>
      <c r="E8327" s="2" t="str">
        <f>IFERROR(__xludf.DUMMYFUNCTION("IFERROR(VLOOKUP(A8327, IMPORTRANGE(""https://docs.google.com/spreadsheets/d/1-3Vjw2Cyy-mry5gbC8ypIR3YVGFfEpyFESummAta6sg/edit"", ""Sheet1!B:D""), 3, FALSE), ""Not Found"")"),"s w ɪ ʃ ")</f>
        <v>s w ɪ ʃ </v>
      </c>
    </row>
    <row r="8328">
      <c r="A8328" s="1" t="s">
        <v>8329</v>
      </c>
      <c r="B8328" s="1" t="s">
        <v>6138</v>
      </c>
      <c r="C8328" s="2">
        <f>IFERROR(__xludf.DUMMYFUNCTION("IFERROR(VLOOKUP(A8328, IMPORTRANGE(""https://docs.google.com/spreadsheets/d/1AVX9GT0dgogEBStecCXMMQ29tWz3gBrtNB8yIromXbY/edit?gid=741673867"", ""out1g!A:B""), 2, FALSE), 0)"),149.0)</f>
        <v>149</v>
      </c>
      <c r="D8328" s="2" t="str">
        <f>IFERROR(__xludf.DUMMYFUNCTION("IFERROR(VLOOKUP(A8328, IMPORTRANGE(""https://docs.google.com/spreadsheets/d/1-3Vjw2Cyy-mry5gbC8ypIR3YVGFfEpyFESummAta6sg/edit"", ""Sheet1!B:D""), 2, FALSE), ""Not Found"")"),"flɪpɪŋ")</f>
        <v>flɪpɪŋ</v>
      </c>
      <c r="E8328" s="2" t="str">
        <f>IFERROR(__xludf.DUMMYFUNCTION("IFERROR(VLOOKUP(A8328, IMPORTRANGE(""https://docs.google.com/spreadsheets/d/1-3Vjw2Cyy-mry5gbC8ypIR3YVGFfEpyFESummAta6sg/edit"", ""Sheet1!B:D""), 3, FALSE), ""Not Found"")"),"f l ɪ p ɪ ŋ ")</f>
        <v>f l ɪ p ɪ ŋ </v>
      </c>
    </row>
    <row r="8329">
      <c r="A8329" s="1" t="s">
        <v>8330</v>
      </c>
      <c r="B8329" s="1" t="s">
        <v>6138</v>
      </c>
      <c r="C8329" s="2">
        <f>IFERROR(__xludf.DUMMYFUNCTION("IFERROR(VLOOKUP(A8329, IMPORTRANGE(""https://docs.google.com/spreadsheets/d/1AVX9GT0dgogEBStecCXMMQ29tWz3gBrtNB8yIromXbY/edit?gid=741673867"", ""out1g!A:B""), 2, FALSE), 0)"),3159.0)</f>
        <v>3159</v>
      </c>
      <c r="D8329" s="2" t="str">
        <f>IFERROR(__xludf.DUMMYFUNCTION("IFERROR(VLOOKUP(A8329, IMPORTRANGE(""https://docs.google.com/spreadsheets/d/1-3Vjw2Cyy-mry5gbC8ypIR3YVGFfEpyFESummAta6sg/edit"", ""Sheet1!B:D""), 2, FALSE), ""Not Found"")"),"faɪərd")</f>
        <v>faɪərd</v>
      </c>
      <c r="E8329" s="2" t="str">
        <f>IFERROR(__xludf.DUMMYFUNCTION("IFERROR(VLOOKUP(A8329, IMPORTRANGE(""https://docs.google.com/spreadsheets/d/1-3Vjw2Cyy-mry5gbC8ypIR3YVGFfEpyFESummAta6sg/edit"", ""Sheet1!B:D""), 3, FALSE), ""Not Found"")"),"f a ɪ ə r d ")</f>
        <v>f a ɪ ə r d </v>
      </c>
    </row>
    <row r="8330">
      <c r="A8330" s="1" t="s">
        <v>8331</v>
      </c>
      <c r="B8330" s="1" t="s">
        <v>6138</v>
      </c>
      <c r="C8330" s="2">
        <f>IFERROR(__xludf.DUMMYFUNCTION("IFERROR(VLOOKUP(A8330, IMPORTRANGE(""https://docs.google.com/spreadsheets/d/1AVX9GT0dgogEBStecCXMMQ29tWz3gBrtNB8yIromXbY/edit?gid=741673867"", ""out1g!A:B""), 2, FALSE), 0)"),121.0)</f>
        <v>121</v>
      </c>
      <c r="D8330" s="2" t="str">
        <f>IFERROR(__xludf.DUMMYFUNCTION("IFERROR(VLOOKUP(A8330, IMPORTRANGE(""https://docs.google.com/spreadsheets/d/1-3Vjw2Cyy-mry5gbC8ypIR3YVGFfEpyFESummAta6sg/edit"", ""Sheet1!B:D""), 2, FALSE), ""Not Found"")"),"lɪmboʊ")</f>
        <v>lɪmboʊ</v>
      </c>
      <c r="E8330" s="2" t="str">
        <f>IFERROR(__xludf.DUMMYFUNCTION("IFERROR(VLOOKUP(A8330, IMPORTRANGE(""https://docs.google.com/spreadsheets/d/1-3Vjw2Cyy-mry5gbC8ypIR3YVGFfEpyFESummAta6sg/edit"", ""Sheet1!B:D""), 3, FALSE), ""Not Found"")"),"l ɪ m b o ʊ ")</f>
        <v>l ɪ m b o ʊ </v>
      </c>
    </row>
    <row r="8331">
      <c r="A8331" s="1" t="s">
        <v>8332</v>
      </c>
      <c r="B8331" s="1" t="s">
        <v>6138</v>
      </c>
      <c r="C8331" s="2">
        <f>IFERROR(__xludf.DUMMYFUNCTION("IFERROR(VLOOKUP(A8331, IMPORTRANGE(""https://docs.google.com/spreadsheets/d/1AVX9GT0dgogEBStecCXMMQ29tWz3gBrtNB8yIromXbY/edit?gid=741673867"", ""out1g!A:B""), 2, FALSE), 0)"),100.0)</f>
        <v>100</v>
      </c>
      <c r="D8331" s="2" t="str">
        <f>IFERROR(__xludf.DUMMYFUNCTION("IFERROR(VLOOKUP(A8331, IMPORTRANGE(""https://docs.google.com/spreadsheets/d/1-3Vjw2Cyy-mry5gbC8ypIR3YVGFfEpyFESummAta6sg/edit"", ""Sheet1!B:D""), 2, FALSE), ""Not Found"")"),"klinəp")</f>
        <v>klinəp</v>
      </c>
      <c r="E8331" s="2" t="str">
        <f>IFERROR(__xludf.DUMMYFUNCTION("IFERROR(VLOOKUP(A8331, IMPORTRANGE(""https://docs.google.com/spreadsheets/d/1-3Vjw2Cyy-mry5gbC8ypIR3YVGFfEpyFESummAta6sg/edit"", ""Sheet1!B:D""), 3, FALSE), ""Not Found"")"),"k l i n ə p ")</f>
        <v>k l i n ə p </v>
      </c>
    </row>
    <row r="8332">
      <c r="A8332" s="1" t="s">
        <v>8333</v>
      </c>
      <c r="B8332" s="1" t="s">
        <v>6138</v>
      </c>
      <c r="C8332" s="2">
        <f>IFERROR(__xludf.DUMMYFUNCTION("IFERROR(VLOOKUP(A8332, IMPORTRANGE(""https://docs.google.com/spreadsheets/d/1AVX9GT0dgogEBStecCXMMQ29tWz3gBrtNB8yIromXbY/edit?gid=741673867"", ""out1g!A:B""), 2, FALSE), 0)"),88.0)</f>
        <v>88</v>
      </c>
      <c r="D8332" s="2" t="str">
        <f>IFERROR(__xludf.DUMMYFUNCTION("IFERROR(VLOOKUP(A8332, IMPORTRANGE(""https://docs.google.com/spreadsheets/d/1-3Vjw2Cyy-mry5gbC8ypIR3YVGFfEpyFESummAta6sg/edit"", ""Sheet1!B:D""), 2, FALSE), ""Not Found"")"),"fraɪər")</f>
        <v>fraɪər</v>
      </c>
      <c r="E8332" s="2" t="str">
        <f>IFERROR(__xludf.DUMMYFUNCTION("IFERROR(VLOOKUP(A8332, IMPORTRANGE(""https://docs.google.com/spreadsheets/d/1-3Vjw2Cyy-mry5gbC8ypIR3YVGFfEpyFESummAta6sg/edit"", ""Sheet1!B:D""), 3, FALSE), ""Not Found"")"),"f r a ɪ ə r ")</f>
        <v>f r a ɪ ə r </v>
      </c>
    </row>
    <row r="8333">
      <c r="A8333" s="1" t="s">
        <v>8334</v>
      </c>
      <c r="B8333" s="1" t="s">
        <v>6138</v>
      </c>
      <c r="C8333" s="2">
        <f>IFERROR(__xludf.DUMMYFUNCTION("IFERROR(VLOOKUP(A8333, IMPORTRANGE(""https://docs.google.com/spreadsheets/d/1AVX9GT0dgogEBStecCXMMQ29tWz3gBrtNB8yIromXbY/edit?gid=741673867"", ""out1g!A:B""), 2, FALSE), 0)"),150.0)</f>
        <v>150</v>
      </c>
      <c r="D8333" s="2" t="str">
        <f>IFERROR(__xludf.DUMMYFUNCTION("IFERROR(VLOOKUP(A8333, IMPORTRANGE(""https://docs.google.com/spreadsheets/d/1-3Vjw2Cyy-mry5gbC8ypIR3YVGFfEpyFESummAta6sg/edit"", ""Sheet1!B:D""), 2, FALSE), ""Not Found"")"),"daʊtɪd")</f>
        <v>daʊtɪd</v>
      </c>
      <c r="E8333" s="2" t="str">
        <f>IFERROR(__xludf.DUMMYFUNCTION("IFERROR(VLOOKUP(A8333, IMPORTRANGE(""https://docs.google.com/spreadsheets/d/1-3Vjw2Cyy-mry5gbC8ypIR3YVGFfEpyFESummAta6sg/edit"", ""Sheet1!B:D""), 3, FALSE), ""Not Found"")"),"d a ʊ t ɪ d ")</f>
        <v>d a ʊ t ɪ d </v>
      </c>
    </row>
    <row r="8334">
      <c r="A8334" s="1" t="s">
        <v>8335</v>
      </c>
      <c r="B8334" s="1" t="s">
        <v>6138</v>
      </c>
      <c r="C8334" s="2">
        <f>IFERROR(__xludf.DUMMYFUNCTION("IFERROR(VLOOKUP(A8334, IMPORTRANGE(""https://docs.google.com/spreadsheets/d/1AVX9GT0dgogEBStecCXMMQ29tWz3gBrtNB8yIromXbY/edit?gid=741673867"", ""out1g!A:B""), 2, FALSE), 0)"),70.0)</f>
        <v>70</v>
      </c>
      <c r="D8334" s="2" t="str">
        <f>IFERROR(__xludf.DUMMYFUNCTION("IFERROR(VLOOKUP(A8334, IMPORTRANGE(""https://docs.google.com/spreadsheets/d/1-3Vjw2Cyy-mry5gbC8ypIR3YVGFfEpyFESummAta6sg/edit"", ""Sheet1!B:D""), 2, FALSE), ""Not Found"")"),"bəbəli")</f>
        <v>bəbəli</v>
      </c>
      <c r="E8334" s="2" t="str">
        <f>IFERROR(__xludf.DUMMYFUNCTION("IFERROR(VLOOKUP(A8334, IMPORTRANGE(""https://docs.google.com/spreadsheets/d/1-3Vjw2Cyy-mry5gbC8ypIR3YVGFfEpyFESummAta6sg/edit"", ""Sheet1!B:D""), 3, FALSE), ""Not Found"")"),"b ə b ə l i ")</f>
        <v>b ə b ə l i </v>
      </c>
    </row>
    <row r="8335">
      <c r="A8335" s="1" t="s">
        <v>8336</v>
      </c>
      <c r="B8335" s="1" t="s">
        <v>6138</v>
      </c>
      <c r="C8335" s="2">
        <f>IFERROR(__xludf.DUMMYFUNCTION("IFERROR(VLOOKUP(A8335, IMPORTRANGE(""https://docs.google.com/spreadsheets/d/1AVX9GT0dgogEBStecCXMMQ29tWz3gBrtNB8yIromXbY/edit?gid=741673867"", ""out1g!A:B""), 2, FALSE), 0)"),171.0)</f>
        <v>171</v>
      </c>
      <c r="D8335" s="2" t="str">
        <f>IFERROR(__xludf.DUMMYFUNCTION("IFERROR(VLOOKUP(A8335, IMPORTRANGE(""https://docs.google.com/spreadsheets/d/1-3Vjw2Cyy-mry5gbC8ypIR3YVGFfEpyFESummAta6sg/edit"", ""Sheet1!B:D""), 2, FALSE), ""Not Found"")"),"ridərz")</f>
        <v>ridərz</v>
      </c>
      <c r="E8335" s="2" t="str">
        <f>IFERROR(__xludf.DUMMYFUNCTION("IFERROR(VLOOKUP(A8335, IMPORTRANGE(""https://docs.google.com/spreadsheets/d/1-3Vjw2Cyy-mry5gbC8ypIR3YVGFfEpyFESummAta6sg/edit"", ""Sheet1!B:D""), 3, FALSE), ""Not Found"")"),"r i d ə r z ")</f>
        <v>r i d ə r z </v>
      </c>
    </row>
    <row r="8336">
      <c r="A8336" s="1" t="s">
        <v>8337</v>
      </c>
      <c r="B8336" s="1" t="s">
        <v>6138</v>
      </c>
      <c r="C8336" s="2">
        <f>IFERROR(__xludf.DUMMYFUNCTION("IFERROR(VLOOKUP(A8336, IMPORTRANGE(""https://docs.google.com/spreadsheets/d/1AVX9GT0dgogEBStecCXMMQ29tWz3gBrtNB8yIromXbY/edit?gid=741673867"", ""out1g!A:B""), 2, FALSE), 0)"),74.0)</f>
        <v>74</v>
      </c>
      <c r="D8336" s="2" t="str">
        <f>IFERROR(__xludf.DUMMYFUNCTION("IFERROR(VLOOKUP(A8336, IMPORTRANGE(""https://docs.google.com/spreadsheets/d/1-3Vjw2Cyy-mry5gbC8ypIR3YVGFfEpyFESummAta6sg/edit"", ""Sheet1!B:D""), 2, FALSE), ""Not Found"")"),"klɛnz")</f>
        <v>klɛnz</v>
      </c>
      <c r="E8336" s="2" t="str">
        <f>IFERROR(__xludf.DUMMYFUNCTION("IFERROR(VLOOKUP(A8336, IMPORTRANGE(""https://docs.google.com/spreadsheets/d/1-3Vjw2Cyy-mry5gbC8ypIR3YVGFfEpyFESummAta6sg/edit"", ""Sheet1!B:D""), 3, FALSE), ""Not Found"")"),"k l ɛ n z ")</f>
        <v>k l ɛ n z </v>
      </c>
    </row>
    <row r="8337">
      <c r="A8337" s="1" t="s">
        <v>8338</v>
      </c>
      <c r="B8337" s="1" t="s">
        <v>6138</v>
      </c>
      <c r="C8337" s="2">
        <f>IFERROR(__xludf.DUMMYFUNCTION("IFERROR(VLOOKUP(A8337, IMPORTRANGE(""https://docs.google.com/spreadsheets/d/1AVX9GT0dgogEBStecCXMMQ29tWz3gBrtNB8yIromXbY/edit?gid=741673867"", ""out1g!A:B""), 2, FALSE), 0)"),52.0)</f>
        <v>52</v>
      </c>
      <c r="D8337" s="2" t="str">
        <f>IFERROR(__xludf.DUMMYFUNCTION("IFERROR(VLOOKUP(A8337, IMPORTRANGE(""https://docs.google.com/spreadsheets/d/1-3Vjw2Cyy-mry5gbC8ypIR3YVGFfEpyFESummAta6sg/edit"", ""Sheet1!B:D""), 2, FALSE), ""Not Found"")"),"soʊps")</f>
        <v>soʊps</v>
      </c>
      <c r="E8337" s="2" t="str">
        <f>IFERROR(__xludf.DUMMYFUNCTION("IFERROR(VLOOKUP(A8337, IMPORTRANGE(""https://docs.google.com/spreadsheets/d/1-3Vjw2Cyy-mry5gbC8ypIR3YVGFfEpyFESummAta6sg/edit"", ""Sheet1!B:D""), 3, FALSE), ""Not Found"")"),"s o ʊ p s ")</f>
        <v>s o ʊ p s </v>
      </c>
    </row>
    <row r="8338">
      <c r="A8338" s="1" t="s">
        <v>8339</v>
      </c>
      <c r="B8338" s="1" t="s">
        <v>6138</v>
      </c>
      <c r="C8338" s="2">
        <f>IFERROR(__xludf.DUMMYFUNCTION("IFERROR(VLOOKUP(A8338, IMPORTRANGE(""https://docs.google.com/spreadsheets/d/1AVX9GT0dgogEBStecCXMMQ29tWz3gBrtNB8yIromXbY/edit?gid=741673867"", ""out1g!A:B""), 2, FALSE), 0)"),189.0)</f>
        <v>189</v>
      </c>
      <c r="D8338" s="2" t="str">
        <f>IFERROR(__xludf.DUMMYFUNCTION("IFERROR(VLOOKUP(A8338, IMPORTRANGE(""https://docs.google.com/spreadsheets/d/1-3Vjw2Cyy-mry5gbC8ypIR3YVGFfEpyFESummAta6sg/edit"", ""Sheet1!B:D""), 2, FALSE), ""Not Found"")"),"trəsts")</f>
        <v>trəsts</v>
      </c>
      <c r="E8338" s="2" t="str">
        <f>IFERROR(__xludf.DUMMYFUNCTION("IFERROR(VLOOKUP(A8338, IMPORTRANGE(""https://docs.google.com/spreadsheets/d/1-3Vjw2Cyy-mry5gbC8ypIR3YVGFfEpyFESummAta6sg/edit"", ""Sheet1!B:D""), 3, FALSE), ""Not Found"")"),"t r ə s t s ")</f>
        <v>t r ə s t s </v>
      </c>
    </row>
    <row r="8339">
      <c r="A8339" s="1" t="s">
        <v>8340</v>
      </c>
      <c r="B8339" s="1" t="s">
        <v>6138</v>
      </c>
      <c r="C8339" s="2">
        <f>IFERROR(__xludf.DUMMYFUNCTION("IFERROR(VLOOKUP(A8339, IMPORTRANGE(""https://docs.google.com/spreadsheets/d/1AVX9GT0dgogEBStecCXMMQ29tWz3gBrtNB8yIromXbY/edit?gid=741673867"", ""out1g!A:B""), 2, FALSE), 0)"),121.0)</f>
        <v>121</v>
      </c>
      <c r="D8339" s="2" t="str">
        <f>IFERROR(__xludf.DUMMYFUNCTION("IFERROR(VLOOKUP(A8339, IMPORTRANGE(""https://docs.google.com/spreadsheets/d/1-3Vjw2Cyy-mry5gbC8ypIR3YVGFfEpyFESummAta6sg/edit"", ""Sheet1!B:D""), 2, FALSE), ""Not Found"")"),"bælənst")</f>
        <v>bælənst</v>
      </c>
      <c r="E8339" s="2" t="str">
        <f>IFERROR(__xludf.DUMMYFUNCTION("IFERROR(VLOOKUP(A8339, IMPORTRANGE(""https://docs.google.com/spreadsheets/d/1-3Vjw2Cyy-mry5gbC8ypIR3YVGFfEpyFESummAta6sg/edit"", ""Sheet1!B:D""), 3, FALSE), ""Not Found"")"),"b æ l ə n s t ")</f>
        <v>b æ l ə n s t </v>
      </c>
    </row>
    <row r="8340">
      <c r="A8340" s="1" t="s">
        <v>8341</v>
      </c>
      <c r="B8340" s="1" t="s">
        <v>6138</v>
      </c>
      <c r="C8340" s="2">
        <f>IFERROR(__xludf.DUMMYFUNCTION("IFERROR(VLOOKUP(A8340, IMPORTRANGE(""https://docs.google.com/spreadsheets/d/1AVX9GT0dgogEBStecCXMMQ29tWz3gBrtNB8yIromXbY/edit?gid=741673867"", ""out1g!A:B""), 2, FALSE), 0)"),343.0)</f>
        <v>343</v>
      </c>
      <c r="D8340" s="2" t="str">
        <f>IFERROR(__xludf.DUMMYFUNCTION("IFERROR(VLOOKUP(A8340, IMPORTRANGE(""https://docs.google.com/spreadsheets/d/1-3Vjw2Cyy-mry5gbC8ypIR3YVGFfEpyFESummAta6sg/edit"", ""Sheet1!B:D""), 2, FALSE), ""Not Found"")"),"wu")</f>
        <v>wu</v>
      </c>
      <c r="E8340" s="2" t="str">
        <f>IFERROR(__xludf.DUMMYFUNCTION("IFERROR(VLOOKUP(A8340, IMPORTRANGE(""https://docs.google.com/spreadsheets/d/1-3Vjw2Cyy-mry5gbC8ypIR3YVGFfEpyFESummAta6sg/edit"", ""Sheet1!B:D""), 3, FALSE), ""Not Found"")"),"w u ")</f>
        <v>w u </v>
      </c>
    </row>
    <row r="8341">
      <c r="A8341" s="1" t="s">
        <v>8342</v>
      </c>
      <c r="B8341" s="1" t="s">
        <v>6138</v>
      </c>
      <c r="C8341" s="2">
        <f>IFERROR(__xludf.DUMMYFUNCTION("IFERROR(VLOOKUP(A8341, IMPORTRANGE(""https://docs.google.com/spreadsheets/d/1AVX9GT0dgogEBStecCXMMQ29tWz3gBrtNB8yIromXbY/edit?gid=741673867"", ""out1g!A:B""), 2, FALSE), 0)"),93.0)</f>
        <v>93</v>
      </c>
      <c r="D8341" s="2" t="str">
        <f>IFERROR(__xludf.DUMMYFUNCTION("IFERROR(VLOOKUP(A8341, IMPORTRANGE(""https://docs.google.com/spreadsheets/d/1-3Vjw2Cyy-mry5gbC8ypIR3YVGFfEpyFESummAta6sg/edit"", ""Sheet1!B:D""), 2, FALSE), ""Not Found"")"),"ərʤɪz")</f>
        <v>ərʤɪz</v>
      </c>
      <c r="E8341" s="2" t="str">
        <f>IFERROR(__xludf.DUMMYFUNCTION("IFERROR(VLOOKUP(A8341, IMPORTRANGE(""https://docs.google.com/spreadsheets/d/1-3Vjw2Cyy-mry5gbC8ypIR3YVGFfEpyFESummAta6sg/edit"", ""Sheet1!B:D""), 3, FALSE), ""Not Found"")"),"ə r ʤ ɪ z ")</f>
        <v>ə r ʤ ɪ z </v>
      </c>
    </row>
    <row r="8342">
      <c r="A8342" s="1" t="s">
        <v>8343</v>
      </c>
      <c r="B8342" s="1" t="s">
        <v>6138</v>
      </c>
      <c r="C8342" s="2">
        <f>IFERROR(__xludf.DUMMYFUNCTION("IFERROR(VLOOKUP(A8342, IMPORTRANGE(""https://docs.google.com/spreadsheets/d/1AVX9GT0dgogEBStecCXMMQ29tWz3gBrtNB8yIromXbY/edit?gid=741673867"", ""out1g!A:B""), 2, FALSE), 0)"),20003.0)</f>
        <v>20003</v>
      </c>
      <c r="D8342" s="2" t="str">
        <f>IFERROR(__xludf.DUMMYFUNCTION("IFERROR(VLOOKUP(A8342, IMPORTRANGE(""https://docs.google.com/spreadsheets/d/1-3Vjw2Cyy-mry5gbC8ypIR3YVGFfEpyFESummAta6sg/edit"", ""Sheet1!B:D""), 2, FALSE), ""Not Found"")"),"prɪti")</f>
        <v>prɪti</v>
      </c>
      <c r="E8342" s="2" t="str">
        <f>IFERROR(__xludf.DUMMYFUNCTION("IFERROR(VLOOKUP(A8342, IMPORTRANGE(""https://docs.google.com/spreadsheets/d/1-3Vjw2Cyy-mry5gbC8ypIR3YVGFfEpyFESummAta6sg/edit"", ""Sheet1!B:D""), 3, FALSE), ""Not Found"")"),"p r ɪ t i ")</f>
        <v>p r ɪ t i </v>
      </c>
    </row>
    <row r="8343">
      <c r="A8343" s="1" t="s">
        <v>8344</v>
      </c>
      <c r="B8343" s="1" t="s">
        <v>6138</v>
      </c>
      <c r="C8343" s="2">
        <f>IFERROR(__xludf.DUMMYFUNCTION("IFERROR(VLOOKUP(A8343, IMPORTRANGE(""https://docs.google.com/spreadsheets/d/1AVX9GT0dgogEBStecCXMMQ29tWz3gBrtNB8yIromXbY/edit?gid=741673867"", ""out1g!A:B""), 2, FALSE), 0)"),2135.0)</f>
        <v>2135</v>
      </c>
      <c r="D8343" s="2" t="str">
        <f>IFERROR(__xludf.DUMMYFUNCTION("IFERROR(VLOOKUP(A8343, IMPORTRANGE(""https://docs.google.com/spreadsheets/d/1-3Vjw2Cyy-mry5gbC8ypIR3YVGFfEpyFESummAta6sg/edit"", ""Sheet1!B:D""), 2, FALSE), ""Not Found"")"),"oʊldər")</f>
        <v>oʊldər</v>
      </c>
      <c r="E8343" s="2" t="str">
        <f>IFERROR(__xludf.DUMMYFUNCTION("IFERROR(VLOOKUP(A8343, IMPORTRANGE(""https://docs.google.com/spreadsheets/d/1-3Vjw2Cyy-mry5gbC8ypIR3YVGFfEpyFESummAta6sg/edit"", ""Sheet1!B:D""), 3, FALSE), ""Not Found"")"),"o ʊ l d ə r ")</f>
        <v>o ʊ l d ə r </v>
      </c>
    </row>
    <row r="8344">
      <c r="A8344" s="1" t="s">
        <v>8345</v>
      </c>
      <c r="B8344" s="1" t="s">
        <v>6138</v>
      </c>
      <c r="C8344" s="2">
        <f>IFERROR(__xludf.DUMMYFUNCTION("IFERROR(VLOOKUP(A8344, IMPORTRANGE(""https://docs.google.com/spreadsheets/d/1AVX9GT0dgogEBStecCXMMQ29tWz3gBrtNB8yIromXbY/edit?gid=741673867"", ""out1g!A:B""), 2, FALSE), 0)"),11890.0)</f>
        <v>11890</v>
      </c>
      <c r="D8344" s="2" t="str">
        <f>IFERROR(__xludf.DUMMYFUNCTION("IFERROR(VLOOKUP(A8344, IMPORTRANGE(""https://docs.google.com/spreadsheets/d/1-3Vjw2Cyy-mry5gbC8ypIR3YVGFfEpyFESummAta6sg/edit"", ""Sheet1!B:D""), 2, FALSE), ""Not Found"")"),"pɑrti")</f>
        <v>pɑrti</v>
      </c>
      <c r="E8344" s="2" t="str">
        <f>IFERROR(__xludf.DUMMYFUNCTION("IFERROR(VLOOKUP(A8344, IMPORTRANGE(""https://docs.google.com/spreadsheets/d/1-3Vjw2Cyy-mry5gbC8ypIR3YVGFfEpyFESummAta6sg/edit"", ""Sheet1!B:D""), 3, FALSE), ""Not Found"")"),"p ɑ r t i ")</f>
        <v>p ɑ r t i </v>
      </c>
    </row>
    <row r="8345">
      <c r="A8345" s="1" t="s">
        <v>8346</v>
      </c>
      <c r="B8345" s="1" t="s">
        <v>6138</v>
      </c>
      <c r="C8345" s="2">
        <f>IFERROR(__xludf.DUMMYFUNCTION("IFERROR(VLOOKUP(A8345, IMPORTRANGE(""https://docs.google.com/spreadsheets/d/1AVX9GT0dgogEBStecCXMMQ29tWz3gBrtNB8yIromXbY/edit?gid=741673867"", ""out1g!A:B""), 2, FALSE), 0)"),49.0)</f>
        <v>49</v>
      </c>
      <c r="D8345" s="2" t="str">
        <f>IFERROR(__xludf.DUMMYFUNCTION("IFERROR(VLOOKUP(A8345, IMPORTRANGE(""https://docs.google.com/spreadsheets/d/1-3Vjw2Cyy-mry5gbC8ypIR3YVGFfEpyFESummAta6sg/edit"", ""Sheet1!B:D""), 2, FALSE), ""Not Found"")"),"stɔlz")</f>
        <v>stɔlz</v>
      </c>
      <c r="E8345" s="2" t="str">
        <f>IFERROR(__xludf.DUMMYFUNCTION("IFERROR(VLOOKUP(A8345, IMPORTRANGE(""https://docs.google.com/spreadsheets/d/1-3Vjw2Cyy-mry5gbC8ypIR3YVGFfEpyFESummAta6sg/edit"", ""Sheet1!B:D""), 3, FALSE), ""Not Found"")"),"s t ɔ l z ")</f>
        <v>s t ɔ l z </v>
      </c>
    </row>
    <row r="8346">
      <c r="A8346" s="1" t="s">
        <v>8347</v>
      </c>
      <c r="B8346" s="1" t="s">
        <v>6138</v>
      </c>
      <c r="C8346" s="2">
        <f>IFERROR(__xludf.DUMMYFUNCTION("IFERROR(VLOOKUP(A8346, IMPORTRANGE(""https://docs.google.com/spreadsheets/d/1AVX9GT0dgogEBStecCXMMQ29tWz3gBrtNB8yIromXbY/edit?gid=741673867"", ""out1g!A:B""), 2, FALSE), 0)"),71.0)</f>
        <v>71</v>
      </c>
      <c r="D8346" s="2" t="str">
        <f>IFERROR(__xludf.DUMMYFUNCTION("IFERROR(VLOOKUP(A8346, IMPORTRANGE(""https://docs.google.com/spreadsheets/d/1-3Vjw2Cyy-mry5gbC8ypIR3YVGFfEpyFESummAta6sg/edit"", ""Sheet1!B:D""), 2, FALSE), ""Not Found"")"),"krəmbəl")</f>
        <v>krəmbəl</v>
      </c>
      <c r="E8346" s="2" t="str">
        <f>IFERROR(__xludf.DUMMYFUNCTION("IFERROR(VLOOKUP(A8346, IMPORTRANGE(""https://docs.google.com/spreadsheets/d/1-3Vjw2Cyy-mry5gbC8ypIR3YVGFfEpyFESummAta6sg/edit"", ""Sheet1!B:D""), 3, FALSE), ""Not Found"")"),"k r ə m b ə l ")</f>
        <v>k r ə m b ə l </v>
      </c>
    </row>
    <row r="8347">
      <c r="A8347" s="1" t="s">
        <v>8348</v>
      </c>
      <c r="B8347" s="1" t="s">
        <v>6138</v>
      </c>
      <c r="C8347" s="2">
        <f>IFERROR(__xludf.DUMMYFUNCTION("IFERROR(VLOOKUP(A8347, IMPORTRANGE(""https://docs.google.com/spreadsheets/d/1AVX9GT0dgogEBStecCXMMQ29tWz3gBrtNB8yIromXbY/edit?gid=741673867"", ""out1g!A:B""), 2, FALSE), 0)"),161.0)</f>
        <v>161</v>
      </c>
      <c r="D8347" s="2" t="str">
        <f>IFERROR(__xludf.DUMMYFUNCTION("IFERROR(VLOOKUP(A8347, IMPORTRANGE(""https://docs.google.com/spreadsheets/d/1-3Vjw2Cyy-mry5gbC8ypIR3YVGFfEpyFESummAta6sg/edit"", ""Sheet1!B:D""), 2, FALSE), ""Not Found"")"),"swɛlɪŋ")</f>
        <v>swɛlɪŋ</v>
      </c>
      <c r="E8347" s="2" t="str">
        <f>IFERROR(__xludf.DUMMYFUNCTION("IFERROR(VLOOKUP(A8347, IMPORTRANGE(""https://docs.google.com/spreadsheets/d/1-3Vjw2Cyy-mry5gbC8ypIR3YVGFfEpyFESummAta6sg/edit"", ""Sheet1!B:D""), 3, FALSE), ""Not Found"")"),"s w ɛ l ɪ ŋ ")</f>
        <v>s w ɛ l ɪ ŋ </v>
      </c>
    </row>
    <row r="8348">
      <c r="A8348" s="1" t="s">
        <v>8349</v>
      </c>
      <c r="B8348" s="1" t="s">
        <v>6138</v>
      </c>
      <c r="C8348" s="2">
        <f>IFERROR(__xludf.DUMMYFUNCTION("IFERROR(VLOOKUP(A8348, IMPORTRANGE(""https://docs.google.com/spreadsheets/d/1AVX9GT0dgogEBStecCXMMQ29tWz3gBrtNB8yIromXbY/edit?gid=741673867"", ""out1g!A:B""), 2, FALSE), 0)"),100.0)</f>
        <v>100</v>
      </c>
      <c r="D8348" s="2" t="str">
        <f>IFERROR(__xludf.DUMMYFUNCTION("IFERROR(VLOOKUP(A8348, IMPORTRANGE(""https://docs.google.com/spreadsheets/d/1-3Vjw2Cyy-mry5gbC8ypIR3YVGFfEpyFESummAta6sg/edit"", ""Sheet1!B:D""), 2, FALSE), ""Not Found"")"),"sisəl")</f>
        <v>sisəl</v>
      </c>
      <c r="E8348" s="2" t="str">
        <f>IFERROR(__xludf.DUMMYFUNCTION("IFERROR(VLOOKUP(A8348, IMPORTRANGE(""https://docs.google.com/spreadsheets/d/1-3Vjw2Cyy-mry5gbC8ypIR3YVGFfEpyFESummAta6sg/edit"", ""Sheet1!B:D""), 3, FALSE), ""Not Found"")"),"s i s ə l ")</f>
        <v>s i s ə l </v>
      </c>
    </row>
    <row r="8349">
      <c r="A8349" s="1" t="s">
        <v>8350</v>
      </c>
      <c r="B8349" s="1" t="s">
        <v>6138</v>
      </c>
      <c r="C8349" s="2">
        <f>IFERROR(__xludf.DUMMYFUNCTION("IFERROR(VLOOKUP(A8349, IMPORTRANGE(""https://docs.google.com/spreadsheets/d/1AVX9GT0dgogEBStecCXMMQ29tWz3gBrtNB8yIromXbY/edit?gid=741673867"", ""out1g!A:B""), 2, FALSE), 0)"),55.0)</f>
        <v>55</v>
      </c>
      <c r="D8349" s="2" t="str">
        <f>IFERROR(__xludf.DUMMYFUNCTION("IFERROR(VLOOKUP(A8349, IMPORTRANGE(""https://docs.google.com/spreadsheets/d/1-3Vjw2Cyy-mry5gbC8ypIR3YVGFfEpyFESummAta6sg/edit"", ""Sheet1!B:D""), 2, FALSE), ""Not Found"")"),"ʧu")</f>
        <v>ʧu</v>
      </c>
      <c r="E8349" s="2" t="str">
        <f>IFERROR(__xludf.DUMMYFUNCTION("IFERROR(VLOOKUP(A8349, IMPORTRANGE(""https://docs.google.com/spreadsheets/d/1-3Vjw2Cyy-mry5gbC8ypIR3YVGFfEpyFESummAta6sg/edit"", ""Sheet1!B:D""), 3, FALSE), ""Not Found"")"),"ʧ u ")</f>
        <v>ʧ u </v>
      </c>
    </row>
    <row r="8350">
      <c r="A8350" s="1" t="s">
        <v>8351</v>
      </c>
      <c r="B8350" s="1" t="s">
        <v>6138</v>
      </c>
      <c r="C8350" s="2">
        <f>IFERROR(__xludf.DUMMYFUNCTION("IFERROR(VLOOKUP(A8350, IMPORTRANGE(""https://docs.google.com/spreadsheets/d/1AVX9GT0dgogEBStecCXMMQ29tWz3gBrtNB8yIromXbY/edit?gid=741673867"", ""out1g!A:B""), 2, FALSE), 0)"),140.0)</f>
        <v>140</v>
      </c>
      <c r="D8350" s="2" t="str">
        <f>IFERROR(__xludf.DUMMYFUNCTION("IFERROR(VLOOKUP(A8350, IMPORTRANGE(""https://docs.google.com/spreadsheets/d/1-3Vjw2Cyy-mry5gbC8ypIR3YVGFfEpyFESummAta6sg/edit"", ""Sheet1!B:D""), 2, FALSE), ""Not Found"")"),"ərɛsts")</f>
        <v>ərɛsts</v>
      </c>
      <c r="E8350" s="2" t="str">
        <f>IFERROR(__xludf.DUMMYFUNCTION("IFERROR(VLOOKUP(A8350, IMPORTRANGE(""https://docs.google.com/spreadsheets/d/1-3Vjw2Cyy-mry5gbC8ypIR3YVGFfEpyFESummAta6sg/edit"", ""Sheet1!B:D""), 3, FALSE), ""Not Found"")"),"ə r ɛ s t s ")</f>
        <v>ə r ɛ s t s </v>
      </c>
    </row>
    <row r="8351">
      <c r="A8351" s="1" t="s">
        <v>8352</v>
      </c>
      <c r="B8351" s="1" t="s">
        <v>6138</v>
      </c>
      <c r="C8351" s="2">
        <f>IFERROR(__xludf.DUMMYFUNCTION("IFERROR(VLOOKUP(A8351, IMPORTRANGE(""https://docs.google.com/spreadsheets/d/1AVX9GT0dgogEBStecCXMMQ29tWz3gBrtNB8yIromXbY/edit?gid=741673867"", ""out1g!A:B""), 2, FALSE), 0)"),63.0)</f>
        <v>63</v>
      </c>
      <c r="D8351" s="2" t="str">
        <f>IFERROR(__xludf.DUMMYFUNCTION("IFERROR(VLOOKUP(A8351, IMPORTRANGE(""https://docs.google.com/spreadsheets/d/1-3Vjw2Cyy-mry5gbC8ypIR3YVGFfEpyFESummAta6sg/edit"", ""Sheet1!B:D""), 2, FALSE), ""Not Found"")"),"gɔrmən")</f>
        <v>gɔrmən</v>
      </c>
      <c r="E8351" s="2" t="str">
        <f>IFERROR(__xludf.DUMMYFUNCTION("IFERROR(VLOOKUP(A8351, IMPORTRANGE(""https://docs.google.com/spreadsheets/d/1-3Vjw2Cyy-mry5gbC8ypIR3YVGFfEpyFESummAta6sg/edit"", ""Sheet1!B:D""), 3, FALSE), ""Not Found"")"),"g ɔ r m ə n ")</f>
        <v>g ɔ r m ə n </v>
      </c>
    </row>
    <row r="8352">
      <c r="A8352" s="1" t="s">
        <v>8353</v>
      </c>
      <c r="B8352" s="1" t="s">
        <v>6138</v>
      </c>
      <c r="C8352" s="2">
        <f>IFERROR(__xludf.DUMMYFUNCTION("IFERROR(VLOOKUP(A8352, IMPORTRANGE(""https://docs.google.com/spreadsheets/d/1AVX9GT0dgogEBStecCXMMQ29tWz3gBrtNB8yIromXbY/edit?gid=741673867"", ""out1g!A:B""), 2, FALSE), 0)"),59.0)</f>
        <v>59</v>
      </c>
      <c r="D8352" s="2" t="str">
        <f>IFERROR(__xludf.DUMMYFUNCTION("IFERROR(VLOOKUP(A8352, IMPORTRANGE(""https://docs.google.com/spreadsheets/d/1-3Vjw2Cyy-mry5gbC8ypIR3YVGFfEpyFESummAta6sg/edit"", ""Sheet1!B:D""), 2, FALSE), ""Not Found"")"),"krəʃɪz")</f>
        <v>krəʃɪz</v>
      </c>
      <c r="E8352" s="2" t="str">
        <f>IFERROR(__xludf.DUMMYFUNCTION("IFERROR(VLOOKUP(A8352, IMPORTRANGE(""https://docs.google.com/spreadsheets/d/1-3Vjw2Cyy-mry5gbC8ypIR3YVGFfEpyFESummAta6sg/edit"", ""Sheet1!B:D""), 3, FALSE), ""Not Found"")"),"k r ə ʃ ɪ z ")</f>
        <v>k r ə ʃ ɪ z </v>
      </c>
    </row>
    <row r="8353">
      <c r="A8353" s="1" t="s">
        <v>8354</v>
      </c>
      <c r="B8353" s="1" t="s">
        <v>6138</v>
      </c>
      <c r="C8353" s="2">
        <f>IFERROR(__xludf.DUMMYFUNCTION("IFERROR(VLOOKUP(A8353, IMPORTRANGE(""https://docs.google.com/spreadsheets/d/1AVX9GT0dgogEBStecCXMMQ29tWz3gBrtNB8yIromXbY/edit?gid=741673867"", ""out1g!A:B""), 2, FALSE), 0)"),807.0)</f>
        <v>807</v>
      </c>
      <c r="D8353" s="2" t="str">
        <f>IFERROR(__xludf.DUMMYFUNCTION("IFERROR(VLOOKUP(A8353, IMPORTRANGE(""https://docs.google.com/spreadsheets/d/1-3Vjw2Cyy-mry5gbC8ypIR3YVGFfEpyFESummAta6sg/edit"", ""Sheet1!B:D""), 2, FALSE), ""Not Found"")"),"haɪnəs")</f>
        <v>haɪnəs</v>
      </c>
      <c r="E8353" s="2" t="str">
        <f>IFERROR(__xludf.DUMMYFUNCTION("IFERROR(VLOOKUP(A8353, IMPORTRANGE(""https://docs.google.com/spreadsheets/d/1-3Vjw2Cyy-mry5gbC8ypIR3YVGFfEpyFESummAta6sg/edit"", ""Sheet1!B:D""), 3, FALSE), ""Not Found"")"),"h a ɪ n ə s ")</f>
        <v>h a ɪ n ə s </v>
      </c>
    </row>
    <row r="8354">
      <c r="A8354" s="1" t="s">
        <v>8355</v>
      </c>
      <c r="B8354" s="1" t="s">
        <v>6138</v>
      </c>
      <c r="C8354" s="2">
        <f>IFERROR(__xludf.DUMMYFUNCTION("IFERROR(VLOOKUP(A8354, IMPORTRANGE(""https://docs.google.com/spreadsheets/d/1AVX9GT0dgogEBStecCXMMQ29tWz3gBrtNB8yIromXbY/edit?gid=741673867"", ""out1g!A:B""), 2, FALSE), 0)"),60.0)</f>
        <v>60</v>
      </c>
      <c r="D8354" s="2" t="str">
        <f>IFERROR(__xludf.DUMMYFUNCTION("IFERROR(VLOOKUP(A8354, IMPORTRANGE(""https://docs.google.com/spreadsheets/d/1-3Vjw2Cyy-mry5gbC8ypIR3YVGFfEpyFESummAta6sg/edit"", ""Sheet1!B:D""), 2, FALSE), ""Not Found"")"),"blidər")</f>
        <v>blidər</v>
      </c>
      <c r="E8354" s="2" t="str">
        <f>IFERROR(__xludf.DUMMYFUNCTION("IFERROR(VLOOKUP(A8354, IMPORTRANGE(""https://docs.google.com/spreadsheets/d/1-3Vjw2Cyy-mry5gbC8ypIR3YVGFfEpyFESummAta6sg/edit"", ""Sheet1!B:D""), 3, FALSE), ""Not Found"")"),"b l i d ə r ")</f>
        <v>b l i d ə r </v>
      </c>
    </row>
    <row r="8355">
      <c r="A8355" s="1" t="s">
        <v>8356</v>
      </c>
      <c r="B8355" s="1" t="s">
        <v>6138</v>
      </c>
      <c r="C8355" s="2">
        <f>IFERROR(__xludf.DUMMYFUNCTION("IFERROR(VLOOKUP(A8355, IMPORTRANGE(""https://docs.google.com/spreadsheets/d/1AVX9GT0dgogEBStecCXMMQ29tWz3gBrtNB8yIromXbY/edit?gid=741673867"", ""out1g!A:B""), 2, FALSE), 0)"),54.0)</f>
        <v>54</v>
      </c>
      <c r="D8355" s="2" t="str">
        <f>IFERROR(__xludf.DUMMYFUNCTION("IFERROR(VLOOKUP(A8355, IMPORTRANGE(""https://docs.google.com/spreadsheets/d/1-3Vjw2Cyy-mry5gbC8ypIR3YVGFfEpyFESummAta6sg/edit"", ""Sheet1!B:D""), 2, FALSE), ""Not Found"")"),"kɑrbz")</f>
        <v>kɑrbz</v>
      </c>
      <c r="E8355" s="2" t="str">
        <f>IFERROR(__xludf.DUMMYFUNCTION("IFERROR(VLOOKUP(A8355, IMPORTRANGE(""https://docs.google.com/spreadsheets/d/1-3Vjw2Cyy-mry5gbC8ypIR3YVGFfEpyFESummAta6sg/edit"", ""Sheet1!B:D""), 3, FALSE), ""Not Found"")"),"k ɑ r b z ")</f>
        <v>k ɑ r b z </v>
      </c>
    </row>
    <row r="8356">
      <c r="A8356" s="1" t="s">
        <v>8357</v>
      </c>
      <c r="B8356" s="1" t="s">
        <v>6138</v>
      </c>
      <c r="C8356" s="2">
        <f>IFERROR(__xludf.DUMMYFUNCTION("IFERROR(VLOOKUP(A8356, IMPORTRANGE(""https://docs.google.com/spreadsheets/d/1AVX9GT0dgogEBStecCXMMQ29tWz3gBrtNB8yIromXbY/edit?gid=741673867"", ""out1g!A:B""), 2, FALSE), 0)"),169.0)</f>
        <v>169</v>
      </c>
      <c r="D8356" s="2" t="str">
        <f>IFERROR(__xludf.DUMMYFUNCTION("IFERROR(VLOOKUP(A8356, IMPORTRANGE(""https://docs.google.com/spreadsheets/d/1-3Vjw2Cyy-mry5gbC8ypIR3YVGFfEpyFESummAta6sg/edit"", ""Sheet1!B:D""), 2, FALSE), ""Not Found"")"),"ʃælt")</f>
        <v>ʃælt</v>
      </c>
      <c r="E8356" s="2" t="str">
        <f>IFERROR(__xludf.DUMMYFUNCTION("IFERROR(VLOOKUP(A8356, IMPORTRANGE(""https://docs.google.com/spreadsheets/d/1-3Vjw2Cyy-mry5gbC8ypIR3YVGFfEpyFESummAta6sg/edit"", ""Sheet1!B:D""), 3, FALSE), ""Not Found"")"),"ʃ æ l t ")</f>
        <v>ʃ æ l t </v>
      </c>
    </row>
    <row r="8357">
      <c r="A8357" s="1" t="s">
        <v>8358</v>
      </c>
      <c r="B8357" s="1" t="s">
        <v>6138</v>
      </c>
      <c r="C8357" s="2">
        <f>IFERROR(__xludf.DUMMYFUNCTION("IFERROR(VLOOKUP(A8357, IMPORTRANGE(""https://docs.google.com/spreadsheets/d/1AVX9GT0dgogEBStecCXMMQ29tWz3gBrtNB8yIromXbY/edit?gid=741673867"", ""out1g!A:B""), 2, FALSE), 0)"),1056.0)</f>
        <v>1056</v>
      </c>
      <c r="D8357" s="2" t="str">
        <f>IFERROR(__xludf.DUMMYFUNCTION("IFERROR(VLOOKUP(A8357, IMPORTRANGE(""https://docs.google.com/spreadsheets/d/1-3Vjw2Cyy-mry5gbC8ypIR3YVGFfEpyFESummAta6sg/edit"", ""Sheet1!B:D""), 2, FALSE), ""Not Found"")"),"zæk")</f>
        <v>zæk</v>
      </c>
      <c r="E8357" s="2" t="str">
        <f>IFERROR(__xludf.DUMMYFUNCTION("IFERROR(VLOOKUP(A8357, IMPORTRANGE(""https://docs.google.com/spreadsheets/d/1-3Vjw2Cyy-mry5gbC8ypIR3YVGFfEpyFESummAta6sg/edit"", ""Sheet1!B:D""), 3, FALSE), ""Not Found"")"),"z æ k ")</f>
        <v>z æ k </v>
      </c>
    </row>
    <row r="8358">
      <c r="A8358" s="1" t="s">
        <v>8359</v>
      </c>
      <c r="B8358" s="1" t="s">
        <v>6138</v>
      </c>
      <c r="C8358" s="2">
        <f>IFERROR(__xludf.DUMMYFUNCTION("IFERROR(VLOOKUP(A8358, IMPORTRANGE(""https://docs.google.com/spreadsheets/d/1AVX9GT0dgogEBStecCXMMQ29tWz3gBrtNB8yIromXbY/edit?gid=741673867"", ""out1g!A:B""), 2, FALSE), 0)"),119.0)</f>
        <v>119</v>
      </c>
      <c r="D8358" s="2" t="str">
        <f>IFERROR(__xludf.DUMMYFUNCTION("IFERROR(VLOOKUP(A8358, IMPORTRANGE(""https://docs.google.com/spreadsheets/d/1-3Vjw2Cyy-mry5gbC8ypIR3YVGFfEpyFESummAta6sg/edit"", ""Sheet1!B:D""), 2, FALSE), ""Not Found"")"),"bɛriɪŋ")</f>
        <v>bɛriɪŋ</v>
      </c>
      <c r="E8358" s="2" t="str">
        <f>IFERROR(__xludf.DUMMYFUNCTION("IFERROR(VLOOKUP(A8358, IMPORTRANGE(""https://docs.google.com/spreadsheets/d/1-3Vjw2Cyy-mry5gbC8ypIR3YVGFfEpyFESummAta6sg/edit"", ""Sheet1!B:D""), 3, FALSE), ""Not Found"")"),"b ɛ r i ɪ ŋ ")</f>
        <v>b ɛ r i ɪ ŋ </v>
      </c>
    </row>
    <row r="8359">
      <c r="A8359" s="1" t="s">
        <v>8360</v>
      </c>
      <c r="B8359" s="1" t="s">
        <v>6138</v>
      </c>
      <c r="C8359" s="2">
        <f>IFERROR(__xludf.DUMMYFUNCTION("IFERROR(VLOOKUP(A8359, IMPORTRANGE(""https://docs.google.com/spreadsheets/d/1AVX9GT0dgogEBStecCXMMQ29tWz3gBrtNB8yIromXbY/edit?gid=741673867"", ""out1g!A:B""), 2, FALSE), 0)"),137.0)</f>
        <v>137</v>
      </c>
      <c r="D8359" s="2" t="str">
        <f>IFERROR(__xludf.DUMMYFUNCTION("IFERROR(VLOOKUP(A8359, IMPORTRANGE(""https://docs.google.com/spreadsheets/d/1-3Vjw2Cyy-mry5gbC8ypIR3YVGFfEpyFESummAta6sg/edit"", ""Sheet1!B:D""), 2, FALSE), ""Not Found"")"),"fɛstər")</f>
        <v>fɛstər</v>
      </c>
      <c r="E8359" s="2" t="str">
        <f>IFERROR(__xludf.DUMMYFUNCTION("IFERROR(VLOOKUP(A8359, IMPORTRANGE(""https://docs.google.com/spreadsheets/d/1-3Vjw2Cyy-mry5gbC8ypIR3YVGFfEpyFESummAta6sg/edit"", ""Sheet1!B:D""), 3, FALSE), ""Not Found"")"),"f ɛ s t ə r ")</f>
        <v>f ɛ s t ə r </v>
      </c>
    </row>
    <row r="8360">
      <c r="A8360" s="1" t="s">
        <v>8361</v>
      </c>
      <c r="B8360" s="1" t="s">
        <v>6138</v>
      </c>
      <c r="C8360" s="2">
        <f>IFERROR(__xludf.DUMMYFUNCTION("IFERROR(VLOOKUP(A8360, IMPORTRANGE(""https://docs.google.com/spreadsheets/d/1AVX9GT0dgogEBStecCXMMQ29tWz3gBrtNB8yIromXbY/edit?gid=741673867"", ""out1g!A:B""), 2, FALSE), 0)"),74.0)</f>
        <v>74</v>
      </c>
      <c r="D8360" s="2" t="str">
        <f>IFERROR(__xludf.DUMMYFUNCTION("IFERROR(VLOOKUP(A8360, IMPORTRANGE(""https://docs.google.com/spreadsheets/d/1-3Vjw2Cyy-mry5gbC8ypIR3YVGFfEpyFESummAta6sg/edit"", ""Sheet1!B:D""), 2, FALSE), ""Not Found"")"),"sɔrtɪŋ")</f>
        <v>sɔrtɪŋ</v>
      </c>
      <c r="E8360" s="2" t="str">
        <f>IFERROR(__xludf.DUMMYFUNCTION("IFERROR(VLOOKUP(A8360, IMPORTRANGE(""https://docs.google.com/spreadsheets/d/1-3Vjw2Cyy-mry5gbC8ypIR3YVGFfEpyFESummAta6sg/edit"", ""Sheet1!B:D""), 3, FALSE), ""Not Found"")"),"s ɔ r t ɪ ŋ ")</f>
        <v>s ɔ r t ɪ ŋ </v>
      </c>
    </row>
    <row r="8361">
      <c r="A8361" s="1" t="s">
        <v>8362</v>
      </c>
      <c r="B8361" s="1" t="s">
        <v>6138</v>
      </c>
      <c r="C8361" s="2">
        <f>IFERROR(__xludf.DUMMYFUNCTION("IFERROR(VLOOKUP(A8361, IMPORTRANGE(""https://docs.google.com/spreadsheets/d/1AVX9GT0dgogEBStecCXMMQ29tWz3gBrtNB8yIromXbY/edit?gid=741673867"", ""out1g!A:B""), 2, FALSE), 0)"),111.0)</f>
        <v>111</v>
      </c>
      <c r="D8361" s="2" t="str">
        <f>IFERROR(__xludf.DUMMYFUNCTION("IFERROR(VLOOKUP(A8361, IMPORTRANGE(""https://docs.google.com/spreadsheets/d/1-3Vjw2Cyy-mry5gbC8ypIR3YVGFfEpyFESummAta6sg/edit"", ""Sheet1!B:D""), 2, FALSE), ""Not Found"")"),"rezɪnz")</f>
        <v>rezɪnz</v>
      </c>
      <c r="E8361" s="2" t="str">
        <f>IFERROR(__xludf.DUMMYFUNCTION("IFERROR(VLOOKUP(A8361, IMPORTRANGE(""https://docs.google.com/spreadsheets/d/1-3Vjw2Cyy-mry5gbC8ypIR3YVGFfEpyFESummAta6sg/edit"", ""Sheet1!B:D""), 3, FALSE), ""Not Found"")"),"r e z ɪ n z ")</f>
        <v>r e z ɪ n z </v>
      </c>
    </row>
    <row r="8362">
      <c r="A8362" s="1" t="s">
        <v>8363</v>
      </c>
      <c r="B8362" s="1" t="s">
        <v>6138</v>
      </c>
      <c r="C8362" s="2">
        <f>IFERROR(__xludf.DUMMYFUNCTION("IFERROR(VLOOKUP(A8362, IMPORTRANGE(""https://docs.google.com/spreadsheets/d/1AVX9GT0dgogEBStecCXMMQ29tWz3gBrtNB8yIromXbY/edit?gid=741673867"", ""out1g!A:B""), 2, FALSE), 0)"),66.0)</f>
        <v>66</v>
      </c>
      <c r="D8362" s="2" t="str">
        <f>IFERROR(__xludf.DUMMYFUNCTION("IFERROR(VLOOKUP(A8362, IMPORTRANGE(""https://docs.google.com/spreadsheets/d/1-3Vjw2Cyy-mry5gbC8ypIR3YVGFfEpyFESummAta6sg/edit"", ""Sheet1!B:D""), 2, FALSE), ""Not Found"")"),"bjut")</f>
        <v>bjut</v>
      </c>
      <c r="E8362" s="2" t="str">
        <f>IFERROR(__xludf.DUMMYFUNCTION("IFERROR(VLOOKUP(A8362, IMPORTRANGE(""https://docs.google.com/spreadsheets/d/1-3Vjw2Cyy-mry5gbC8ypIR3YVGFfEpyFESummAta6sg/edit"", ""Sheet1!B:D""), 3, FALSE), ""Not Found"")"),"b j u t ")</f>
        <v>b j u t </v>
      </c>
    </row>
    <row r="8363">
      <c r="A8363" s="1" t="s">
        <v>8364</v>
      </c>
      <c r="B8363" s="1" t="s">
        <v>6138</v>
      </c>
      <c r="C8363" s="2">
        <f>IFERROR(__xludf.DUMMYFUNCTION("IFERROR(VLOOKUP(A8363, IMPORTRANGE(""https://docs.google.com/spreadsheets/d/1AVX9GT0dgogEBStecCXMMQ29tWz3gBrtNB8yIromXbY/edit?gid=741673867"", ""out1g!A:B""), 2, FALSE), 0)"),88.0)</f>
        <v>88</v>
      </c>
      <c r="D8363" s="2" t="str">
        <f>IFERROR(__xludf.DUMMYFUNCTION("IFERROR(VLOOKUP(A8363, IMPORTRANGE(""https://docs.google.com/spreadsheets/d/1-3Vjw2Cyy-mry5gbC8ypIR3YVGFfEpyFESummAta6sg/edit"", ""Sheet1!B:D""), 2, FALSE), ""Not Found"")"),"hel")</f>
        <v>hel</v>
      </c>
      <c r="E8363" s="2" t="str">
        <f>IFERROR(__xludf.DUMMYFUNCTION("IFERROR(VLOOKUP(A8363, IMPORTRANGE(""https://docs.google.com/spreadsheets/d/1-3Vjw2Cyy-mry5gbC8ypIR3YVGFfEpyFESummAta6sg/edit"", ""Sheet1!B:D""), 3, FALSE), ""Not Found"")"),"h e l ")</f>
        <v>h e l </v>
      </c>
    </row>
    <row r="8364">
      <c r="A8364" s="1" t="s">
        <v>8365</v>
      </c>
      <c r="B8364" s="1" t="s">
        <v>6138</v>
      </c>
      <c r="C8364" s="2">
        <f>IFERROR(__xludf.DUMMYFUNCTION("IFERROR(VLOOKUP(A8364, IMPORTRANGE(""https://docs.google.com/spreadsheets/d/1AVX9GT0dgogEBStecCXMMQ29tWz3gBrtNB8yIromXbY/edit?gid=741673867"", ""out1g!A:B""), 2, FALSE), 0)"),184.0)</f>
        <v>184</v>
      </c>
      <c r="D8364" s="2" t="str">
        <f>IFERROR(__xludf.DUMMYFUNCTION("IFERROR(VLOOKUP(A8364, IMPORTRANGE(""https://docs.google.com/spreadsheets/d/1-3Vjw2Cyy-mry5gbC8ypIR3YVGFfEpyFESummAta6sg/edit"", ""Sheet1!B:D""), 2, FALSE), ""Not Found"")"),"kɪlɪŋz")</f>
        <v>kɪlɪŋz</v>
      </c>
      <c r="E8364" s="2" t="str">
        <f>IFERROR(__xludf.DUMMYFUNCTION("IFERROR(VLOOKUP(A8364, IMPORTRANGE(""https://docs.google.com/spreadsheets/d/1-3Vjw2Cyy-mry5gbC8ypIR3YVGFfEpyFESummAta6sg/edit"", ""Sheet1!B:D""), 3, FALSE), ""Not Found"")"),"k ɪ l ɪ ŋ z ")</f>
        <v>k ɪ l ɪ ŋ z </v>
      </c>
    </row>
    <row r="8365">
      <c r="A8365" s="1" t="s">
        <v>8366</v>
      </c>
      <c r="B8365" s="1" t="s">
        <v>6138</v>
      </c>
      <c r="C8365" s="2">
        <f>IFERROR(__xludf.DUMMYFUNCTION("IFERROR(VLOOKUP(A8365, IMPORTRANGE(""https://docs.google.com/spreadsheets/d/1AVX9GT0dgogEBStecCXMMQ29tWz3gBrtNB8yIromXbY/edit?gid=741673867"", ""out1g!A:B""), 2, FALSE), 0)"),262.0)</f>
        <v>262</v>
      </c>
      <c r="D8365" s="2" t="str">
        <f>IFERROR(__xludf.DUMMYFUNCTION("IFERROR(VLOOKUP(A8365, IMPORTRANGE(""https://docs.google.com/spreadsheets/d/1-3Vjw2Cyy-mry5gbC8ypIR3YVGFfEpyFESummAta6sg/edit"", ""Sheet1!B:D""), 2, FALSE), ""Not Found"")"),"pænɪkt")</f>
        <v>pænɪkt</v>
      </c>
      <c r="E8365" s="2" t="str">
        <f>IFERROR(__xludf.DUMMYFUNCTION("IFERROR(VLOOKUP(A8365, IMPORTRANGE(""https://docs.google.com/spreadsheets/d/1-3Vjw2Cyy-mry5gbC8ypIR3YVGFfEpyFESummAta6sg/edit"", ""Sheet1!B:D""), 3, FALSE), ""Not Found"")"),"p æ n ɪ k t ")</f>
        <v>p æ n ɪ k t </v>
      </c>
    </row>
    <row r="8366">
      <c r="A8366" s="1" t="s">
        <v>8367</v>
      </c>
      <c r="B8366" s="1" t="s">
        <v>6138</v>
      </c>
      <c r="C8366" s="2">
        <f>IFERROR(__xludf.DUMMYFUNCTION("IFERROR(VLOOKUP(A8366, IMPORTRANGE(""https://docs.google.com/spreadsheets/d/1AVX9GT0dgogEBStecCXMMQ29tWz3gBrtNB8yIromXbY/edit?gid=741673867"", ""out1g!A:B""), 2, FALSE), 0)"),477.0)</f>
        <v>477</v>
      </c>
      <c r="D8366" s="2" t="str">
        <f>IFERROR(__xludf.DUMMYFUNCTION("IFERROR(VLOOKUP(A8366, IMPORTRANGE(""https://docs.google.com/spreadsheets/d/1-3Vjw2Cyy-mry5gbC8ypIR3YVGFfEpyFESummAta6sg/edit"", ""Sheet1!B:D""), 2, FALSE), ""Not Found"")"),"vɛsəl")</f>
        <v>vɛsəl</v>
      </c>
      <c r="E8366" s="2" t="str">
        <f>IFERROR(__xludf.DUMMYFUNCTION("IFERROR(VLOOKUP(A8366, IMPORTRANGE(""https://docs.google.com/spreadsheets/d/1-3Vjw2Cyy-mry5gbC8ypIR3YVGFfEpyFESummAta6sg/edit"", ""Sheet1!B:D""), 3, FALSE), ""Not Found"")"),"v ɛ s ə l ")</f>
        <v>v ɛ s ə l </v>
      </c>
    </row>
    <row r="8367">
      <c r="A8367" s="1" t="s">
        <v>8368</v>
      </c>
      <c r="B8367" s="1" t="s">
        <v>6138</v>
      </c>
      <c r="C8367" s="2">
        <f>IFERROR(__xludf.DUMMYFUNCTION("IFERROR(VLOOKUP(A8367, IMPORTRANGE(""https://docs.google.com/spreadsheets/d/1AVX9GT0dgogEBStecCXMMQ29tWz3gBrtNB8yIromXbY/edit?gid=741673867"", ""out1g!A:B""), 2, FALSE), 0)"),150.0)</f>
        <v>150</v>
      </c>
      <c r="D8367" s="2" t="str">
        <f>IFERROR(__xludf.DUMMYFUNCTION("IFERROR(VLOOKUP(A8367, IMPORTRANGE(""https://docs.google.com/spreadsheets/d/1-3Vjw2Cyy-mry5gbC8ypIR3YVGFfEpyFESummAta6sg/edit"", ""Sheet1!B:D""), 2, FALSE), ""Not Found"")"),"ʃəfəl")</f>
        <v>ʃəfəl</v>
      </c>
      <c r="E8367" s="2" t="str">
        <f>IFERROR(__xludf.DUMMYFUNCTION("IFERROR(VLOOKUP(A8367, IMPORTRANGE(""https://docs.google.com/spreadsheets/d/1-3Vjw2Cyy-mry5gbC8ypIR3YVGFfEpyFESummAta6sg/edit"", ""Sheet1!B:D""), 3, FALSE), ""Not Found"")"),"ʃ ə f ə l ")</f>
        <v>ʃ ə f ə l </v>
      </c>
    </row>
    <row r="8368">
      <c r="A8368" s="1" t="s">
        <v>8369</v>
      </c>
      <c r="B8368" s="1" t="s">
        <v>6138</v>
      </c>
      <c r="C8368" s="2">
        <f>IFERROR(__xludf.DUMMYFUNCTION("IFERROR(VLOOKUP(A8368, IMPORTRANGE(""https://docs.google.com/spreadsheets/d/1AVX9GT0dgogEBStecCXMMQ29tWz3gBrtNB8yIromXbY/edit?gid=741673867"", ""out1g!A:B""), 2, FALSE), 0)"),146.0)</f>
        <v>146</v>
      </c>
      <c r="D8368" s="2" t="str">
        <f>IFERROR(__xludf.DUMMYFUNCTION("IFERROR(VLOOKUP(A8368, IMPORTRANGE(""https://docs.google.com/spreadsheets/d/1-3Vjw2Cyy-mry5gbC8ypIR3YVGFfEpyFESummAta6sg/edit"", ""Sheet1!B:D""), 2, FALSE), ""Not Found"")"),"ɪndiənz")</f>
        <v>ɪndiənz</v>
      </c>
      <c r="E8368" s="2" t="str">
        <f>IFERROR(__xludf.DUMMYFUNCTION("IFERROR(VLOOKUP(A8368, IMPORTRANGE(""https://docs.google.com/spreadsheets/d/1-3Vjw2Cyy-mry5gbC8ypIR3YVGFfEpyFESummAta6sg/edit"", ""Sheet1!B:D""), 3, FALSE), ""Not Found"")"),"ɪ n d i ə n z ")</f>
        <v>ɪ n d i ə n z </v>
      </c>
    </row>
    <row r="8369">
      <c r="A8369" s="1" t="s">
        <v>8370</v>
      </c>
      <c r="B8369" s="1" t="s">
        <v>6138</v>
      </c>
      <c r="C8369" s="2">
        <f>IFERROR(__xludf.DUMMYFUNCTION("IFERROR(VLOOKUP(A8369, IMPORTRANGE(""https://docs.google.com/spreadsheets/d/1AVX9GT0dgogEBStecCXMMQ29tWz3gBrtNB8yIromXbY/edit?gid=741673867"", ""out1g!A:B""), 2, FALSE), 0)"),53.0)</f>
        <v>53</v>
      </c>
      <c r="D8369" s="2" t="str">
        <f>IFERROR(__xludf.DUMMYFUNCTION("IFERROR(VLOOKUP(A8369, IMPORTRANGE(""https://docs.google.com/spreadsheets/d/1-3Vjw2Cyy-mry5gbC8ypIR3YVGFfEpyFESummAta6sg/edit"", ""Sheet1!B:D""), 2, FALSE), ""Not Found"")"),"sləmɪŋ")</f>
        <v>sləmɪŋ</v>
      </c>
      <c r="E8369" s="2" t="str">
        <f>IFERROR(__xludf.DUMMYFUNCTION("IFERROR(VLOOKUP(A8369, IMPORTRANGE(""https://docs.google.com/spreadsheets/d/1-3Vjw2Cyy-mry5gbC8ypIR3YVGFfEpyFESummAta6sg/edit"", ""Sheet1!B:D""), 3, FALSE), ""Not Found"")"),"s l ə m ɪ ŋ ")</f>
        <v>s l ə m ɪ ŋ </v>
      </c>
    </row>
    <row r="8370">
      <c r="A8370" s="1" t="s">
        <v>8371</v>
      </c>
      <c r="B8370" s="1" t="s">
        <v>6138</v>
      </c>
      <c r="C8370" s="2">
        <f>IFERROR(__xludf.DUMMYFUNCTION("IFERROR(VLOOKUP(A8370, IMPORTRANGE(""https://docs.google.com/spreadsheets/d/1AVX9GT0dgogEBStecCXMMQ29tWz3gBrtNB8yIromXbY/edit?gid=741673867"", ""out1g!A:B""), 2, FALSE), 0)"),550.0)</f>
        <v>550</v>
      </c>
      <c r="D8370" s="2" t="str">
        <f>IFERROR(__xludf.DUMMYFUNCTION("IFERROR(VLOOKUP(A8370, IMPORTRANGE(""https://docs.google.com/spreadsheets/d/1-3Vjw2Cyy-mry5gbC8ypIR3YVGFfEpyFESummAta6sg/edit"", ""Sheet1!B:D""), 2, FALSE), ""Not Found"")"),"gɑʧə")</f>
        <v>gɑʧə</v>
      </c>
      <c r="E8370" s="2" t="str">
        <f>IFERROR(__xludf.DUMMYFUNCTION("IFERROR(VLOOKUP(A8370, IMPORTRANGE(""https://docs.google.com/spreadsheets/d/1-3Vjw2Cyy-mry5gbC8ypIR3YVGFfEpyFESummAta6sg/edit"", ""Sheet1!B:D""), 3, FALSE), ""Not Found"")"),"g ɑ ʧ ə ")</f>
        <v>g ɑ ʧ ə </v>
      </c>
    </row>
    <row r="8371">
      <c r="A8371" s="1" t="s">
        <v>8372</v>
      </c>
      <c r="B8371" s="1" t="s">
        <v>6138</v>
      </c>
      <c r="C8371" s="2">
        <f>IFERROR(__xludf.DUMMYFUNCTION("IFERROR(VLOOKUP(A8371, IMPORTRANGE(""https://docs.google.com/spreadsheets/d/1AVX9GT0dgogEBStecCXMMQ29tWz3gBrtNB8yIromXbY/edit?gid=741673867"", ""out1g!A:B""), 2, FALSE), 0)"),261.0)</f>
        <v>261</v>
      </c>
      <c r="D8371" s="2" t="str">
        <f>IFERROR(__xludf.DUMMYFUNCTION("IFERROR(VLOOKUP(A8371, IMPORTRANGE(""https://docs.google.com/spreadsheets/d/1-3Vjw2Cyy-mry5gbC8ypIR3YVGFfEpyFESummAta6sg/edit"", ""Sheet1!B:D""), 2, FALSE), ""Not Found"")"),"fræŋks")</f>
        <v>fræŋks</v>
      </c>
      <c r="E8371" s="2" t="str">
        <f>IFERROR(__xludf.DUMMYFUNCTION("IFERROR(VLOOKUP(A8371, IMPORTRANGE(""https://docs.google.com/spreadsheets/d/1-3Vjw2Cyy-mry5gbC8ypIR3YVGFfEpyFESummAta6sg/edit"", ""Sheet1!B:D""), 3, FALSE), ""Not Found"")"),"f r æ ŋ k s ")</f>
        <v>f r æ ŋ k s </v>
      </c>
    </row>
    <row r="8372">
      <c r="A8372" s="1" t="s">
        <v>8373</v>
      </c>
      <c r="B8372" s="1" t="s">
        <v>6138</v>
      </c>
      <c r="C8372" s="2">
        <f>IFERROR(__xludf.DUMMYFUNCTION("IFERROR(VLOOKUP(A8372, IMPORTRANGE(""https://docs.google.com/spreadsheets/d/1AVX9GT0dgogEBStecCXMMQ29tWz3gBrtNB8yIromXbY/edit?gid=741673867"", ""out1g!A:B""), 2, FALSE), 0)"),149.0)</f>
        <v>149</v>
      </c>
      <c r="D8372" s="2" t="str">
        <f>IFERROR(__xludf.DUMMYFUNCTION("IFERROR(VLOOKUP(A8372, IMPORTRANGE(""https://docs.google.com/spreadsheets/d/1-3Vjw2Cyy-mry5gbC8ypIR3YVGFfEpyFESummAta6sg/edit"", ""Sheet1!B:D""), 2, FALSE), ""Not Found"")"),"faɪrmən")</f>
        <v>faɪrmən</v>
      </c>
      <c r="E8372" s="2" t="str">
        <f>IFERROR(__xludf.DUMMYFUNCTION("IFERROR(VLOOKUP(A8372, IMPORTRANGE(""https://docs.google.com/spreadsheets/d/1-3Vjw2Cyy-mry5gbC8ypIR3YVGFfEpyFESummAta6sg/edit"", ""Sheet1!B:D""), 3, FALSE), ""Not Found"")"),"f a ɪ r m ə n ")</f>
        <v>f a ɪ r m ə n </v>
      </c>
    </row>
    <row r="8373">
      <c r="A8373" s="1" t="s">
        <v>8374</v>
      </c>
      <c r="B8373" s="1" t="s">
        <v>6138</v>
      </c>
      <c r="C8373" s="2">
        <f>IFERROR(__xludf.DUMMYFUNCTION("IFERROR(VLOOKUP(A8373, IMPORTRANGE(""https://docs.google.com/spreadsheets/d/1AVX9GT0dgogEBStecCXMMQ29tWz3gBrtNB8yIromXbY/edit?gid=741673867"", ""out1g!A:B""), 2, FALSE), 0)"),198.0)</f>
        <v>198</v>
      </c>
      <c r="D8373" s="2" t="str">
        <f>IFERROR(__xludf.DUMMYFUNCTION("IFERROR(VLOOKUP(A8373, IMPORTRANGE(""https://docs.google.com/spreadsheets/d/1-3Vjw2Cyy-mry5gbC8ypIR3YVGFfEpyFESummAta6sg/edit"", ""Sheet1!B:D""), 2, FALSE), ""Not Found"")"),"toʊstər")</f>
        <v>toʊstər</v>
      </c>
      <c r="E8373" s="2" t="str">
        <f>IFERROR(__xludf.DUMMYFUNCTION("IFERROR(VLOOKUP(A8373, IMPORTRANGE(""https://docs.google.com/spreadsheets/d/1-3Vjw2Cyy-mry5gbC8ypIR3YVGFfEpyFESummAta6sg/edit"", ""Sheet1!B:D""), 3, FALSE), ""Not Found"")"),"t o ʊ s t ə r ")</f>
        <v>t o ʊ s t ə r </v>
      </c>
    </row>
    <row r="8374">
      <c r="A8374" s="1" t="s">
        <v>8375</v>
      </c>
      <c r="B8374" s="1" t="s">
        <v>6138</v>
      </c>
      <c r="C8374" s="2">
        <f>IFERROR(__xludf.DUMMYFUNCTION("IFERROR(VLOOKUP(A8374, IMPORTRANGE(""https://docs.google.com/spreadsheets/d/1AVX9GT0dgogEBStecCXMMQ29tWz3gBrtNB8yIromXbY/edit?gid=741673867"", ""out1g!A:B""), 2, FALSE), 0)"),93.0)</f>
        <v>93</v>
      </c>
      <c r="D8374" s="2" t="str">
        <f>IFERROR(__xludf.DUMMYFUNCTION("IFERROR(VLOOKUP(A8374, IMPORTRANGE(""https://docs.google.com/spreadsheets/d/1-3Vjw2Cyy-mry5gbC8ypIR3YVGFfEpyFESummAta6sg/edit"", ""Sheet1!B:D""), 2, FALSE), ""Not Found"")"),"blezɪŋ")</f>
        <v>blezɪŋ</v>
      </c>
      <c r="E8374" s="2" t="str">
        <f>IFERROR(__xludf.DUMMYFUNCTION("IFERROR(VLOOKUP(A8374, IMPORTRANGE(""https://docs.google.com/spreadsheets/d/1-3Vjw2Cyy-mry5gbC8ypIR3YVGFfEpyFESummAta6sg/edit"", ""Sheet1!B:D""), 3, FALSE), ""Not Found"")"),"b l e z ɪ ŋ ")</f>
        <v>b l e z ɪ ŋ </v>
      </c>
    </row>
    <row r="8375">
      <c r="A8375" s="1" t="s">
        <v>8376</v>
      </c>
      <c r="B8375" s="1" t="s">
        <v>6138</v>
      </c>
      <c r="C8375" s="2">
        <f>IFERROR(__xludf.DUMMYFUNCTION("IFERROR(VLOOKUP(A8375, IMPORTRANGE(""https://docs.google.com/spreadsheets/d/1AVX9GT0dgogEBStecCXMMQ29tWz3gBrtNB8yIromXbY/edit?gid=741673867"", ""out1g!A:B""), 2, FALSE), 0)"),166.0)</f>
        <v>166</v>
      </c>
      <c r="D8375" s="2" t="str">
        <f>IFERROR(__xludf.DUMMYFUNCTION("IFERROR(VLOOKUP(A8375, IMPORTRANGE(""https://docs.google.com/spreadsheets/d/1-3Vjw2Cyy-mry5gbC8ypIR3YVGFfEpyFESummAta6sg/edit"", ""Sheet1!B:D""), 2, FALSE), ""Not Found"")"),"ɑrmərd")</f>
        <v>ɑrmərd</v>
      </c>
      <c r="E8375" s="2" t="str">
        <f>IFERROR(__xludf.DUMMYFUNCTION("IFERROR(VLOOKUP(A8375, IMPORTRANGE(""https://docs.google.com/spreadsheets/d/1-3Vjw2Cyy-mry5gbC8ypIR3YVGFfEpyFESummAta6sg/edit"", ""Sheet1!B:D""), 3, FALSE), ""Not Found"")"),"ɑ r m ə r d ")</f>
        <v>ɑ r m ə r d </v>
      </c>
    </row>
    <row r="8376">
      <c r="A8376" s="1" t="s">
        <v>8377</v>
      </c>
      <c r="B8376" s="1" t="s">
        <v>6138</v>
      </c>
      <c r="C8376" s="2">
        <f>IFERROR(__xludf.DUMMYFUNCTION("IFERROR(VLOOKUP(A8376, IMPORTRANGE(""https://docs.google.com/spreadsheets/d/1AVX9GT0dgogEBStecCXMMQ29tWz3gBrtNB8yIromXbY/edit?gid=741673867"", ""out1g!A:B""), 2, FALSE), 0)"),1502.0)</f>
        <v>1502</v>
      </c>
      <c r="D8376" s="2" t="str">
        <f>IFERROR(__xludf.DUMMYFUNCTION("IFERROR(VLOOKUP(A8376, IMPORTRANGE(""https://docs.google.com/spreadsheets/d/1-3Vjw2Cyy-mry5gbC8ypIR3YVGFfEpyFESummAta6sg/edit"", ""Sheet1!B:D""), 2, FALSE), ""Not Found"")"),"əfɛr")</f>
        <v>əfɛr</v>
      </c>
      <c r="E8376" s="2" t="str">
        <f>IFERROR(__xludf.DUMMYFUNCTION("IFERROR(VLOOKUP(A8376, IMPORTRANGE(""https://docs.google.com/spreadsheets/d/1-3Vjw2Cyy-mry5gbC8ypIR3YVGFfEpyFESummAta6sg/edit"", ""Sheet1!B:D""), 3, FALSE), ""Not Found"")"),"ə f ɛ r ")</f>
        <v>ə f ɛ r </v>
      </c>
    </row>
    <row r="8377">
      <c r="A8377" s="1" t="s">
        <v>8378</v>
      </c>
      <c r="B8377" s="1" t="s">
        <v>6138</v>
      </c>
      <c r="C8377" s="2">
        <f>IFERROR(__xludf.DUMMYFUNCTION("IFERROR(VLOOKUP(A8377, IMPORTRANGE(""https://docs.google.com/spreadsheets/d/1AVX9GT0dgogEBStecCXMMQ29tWz3gBrtNB8yIromXbY/edit?gid=741673867"", ""out1g!A:B""), 2, FALSE), 0)"),23.0)</f>
        <v>23</v>
      </c>
      <c r="D8377" s="2" t="str">
        <f>IFERROR(__xludf.DUMMYFUNCTION("IFERROR(VLOOKUP(A8377, IMPORTRANGE(""https://docs.google.com/spreadsheets/d/1-3Vjw2Cyy-mry5gbC8ypIR3YVGFfEpyFESummAta6sg/edit"", ""Sheet1!B:D""), 2, FALSE), ""Not Found"")"),"su")</f>
        <v>su</v>
      </c>
      <c r="E8377" s="2" t="str">
        <f>IFERROR(__xludf.DUMMYFUNCTION("IFERROR(VLOOKUP(A8377, IMPORTRANGE(""https://docs.google.com/spreadsheets/d/1-3Vjw2Cyy-mry5gbC8ypIR3YVGFfEpyFESummAta6sg/edit"", ""Sheet1!B:D""), 3, FALSE), ""Not Found"")"),"s u ")</f>
        <v>s u </v>
      </c>
    </row>
    <row r="8378">
      <c r="A8378" s="1" t="s">
        <v>8379</v>
      </c>
      <c r="B8378" s="1" t="s">
        <v>6138</v>
      </c>
      <c r="C8378" s="2">
        <f>IFERROR(__xludf.DUMMYFUNCTION("IFERROR(VLOOKUP(A8378, IMPORTRANGE(""https://docs.google.com/spreadsheets/d/1AVX9GT0dgogEBStecCXMMQ29tWz3gBrtNB8yIromXbY/edit?gid=741673867"", ""out1g!A:B""), 2, FALSE), 0)"),389.0)</f>
        <v>389</v>
      </c>
      <c r="D8378" s="2" t="str">
        <f>IFERROR(__xludf.DUMMYFUNCTION("IFERROR(VLOOKUP(A8378, IMPORTRANGE(""https://docs.google.com/spreadsheets/d/1-3Vjw2Cyy-mry5gbC8ypIR3YVGFfEpyFESummAta6sg/edit"", ""Sheet1!B:D""), 2, FALSE), ""Not Found"")"),"pɪkəp")</f>
        <v>pɪkəp</v>
      </c>
      <c r="E8378" s="2" t="str">
        <f>IFERROR(__xludf.DUMMYFUNCTION("IFERROR(VLOOKUP(A8378, IMPORTRANGE(""https://docs.google.com/spreadsheets/d/1-3Vjw2Cyy-mry5gbC8ypIR3YVGFfEpyFESummAta6sg/edit"", ""Sheet1!B:D""), 3, FALSE), ""Not Found"")"),"p ɪ k ə p ")</f>
        <v>p ɪ k ə p </v>
      </c>
    </row>
    <row r="8379">
      <c r="A8379" s="1" t="s">
        <v>8380</v>
      </c>
      <c r="B8379" s="1" t="s">
        <v>6138</v>
      </c>
      <c r="C8379" s="2">
        <f>IFERROR(__xludf.DUMMYFUNCTION("IFERROR(VLOOKUP(A8379, IMPORTRANGE(""https://docs.google.com/spreadsheets/d/1AVX9GT0dgogEBStecCXMMQ29tWz3gBrtNB8yIromXbY/edit?gid=741673867"", ""out1g!A:B""), 2, FALSE), 0)"),76.0)</f>
        <v>76</v>
      </c>
      <c r="D8379" s="2" t="str">
        <f>IFERROR(__xludf.DUMMYFUNCTION("IFERROR(VLOOKUP(A8379, IMPORTRANGE(""https://docs.google.com/spreadsheets/d/1-3Vjw2Cyy-mry5gbC8ypIR3YVGFfEpyFESummAta6sg/edit"", ""Sheet1!B:D""), 2, FALSE), ""Not Found"")"),"dəfəl")</f>
        <v>dəfəl</v>
      </c>
      <c r="E8379" s="2" t="str">
        <f>IFERROR(__xludf.DUMMYFUNCTION("IFERROR(VLOOKUP(A8379, IMPORTRANGE(""https://docs.google.com/spreadsheets/d/1-3Vjw2Cyy-mry5gbC8ypIR3YVGFfEpyFESummAta6sg/edit"", ""Sheet1!B:D""), 3, FALSE), ""Not Found"")"),"d ə f ə l ")</f>
        <v>d ə f ə l </v>
      </c>
    </row>
    <row r="8380">
      <c r="A8380" s="1" t="s">
        <v>8381</v>
      </c>
      <c r="B8380" s="1" t="s">
        <v>6138</v>
      </c>
      <c r="C8380" s="2">
        <f>IFERROR(__xludf.DUMMYFUNCTION("IFERROR(VLOOKUP(A8380, IMPORTRANGE(""https://docs.google.com/spreadsheets/d/1AVX9GT0dgogEBStecCXMMQ29tWz3gBrtNB8yIromXbY/edit?gid=741673867"", ""out1g!A:B""), 2, FALSE), 0)"),169.0)</f>
        <v>169</v>
      </c>
      <c r="D8380" s="2" t="str">
        <f>IFERROR(__xludf.DUMMYFUNCTION("IFERROR(VLOOKUP(A8380, IMPORTRANGE(""https://docs.google.com/spreadsheets/d/1-3Vjw2Cyy-mry5gbC8ypIR3YVGFfEpyFESummAta6sg/edit"", ""Sheet1!B:D""), 2, FALSE), ""Not Found"")"),"roʊzi")</f>
        <v>roʊzi</v>
      </c>
      <c r="E8380" s="2" t="str">
        <f>IFERROR(__xludf.DUMMYFUNCTION("IFERROR(VLOOKUP(A8380, IMPORTRANGE(""https://docs.google.com/spreadsheets/d/1-3Vjw2Cyy-mry5gbC8ypIR3YVGFfEpyFESummAta6sg/edit"", ""Sheet1!B:D""), 3, FALSE), ""Not Found"")"),"r o ʊ z i ")</f>
        <v>r o ʊ z i </v>
      </c>
    </row>
    <row r="8381">
      <c r="A8381" s="1" t="s">
        <v>8382</v>
      </c>
      <c r="B8381" s="1" t="s">
        <v>6138</v>
      </c>
      <c r="C8381" s="2">
        <f>IFERROR(__xludf.DUMMYFUNCTION("IFERROR(VLOOKUP(A8381, IMPORTRANGE(""https://docs.google.com/spreadsheets/d/1AVX9GT0dgogEBStecCXMMQ29tWz3gBrtNB8yIromXbY/edit?gid=741673867"", ""out1g!A:B""), 2, FALSE), 0)"),598.0)</f>
        <v>598</v>
      </c>
      <c r="D8381" s="2" t="str">
        <f>IFERROR(__xludf.DUMMYFUNCTION("IFERROR(VLOOKUP(A8381, IMPORTRANGE(""https://docs.google.com/spreadsheets/d/1-3Vjw2Cyy-mry5gbC8ypIR3YVGFfEpyFESummAta6sg/edit"", ""Sheet1!B:D""), 2, FALSE), ""Not Found"")"),"hʊkər")</f>
        <v>hʊkər</v>
      </c>
      <c r="E8381" s="2" t="str">
        <f>IFERROR(__xludf.DUMMYFUNCTION("IFERROR(VLOOKUP(A8381, IMPORTRANGE(""https://docs.google.com/spreadsheets/d/1-3Vjw2Cyy-mry5gbC8ypIR3YVGFfEpyFESummAta6sg/edit"", ""Sheet1!B:D""), 3, FALSE), ""Not Found"")"),"h ʊ k ə r ")</f>
        <v>h ʊ k ə r </v>
      </c>
    </row>
    <row r="8382">
      <c r="A8382" s="1" t="s">
        <v>8383</v>
      </c>
      <c r="B8382" s="1" t="s">
        <v>6138</v>
      </c>
      <c r="C8382" s="2">
        <f>IFERROR(__xludf.DUMMYFUNCTION("IFERROR(VLOOKUP(A8382, IMPORTRANGE(""https://docs.google.com/spreadsheets/d/1AVX9GT0dgogEBStecCXMMQ29tWz3gBrtNB8yIromXbY/edit?gid=741673867"", ""out1g!A:B""), 2, FALSE), 0)"),118.0)</f>
        <v>118</v>
      </c>
      <c r="D8382" s="2" t="str">
        <f>IFERROR(__xludf.DUMMYFUNCTION("IFERROR(VLOOKUP(A8382, IMPORTRANGE(""https://docs.google.com/spreadsheets/d/1-3Vjw2Cyy-mry5gbC8ypIR3YVGFfEpyFESummAta6sg/edit"", ""Sheet1!B:D""), 2, FALSE), ""Not Found"")"),"glɑkt")</f>
        <v>glɑkt</v>
      </c>
      <c r="E8382" s="2" t="str">
        <f>IFERROR(__xludf.DUMMYFUNCTION("IFERROR(VLOOKUP(A8382, IMPORTRANGE(""https://docs.google.com/spreadsheets/d/1-3Vjw2Cyy-mry5gbC8ypIR3YVGFfEpyFESummAta6sg/edit"", ""Sheet1!B:D""), 3, FALSE), ""Not Found"")"),"g l ɑ k t ")</f>
        <v>g l ɑ k t </v>
      </c>
    </row>
    <row r="8383">
      <c r="A8383" s="1" t="s">
        <v>8384</v>
      </c>
      <c r="B8383" s="1" t="s">
        <v>6138</v>
      </c>
      <c r="C8383" s="2">
        <f>IFERROR(__xludf.DUMMYFUNCTION("IFERROR(VLOOKUP(A8383, IMPORTRANGE(""https://docs.google.com/spreadsheets/d/1AVX9GT0dgogEBStecCXMMQ29tWz3gBrtNB8yIromXbY/edit?gid=741673867"", ""out1g!A:B""), 2, FALSE), 0)"),402.0)</f>
        <v>402</v>
      </c>
      <c r="D8383" s="2" t="str">
        <f>IFERROR(__xludf.DUMMYFUNCTION("IFERROR(VLOOKUP(A8383, IMPORTRANGE(""https://docs.google.com/spreadsheets/d/1-3Vjw2Cyy-mry5gbC8ypIR3YVGFfEpyFESummAta6sg/edit"", ""Sheet1!B:D""), 2, FALSE), ""Not Found"")"),"həsəl")</f>
        <v>həsəl</v>
      </c>
      <c r="E8383" s="2" t="str">
        <f>IFERROR(__xludf.DUMMYFUNCTION("IFERROR(VLOOKUP(A8383, IMPORTRANGE(""https://docs.google.com/spreadsheets/d/1-3Vjw2Cyy-mry5gbC8ypIR3YVGFfEpyFESummAta6sg/edit"", ""Sheet1!B:D""), 3, FALSE), ""Not Found"")"),"h ə s ə l ")</f>
        <v>h ə s ə l </v>
      </c>
    </row>
    <row r="8384">
      <c r="A8384" s="1" t="s">
        <v>8385</v>
      </c>
      <c r="B8384" s="1" t="s">
        <v>6138</v>
      </c>
      <c r="C8384" s="2">
        <f>IFERROR(__xludf.DUMMYFUNCTION("IFERROR(VLOOKUP(A8384, IMPORTRANGE(""https://docs.google.com/spreadsheets/d/1AVX9GT0dgogEBStecCXMMQ29tWz3gBrtNB8yIromXbY/edit?gid=741673867"", ""out1g!A:B""), 2, FALSE), 0)"),48.0)</f>
        <v>48</v>
      </c>
      <c r="D8384" s="2" t="str">
        <f>IFERROR(__xludf.DUMMYFUNCTION("IFERROR(VLOOKUP(A8384, IMPORTRANGE(""https://docs.google.com/spreadsheets/d/1-3Vjw2Cyy-mry5gbC8ypIR3YVGFfEpyFESummAta6sg/edit"", ""Sheet1!B:D""), 2, FALSE), ""Not Found"")"),"wɪkər")</f>
        <v>wɪkər</v>
      </c>
      <c r="E8384" s="2" t="str">
        <f>IFERROR(__xludf.DUMMYFUNCTION("IFERROR(VLOOKUP(A8384, IMPORTRANGE(""https://docs.google.com/spreadsheets/d/1-3Vjw2Cyy-mry5gbC8ypIR3YVGFfEpyFESummAta6sg/edit"", ""Sheet1!B:D""), 3, FALSE), ""Not Found"")"),"w ɪ k ə r ")</f>
        <v>w ɪ k ə r </v>
      </c>
    </row>
    <row r="8385">
      <c r="A8385" s="1" t="s">
        <v>8386</v>
      </c>
      <c r="B8385" s="1" t="s">
        <v>6138</v>
      </c>
      <c r="C8385" s="2">
        <f>IFERROR(__xludf.DUMMYFUNCTION("IFERROR(VLOOKUP(A8385, IMPORTRANGE(""https://docs.google.com/spreadsheets/d/1AVX9GT0dgogEBStecCXMMQ29tWz3gBrtNB8yIromXbY/edit?gid=741673867"", ""out1g!A:B""), 2, FALSE), 0)"),553.0)</f>
        <v>553</v>
      </c>
      <c r="D8385" s="2" t="str">
        <f>IFERROR(__xludf.DUMMYFUNCTION("IFERROR(VLOOKUP(A8385, IMPORTRANGE(""https://docs.google.com/spreadsheets/d/1-3Vjw2Cyy-mry5gbC8ypIR3YVGFfEpyFESummAta6sg/edit"", ""Sheet1!B:D""), 2, FALSE), ""Not Found"")"),"smɑrtər")</f>
        <v>smɑrtər</v>
      </c>
      <c r="E8385" s="2" t="str">
        <f>IFERROR(__xludf.DUMMYFUNCTION("IFERROR(VLOOKUP(A8385, IMPORTRANGE(""https://docs.google.com/spreadsheets/d/1-3Vjw2Cyy-mry5gbC8ypIR3YVGFfEpyFESummAta6sg/edit"", ""Sheet1!B:D""), 3, FALSE), ""Not Found"")"),"s m ɑ r t ə r ")</f>
        <v>s m ɑ r t ə r </v>
      </c>
    </row>
    <row r="8386">
      <c r="A8386" s="1" t="s">
        <v>8387</v>
      </c>
      <c r="B8386" s="1" t="s">
        <v>6138</v>
      </c>
      <c r="C8386" s="2">
        <f>IFERROR(__xludf.DUMMYFUNCTION("IFERROR(VLOOKUP(A8386, IMPORTRANGE(""https://docs.google.com/spreadsheets/d/1AVX9GT0dgogEBStecCXMMQ29tWz3gBrtNB8yIromXbY/edit?gid=741673867"", ""out1g!A:B""), 2, FALSE), 0)"),737.0)</f>
        <v>737</v>
      </c>
      <c r="D8386" s="2" t="str">
        <f>IFERROR(__xludf.DUMMYFUNCTION("IFERROR(VLOOKUP(A8386, IMPORTRANGE(""https://docs.google.com/spreadsheets/d/1-3Vjw2Cyy-mry5gbC8ypIR3YVGFfEpyFESummAta6sg/edit"", ""Sheet1!B:D""), 2, FALSE), ""Not Found"")"),"ʧɑrʤd")</f>
        <v>ʧɑrʤd</v>
      </c>
      <c r="E8386" s="2" t="str">
        <f>IFERROR(__xludf.DUMMYFUNCTION("IFERROR(VLOOKUP(A8386, IMPORTRANGE(""https://docs.google.com/spreadsheets/d/1-3Vjw2Cyy-mry5gbC8ypIR3YVGFfEpyFESummAta6sg/edit"", ""Sheet1!B:D""), 3, FALSE), ""Not Found"")"),"ʧ ɑ r ʤ d ")</f>
        <v>ʧ ɑ r ʤ d </v>
      </c>
    </row>
    <row r="8387">
      <c r="A8387" s="1" t="s">
        <v>8388</v>
      </c>
      <c r="B8387" s="1" t="s">
        <v>6138</v>
      </c>
      <c r="C8387" s="2">
        <f>IFERROR(__xludf.DUMMYFUNCTION("IFERROR(VLOOKUP(A8387, IMPORTRANGE(""https://docs.google.com/spreadsheets/d/1AVX9GT0dgogEBStecCXMMQ29tWz3gBrtNB8yIromXbY/edit?gid=741673867"", ""out1g!A:B""), 2, FALSE), 0)"),21.0)</f>
        <v>21</v>
      </c>
      <c r="D8387" s="2" t="str">
        <f>IFERROR(__xludf.DUMMYFUNCTION("IFERROR(VLOOKUP(A8387, IMPORTRANGE(""https://docs.google.com/spreadsheets/d/1-3Vjw2Cyy-mry5gbC8ypIR3YVGFfEpyFESummAta6sg/edit"", ""Sheet1!B:D""), 2, FALSE), ""Not Found"")"),"kɑptər")</f>
        <v>kɑptər</v>
      </c>
      <c r="E8387" s="2" t="str">
        <f>IFERROR(__xludf.DUMMYFUNCTION("IFERROR(VLOOKUP(A8387, IMPORTRANGE(""https://docs.google.com/spreadsheets/d/1-3Vjw2Cyy-mry5gbC8ypIR3YVGFfEpyFESummAta6sg/edit"", ""Sheet1!B:D""), 3, FALSE), ""Not Found"")"),"k ɑ p t ə r ")</f>
        <v>k ɑ p t ə r </v>
      </c>
    </row>
    <row r="8388">
      <c r="A8388" s="1" t="s">
        <v>8389</v>
      </c>
      <c r="B8388" s="1" t="s">
        <v>6138</v>
      </c>
      <c r="C8388" s="2">
        <f>IFERROR(__xludf.DUMMYFUNCTION("IFERROR(VLOOKUP(A8388, IMPORTRANGE(""https://docs.google.com/spreadsheets/d/1AVX9GT0dgogEBStecCXMMQ29tWz3gBrtNB8yIromXbY/edit?gid=741673867"", ""out1g!A:B""), 2, FALSE), 0)"),191.0)</f>
        <v>191</v>
      </c>
      <c r="D8388" s="2" t="str">
        <f>IFERROR(__xludf.DUMMYFUNCTION("IFERROR(VLOOKUP(A8388, IMPORTRANGE(""https://docs.google.com/spreadsheets/d/1-3Vjw2Cyy-mry5gbC8ypIR3YVGFfEpyFESummAta6sg/edit"", ""Sheet1!B:D""), 2, FALSE), ""Not Found"")"),"kæʧər")</f>
        <v>kæʧər</v>
      </c>
      <c r="E8388" s="2" t="str">
        <f>IFERROR(__xludf.DUMMYFUNCTION("IFERROR(VLOOKUP(A8388, IMPORTRANGE(""https://docs.google.com/spreadsheets/d/1-3Vjw2Cyy-mry5gbC8ypIR3YVGFfEpyFESummAta6sg/edit"", ""Sheet1!B:D""), 3, FALSE), ""Not Found"")"),"k æ ʧ ə r ")</f>
        <v>k æ ʧ ə r </v>
      </c>
    </row>
    <row r="8389">
      <c r="A8389" s="1" t="s">
        <v>8390</v>
      </c>
      <c r="B8389" s="1" t="s">
        <v>6138</v>
      </c>
      <c r="C8389" s="2">
        <f>IFERROR(__xludf.DUMMYFUNCTION("IFERROR(VLOOKUP(A8389, IMPORTRANGE(""https://docs.google.com/spreadsheets/d/1AVX9GT0dgogEBStecCXMMQ29tWz3gBrtNB8yIromXbY/edit?gid=741673867"", ""out1g!A:B""), 2, FALSE), 0)"),382.0)</f>
        <v>382</v>
      </c>
      <c r="D8389" s="2" t="str">
        <f>IFERROR(__xludf.DUMMYFUNCTION("IFERROR(VLOOKUP(A8389, IMPORTRANGE(""https://docs.google.com/spreadsheets/d/1-3Vjw2Cyy-mry5gbC8ypIR3YVGFfEpyFESummAta6sg/edit"", ""Sheet1!B:D""), 2, FALSE), ""Not Found"")"),"istər")</f>
        <v>istər</v>
      </c>
      <c r="E8389" s="2" t="str">
        <f>IFERROR(__xludf.DUMMYFUNCTION("IFERROR(VLOOKUP(A8389, IMPORTRANGE(""https://docs.google.com/spreadsheets/d/1-3Vjw2Cyy-mry5gbC8ypIR3YVGFfEpyFESummAta6sg/edit"", ""Sheet1!B:D""), 3, FALSE), ""Not Found"")"),"i s t ə r ")</f>
        <v>i s t ə r </v>
      </c>
    </row>
    <row r="8390">
      <c r="A8390" s="1" t="s">
        <v>8391</v>
      </c>
      <c r="B8390" s="1" t="s">
        <v>6138</v>
      </c>
      <c r="C8390" s="2">
        <f>IFERROR(__xludf.DUMMYFUNCTION("IFERROR(VLOOKUP(A8390, IMPORTRANGE(""https://docs.google.com/spreadsheets/d/1AVX9GT0dgogEBStecCXMMQ29tWz3gBrtNB8yIromXbY/edit?gid=741673867"", ""out1g!A:B""), 2, FALSE), 0)"),14.0)</f>
        <v>14</v>
      </c>
      <c r="D8390" s="2" t="str">
        <f>IFERROR(__xludf.DUMMYFUNCTION("IFERROR(VLOOKUP(A8390, IMPORTRANGE(""https://docs.google.com/spreadsheets/d/1-3Vjw2Cyy-mry5gbC8ypIR3YVGFfEpyFESummAta6sg/edit"", ""Sheet1!B:D""), 2, FALSE), ""Not Found"")"),"kjutsi")</f>
        <v>kjutsi</v>
      </c>
      <c r="E8390" s="2" t="str">
        <f>IFERROR(__xludf.DUMMYFUNCTION("IFERROR(VLOOKUP(A8390, IMPORTRANGE(""https://docs.google.com/spreadsheets/d/1-3Vjw2Cyy-mry5gbC8ypIR3YVGFfEpyFESummAta6sg/edit"", ""Sheet1!B:D""), 3, FALSE), ""Not Found"")"),"k j u t s i ")</f>
        <v>k j u t s i </v>
      </c>
    </row>
    <row r="8391">
      <c r="A8391" s="1" t="s">
        <v>8392</v>
      </c>
      <c r="B8391" s="1" t="s">
        <v>6138</v>
      </c>
      <c r="C8391" s="2">
        <f>IFERROR(__xludf.DUMMYFUNCTION("IFERROR(VLOOKUP(A8391, IMPORTRANGE(""https://docs.google.com/spreadsheets/d/1AVX9GT0dgogEBStecCXMMQ29tWz3gBrtNB8yIromXbY/edit?gid=741673867"", ""out1g!A:B""), 2, FALSE), 0)"),732.0)</f>
        <v>732</v>
      </c>
      <c r="D8391" s="2" t="str">
        <f>IFERROR(__xludf.DUMMYFUNCTION("IFERROR(VLOOKUP(A8391, IMPORTRANGE(""https://docs.google.com/spreadsheets/d/1-3Vjw2Cyy-mry5gbC8ypIR3YVGFfEpyFESummAta6sg/edit"", ""Sheet1!B:D""), 2, FALSE), ""Not Found"")"),"gɪfts")</f>
        <v>gɪfts</v>
      </c>
      <c r="E8391" s="2" t="str">
        <f>IFERROR(__xludf.DUMMYFUNCTION("IFERROR(VLOOKUP(A8391, IMPORTRANGE(""https://docs.google.com/spreadsheets/d/1-3Vjw2Cyy-mry5gbC8ypIR3YVGFfEpyFESummAta6sg/edit"", ""Sheet1!B:D""), 3, FALSE), ""Not Found"")"),"g ɪ f t s ")</f>
        <v>g ɪ f t s </v>
      </c>
    </row>
    <row r="8392">
      <c r="A8392" s="1" t="s">
        <v>8393</v>
      </c>
      <c r="B8392" s="1" t="s">
        <v>6138</v>
      </c>
      <c r="C8392" s="2">
        <f>IFERROR(__xludf.DUMMYFUNCTION("IFERROR(VLOOKUP(A8392, IMPORTRANGE(""https://docs.google.com/spreadsheets/d/1AVX9GT0dgogEBStecCXMMQ29tWz3gBrtNB8yIromXbY/edit?gid=741673867"", ""out1g!A:B""), 2, FALSE), 0)"),60.0)</f>
        <v>60</v>
      </c>
      <c r="D8392" s="2" t="str">
        <f>IFERROR(__xludf.DUMMYFUNCTION("IFERROR(VLOOKUP(A8392, IMPORTRANGE(""https://docs.google.com/spreadsheets/d/1-3Vjw2Cyy-mry5gbC8ypIR3YVGFfEpyFESummAta6sg/edit"", ""Sheet1!B:D""), 2, FALSE), ""Not Found"")"),"ʃaʊərd")</f>
        <v>ʃaʊərd</v>
      </c>
      <c r="E8392" s="2" t="str">
        <f>IFERROR(__xludf.DUMMYFUNCTION("IFERROR(VLOOKUP(A8392, IMPORTRANGE(""https://docs.google.com/spreadsheets/d/1-3Vjw2Cyy-mry5gbC8ypIR3YVGFfEpyFESummAta6sg/edit"", ""Sheet1!B:D""), 3, FALSE), ""Not Found"")"),"ʃ a ʊ ə r d ")</f>
        <v>ʃ a ʊ ə r d </v>
      </c>
    </row>
    <row r="8393">
      <c r="A8393" s="1" t="s">
        <v>8394</v>
      </c>
      <c r="B8393" s="1" t="s">
        <v>6138</v>
      </c>
      <c r="C8393" s="2">
        <f>IFERROR(__xludf.DUMMYFUNCTION("IFERROR(VLOOKUP(A8393, IMPORTRANGE(""https://docs.google.com/spreadsheets/d/1AVX9GT0dgogEBStecCXMMQ29tWz3gBrtNB8yIromXbY/edit?gid=741673867"", ""out1g!A:B""), 2, FALSE), 0)"),78.0)</f>
        <v>78</v>
      </c>
      <c r="D8393" s="2" t="str">
        <f>IFERROR(__xludf.DUMMYFUNCTION("IFERROR(VLOOKUP(A8393, IMPORTRANGE(""https://docs.google.com/spreadsheets/d/1-3Vjw2Cyy-mry5gbC8ypIR3YVGFfEpyFESummAta6sg/edit"", ""Sheet1!B:D""), 2, FALSE), ""Not Found"")"),"bælərd")</f>
        <v>bælərd</v>
      </c>
      <c r="E8393" s="2" t="str">
        <f>IFERROR(__xludf.DUMMYFUNCTION("IFERROR(VLOOKUP(A8393, IMPORTRANGE(""https://docs.google.com/spreadsheets/d/1-3Vjw2Cyy-mry5gbC8ypIR3YVGFfEpyFESummAta6sg/edit"", ""Sheet1!B:D""), 3, FALSE), ""Not Found"")"),"b æ l ə r d ")</f>
        <v>b æ l ə r d </v>
      </c>
    </row>
    <row r="8394">
      <c r="A8394" s="1" t="s">
        <v>8395</v>
      </c>
      <c r="B8394" s="1" t="s">
        <v>6138</v>
      </c>
      <c r="C8394" s="2">
        <f>IFERROR(__xludf.DUMMYFUNCTION("IFERROR(VLOOKUP(A8394, IMPORTRANGE(""https://docs.google.com/spreadsheets/d/1AVX9GT0dgogEBStecCXMMQ29tWz3gBrtNB8yIromXbY/edit?gid=741673867"", ""out1g!A:B""), 2, FALSE), 0)"),554.0)</f>
        <v>554</v>
      </c>
      <c r="D8394" s="2" t="str">
        <f>IFERROR(__xludf.DUMMYFUNCTION("IFERROR(VLOOKUP(A8394, IMPORTRANGE(""https://docs.google.com/spreadsheets/d/1-3Vjw2Cyy-mry5gbC8ypIR3YVGFfEpyFESummAta6sg/edit"", ""Sheet1!B:D""), 2, FALSE), ""Not Found"")"),"ɑnərd")</f>
        <v>ɑnərd</v>
      </c>
      <c r="E8394" s="2" t="str">
        <f>IFERROR(__xludf.DUMMYFUNCTION("IFERROR(VLOOKUP(A8394, IMPORTRANGE(""https://docs.google.com/spreadsheets/d/1-3Vjw2Cyy-mry5gbC8ypIR3YVGFfEpyFESummAta6sg/edit"", ""Sheet1!B:D""), 3, FALSE), ""Not Found"")"),"ɑ n ə r d ")</f>
        <v>ɑ n ə r d </v>
      </c>
    </row>
    <row r="8395">
      <c r="A8395" s="1" t="s">
        <v>8396</v>
      </c>
      <c r="B8395" s="1" t="s">
        <v>6138</v>
      </c>
      <c r="C8395" s="2">
        <f>IFERROR(__xludf.DUMMYFUNCTION("IFERROR(VLOOKUP(A8395, IMPORTRANGE(""https://docs.google.com/spreadsheets/d/1AVX9GT0dgogEBStecCXMMQ29tWz3gBrtNB8yIromXbY/edit?gid=741673867"", ""out1g!A:B""), 2, FALSE), 0)"),1571.0)</f>
        <v>1571</v>
      </c>
      <c r="D8395" s="2" t="str">
        <f>IFERROR(__xludf.DUMMYFUNCTION("IFERROR(VLOOKUP(A8395, IMPORTRANGE(""https://docs.google.com/spreadsheets/d/1-3Vjw2Cyy-mry5gbC8ypIR3YVGFfEpyFESummAta6sg/edit"", ""Sheet1!B:D""), 2, FALSE), ""Not Found"")"),"tʊr")</f>
        <v>tʊr</v>
      </c>
      <c r="E8395" s="2" t="str">
        <f>IFERROR(__xludf.DUMMYFUNCTION("IFERROR(VLOOKUP(A8395, IMPORTRANGE(""https://docs.google.com/spreadsheets/d/1-3Vjw2Cyy-mry5gbC8ypIR3YVGFfEpyFESummAta6sg/edit"", ""Sheet1!B:D""), 3, FALSE), ""Not Found"")"),"t ʊ r ")</f>
        <v>t ʊ r </v>
      </c>
    </row>
    <row r="8396">
      <c r="A8396" s="1" t="s">
        <v>8397</v>
      </c>
      <c r="B8396" s="1" t="s">
        <v>6138</v>
      </c>
      <c r="C8396" s="2">
        <f>IFERROR(__xludf.DUMMYFUNCTION("IFERROR(VLOOKUP(A8396, IMPORTRANGE(""https://docs.google.com/spreadsheets/d/1AVX9GT0dgogEBStecCXMMQ29tWz3gBrtNB8yIromXbY/edit?gid=741673867"", ""out1g!A:B""), 2, FALSE), 0)"),659.0)</f>
        <v>659</v>
      </c>
      <c r="D8396" s="2" t="str">
        <f>IFERROR(__xludf.DUMMYFUNCTION("IFERROR(VLOOKUP(A8396, IMPORTRANGE(""https://docs.google.com/spreadsheets/d/1-3Vjw2Cyy-mry5gbC8ypIR3YVGFfEpyFESummAta6sg/edit"", ""Sheet1!B:D""), 2, FALSE), ""Not Found"")"),"mæʧɪz")</f>
        <v>mæʧɪz</v>
      </c>
      <c r="E8396" s="2" t="str">
        <f>IFERROR(__xludf.DUMMYFUNCTION("IFERROR(VLOOKUP(A8396, IMPORTRANGE(""https://docs.google.com/spreadsheets/d/1-3Vjw2Cyy-mry5gbC8ypIR3YVGFfEpyFESummAta6sg/edit"", ""Sheet1!B:D""), 3, FALSE), ""Not Found"")"),"m æ ʧ ɪ z ")</f>
        <v>m æ ʧ ɪ z </v>
      </c>
    </row>
    <row r="8397">
      <c r="A8397" s="1" t="s">
        <v>8398</v>
      </c>
      <c r="B8397" s="1" t="s">
        <v>6138</v>
      </c>
      <c r="C8397" s="2">
        <f>IFERROR(__xludf.DUMMYFUNCTION("IFERROR(VLOOKUP(A8397, IMPORTRANGE(""https://docs.google.com/spreadsheets/d/1AVX9GT0dgogEBStecCXMMQ29tWz3gBrtNB8yIromXbY/edit?gid=741673867"", ""out1g!A:B""), 2, FALSE), 0)"),259.0)</f>
        <v>259</v>
      </c>
      <c r="D8397" s="2" t="str">
        <f>IFERROR(__xludf.DUMMYFUNCTION("IFERROR(VLOOKUP(A8397, IMPORTRANGE(""https://docs.google.com/spreadsheets/d/1-3Vjw2Cyy-mry5gbC8ypIR3YVGFfEpyFESummAta6sg/edit"", ""Sheet1!B:D""), 2, FALSE), ""Not Found"")"),"trizən")</f>
        <v>trizən</v>
      </c>
      <c r="E8397" s="2" t="str">
        <f>IFERROR(__xludf.DUMMYFUNCTION("IFERROR(VLOOKUP(A8397, IMPORTRANGE(""https://docs.google.com/spreadsheets/d/1-3Vjw2Cyy-mry5gbC8ypIR3YVGFfEpyFESummAta6sg/edit"", ""Sheet1!B:D""), 3, FALSE), ""Not Found"")"),"t r i z ə n ")</f>
        <v>t r i z ə n </v>
      </c>
    </row>
    <row r="8398">
      <c r="A8398" s="1" t="s">
        <v>8399</v>
      </c>
      <c r="B8398" s="1" t="s">
        <v>6138</v>
      </c>
      <c r="C8398" s="2">
        <f>IFERROR(__xludf.DUMMYFUNCTION("IFERROR(VLOOKUP(A8398, IMPORTRANGE(""https://docs.google.com/spreadsheets/d/1AVX9GT0dgogEBStecCXMMQ29tWz3gBrtNB8yIromXbY/edit?gid=741673867"", ""out1g!A:B""), 2, FALSE), 0)"),154.0)</f>
        <v>154</v>
      </c>
      <c r="D8398" s="2" t="str">
        <f>IFERROR(__xludf.DUMMYFUNCTION("IFERROR(VLOOKUP(A8398, IMPORTRANGE(""https://docs.google.com/spreadsheets/d/1-3Vjw2Cyy-mry5gbC8ypIR3YVGFfEpyFESummAta6sg/edit"", ""Sheet1!B:D""), 2, FALSE), ""Not Found"")"),"pɛrɪʃ")</f>
        <v>pɛrɪʃ</v>
      </c>
      <c r="E8398" s="2" t="str">
        <f>IFERROR(__xludf.DUMMYFUNCTION("IFERROR(VLOOKUP(A8398, IMPORTRANGE(""https://docs.google.com/spreadsheets/d/1-3Vjw2Cyy-mry5gbC8ypIR3YVGFfEpyFESummAta6sg/edit"", ""Sheet1!B:D""), 3, FALSE), ""Not Found"")"),"p ɛ r ɪ ʃ ")</f>
        <v>p ɛ r ɪ ʃ </v>
      </c>
    </row>
    <row r="8399">
      <c r="A8399" s="1" t="s">
        <v>8400</v>
      </c>
      <c r="B8399" s="1" t="s">
        <v>6138</v>
      </c>
      <c r="C8399" s="2">
        <f>IFERROR(__xludf.DUMMYFUNCTION("IFERROR(VLOOKUP(A8399, IMPORTRANGE(""https://docs.google.com/spreadsheets/d/1AVX9GT0dgogEBStecCXMMQ29tWz3gBrtNB8yIromXbY/edit?gid=741673867"", ""out1g!A:B""), 2, FALSE), 0)"),3904.0)</f>
        <v>3904</v>
      </c>
      <c r="D8399" s="2" t="str">
        <f>IFERROR(__xludf.DUMMYFUNCTION("IFERROR(VLOOKUP(A8399, IMPORTRANGE(""https://docs.google.com/spreadsheets/d/1-3Vjw2Cyy-mry5gbC8ypIR3YVGFfEpyFESummAta6sg/edit"", ""Sheet1!B:D""), 2, FALSE), ""Not Found"")"),"drəŋk")</f>
        <v>drəŋk</v>
      </c>
      <c r="E8399" s="2" t="str">
        <f>IFERROR(__xludf.DUMMYFUNCTION("IFERROR(VLOOKUP(A8399, IMPORTRANGE(""https://docs.google.com/spreadsheets/d/1-3Vjw2Cyy-mry5gbC8ypIR3YVGFfEpyFESummAta6sg/edit"", ""Sheet1!B:D""), 3, FALSE), ""Not Found"")"),"d r ə ŋ k ")</f>
        <v>d r ə ŋ k </v>
      </c>
    </row>
    <row r="8400">
      <c r="A8400" s="1" t="s">
        <v>8401</v>
      </c>
      <c r="B8400" s="1" t="s">
        <v>6138</v>
      </c>
      <c r="C8400" s="2">
        <f>IFERROR(__xludf.DUMMYFUNCTION("IFERROR(VLOOKUP(A8400, IMPORTRANGE(""https://docs.google.com/spreadsheets/d/1AVX9GT0dgogEBStecCXMMQ29tWz3gBrtNB8yIromXbY/edit?gid=741673867"", ""out1g!A:B""), 2, FALSE), 0)"),121.0)</f>
        <v>121</v>
      </c>
      <c r="D8400" s="2" t="str">
        <f>IFERROR(__xludf.DUMMYFUNCTION("IFERROR(VLOOKUP(A8400, IMPORTRANGE(""https://docs.google.com/spreadsheets/d/1-3Vjw2Cyy-mry5gbC8ypIR3YVGFfEpyFESummAta6sg/edit"", ""Sheet1!B:D""), 2, FALSE), ""Not Found"")"),"flaɪərz")</f>
        <v>flaɪərz</v>
      </c>
      <c r="E8400" s="2" t="str">
        <f>IFERROR(__xludf.DUMMYFUNCTION("IFERROR(VLOOKUP(A8400, IMPORTRANGE(""https://docs.google.com/spreadsheets/d/1-3Vjw2Cyy-mry5gbC8ypIR3YVGFfEpyFESummAta6sg/edit"", ""Sheet1!B:D""), 3, FALSE), ""Not Found"")"),"f l a ɪ ə r z ")</f>
        <v>f l a ɪ ə r z </v>
      </c>
    </row>
    <row r="8401">
      <c r="A8401" s="1" t="s">
        <v>8402</v>
      </c>
      <c r="B8401" s="1" t="s">
        <v>6138</v>
      </c>
      <c r="C8401" s="2">
        <f>IFERROR(__xludf.DUMMYFUNCTION("IFERROR(VLOOKUP(A8401, IMPORTRANGE(""https://docs.google.com/spreadsheets/d/1AVX9GT0dgogEBStecCXMMQ29tWz3gBrtNB8yIromXbY/edit?gid=741673867"", ""out1g!A:B""), 2, FALSE), 0)"),15.0)</f>
        <v>15</v>
      </c>
      <c r="D8401" s="2" t="str">
        <f>IFERROR(__xludf.DUMMYFUNCTION("IFERROR(VLOOKUP(A8401, IMPORTRANGE(""https://docs.google.com/spreadsheets/d/1-3Vjw2Cyy-mry5gbC8ypIR3YVGFfEpyFESummAta6sg/edit"", ""Sheet1!B:D""), 2, FALSE), ""Not Found"")"),"krəks")</f>
        <v>krəks</v>
      </c>
      <c r="E8401" s="2" t="str">
        <f>IFERROR(__xludf.DUMMYFUNCTION("IFERROR(VLOOKUP(A8401, IMPORTRANGE(""https://docs.google.com/spreadsheets/d/1-3Vjw2Cyy-mry5gbC8ypIR3YVGFfEpyFESummAta6sg/edit"", ""Sheet1!B:D""), 3, FALSE), ""Not Found"")"),"k r ə k s ")</f>
        <v>k r ə k s </v>
      </c>
    </row>
    <row r="8402">
      <c r="A8402" s="1" t="s">
        <v>8403</v>
      </c>
      <c r="B8402" s="1" t="s">
        <v>6138</v>
      </c>
      <c r="C8402" s="2">
        <f>IFERROR(__xludf.DUMMYFUNCTION("IFERROR(VLOOKUP(A8402, IMPORTRANGE(""https://docs.google.com/spreadsheets/d/1AVX9GT0dgogEBStecCXMMQ29tWz3gBrtNB8yIromXbY/edit?gid=741673867"", ""out1g!A:B""), 2, FALSE), 0)"),250.0)</f>
        <v>250</v>
      </c>
      <c r="D8402" s="2" t="str">
        <f>IFERROR(__xludf.DUMMYFUNCTION("IFERROR(VLOOKUP(A8402, IMPORTRANGE(""https://docs.google.com/spreadsheets/d/1-3Vjw2Cyy-mry5gbC8ypIR3YVGFfEpyFESummAta6sg/edit"", ""Sheet1!B:D""), 2, FALSE), ""Not Found"")"),"brɪʤɪz")</f>
        <v>brɪʤɪz</v>
      </c>
      <c r="E8402" s="2" t="str">
        <f>IFERROR(__xludf.DUMMYFUNCTION("IFERROR(VLOOKUP(A8402, IMPORTRANGE(""https://docs.google.com/spreadsheets/d/1-3Vjw2Cyy-mry5gbC8ypIR3YVGFfEpyFESummAta6sg/edit"", ""Sheet1!B:D""), 3, FALSE), ""Not Found"")"),"b r ɪ ʤ ɪ z ")</f>
        <v>b r ɪ ʤ ɪ z </v>
      </c>
    </row>
    <row r="8403">
      <c r="A8403" s="1" t="s">
        <v>8404</v>
      </c>
      <c r="B8403" s="1" t="s">
        <v>6138</v>
      </c>
      <c r="C8403" s="2">
        <f>IFERROR(__xludf.DUMMYFUNCTION("IFERROR(VLOOKUP(A8403, IMPORTRANGE(""https://docs.google.com/spreadsheets/d/1AVX9GT0dgogEBStecCXMMQ29tWz3gBrtNB8yIromXbY/edit?gid=741673867"", ""out1g!A:B""), 2, FALSE), 0)"),126.0)</f>
        <v>126</v>
      </c>
      <c r="D8403" s="2" t="str">
        <f>IFERROR(__xludf.DUMMYFUNCTION("IFERROR(VLOOKUP(A8403, IMPORTRANGE(""https://docs.google.com/spreadsheets/d/1-3Vjw2Cyy-mry5gbC8ypIR3YVGFfEpyFESummAta6sg/edit"", ""Sheet1!B:D""), 2, FALSE), ""Not Found"")"),"boʊzoʊ")</f>
        <v>boʊzoʊ</v>
      </c>
      <c r="E8403" s="2" t="str">
        <f>IFERROR(__xludf.DUMMYFUNCTION("IFERROR(VLOOKUP(A8403, IMPORTRANGE(""https://docs.google.com/spreadsheets/d/1-3Vjw2Cyy-mry5gbC8ypIR3YVGFfEpyFESummAta6sg/edit"", ""Sheet1!B:D""), 3, FALSE), ""Not Found"")"),"b o ʊ z o ʊ ")</f>
        <v>b o ʊ z o ʊ </v>
      </c>
    </row>
    <row r="8404">
      <c r="A8404" s="1" t="s">
        <v>8405</v>
      </c>
      <c r="B8404" s="1" t="s">
        <v>6138</v>
      </c>
      <c r="C8404" s="2">
        <f>IFERROR(__xludf.DUMMYFUNCTION("IFERROR(VLOOKUP(A8404, IMPORTRANGE(""https://docs.google.com/spreadsheets/d/1AVX9GT0dgogEBStecCXMMQ29tWz3gBrtNB8yIromXbY/edit?gid=741673867"", ""out1g!A:B""), 2, FALSE), 0)"),217.0)</f>
        <v>217</v>
      </c>
      <c r="D8404" s="2" t="str">
        <f>IFERROR(__xludf.DUMMYFUNCTION("IFERROR(VLOOKUP(A8404, IMPORTRANGE(""https://docs.google.com/spreadsheets/d/1-3Vjw2Cyy-mry5gbC8ypIR3YVGFfEpyFESummAta6sg/edit"", ""Sheet1!B:D""), 2, FALSE), ""Not Found"")"),"taɪgərz")</f>
        <v>taɪgərz</v>
      </c>
      <c r="E8404" s="2" t="str">
        <f>IFERROR(__xludf.DUMMYFUNCTION("IFERROR(VLOOKUP(A8404, IMPORTRANGE(""https://docs.google.com/spreadsheets/d/1-3Vjw2Cyy-mry5gbC8ypIR3YVGFfEpyFESummAta6sg/edit"", ""Sheet1!B:D""), 3, FALSE), ""Not Found"")"),"t a ɪ g ə r z ")</f>
        <v>t a ɪ g ə r z </v>
      </c>
    </row>
    <row r="8405">
      <c r="A8405" s="1" t="s">
        <v>8406</v>
      </c>
      <c r="B8405" s="1" t="s">
        <v>6138</v>
      </c>
      <c r="C8405" s="2">
        <f>IFERROR(__xludf.DUMMYFUNCTION("IFERROR(VLOOKUP(A8405, IMPORTRANGE(""https://docs.google.com/spreadsheets/d/1AVX9GT0dgogEBStecCXMMQ29tWz3gBrtNB8yIromXbY/edit?gid=741673867"", ""out1g!A:B""), 2, FALSE), 0)"),70.0)</f>
        <v>70</v>
      </c>
      <c r="D8405" s="2" t="str">
        <f>IFERROR(__xludf.DUMMYFUNCTION("IFERROR(VLOOKUP(A8405, IMPORTRANGE(""https://docs.google.com/spreadsheets/d/1-3Vjw2Cyy-mry5gbC8ypIR3YVGFfEpyFESummAta6sg/edit"", ""Sheet1!B:D""), 2, FALSE), ""Not Found"")"),"ɛdəbəl")</f>
        <v>ɛdəbəl</v>
      </c>
      <c r="E8405" s="2" t="str">
        <f>IFERROR(__xludf.DUMMYFUNCTION("IFERROR(VLOOKUP(A8405, IMPORTRANGE(""https://docs.google.com/spreadsheets/d/1-3Vjw2Cyy-mry5gbC8ypIR3YVGFfEpyFESummAta6sg/edit"", ""Sheet1!B:D""), 3, FALSE), ""Not Found"")"),"ɛ d ə b ə l ")</f>
        <v>ɛ d ə b ə l </v>
      </c>
    </row>
    <row r="8406">
      <c r="A8406" s="1" t="s">
        <v>8407</v>
      </c>
      <c r="B8406" s="1" t="s">
        <v>6138</v>
      </c>
      <c r="C8406" s="2">
        <f>IFERROR(__xludf.DUMMYFUNCTION("IFERROR(VLOOKUP(A8406, IMPORTRANGE(""https://docs.google.com/spreadsheets/d/1AVX9GT0dgogEBStecCXMMQ29tWz3gBrtNB8yIromXbY/edit?gid=741673867"", ""out1g!A:B""), 2, FALSE), 0)"),54.0)</f>
        <v>54</v>
      </c>
      <c r="D8406" s="2" t="str">
        <f>IFERROR(__xludf.DUMMYFUNCTION("IFERROR(VLOOKUP(A8406, IMPORTRANGE(""https://docs.google.com/spreadsheets/d/1-3Vjw2Cyy-mry5gbC8ypIR3YVGFfEpyFESummAta6sg/edit"", ""Sheet1!B:D""), 2, FALSE), ""Not Found"")"),"ræbəl")</f>
        <v>ræbəl</v>
      </c>
      <c r="E8406" s="2" t="str">
        <f>IFERROR(__xludf.DUMMYFUNCTION("IFERROR(VLOOKUP(A8406, IMPORTRANGE(""https://docs.google.com/spreadsheets/d/1-3Vjw2Cyy-mry5gbC8ypIR3YVGFfEpyFESummAta6sg/edit"", ""Sheet1!B:D""), 3, FALSE), ""Not Found"")"),"r æ b ə l ")</f>
        <v>r æ b ə l </v>
      </c>
    </row>
    <row r="8407">
      <c r="A8407" s="1" t="s">
        <v>8408</v>
      </c>
      <c r="B8407" s="1" t="s">
        <v>6138</v>
      </c>
      <c r="C8407" s="2">
        <f>IFERROR(__xludf.DUMMYFUNCTION("IFERROR(VLOOKUP(A8407, IMPORTRANGE(""https://docs.google.com/spreadsheets/d/1AVX9GT0dgogEBStecCXMMQ29tWz3gBrtNB8yIromXbY/edit?gid=741673867"", ""out1g!A:B""), 2, FALSE), 0)"),48.0)</f>
        <v>48</v>
      </c>
      <c r="D8407" s="2" t="str">
        <f>IFERROR(__xludf.DUMMYFUNCTION("IFERROR(VLOOKUP(A8407, IMPORTRANGE(""https://docs.google.com/spreadsheets/d/1-3Vjw2Cyy-mry5gbC8ypIR3YVGFfEpyFESummAta6sg/edit"", ""Sheet1!B:D""), 2, FALSE), ""Not Found"")"),"mərmər")</f>
        <v>mərmər</v>
      </c>
      <c r="E8407" s="2" t="str">
        <f>IFERROR(__xludf.DUMMYFUNCTION("IFERROR(VLOOKUP(A8407, IMPORTRANGE(""https://docs.google.com/spreadsheets/d/1-3Vjw2Cyy-mry5gbC8ypIR3YVGFfEpyFESummAta6sg/edit"", ""Sheet1!B:D""), 3, FALSE), ""Not Found"")"),"m ə r m ə r ")</f>
        <v>m ə r m ə r </v>
      </c>
    </row>
    <row r="8408">
      <c r="A8408" s="1" t="s">
        <v>8409</v>
      </c>
      <c r="B8408" s="1" t="s">
        <v>6138</v>
      </c>
      <c r="C8408" s="2">
        <f>IFERROR(__xludf.DUMMYFUNCTION("IFERROR(VLOOKUP(A8408, IMPORTRANGE(""https://docs.google.com/spreadsheets/d/1AVX9GT0dgogEBStecCXMMQ29tWz3gBrtNB8yIromXbY/edit?gid=741673867"", ""out1g!A:B""), 2, FALSE), 0)"),559.0)</f>
        <v>559</v>
      </c>
      <c r="D8408" s="2" t="str">
        <f>IFERROR(__xludf.DUMMYFUNCTION("IFERROR(VLOOKUP(A8408, IMPORTRANGE(""https://docs.google.com/spreadsheets/d/1-3Vjw2Cyy-mry5gbC8ypIR3YVGFfEpyFESummAta6sg/edit"", ""Sheet1!B:D""), 2, FALSE), ""Not Found"")"),"kɑləm")</f>
        <v>kɑləm</v>
      </c>
      <c r="E8408" s="2" t="str">
        <f>IFERROR(__xludf.DUMMYFUNCTION("IFERROR(VLOOKUP(A8408, IMPORTRANGE(""https://docs.google.com/spreadsheets/d/1-3Vjw2Cyy-mry5gbC8ypIR3YVGFfEpyFESummAta6sg/edit"", ""Sheet1!B:D""), 3, FALSE), ""Not Found"")"),"k ɑ l ə m ")</f>
        <v>k ɑ l ə m </v>
      </c>
    </row>
    <row r="8409">
      <c r="A8409" s="1" t="s">
        <v>8410</v>
      </c>
      <c r="B8409" s="1" t="s">
        <v>6138</v>
      </c>
      <c r="C8409" s="2">
        <f>IFERROR(__xludf.DUMMYFUNCTION("IFERROR(VLOOKUP(A8409, IMPORTRANGE(""https://docs.google.com/spreadsheets/d/1AVX9GT0dgogEBStecCXMMQ29tWz3gBrtNB8yIromXbY/edit?gid=741673867"", ""out1g!A:B""), 2, FALSE), 0)"),203.0)</f>
        <v>203</v>
      </c>
      <c r="D8409" s="2" t="str">
        <f>IFERROR(__xludf.DUMMYFUNCTION("IFERROR(VLOOKUP(A8409, IMPORTRANGE(""https://docs.google.com/spreadsheets/d/1-3Vjw2Cyy-mry5gbC8ypIR3YVGFfEpyFESummAta6sg/edit"", ""Sheet1!B:D""), 2, FALSE), ""Not Found"")"),"hu")</f>
        <v>hu</v>
      </c>
      <c r="E8409" s="2" t="str">
        <f>IFERROR(__xludf.DUMMYFUNCTION("IFERROR(VLOOKUP(A8409, IMPORTRANGE(""https://docs.google.com/spreadsheets/d/1-3Vjw2Cyy-mry5gbC8ypIR3YVGFfEpyFESummAta6sg/edit"", ""Sheet1!B:D""), 3, FALSE), ""Not Found"")"),"h u ")</f>
        <v>h u </v>
      </c>
    </row>
    <row r="8410">
      <c r="A8410" s="1" t="s">
        <v>8411</v>
      </c>
      <c r="B8410" s="1" t="s">
        <v>6138</v>
      </c>
      <c r="C8410" s="2">
        <f>IFERROR(__xludf.DUMMYFUNCTION("IFERROR(VLOOKUP(A8410, IMPORTRANGE(""https://docs.google.com/spreadsheets/d/1AVX9GT0dgogEBStecCXMMQ29tWz3gBrtNB8yIromXbY/edit?gid=741673867"", ""out1g!A:B""), 2, FALSE), 0)"),93.0)</f>
        <v>93</v>
      </c>
      <c r="D8410" s="2" t="str">
        <f>IFERROR(__xludf.DUMMYFUNCTION("IFERROR(VLOOKUP(A8410, IMPORTRANGE(""https://docs.google.com/spreadsheets/d/1-3Vjw2Cyy-mry5gbC8ypIR3YVGFfEpyFESummAta6sg/edit"", ""Sheet1!B:D""), 2, FALSE), ""Not Found"")"),"ekər")</f>
        <v>ekər</v>
      </c>
      <c r="E8410" s="2" t="str">
        <f>IFERROR(__xludf.DUMMYFUNCTION("IFERROR(VLOOKUP(A8410, IMPORTRANGE(""https://docs.google.com/spreadsheets/d/1-3Vjw2Cyy-mry5gbC8ypIR3YVGFfEpyFESummAta6sg/edit"", ""Sheet1!B:D""), 3, FALSE), ""Not Found"")"),"e k ə r ")</f>
        <v>e k ə r </v>
      </c>
    </row>
    <row r="8411">
      <c r="A8411" s="1" t="s">
        <v>8412</v>
      </c>
      <c r="B8411" s="1" t="s">
        <v>6138</v>
      </c>
      <c r="C8411" s="2">
        <f>IFERROR(__xludf.DUMMYFUNCTION("IFERROR(VLOOKUP(A8411, IMPORTRANGE(""https://docs.google.com/spreadsheets/d/1AVX9GT0dgogEBStecCXMMQ29tWz3gBrtNB8yIromXbY/edit?gid=741673867"", ""out1g!A:B""), 2, FALSE), 0)"),77.0)</f>
        <v>77</v>
      </c>
      <c r="D8411" s="2" t="str">
        <f>IFERROR(__xludf.DUMMYFUNCTION("IFERROR(VLOOKUP(A8411, IMPORTRANGE(""https://docs.google.com/spreadsheets/d/1-3Vjw2Cyy-mry5gbC8ypIR3YVGFfEpyFESummAta6sg/edit"", ""Sheet1!B:D""), 2, FALSE), ""Not Found"")"),"rɪpəl")</f>
        <v>rɪpəl</v>
      </c>
      <c r="E8411" s="2" t="str">
        <f>IFERROR(__xludf.DUMMYFUNCTION("IFERROR(VLOOKUP(A8411, IMPORTRANGE(""https://docs.google.com/spreadsheets/d/1-3Vjw2Cyy-mry5gbC8ypIR3YVGFfEpyFESummAta6sg/edit"", ""Sheet1!B:D""), 3, FALSE), ""Not Found"")"),"r ɪ p ə l ")</f>
        <v>r ɪ p ə l </v>
      </c>
    </row>
    <row r="8412">
      <c r="A8412" s="1" t="s">
        <v>8413</v>
      </c>
      <c r="B8412" s="1" t="s">
        <v>6138</v>
      </c>
      <c r="C8412" s="2">
        <f>IFERROR(__xludf.DUMMYFUNCTION("IFERROR(VLOOKUP(A8412, IMPORTRANGE(""https://docs.google.com/spreadsheets/d/1AVX9GT0dgogEBStecCXMMQ29tWz3gBrtNB8yIromXbY/edit?gid=741673867"", ""out1g!A:B""), 2, FALSE), 0)"),19.0)</f>
        <v>19</v>
      </c>
      <c r="D8412" s="2" t="str">
        <f>IFERROR(__xludf.DUMMYFUNCTION("IFERROR(VLOOKUP(A8412, IMPORTRANGE(""https://docs.google.com/spreadsheets/d/1-3Vjw2Cyy-mry5gbC8ypIR3YVGFfEpyFESummAta6sg/edit"", ""Sheet1!B:D""), 2, FALSE), ""Not Found"")"),"pinoʊ")</f>
        <v>pinoʊ</v>
      </c>
      <c r="E8412" s="2" t="str">
        <f>IFERROR(__xludf.DUMMYFUNCTION("IFERROR(VLOOKUP(A8412, IMPORTRANGE(""https://docs.google.com/spreadsheets/d/1-3Vjw2Cyy-mry5gbC8ypIR3YVGFfEpyFESummAta6sg/edit"", ""Sheet1!B:D""), 3, FALSE), ""Not Found"")"),"p i n o ʊ ")</f>
        <v>p i n o ʊ </v>
      </c>
    </row>
    <row r="8413">
      <c r="A8413" s="1" t="s">
        <v>8414</v>
      </c>
      <c r="B8413" s="1" t="s">
        <v>6138</v>
      </c>
      <c r="C8413" s="2">
        <f>IFERROR(__xludf.DUMMYFUNCTION("IFERROR(VLOOKUP(A8413, IMPORTRANGE(""https://docs.google.com/spreadsheets/d/1AVX9GT0dgogEBStecCXMMQ29tWz3gBrtNB8yIromXbY/edit?gid=741673867"", ""out1g!A:B""), 2, FALSE), 0)"),216.0)</f>
        <v>216</v>
      </c>
      <c r="D8413" s="2" t="str">
        <f>IFERROR(__xludf.DUMMYFUNCTION("IFERROR(VLOOKUP(A8413, IMPORTRANGE(""https://docs.google.com/spreadsheets/d/1-3Vjw2Cyy-mry5gbC8ypIR3YVGFfEpyFESummAta6sg/edit"", ""Sheet1!B:D""), 2, FALSE), ""Not Found"")"),"fɔrʤd")</f>
        <v>fɔrʤd</v>
      </c>
      <c r="E8413" s="2" t="str">
        <f>IFERROR(__xludf.DUMMYFUNCTION("IFERROR(VLOOKUP(A8413, IMPORTRANGE(""https://docs.google.com/spreadsheets/d/1-3Vjw2Cyy-mry5gbC8ypIR3YVGFfEpyFESummAta6sg/edit"", ""Sheet1!B:D""), 3, FALSE), ""Not Found"")"),"f ɔ r ʤ d ")</f>
        <v>f ɔ r ʤ d </v>
      </c>
    </row>
    <row r="8414">
      <c r="A8414" s="1" t="s">
        <v>8415</v>
      </c>
      <c r="B8414" s="1" t="s">
        <v>6138</v>
      </c>
      <c r="C8414" s="2">
        <f>IFERROR(__xludf.DUMMYFUNCTION("IFERROR(VLOOKUP(A8414, IMPORTRANGE(""https://docs.google.com/spreadsheets/d/1AVX9GT0dgogEBStecCXMMQ29tWz3gBrtNB8yIromXbY/edit?gid=741673867"", ""out1g!A:B""), 2, FALSE), 0)"),127.0)</f>
        <v>127</v>
      </c>
      <c r="D8414" s="2" t="str">
        <f>IFERROR(__xludf.DUMMYFUNCTION("IFERROR(VLOOKUP(A8414, IMPORTRANGE(""https://docs.google.com/spreadsheets/d/1-3Vjw2Cyy-mry5gbC8ypIR3YVGFfEpyFESummAta6sg/edit"", ""Sheet1!B:D""), 2, FALSE), ""Not Found"")"),"næk")</f>
        <v>næk</v>
      </c>
      <c r="E8414" s="2" t="str">
        <f>IFERROR(__xludf.DUMMYFUNCTION("IFERROR(VLOOKUP(A8414, IMPORTRANGE(""https://docs.google.com/spreadsheets/d/1-3Vjw2Cyy-mry5gbC8ypIR3YVGFfEpyFESummAta6sg/edit"", ""Sheet1!B:D""), 3, FALSE), ""Not Found"")"),"n æ k ")</f>
        <v>n æ k </v>
      </c>
    </row>
    <row r="8415">
      <c r="A8415" s="1" t="s">
        <v>8416</v>
      </c>
      <c r="B8415" s="1" t="s">
        <v>6138</v>
      </c>
      <c r="C8415" s="2">
        <f>IFERROR(__xludf.DUMMYFUNCTION("IFERROR(VLOOKUP(A8415, IMPORTRANGE(""https://docs.google.com/spreadsheets/d/1AVX9GT0dgogEBStecCXMMQ29tWz3gBrtNB8yIromXbY/edit?gid=741673867"", ""out1g!A:B""), 2, FALSE), 0)"),148.0)</f>
        <v>148</v>
      </c>
      <c r="D8415" s="2" t="str">
        <f>IFERROR(__xludf.DUMMYFUNCTION("IFERROR(VLOOKUP(A8415, IMPORTRANGE(""https://docs.google.com/spreadsheets/d/1-3Vjw2Cyy-mry5gbC8ypIR3YVGFfEpyFESummAta6sg/edit"", ""Sheet1!B:D""), 2, FALSE), ""Not Found"")"),"moʊtərz")</f>
        <v>moʊtərz</v>
      </c>
      <c r="E8415" s="2" t="str">
        <f>IFERROR(__xludf.DUMMYFUNCTION("IFERROR(VLOOKUP(A8415, IMPORTRANGE(""https://docs.google.com/spreadsheets/d/1-3Vjw2Cyy-mry5gbC8ypIR3YVGFfEpyFESummAta6sg/edit"", ""Sheet1!B:D""), 3, FALSE), ""Not Found"")"),"m o ʊ t ə r z ")</f>
        <v>m o ʊ t ə r z </v>
      </c>
    </row>
    <row r="8416">
      <c r="A8416" s="1" t="s">
        <v>8417</v>
      </c>
      <c r="B8416" s="1" t="s">
        <v>6138</v>
      </c>
      <c r="C8416" s="2">
        <f>IFERROR(__xludf.DUMMYFUNCTION("IFERROR(VLOOKUP(A8416, IMPORTRANGE(""https://docs.google.com/spreadsheets/d/1AVX9GT0dgogEBStecCXMMQ29tWz3gBrtNB8yIromXbY/edit?gid=741673867"", ""out1g!A:B""), 2, FALSE), 0)"),102.0)</f>
        <v>102</v>
      </c>
      <c r="D8416" s="2" t="str">
        <f>IFERROR(__xludf.DUMMYFUNCTION("IFERROR(VLOOKUP(A8416, IMPORTRANGE(""https://docs.google.com/spreadsheets/d/1-3Vjw2Cyy-mry5gbC8ypIR3YVGFfEpyFESummAta6sg/edit"", ""Sheet1!B:D""), 2, FALSE), ""Not Found"")"),"bʊkər")</f>
        <v>bʊkər</v>
      </c>
      <c r="E8416" s="2" t="str">
        <f>IFERROR(__xludf.DUMMYFUNCTION("IFERROR(VLOOKUP(A8416, IMPORTRANGE(""https://docs.google.com/spreadsheets/d/1-3Vjw2Cyy-mry5gbC8ypIR3YVGFfEpyFESummAta6sg/edit"", ""Sheet1!B:D""), 3, FALSE), ""Not Found"")"),"b ʊ k ə r ")</f>
        <v>b ʊ k ə r </v>
      </c>
    </row>
    <row r="8417">
      <c r="A8417" s="1" t="s">
        <v>8418</v>
      </c>
      <c r="B8417" s="1" t="s">
        <v>6138</v>
      </c>
      <c r="C8417" s="2">
        <f>IFERROR(__xludf.DUMMYFUNCTION("IFERROR(VLOOKUP(A8417, IMPORTRANGE(""https://docs.google.com/spreadsheets/d/1AVX9GT0dgogEBStecCXMMQ29tWz3gBrtNB8yIromXbY/edit?gid=741673867"", ""out1g!A:B""), 2, FALSE), 0)"),819.0)</f>
        <v>819</v>
      </c>
      <c r="D8417" s="2" t="str">
        <f>IFERROR(__xludf.DUMMYFUNCTION("IFERROR(VLOOKUP(A8417, IMPORTRANGE(""https://docs.google.com/spreadsheets/d/1-3Vjw2Cyy-mry5gbC8ypIR3YVGFfEpyFESummAta6sg/edit"", ""Sheet1!B:D""), 2, FALSE), ""Not Found"")"),"gretər")</f>
        <v>gretər</v>
      </c>
      <c r="E8417" s="2" t="str">
        <f>IFERROR(__xludf.DUMMYFUNCTION("IFERROR(VLOOKUP(A8417, IMPORTRANGE(""https://docs.google.com/spreadsheets/d/1-3Vjw2Cyy-mry5gbC8ypIR3YVGFfEpyFESummAta6sg/edit"", ""Sheet1!B:D""), 3, FALSE), ""Not Found"")"),"g r e t ə r ")</f>
        <v>g r e t ə r </v>
      </c>
    </row>
    <row r="8418">
      <c r="A8418" s="1" t="s">
        <v>8419</v>
      </c>
      <c r="B8418" s="1" t="s">
        <v>6138</v>
      </c>
      <c r="C8418" s="2">
        <f>IFERROR(__xludf.DUMMYFUNCTION("IFERROR(VLOOKUP(A8418, IMPORTRANGE(""https://docs.google.com/spreadsheets/d/1AVX9GT0dgogEBStecCXMMQ29tWz3gBrtNB8yIromXbY/edit?gid=741673867"", ""out1g!A:B""), 2, FALSE), 0)"),156.0)</f>
        <v>156</v>
      </c>
      <c r="D8418" s="2" t="str">
        <f>IFERROR(__xludf.DUMMYFUNCTION("IFERROR(VLOOKUP(A8418, IMPORTRANGE(""https://docs.google.com/spreadsheets/d/1-3Vjw2Cyy-mry5gbC8ypIR3YVGFfEpyFESummAta6sg/edit"", ""Sheet1!B:D""), 2, FALSE), ""Not Found"")"),"ɑnərd")</f>
        <v>ɑnərd</v>
      </c>
      <c r="E8418" s="2" t="str">
        <f>IFERROR(__xludf.DUMMYFUNCTION("IFERROR(VLOOKUP(A8418, IMPORTRANGE(""https://docs.google.com/spreadsheets/d/1-3Vjw2Cyy-mry5gbC8ypIR3YVGFfEpyFESummAta6sg/edit"", ""Sheet1!B:D""), 3, FALSE), ""Not Found"")"),"ɑ n ə r d ")</f>
        <v>ɑ n ə r d </v>
      </c>
    </row>
    <row r="8419">
      <c r="A8419" s="1" t="s">
        <v>8420</v>
      </c>
      <c r="B8419" s="1" t="s">
        <v>6138</v>
      </c>
      <c r="C8419" s="2">
        <f>IFERROR(__xludf.DUMMYFUNCTION("IFERROR(VLOOKUP(A8419, IMPORTRANGE(""https://docs.google.com/spreadsheets/d/1AVX9GT0dgogEBStecCXMMQ29tWz3gBrtNB8yIromXbY/edit?gid=741673867"", ""out1g!A:B""), 2, FALSE), 0)"),1114.0)</f>
        <v>1114</v>
      </c>
      <c r="D8419" s="2" t="str">
        <f>IFERROR(__xludf.DUMMYFUNCTION("IFERROR(VLOOKUP(A8419, IMPORTRANGE(""https://docs.google.com/spreadsheets/d/1-3Vjw2Cyy-mry5gbC8ypIR3YVGFfEpyFESummAta6sg/edit"", ""Sheet1!B:D""), 2, FALSE), ""Not Found"")"),"sɛnts")</f>
        <v>sɛnts</v>
      </c>
      <c r="E8419" s="2" t="str">
        <f>IFERROR(__xludf.DUMMYFUNCTION("IFERROR(VLOOKUP(A8419, IMPORTRANGE(""https://docs.google.com/spreadsheets/d/1-3Vjw2Cyy-mry5gbC8ypIR3YVGFfEpyFESummAta6sg/edit"", ""Sheet1!B:D""), 3, FALSE), ""Not Found"")"),"s ɛ n t s ")</f>
        <v>s ɛ n t s </v>
      </c>
    </row>
    <row r="8420">
      <c r="A8420" s="1" t="s">
        <v>8421</v>
      </c>
      <c r="B8420" s="1" t="s">
        <v>6138</v>
      </c>
      <c r="C8420" s="2">
        <f>IFERROR(__xludf.DUMMYFUNCTION("IFERROR(VLOOKUP(A8420, IMPORTRANGE(""https://docs.google.com/spreadsheets/d/1AVX9GT0dgogEBStecCXMMQ29tWz3gBrtNB8yIromXbY/edit?gid=741673867"", ""out1g!A:B""), 2, FALSE), 0)"),283.0)</f>
        <v>283</v>
      </c>
      <c r="D8420" s="2" t="str">
        <f>IFERROR(__xludf.DUMMYFUNCTION("IFERROR(VLOOKUP(A8420, IMPORTRANGE(""https://docs.google.com/spreadsheets/d/1-3Vjw2Cyy-mry5gbC8ypIR3YVGFfEpyFESummAta6sg/edit"", ""Sheet1!B:D""), 2, FALSE), ""Not Found"")"),"fɔrmən")</f>
        <v>fɔrmən</v>
      </c>
      <c r="E8420" s="2" t="str">
        <f>IFERROR(__xludf.DUMMYFUNCTION("IFERROR(VLOOKUP(A8420, IMPORTRANGE(""https://docs.google.com/spreadsheets/d/1-3Vjw2Cyy-mry5gbC8ypIR3YVGFfEpyFESummAta6sg/edit"", ""Sheet1!B:D""), 3, FALSE), ""Not Found"")"),"f ɔ r m ə n ")</f>
        <v>f ɔ r m ə n </v>
      </c>
    </row>
    <row r="8421">
      <c r="A8421" s="1" t="s">
        <v>8422</v>
      </c>
      <c r="B8421" s="1" t="s">
        <v>6138</v>
      </c>
      <c r="C8421" s="2">
        <f>IFERROR(__xludf.DUMMYFUNCTION("IFERROR(VLOOKUP(A8421, IMPORTRANGE(""https://docs.google.com/spreadsheets/d/1AVX9GT0dgogEBStecCXMMQ29tWz3gBrtNB8yIromXbY/edit?gid=741673867"", ""out1g!A:B""), 2, FALSE), 0)"),175.0)</f>
        <v>175</v>
      </c>
      <c r="D8421" s="2" t="str">
        <f>IFERROR(__xludf.DUMMYFUNCTION("IFERROR(VLOOKUP(A8421, IMPORTRANGE(""https://docs.google.com/spreadsheets/d/1-3Vjw2Cyy-mry5gbC8ypIR3YVGFfEpyFESummAta6sg/edit"", ""Sheet1!B:D""), 2, FALSE), ""Not Found"")"),"mɔrnɪŋ")</f>
        <v>mɔrnɪŋ</v>
      </c>
      <c r="E8421" s="2" t="str">
        <f>IFERROR(__xludf.DUMMYFUNCTION("IFERROR(VLOOKUP(A8421, IMPORTRANGE(""https://docs.google.com/spreadsheets/d/1-3Vjw2Cyy-mry5gbC8ypIR3YVGFfEpyFESummAta6sg/edit"", ""Sheet1!B:D""), 3, FALSE), ""Not Found"")"),"m ɔ r n ɪ ŋ ")</f>
        <v>m ɔ r n ɪ ŋ </v>
      </c>
    </row>
    <row r="8422">
      <c r="A8422" s="1" t="s">
        <v>8423</v>
      </c>
      <c r="B8422" s="1" t="s">
        <v>6138</v>
      </c>
      <c r="C8422" s="2">
        <f>IFERROR(__xludf.DUMMYFUNCTION("IFERROR(VLOOKUP(A8422, IMPORTRANGE(""https://docs.google.com/spreadsheets/d/1AVX9GT0dgogEBStecCXMMQ29tWz3gBrtNB8yIromXbY/edit?gid=741673867"", ""out1g!A:B""), 2, FALSE), 0)"),988.0)</f>
        <v>988</v>
      </c>
      <c r="D8422" s="2" t="str">
        <f>IFERROR(__xludf.DUMMYFUNCTION("IFERROR(VLOOKUP(A8422, IMPORTRANGE(""https://docs.google.com/spreadsheets/d/1-3Vjw2Cyy-mry5gbC8ypIR3YVGFfEpyFESummAta6sg/edit"", ""Sheet1!B:D""), 2, FALSE), ""Not Found"")"),"səpər")</f>
        <v>səpər</v>
      </c>
      <c r="E8422" s="2" t="str">
        <f>IFERROR(__xludf.DUMMYFUNCTION("IFERROR(VLOOKUP(A8422, IMPORTRANGE(""https://docs.google.com/spreadsheets/d/1-3Vjw2Cyy-mry5gbC8ypIR3YVGFfEpyFESummAta6sg/edit"", ""Sheet1!B:D""), 3, FALSE), ""Not Found"")"),"s ə p ə r ")</f>
        <v>s ə p ə r </v>
      </c>
    </row>
    <row r="8423">
      <c r="A8423" s="1" t="s">
        <v>8424</v>
      </c>
      <c r="B8423" s="1" t="s">
        <v>6138</v>
      </c>
      <c r="C8423" s="2">
        <f>IFERROR(__xludf.DUMMYFUNCTION("IFERROR(VLOOKUP(A8423, IMPORTRANGE(""https://docs.google.com/spreadsheets/d/1AVX9GT0dgogEBStecCXMMQ29tWz3gBrtNB8yIromXbY/edit?gid=741673867"", ""out1g!A:B""), 2, FALSE), 0)"),15.0)</f>
        <v>15</v>
      </c>
      <c r="D8423" s="2" t="str">
        <f>IFERROR(__xludf.DUMMYFUNCTION("IFERROR(VLOOKUP(A8423, IMPORTRANGE(""https://docs.google.com/spreadsheets/d/1-3Vjw2Cyy-mry5gbC8ypIR3YVGFfEpyFESummAta6sg/edit"", ""Sheet1!B:D""), 2, FALSE), ""Not Found"")"),"mɔrnz")</f>
        <v>mɔrnz</v>
      </c>
      <c r="E8423" s="2" t="str">
        <f>IFERROR(__xludf.DUMMYFUNCTION("IFERROR(VLOOKUP(A8423, IMPORTRANGE(""https://docs.google.com/spreadsheets/d/1-3Vjw2Cyy-mry5gbC8ypIR3YVGFfEpyFESummAta6sg/edit"", ""Sheet1!B:D""), 3, FALSE), ""Not Found"")"),"m ɔ r n z ")</f>
        <v>m ɔ r n z </v>
      </c>
    </row>
    <row r="8424">
      <c r="A8424" s="1" t="s">
        <v>8425</v>
      </c>
      <c r="B8424" s="1" t="s">
        <v>6138</v>
      </c>
      <c r="C8424" s="2">
        <f>IFERROR(__xludf.DUMMYFUNCTION("IFERROR(VLOOKUP(A8424, IMPORTRANGE(""https://docs.google.com/spreadsheets/d/1AVX9GT0dgogEBStecCXMMQ29tWz3gBrtNB8yIromXbY/edit?gid=741673867"", ""out1g!A:B""), 2, FALSE), 0)"),95.0)</f>
        <v>95</v>
      </c>
      <c r="D8424" s="2" t="str">
        <f>IFERROR(__xludf.DUMMYFUNCTION("IFERROR(VLOOKUP(A8424, IMPORTRANGE(""https://docs.google.com/spreadsheets/d/1-3Vjw2Cyy-mry5gbC8ypIR3YVGFfEpyFESummAta6sg/edit"", ""Sheet1!B:D""), 2, FALSE), ""Not Found"")"),"ʧəŋks")</f>
        <v>ʧəŋks</v>
      </c>
      <c r="E8424" s="2" t="str">
        <f>IFERROR(__xludf.DUMMYFUNCTION("IFERROR(VLOOKUP(A8424, IMPORTRANGE(""https://docs.google.com/spreadsheets/d/1-3Vjw2Cyy-mry5gbC8ypIR3YVGFfEpyFESummAta6sg/edit"", ""Sheet1!B:D""), 3, FALSE), ""Not Found"")"),"ʧ ə ŋ k s ")</f>
        <v>ʧ ə ŋ k s </v>
      </c>
    </row>
    <row r="8425">
      <c r="A8425" s="1" t="s">
        <v>8426</v>
      </c>
      <c r="B8425" s="1" t="s">
        <v>6138</v>
      </c>
      <c r="C8425" s="2">
        <f>IFERROR(__xludf.DUMMYFUNCTION("IFERROR(VLOOKUP(A8425, IMPORTRANGE(""https://docs.google.com/spreadsheets/d/1AVX9GT0dgogEBStecCXMMQ29tWz3gBrtNB8yIromXbY/edit?gid=741673867"", ""out1g!A:B""), 2, FALSE), 0)"),372.0)</f>
        <v>372</v>
      </c>
      <c r="D8425" s="2" t="str">
        <f>IFERROR(__xludf.DUMMYFUNCTION("IFERROR(VLOOKUP(A8425, IMPORTRANGE(""https://docs.google.com/spreadsheets/d/1-3Vjw2Cyy-mry5gbC8ypIR3YVGFfEpyFESummAta6sg/edit"", ""Sheet1!B:D""), 2, FALSE), ""Not Found"")"),"pænəl")</f>
        <v>pænəl</v>
      </c>
      <c r="E8425" s="2" t="str">
        <f>IFERROR(__xludf.DUMMYFUNCTION("IFERROR(VLOOKUP(A8425, IMPORTRANGE(""https://docs.google.com/spreadsheets/d/1-3Vjw2Cyy-mry5gbC8ypIR3YVGFfEpyFESummAta6sg/edit"", ""Sheet1!B:D""), 3, FALSE), ""Not Found"")"),"p æ n ə l ")</f>
        <v>p æ n ə l </v>
      </c>
    </row>
    <row r="8426">
      <c r="A8426" s="1" t="s">
        <v>8427</v>
      </c>
      <c r="B8426" s="1" t="s">
        <v>6138</v>
      </c>
      <c r="C8426" s="2">
        <f>IFERROR(__xludf.DUMMYFUNCTION("IFERROR(VLOOKUP(A8426, IMPORTRANGE(""https://docs.google.com/spreadsheets/d/1AVX9GT0dgogEBStecCXMMQ29tWz3gBrtNB8yIromXbY/edit?gid=741673867"", ""out1g!A:B""), 2, FALSE), 0)"),378.0)</f>
        <v>378</v>
      </c>
      <c r="D8426" s="2" t="str">
        <f>IFERROR(__xludf.DUMMYFUNCTION("IFERROR(VLOOKUP(A8426, IMPORTRANGE(""https://docs.google.com/spreadsheets/d/1-3Vjw2Cyy-mry5gbC8ypIR3YVGFfEpyFESummAta6sg/edit"", ""Sheet1!B:D""), 2, FALSE), ""Not Found"")"),"æŋkər")</f>
        <v>æŋkər</v>
      </c>
      <c r="E8426" s="2" t="str">
        <f>IFERROR(__xludf.DUMMYFUNCTION("IFERROR(VLOOKUP(A8426, IMPORTRANGE(""https://docs.google.com/spreadsheets/d/1-3Vjw2Cyy-mry5gbC8ypIR3YVGFfEpyFESummAta6sg/edit"", ""Sheet1!B:D""), 3, FALSE), ""Not Found"")"),"æ ŋ k ə r ")</f>
        <v>æ ŋ k ə r </v>
      </c>
    </row>
    <row r="8427">
      <c r="A8427" s="1" t="s">
        <v>8428</v>
      </c>
      <c r="B8427" s="1" t="s">
        <v>6138</v>
      </c>
      <c r="C8427" s="2">
        <f>IFERROR(__xludf.DUMMYFUNCTION("IFERROR(VLOOKUP(A8427, IMPORTRANGE(""https://docs.google.com/spreadsheets/d/1AVX9GT0dgogEBStecCXMMQ29tWz3gBrtNB8yIromXbY/edit?gid=741673867"", ""out1g!A:B""), 2, FALSE), 0)"),230.0)</f>
        <v>230</v>
      </c>
      <c r="D8427" s="2" t="str">
        <f>IFERROR(__xludf.DUMMYFUNCTION("IFERROR(VLOOKUP(A8427, IMPORTRANGE(""https://docs.google.com/spreadsheets/d/1-3Vjw2Cyy-mry5gbC8ypIR3YVGFfEpyFESummAta6sg/edit"", ""Sheet1!B:D""), 2, FALSE), ""Not Found"")"),"sərfɪŋ")</f>
        <v>sərfɪŋ</v>
      </c>
      <c r="E8427" s="2" t="str">
        <f>IFERROR(__xludf.DUMMYFUNCTION("IFERROR(VLOOKUP(A8427, IMPORTRANGE(""https://docs.google.com/spreadsheets/d/1-3Vjw2Cyy-mry5gbC8ypIR3YVGFfEpyFESummAta6sg/edit"", ""Sheet1!B:D""), 3, FALSE), ""Not Found"")"),"s ə r f ɪ ŋ ")</f>
        <v>s ə r f ɪ ŋ </v>
      </c>
    </row>
    <row r="8428">
      <c r="A8428" s="1" t="s">
        <v>8429</v>
      </c>
      <c r="B8428" s="1" t="s">
        <v>6138</v>
      </c>
      <c r="C8428" s="2">
        <f>IFERROR(__xludf.DUMMYFUNCTION("IFERROR(VLOOKUP(A8428, IMPORTRANGE(""https://docs.google.com/spreadsheets/d/1AVX9GT0dgogEBStecCXMMQ29tWz3gBrtNB8yIromXbY/edit?gid=741673867"", ""out1g!A:B""), 2, FALSE), 0)"),495.0)</f>
        <v>495</v>
      </c>
      <c r="D8428" s="2" t="str">
        <f>IFERROR(__xludf.DUMMYFUNCTION("IFERROR(VLOOKUP(A8428, IMPORTRANGE(""https://docs.google.com/spreadsheets/d/1-3Vjw2Cyy-mry5gbC8ypIR3YVGFfEpyFESummAta6sg/edit"", ""Sheet1!B:D""), 2, FALSE), ""Not Found"")"),"blæŋk")</f>
        <v>blæŋk</v>
      </c>
      <c r="E8428" s="2" t="str">
        <f>IFERROR(__xludf.DUMMYFUNCTION("IFERROR(VLOOKUP(A8428, IMPORTRANGE(""https://docs.google.com/spreadsheets/d/1-3Vjw2Cyy-mry5gbC8ypIR3YVGFfEpyFESummAta6sg/edit"", ""Sheet1!B:D""), 3, FALSE), ""Not Found"")"),"b l æ ŋ k ")</f>
        <v>b l æ ŋ k </v>
      </c>
    </row>
    <row r="8429">
      <c r="A8429" s="1" t="s">
        <v>8430</v>
      </c>
      <c r="B8429" s="1" t="s">
        <v>6138</v>
      </c>
      <c r="C8429" s="2">
        <f>IFERROR(__xludf.DUMMYFUNCTION("IFERROR(VLOOKUP(A8429, IMPORTRANGE(""https://docs.google.com/spreadsheets/d/1AVX9GT0dgogEBStecCXMMQ29tWz3gBrtNB8yIromXbY/edit?gid=741673867"", ""out1g!A:B""), 2, FALSE), 0)"),1950.0)</f>
        <v>1950</v>
      </c>
      <c r="D8429" s="2" t="str">
        <f>IFERROR(__xludf.DUMMYFUNCTION("IFERROR(VLOOKUP(A8429, IMPORTRANGE(""https://docs.google.com/spreadsheets/d/1-3Vjw2Cyy-mry5gbC8ypIR3YVGFfEpyFESummAta6sg/edit"", ""Sheet1!B:D""), 2, FALSE), ""Not Found"")"),"bʊlət")</f>
        <v>bʊlət</v>
      </c>
      <c r="E8429" s="2" t="str">
        <f>IFERROR(__xludf.DUMMYFUNCTION("IFERROR(VLOOKUP(A8429, IMPORTRANGE(""https://docs.google.com/spreadsheets/d/1-3Vjw2Cyy-mry5gbC8ypIR3YVGFfEpyFESummAta6sg/edit"", ""Sheet1!B:D""), 3, FALSE), ""Not Found"")"),"b ʊ l ə t ")</f>
        <v>b ʊ l ə t </v>
      </c>
    </row>
    <row r="8430">
      <c r="A8430" s="1" t="s">
        <v>8431</v>
      </c>
      <c r="B8430" s="1" t="s">
        <v>6138</v>
      </c>
      <c r="C8430" s="2">
        <f>IFERROR(__xludf.DUMMYFUNCTION("IFERROR(VLOOKUP(A8430, IMPORTRANGE(""https://docs.google.com/spreadsheets/d/1AVX9GT0dgogEBStecCXMMQ29tWz3gBrtNB8yIromXbY/edit?gid=741673867"", ""out1g!A:B""), 2, FALSE), 0)"),89.0)</f>
        <v>89</v>
      </c>
      <c r="D8430" s="2" t="str">
        <f>IFERROR(__xludf.DUMMYFUNCTION("IFERROR(VLOOKUP(A8430, IMPORTRANGE(""https://docs.google.com/spreadsheets/d/1-3Vjw2Cyy-mry5gbC8ypIR3YVGFfEpyFESummAta6sg/edit"", ""Sheet1!B:D""), 2, FALSE), ""Not Found"")"),"mevɪs")</f>
        <v>mevɪs</v>
      </c>
      <c r="E8430" s="2" t="str">
        <f>IFERROR(__xludf.DUMMYFUNCTION("IFERROR(VLOOKUP(A8430, IMPORTRANGE(""https://docs.google.com/spreadsheets/d/1-3Vjw2Cyy-mry5gbC8ypIR3YVGFfEpyFESummAta6sg/edit"", ""Sheet1!B:D""), 3, FALSE), ""Not Found"")"),"m e v ɪ s ")</f>
        <v>m e v ɪ s </v>
      </c>
    </row>
    <row r="8431">
      <c r="A8431" s="1" t="s">
        <v>8432</v>
      </c>
      <c r="B8431" s="1" t="s">
        <v>6138</v>
      </c>
      <c r="C8431" s="2">
        <f>IFERROR(__xludf.DUMMYFUNCTION("IFERROR(VLOOKUP(A8431, IMPORTRANGE(""https://docs.google.com/spreadsheets/d/1AVX9GT0dgogEBStecCXMMQ29tWz3gBrtNB8yIromXbY/edit?gid=741673867"", ""out1g!A:B""), 2, FALSE), 0)"),255.0)</f>
        <v>255</v>
      </c>
      <c r="D8431" s="2" t="str">
        <f>IFERROR(__xludf.DUMMYFUNCTION("IFERROR(VLOOKUP(A8431, IMPORTRANGE(""https://docs.google.com/spreadsheets/d/1-3Vjw2Cyy-mry5gbC8ypIR3YVGFfEpyFESummAta6sg/edit"", ""Sheet1!B:D""), 2, FALSE), ""Not Found"")"),"nɛmoʊ")</f>
        <v>nɛmoʊ</v>
      </c>
      <c r="E8431" s="2" t="str">
        <f>IFERROR(__xludf.DUMMYFUNCTION("IFERROR(VLOOKUP(A8431, IMPORTRANGE(""https://docs.google.com/spreadsheets/d/1-3Vjw2Cyy-mry5gbC8ypIR3YVGFfEpyFESummAta6sg/edit"", ""Sheet1!B:D""), 3, FALSE), ""Not Found"")"),"n ɛ m o ʊ ")</f>
        <v>n ɛ m o ʊ </v>
      </c>
    </row>
    <row r="8432">
      <c r="A8432" s="1" t="s">
        <v>8433</v>
      </c>
      <c r="B8432" s="1" t="s">
        <v>6138</v>
      </c>
      <c r="C8432" s="2">
        <f>IFERROR(__xludf.DUMMYFUNCTION("IFERROR(VLOOKUP(A8432, IMPORTRANGE(""https://docs.google.com/spreadsheets/d/1AVX9GT0dgogEBStecCXMMQ29tWz3gBrtNB8yIromXbY/edit?gid=741673867"", ""out1g!A:B""), 2, FALSE), 0)"),332.0)</f>
        <v>332</v>
      </c>
      <c r="D8432" s="2" t="str">
        <f>IFERROR(__xludf.DUMMYFUNCTION("IFERROR(VLOOKUP(A8432, IMPORTRANGE(""https://docs.google.com/spreadsheets/d/1-3Vjw2Cyy-mry5gbC8ypIR3YVGFfEpyFESummAta6sg/edit"", ""Sheet1!B:D""), 2, FALSE), ""Not Found"")"),"mɑrɪs")</f>
        <v>mɑrɪs</v>
      </c>
      <c r="E8432" s="2" t="str">
        <f>IFERROR(__xludf.DUMMYFUNCTION("IFERROR(VLOOKUP(A8432, IMPORTRANGE(""https://docs.google.com/spreadsheets/d/1-3Vjw2Cyy-mry5gbC8ypIR3YVGFfEpyFESummAta6sg/edit"", ""Sheet1!B:D""), 3, FALSE), ""Not Found"")"),"m ɑ r ɪ s ")</f>
        <v>m ɑ r ɪ s </v>
      </c>
    </row>
    <row r="8433">
      <c r="A8433" s="1" t="s">
        <v>8434</v>
      </c>
      <c r="B8433" s="1" t="s">
        <v>6138</v>
      </c>
      <c r="C8433" s="2">
        <f>IFERROR(__xludf.DUMMYFUNCTION("IFERROR(VLOOKUP(A8433, IMPORTRANGE(""https://docs.google.com/spreadsheets/d/1AVX9GT0dgogEBStecCXMMQ29tWz3gBrtNB8yIromXbY/edit?gid=741673867"", ""out1g!A:B""), 2, FALSE), 0)"),126.0)</f>
        <v>126</v>
      </c>
      <c r="D8433" s="2" t="str">
        <f>IFERROR(__xludf.DUMMYFUNCTION("IFERROR(VLOOKUP(A8433, IMPORTRANGE(""https://docs.google.com/spreadsheets/d/1-3Vjw2Cyy-mry5gbC8ypIR3YVGFfEpyFESummAta6sg/edit"", ""Sheet1!B:D""), 2, FALSE), ""Not Found"")"),"liʤən")</f>
        <v>liʤən</v>
      </c>
      <c r="E8433" s="2" t="str">
        <f>IFERROR(__xludf.DUMMYFUNCTION("IFERROR(VLOOKUP(A8433, IMPORTRANGE(""https://docs.google.com/spreadsheets/d/1-3Vjw2Cyy-mry5gbC8ypIR3YVGFfEpyFESummAta6sg/edit"", ""Sheet1!B:D""), 3, FALSE), ""Not Found"")"),"l i ʤ ə n ")</f>
        <v>l i ʤ ə n </v>
      </c>
    </row>
    <row r="8434">
      <c r="A8434" s="1" t="s">
        <v>8435</v>
      </c>
      <c r="B8434" s="1" t="s">
        <v>6138</v>
      </c>
      <c r="C8434" s="2">
        <f>IFERROR(__xludf.DUMMYFUNCTION("IFERROR(VLOOKUP(A8434, IMPORTRANGE(""https://docs.google.com/spreadsheets/d/1AVX9GT0dgogEBStecCXMMQ29tWz3gBrtNB8yIromXbY/edit?gid=741673867"", ""out1g!A:B""), 2, FALSE), 0)"),463.0)</f>
        <v>463</v>
      </c>
      <c r="D8434" s="2" t="str">
        <f>IFERROR(__xludf.DUMMYFUNCTION("IFERROR(VLOOKUP(A8434, IMPORTRANGE(""https://docs.google.com/spreadsheets/d/1-3Vjw2Cyy-mry5gbC8ypIR3YVGFfEpyFESummAta6sg/edit"", ""Sheet1!B:D""), 2, FALSE), ""Not Found"")"),"del")</f>
        <v>del</v>
      </c>
      <c r="E8434" s="2" t="str">
        <f>IFERROR(__xludf.DUMMYFUNCTION("IFERROR(VLOOKUP(A8434, IMPORTRANGE(""https://docs.google.com/spreadsheets/d/1-3Vjw2Cyy-mry5gbC8ypIR3YVGFfEpyFESummAta6sg/edit"", ""Sheet1!B:D""), 3, FALSE), ""Not Found"")"),"d e l ")</f>
        <v>d e l </v>
      </c>
    </row>
    <row r="8435">
      <c r="A8435" s="1" t="s">
        <v>8436</v>
      </c>
      <c r="B8435" s="1" t="s">
        <v>6138</v>
      </c>
      <c r="C8435" s="2">
        <f>IFERROR(__xludf.DUMMYFUNCTION("IFERROR(VLOOKUP(A8435, IMPORTRANGE(""https://docs.google.com/spreadsheets/d/1AVX9GT0dgogEBStecCXMMQ29tWz3gBrtNB8yIromXbY/edit?gid=741673867"", ""out1g!A:B""), 2, FALSE), 0)"),677.0)</f>
        <v>677</v>
      </c>
      <c r="D8435" s="2" t="str">
        <f>IFERROR(__xludf.DUMMYFUNCTION("IFERROR(VLOOKUP(A8435, IMPORTRANGE(""https://docs.google.com/spreadsheets/d/1-3Vjw2Cyy-mry5gbC8ypIR3YVGFfEpyFESummAta6sg/edit"", ""Sheet1!B:D""), 2, FALSE), ""Not Found"")"),"hɛvənz")</f>
        <v>hɛvənz</v>
      </c>
      <c r="E8435" s="2" t="str">
        <f>IFERROR(__xludf.DUMMYFUNCTION("IFERROR(VLOOKUP(A8435, IMPORTRANGE(""https://docs.google.com/spreadsheets/d/1-3Vjw2Cyy-mry5gbC8ypIR3YVGFfEpyFESummAta6sg/edit"", ""Sheet1!B:D""), 3, FALSE), ""Not Found"")"),"h ɛ v ə n z ")</f>
        <v>h ɛ v ə n z </v>
      </c>
    </row>
    <row r="8436">
      <c r="A8436" s="1" t="s">
        <v>8437</v>
      </c>
      <c r="B8436" s="1" t="s">
        <v>6138</v>
      </c>
      <c r="C8436" s="2">
        <f>IFERROR(__xludf.DUMMYFUNCTION("IFERROR(VLOOKUP(A8436, IMPORTRANGE(""https://docs.google.com/spreadsheets/d/1AVX9GT0dgogEBStecCXMMQ29tWz3gBrtNB8yIromXbY/edit?gid=741673867"", ""out1g!A:B""), 2, FALSE), 0)"),69.0)</f>
        <v>69</v>
      </c>
      <c r="D8436" s="2" t="str">
        <f>IFERROR(__xludf.DUMMYFUNCTION("IFERROR(VLOOKUP(A8436, IMPORTRANGE(""https://docs.google.com/spreadsheets/d/1-3Vjw2Cyy-mry5gbC8ypIR3YVGFfEpyFESummAta6sg/edit"", ""Sheet1!B:D""), 2, FALSE), ""Not Found"")"),"hæŋər")</f>
        <v>hæŋər</v>
      </c>
      <c r="E8436" s="2" t="str">
        <f>IFERROR(__xludf.DUMMYFUNCTION("IFERROR(VLOOKUP(A8436, IMPORTRANGE(""https://docs.google.com/spreadsheets/d/1-3Vjw2Cyy-mry5gbC8ypIR3YVGFfEpyFESummAta6sg/edit"", ""Sheet1!B:D""), 3, FALSE), ""Not Found"")"),"h æ ŋ ə r ")</f>
        <v>h æ ŋ ə r </v>
      </c>
    </row>
    <row r="8437">
      <c r="A8437" s="1" t="s">
        <v>8438</v>
      </c>
      <c r="B8437" s="1" t="s">
        <v>6138</v>
      </c>
      <c r="C8437" s="2">
        <f>IFERROR(__xludf.DUMMYFUNCTION("IFERROR(VLOOKUP(A8437, IMPORTRANGE(""https://docs.google.com/spreadsheets/d/1AVX9GT0dgogEBStecCXMMQ29tWz3gBrtNB8yIromXbY/edit?gid=741673867"", ""out1g!A:B""), 2, FALSE), 0)"),52.0)</f>
        <v>52</v>
      </c>
      <c r="D8437" s="2" t="str">
        <f>IFERROR(__xludf.DUMMYFUNCTION("IFERROR(VLOOKUP(A8437, IMPORTRANGE(""https://docs.google.com/spreadsheets/d/1-3Vjw2Cyy-mry5gbC8ypIR3YVGFfEpyFESummAta6sg/edit"", ""Sheet1!B:D""), 2, FALSE), ""Not Found"")"),"wɔrdz")</f>
        <v>wɔrdz</v>
      </c>
      <c r="E8437" s="2" t="str">
        <f>IFERROR(__xludf.DUMMYFUNCTION("IFERROR(VLOOKUP(A8437, IMPORTRANGE(""https://docs.google.com/spreadsheets/d/1-3Vjw2Cyy-mry5gbC8ypIR3YVGFfEpyFESummAta6sg/edit"", ""Sheet1!B:D""), 3, FALSE), ""Not Found"")"),"w ɔ r d z ")</f>
        <v>w ɔ r d z </v>
      </c>
    </row>
    <row r="8438">
      <c r="A8438" s="1" t="s">
        <v>8439</v>
      </c>
      <c r="B8438" s="1" t="s">
        <v>6138</v>
      </c>
      <c r="C8438" s="2">
        <f>IFERROR(__xludf.DUMMYFUNCTION("IFERROR(VLOOKUP(A8438, IMPORTRANGE(""https://docs.google.com/spreadsheets/d/1AVX9GT0dgogEBStecCXMMQ29tWz3gBrtNB8yIromXbY/edit?gid=741673867"", ""out1g!A:B""), 2, FALSE), 0)"),121.0)</f>
        <v>121</v>
      </c>
      <c r="D8438" s="2" t="str">
        <f>IFERROR(__xludf.DUMMYFUNCTION("IFERROR(VLOOKUP(A8438, IMPORTRANGE(""https://docs.google.com/spreadsheets/d/1-3Vjw2Cyy-mry5gbC8ypIR3YVGFfEpyFESummAta6sg/edit"", ""Sheet1!B:D""), 2, FALSE), ""Not Found"")"),"lɪfts")</f>
        <v>lɪfts</v>
      </c>
      <c r="E8438" s="2" t="str">
        <f>IFERROR(__xludf.DUMMYFUNCTION("IFERROR(VLOOKUP(A8438, IMPORTRANGE(""https://docs.google.com/spreadsheets/d/1-3Vjw2Cyy-mry5gbC8ypIR3YVGFfEpyFESummAta6sg/edit"", ""Sheet1!B:D""), 3, FALSE), ""Not Found"")"),"l ɪ f t s ")</f>
        <v>l ɪ f t s </v>
      </c>
    </row>
    <row r="8439">
      <c r="A8439" s="1" t="s">
        <v>8440</v>
      </c>
      <c r="B8439" s="1" t="s">
        <v>6138</v>
      </c>
      <c r="C8439" s="2">
        <f>IFERROR(__xludf.DUMMYFUNCTION("IFERROR(VLOOKUP(A8439, IMPORTRANGE(""https://docs.google.com/spreadsheets/d/1AVX9GT0dgogEBStecCXMMQ29tWz3gBrtNB8yIromXbY/edit?gid=741673867"", ""out1g!A:B""), 2, FALSE), 0)"),1224.0)</f>
        <v>1224</v>
      </c>
      <c r="D8439" s="2" t="str">
        <f>IFERROR(__xludf.DUMMYFUNCTION("IFERROR(VLOOKUP(A8439, IMPORTRANGE(""https://docs.google.com/spreadsheets/d/1-3Vjw2Cyy-mry5gbC8ypIR3YVGFfEpyFESummAta6sg/edit"", ""Sheet1!B:D""), 2, FALSE), ""Not Found"")"),"mɔrgən")</f>
        <v>mɔrgən</v>
      </c>
      <c r="E8439" s="2" t="str">
        <f>IFERROR(__xludf.DUMMYFUNCTION("IFERROR(VLOOKUP(A8439, IMPORTRANGE(""https://docs.google.com/spreadsheets/d/1-3Vjw2Cyy-mry5gbC8ypIR3YVGFfEpyFESummAta6sg/edit"", ""Sheet1!B:D""), 3, FALSE), ""Not Found"")"),"m ɔ r g ə n ")</f>
        <v>m ɔ r g ə n </v>
      </c>
    </row>
    <row r="8440">
      <c r="A8440" s="1" t="s">
        <v>8441</v>
      </c>
      <c r="B8440" s="1" t="s">
        <v>6138</v>
      </c>
      <c r="C8440" s="2">
        <f>IFERROR(__xludf.DUMMYFUNCTION("IFERROR(VLOOKUP(A8440, IMPORTRANGE(""https://docs.google.com/spreadsheets/d/1AVX9GT0dgogEBStecCXMMQ29tWz3gBrtNB8yIromXbY/edit?gid=741673867"", ""out1g!A:B""), 2, FALSE), 0)"),1952.0)</f>
        <v>1952</v>
      </c>
      <c r="D8440" s="2" t="str">
        <f>IFERROR(__xludf.DUMMYFUNCTION("IFERROR(VLOOKUP(A8440, IMPORTRANGE(""https://docs.google.com/spreadsheets/d/1-3Vjw2Cyy-mry5gbC8ypIR3YVGFfEpyFESummAta6sg/edit"", ""Sheet1!B:D""), 2, FALSE), ""Not Found"")"),"ʤɛləs")</f>
        <v>ʤɛləs</v>
      </c>
      <c r="E8440" s="2" t="str">
        <f>IFERROR(__xludf.DUMMYFUNCTION("IFERROR(VLOOKUP(A8440, IMPORTRANGE(""https://docs.google.com/spreadsheets/d/1-3Vjw2Cyy-mry5gbC8ypIR3YVGFfEpyFESummAta6sg/edit"", ""Sheet1!B:D""), 3, FALSE), ""Not Found"")"),"ʤ ɛ l ə s ")</f>
        <v>ʤ ɛ l ə s </v>
      </c>
    </row>
    <row r="8441">
      <c r="A8441" s="1" t="s">
        <v>8442</v>
      </c>
      <c r="B8441" s="1" t="s">
        <v>6138</v>
      </c>
      <c r="C8441" s="2">
        <f>IFERROR(__xludf.DUMMYFUNCTION("IFERROR(VLOOKUP(A8441, IMPORTRANGE(""https://docs.google.com/spreadsheets/d/1AVX9GT0dgogEBStecCXMMQ29tWz3gBrtNB8yIromXbY/edit?gid=741673867"", ""out1g!A:B""), 2, FALSE), 0)"),49.0)</f>
        <v>49</v>
      </c>
      <c r="D8441" s="2" t="str">
        <f>IFERROR(__xludf.DUMMYFUNCTION("IFERROR(VLOOKUP(A8441, IMPORTRANGE(""https://docs.google.com/spreadsheets/d/1-3Vjw2Cyy-mry5gbC8ypIR3YVGFfEpyFESummAta6sg/edit"", ""Sheet1!B:D""), 2, FALSE), ""Not Found"")"),"kɔrdən")</f>
        <v>kɔrdən</v>
      </c>
      <c r="E8441" s="2" t="str">
        <f>IFERROR(__xludf.DUMMYFUNCTION("IFERROR(VLOOKUP(A8441, IMPORTRANGE(""https://docs.google.com/spreadsheets/d/1-3Vjw2Cyy-mry5gbC8ypIR3YVGFfEpyFESummAta6sg/edit"", ""Sheet1!B:D""), 3, FALSE), ""Not Found"")"),"k ɔ r d ə n ")</f>
        <v>k ɔ r d ə n </v>
      </c>
    </row>
    <row r="8442">
      <c r="A8442" s="1" t="s">
        <v>8443</v>
      </c>
      <c r="B8442" s="1" t="s">
        <v>6138</v>
      </c>
      <c r="C8442" s="2">
        <f>IFERROR(__xludf.DUMMYFUNCTION("IFERROR(VLOOKUP(A8442, IMPORTRANGE(""https://docs.google.com/spreadsheets/d/1AVX9GT0dgogEBStecCXMMQ29tWz3gBrtNB8yIromXbY/edit?gid=741673867"", ""out1g!A:B""), 2, FALSE), 0)"),84.0)</f>
        <v>84</v>
      </c>
      <c r="D8442" s="2" t="str">
        <f>IFERROR(__xludf.DUMMYFUNCTION("IFERROR(VLOOKUP(A8442, IMPORTRANGE(""https://docs.google.com/spreadsheets/d/1-3Vjw2Cyy-mry5gbC8ypIR3YVGFfEpyFESummAta6sg/edit"", ""Sheet1!B:D""), 2, FALSE), ""Not Found"")"),"traɪɪʤ")</f>
        <v>traɪɪʤ</v>
      </c>
      <c r="E8442" s="2" t="str">
        <f>IFERROR(__xludf.DUMMYFUNCTION("IFERROR(VLOOKUP(A8442, IMPORTRANGE(""https://docs.google.com/spreadsheets/d/1-3Vjw2Cyy-mry5gbC8ypIR3YVGFfEpyFESummAta6sg/edit"", ""Sheet1!B:D""), 3, FALSE), ""Not Found"")"),"t r a ɪ ɪ ʤ ")</f>
        <v>t r a ɪ ɪ ʤ </v>
      </c>
    </row>
    <row r="8443">
      <c r="A8443" s="1" t="s">
        <v>8444</v>
      </c>
      <c r="B8443" s="1" t="s">
        <v>6138</v>
      </c>
      <c r="C8443" s="2">
        <f>IFERROR(__xludf.DUMMYFUNCTION("IFERROR(VLOOKUP(A8443, IMPORTRANGE(""https://docs.google.com/spreadsheets/d/1AVX9GT0dgogEBStecCXMMQ29tWz3gBrtNB8yIromXbY/edit?gid=741673867"", ""out1g!A:B""), 2, FALSE), 0)"),402.0)</f>
        <v>402</v>
      </c>
      <c r="D8443" s="2" t="str">
        <f>IFERROR(__xludf.DUMMYFUNCTION("IFERROR(VLOOKUP(A8443, IMPORTRANGE(""https://docs.google.com/spreadsheets/d/1-3Vjw2Cyy-mry5gbC8ypIR3YVGFfEpyFESummAta6sg/edit"", ""Sheet1!B:D""), 2, FALSE), ""Not Found"")"),"klaɪmɪŋ")</f>
        <v>klaɪmɪŋ</v>
      </c>
      <c r="E8443" s="2" t="str">
        <f>IFERROR(__xludf.DUMMYFUNCTION("IFERROR(VLOOKUP(A8443, IMPORTRANGE(""https://docs.google.com/spreadsheets/d/1-3Vjw2Cyy-mry5gbC8ypIR3YVGFfEpyFESummAta6sg/edit"", ""Sheet1!B:D""), 3, FALSE), ""Not Found"")"),"k l a ɪ m ɪ ŋ ")</f>
        <v>k l a ɪ m ɪ ŋ </v>
      </c>
    </row>
    <row r="8444">
      <c r="A8444" s="1" t="s">
        <v>8445</v>
      </c>
      <c r="B8444" s="1" t="s">
        <v>6138</v>
      </c>
      <c r="C8444" s="2">
        <f>IFERROR(__xludf.DUMMYFUNCTION("IFERROR(VLOOKUP(A8444, IMPORTRANGE(""https://docs.google.com/spreadsheets/d/1AVX9GT0dgogEBStecCXMMQ29tWz3gBrtNB8yIromXbY/edit?gid=741673867"", ""out1g!A:B""), 2, FALSE), 0)"),1336.0)</f>
        <v>1336</v>
      </c>
      <c r="D8444" s="2" t="str">
        <f>IFERROR(__xludf.DUMMYFUNCTION("IFERROR(VLOOKUP(A8444, IMPORTRANGE(""https://docs.google.com/spreadsheets/d/1-3Vjw2Cyy-mry5gbC8ypIR3YVGFfEpyFESummAta6sg/edit"", ""Sheet1!B:D""), 2, FALSE), ""Not Found"")"),"ʃoʊldər")</f>
        <v>ʃoʊldər</v>
      </c>
      <c r="E8444" s="2" t="str">
        <f>IFERROR(__xludf.DUMMYFUNCTION("IFERROR(VLOOKUP(A8444, IMPORTRANGE(""https://docs.google.com/spreadsheets/d/1-3Vjw2Cyy-mry5gbC8ypIR3YVGFfEpyFESummAta6sg/edit"", ""Sheet1!B:D""), 3, FALSE), ""Not Found"")"),"ʃ o ʊ l d ə r ")</f>
        <v>ʃ o ʊ l d ə r </v>
      </c>
    </row>
    <row r="8445">
      <c r="A8445" s="1" t="s">
        <v>8446</v>
      </c>
      <c r="B8445" s="1" t="s">
        <v>6138</v>
      </c>
      <c r="C8445" s="2">
        <f>IFERROR(__xludf.DUMMYFUNCTION("IFERROR(VLOOKUP(A8445, IMPORTRANGE(""https://docs.google.com/spreadsheets/d/1AVX9GT0dgogEBStecCXMMQ29tWz3gBrtNB8yIromXbY/edit?gid=741673867"", ""out1g!A:B""), 2, FALSE), 0)"),2275.0)</f>
        <v>2275</v>
      </c>
      <c r="D8445" s="2" t="str">
        <f>IFERROR(__xludf.DUMMYFUNCTION("IFERROR(VLOOKUP(A8445, IMPORTRANGE(""https://docs.google.com/spreadsheets/d/1-3Vjw2Cyy-mry5gbC8ypIR3YVGFfEpyFESummAta6sg/edit"", ""Sheet1!B:D""), 2, FALSE), ""Not Found"")"),"du")</f>
        <v>du</v>
      </c>
      <c r="E8445" s="2" t="str">
        <f>IFERROR(__xludf.DUMMYFUNCTION("IFERROR(VLOOKUP(A8445, IMPORTRANGE(""https://docs.google.com/spreadsheets/d/1-3Vjw2Cyy-mry5gbC8ypIR3YVGFfEpyFESummAta6sg/edit"", ""Sheet1!B:D""), 3, FALSE), ""Not Found"")"),"d u ")</f>
        <v>d u </v>
      </c>
    </row>
    <row r="8446">
      <c r="A8446" s="1" t="s">
        <v>8447</v>
      </c>
      <c r="B8446" s="1" t="s">
        <v>6138</v>
      </c>
      <c r="C8446" s="2">
        <f>IFERROR(__xludf.DUMMYFUNCTION("IFERROR(VLOOKUP(A8446, IMPORTRANGE(""https://docs.google.com/spreadsheets/d/1AVX9GT0dgogEBStecCXMMQ29tWz3gBrtNB8yIromXbY/edit?gid=741673867"", ""out1g!A:B""), 2, FALSE), 0)"),230.0)</f>
        <v>230</v>
      </c>
      <c r="D8446" s="2" t="str">
        <f>IFERROR(__xludf.DUMMYFUNCTION("IFERROR(VLOOKUP(A8446, IMPORTRANGE(""https://docs.google.com/spreadsheets/d/1-3Vjw2Cyy-mry5gbC8ypIR3YVGFfEpyFESummAta6sg/edit"", ""Sheet1!B:D""), 2, FALSE), ""Not Found"")"),"mæʧɪŋ")</f>
        <v>mæʧɪŋ</v>
      </c>
      <c r="E8446" s="2" t="str">
        <f>IFERROR(__xludf.DUMMYFUNCTION("IFERROR(VLOOKUP(A8446, IMPORTRANGE(""https://docs.google.com/spreadsheets/d/1-3Vjw2Cyy-mry5gbC8ypIR3YVGFfEpyFESummAta6sg/edit"", ""Sheet1!B:D""), 3, FALSE), ""Not Found"")"),"m æ ʧ ɪ ŋ ")</f>
        <v>m æ ʧ ɪ ŋ </v>
      </c>
    </row>
    <row r="8447">
      <c r="A8447" s="1" t="s">
        <v>8448</v>
      </c>
      <c r="B8447" s="1" t="s">
        <v>6138</v>
      </c>
      <c r="C8447" s="2">
        <f>IFERROR(__xludf.DUMMYFUNCTION("IFERROR(VLOOKUP(A8447, IMPORTRANGE(""https://docs.google.com/spreadsheets/d/1AVX9GT0dgogEBStecCXMMQ29tWz3gBrtNB8yIromXbY/edit?gid=741673867"", ""out1g!A:B""), 2, FALSE), 0)"),122.0)</f>
        <v>122</v>
      </c>
      <c r="D8447" s="2" t="str">
        <f>IFERROR(__xludf.DUMMYFUNCTION("IFERROR(VLOOKUP(A8447, IMPORTRANGE(""https://docs.google.com/spreadsheets/d/1-3Vjw2Cyy-mry5gbC8ypIR3YVGFfEpyFESummAta6sg/edit"", ""Sheet1!B:D""), 2, FALSE), ""Not Found"")"),"ɛdɪsən")</f>
        <v>ɛdɪsən</v>
      </c>
      <c r="E8447" s="2" t="str">
        <f>IFERROR(__xludf.DUMMYFUNCTION("IFERROR(VLOOKUP(A8447, IMPORTRANGE(""https://docs.google.com/spreadsheets/d/1-3Vjw2Cyy-mry5gbC8ypIR3YVGFfEpyFESummAta6sg/edit"", ""Sheet1!B:D""), 3, FALSE), ""Not Found"")"),"ɛ d ɪ s ə n ")</f>
        <v>ɛ d ɪ s ə n </v>
      </c>
    </row>
    <row r="8448">
      <c r="A8448" s="1" t="s">
        <v>8449</v>
      </c>
      <c r="B8448" s="1" t="s">
        <v>6138</v>
      </c>
      <c r="C8448" s="2">
        <f>IFERROR(__xludf.DUMMYFUNCTION("IFERROR(VLOOKUP(A8448, IMPORTRANGE(""https://docs.google.com/spreadsheets/d/1AVX9GT0dgogEBStecCXMMQ29tWz3gBrtNB8yIromXbY/edit?gid=741673867"", ""out1g!A:B""), 2, FALSE), 0)"),432.0)</f>
        <v>432</v>
      </c>
      <c r="D8448" s="2" t="str">
        <f>IFERROR(__xludf.DUMMYFUNCTION("IFERROR(VLOOKUP(A8448, IMPORTRANGE(""https://docs.google.com/spreadsheets/d/1-3Vjw2Cyy-mry5gbC8ypIR3YVGFfEpyFESummAta6sg/edit"", ""Sheet1!B:D""), 2, FALSE), ""Not Found"")"),"kɪdoʊ")</f>
        <v>kɪdoʊ</v>
      </c>
      <c r="E8448" s="2" t="str">
        <f>IFERROR(__xludf.DUMMYFUNCTION("IFERROR(VLOOKUP(A8448, IMPORTRANGE(""https://docs.google.com/spreadsheets/d/1-3Vjw2Cyy-mry5gbC8ypIR3YVGFfEpyFESummAta6sg/edit"", ""Sheet1!B:D""), 3, FALSE), ""Not Found"")"),"k ɪ d o ʊ ")</f>
        <v>k ɪ d o ʊ </v>
      </c>
    </row>
    <row r="8449">
      <c r="A8449" s="1" t="s">
        <v>8450</v>
      </c>
      <c r="B8449" s="1" t="s">
        <v>6138</v>
      </c>
      <c r="C8449" s="2">
        <f>IFERROR(__xludf.DUMMYFUNCTION("IFERROR(VLOOKUP(A8449, IMPORTRANGE(""https://docs.google.com/spreadsheets/d/1AVX9GT0dgogEBStecCXMMQ29tWz3gBrtNB8yIromXbY/edit?gid=741673867"", ""out1g!A:B""), 2, FALSE), 0)"),70.0)</f>
        <v>70</v>
      </c>
      <c r="D8449" s="2" t="str">
        <f>IFERROR(__xludf.DUMMYFUNCTION("IFERROR(VLOOKUP(A8449, IMPORTRANGE(""https://docs.google.com/spreadsheets/d/1-3Vjw2Cyy-mry5gbC8ypIR3YVGFfEpyFESummAta6sg/edit"", ""Sheet1!B:D""), 2, FALSE), ""Not Found"")"),"kipərz")</f>
        <v>kipərz</v>
      </c>
      <c r="E8449" s="2" t="str">
        <f>IFERROR(__xludf.DUMMYFUNCTION("IFERROR(VLOOKUP(A8449, IMPORTRANGE(""https://docs.google.com/spreadsheets/d/1-3Vjw2Cyy-mry5gbC8ypIR3YVGFfEpyFESummAta6sg/edit"", ""Sheet1!B:D""), 3, FALSE), ""Not Found"")"),"k i p ə r z ")</f>
        <v>k i p ə r z </v>
      </c>
    </row>
    <row r="8450">
      <c r="A8450" s="1" t="s">
        <v>8451</v>
      </c>
      <c r="B8450" s="1" t="s">
        <v>6138</v>
      </c>
      <c r="C8450" s="2">
        <f>IFERROR(__xludf.DUMMYFUNCTION("IFERROR(VLOOKUP(A8450, IMPORTRANGE(""https://docs.google.com/spreadsheets/d/1AVX9GT0dgogEBStecCXMMQ29tWz3gBrtNB8yIromXbY/edit?gid=741673867"", ""out1g!A:B""), 2, FALSE), 0)"),110.0)</f>
        <v>110</v>
      </c>
      <c r="D8450" s="2" t="str">
        <f>IFERROR(__xludf.DUMMYFUNCTION("IFERROR(VLOOKUP(A8450, IMPORTRANGE(""https://docs.google.com/spreadsheets/d/1-3Vjw2Cyy-mry5gbC8ypIR3YVGFfEpyFESummAta6sg/edit"", ""Sheet1!B:D""), 2, FALSE), ""Not Found"")"),"mæntəl")</f>
        <v>mæntəl</v>
      </c>
      <c r="E8450" s="2" t="str">
        <f>IFERROR(__xludf.DUMMYFUNCTION("IFERROR(VLOOKUP(A8450, IMPORTRANGE(""https://docs.google.com/spreadsheets/d/1-3Vjw2Cyy-mry5gbC8ypIR3YVGFfEpyFESummAta6sg/edit"", ""Sheet1!B:D""), 3, FALSE), ""Not Found"")"),"m æ n t ə l ")</f>
        <v>m æ n t ə l </v>
      </c>
    </row>
    <row r="8451">
      <c r="A8451" s="1" t="s">
        <v>8452</v>
      </c>
      <c r="B8451" s="1" t="s">
        <v>6138</v>
      </c>
      <c r="C8451" s="2">
        <f>IFERROR(__xludf.DUMMYFUNCTION("IFERROR(VLOOKUP(A8451, IMPORTRANGE(""https://docs.google.com/spreadsheets/d/1AVX9GT0dgogEBStecCXMMQ29tWz3gBrtNB8yIromXbY/edit?gid=741673867"", ""out1g!A:B""), 2, FALSE), 0)"),110.0)</f>
        <v>110</v>
      </c>
      <c r="D8451" s="2" t="str">
        <f>IFERROR(__xludf.DUMMYFUNCTION("IFERROR(VLOOKUP(A8451, IMPORTRANGE(""https://docs.google.com/spreadsheets/d/1-3Vjw2Cyy-mry5gbC8ypIR3YVGFfEpyFESummAta6sg/edit"", ""Sheet1!B:D""), 2, FALSE), ""Not Found"")"),"drul")</f>
        <v>drul</v>
      </c>
      <c r="E8451" s="2" t="str">
        <f>IFERROR(__xludf.DUMMYFUNCTION("IFERROR(VLOOKUP(A8451, IMPORTRANGE(""https://docs.google.com/spreadsheets/d/1-3Vjw2Cyy-mry5gbC8ypIR3YVGFfEpyFESummAta6sg/edit"", ""Sheet1!B:D""), 3, FALSE), ""Not Found"")"),"d r u l ")</f>
        <v>d r u l </v>
      </c>
    </row>
    <row r="8452">
      <c r="A8452" s="1" t="s">
        <v>8453</v>
      </c>
      <c r="B8452" s="1" t="s">
        <v>6138</v>
      </c>
      <c r="C8452" s="2">
        <f>IFERROR(__xludf.DUMMYFUNCTION("IFERROR(VLOOKUP(A8452, IMPORTRANGE(""https://docs.google.com/spreadsheets/d/1AVX9GT0dgogEBStecCXMMQ29tWz3gBrtNB8yIromXbY/edit?gid=741673867"", ""out1g!A:B""), 2, FALSE), 0)"),1021.0)</f>
        <v>1021</v>
      </c>
      <c r="D8452" s="2" t="str">
        <f>IFERROR(__xludf.DUMMYFUNCTION("IFERROR(VLOOKUP(A8452, IMPORTRANGE(""https://docs.google.com/spreadsheets/d/1-3Vjw2Cyy-mry5gbC8ypIR3YVGFfEpyFESummAta6sg/edit"", ""Sheet1!B:D""), 2, FALSE), ""Not Found"")"),"əʃʊr")</f>
        <v>əʃʊr</v>
      </c>
      <c r="E8452" s="2" t="str">
        <f>IFERROR(__xludf.DUMMYFUNCTION("IFERROR(VLOOKUP(A8452, IMPORTRANGE(""https://docs.google.com/spreadsheets/d/1-3Vjw2Cyy-mry5gbC8ypIR3YVGFfEpyFESummAta6sg/edit"", ""Sheet1!B:D""), 3, FALSE), ""Not Found"")"),"ə ʃ ʊ r ")</f>
        <v>ə ʃ ʊ r </v>
      </c>
    </row>
    <row r="8453">
      <c r="A8453" s="1" t="s">
        <v>8454</v>
      </c>
      <c r="B8453" s="1" t="s">
        <v>6138</v>
      </c>
      <c r="C8453" s="2">
        <f>IFERROR(__xludf.DUMMYFUNCTION("IFERROR(VLOOKUP(A8453, IMPORTRANGE(""https://docs.google.com/spreadsheets/d/1AVX9GT0dgogEBStecCXMMQ29tWz3gBrtNB8yIromXbY/edit?gid=741673867"", ""out1g!A:B""), 2, FALSE), 0)"),55.0)</f>
        <v>55</v>
      </c>
      <c r="D8453" s="2" t="str">
        <f>IFERROR(__xludf.DUMMYFUNCTION("IFERROR(VLOOKUP(A8453, IMPORTRANGE(""https://docs.google.com/spreadsheets/d/1-3Vjw2Cyy-mry5gbC8ypIR3YVGFfEpyFESummAta6sg/edit"", ""Sheet1!B:D""), 2, FALSE), ""Not Found"")"),"bəŋks")</f>
        <v>bəŋks</v>
      </c>
      <c r="E8453" s="2" t="str">
        <f>IFERROR(__xludf.DUMMYFUNCTION("IFERROR(VLOOKUP(A8453, IMPORTRANGE(""https://docs.google.com/spreadsheets/d/1-3Vjw2Cyy-mry5gbC8ypIR3YVGFfEpyFESummAta6sg/edit"", ""Sheet1!B:D""), 3, FALSE), ""Not Found"")"),"b ə ŋ k s ")</f>
        <v>b ə ŋ k s </v>
      </c>
    </row>
    <row r="8454">
      <c r="A8454" s="1" t="s">
        <v>8455</v>
      </c>
      <c r="B8454" s="1" t="s">
        <v>6138</v>
      </c>
      <c r="C8454" s="2">
        <f>IFERROR(__xludf.DUMMYFUNCTION("IFERROR(VLOOKUP(A8454, IMPORTRANGE(""https://docs.google.com/spreadsheets/d/1AVX9GT0dgogEBStecCXMMQ29tWz3gBrtNB8yIromXbY/edit?gid=741673867"", ""out1g!A:B""), 2, FALSE), 0)"),834.0)</f>
        <v>834</v>
      </c>
      <c r="D8454" s="2" t="str">
        <f>IFERROR(__xludf.DUMMYFUNCTION("IFERROR(VLOOKUP(A8454, IMPORTRANGE(""https://docs.google.com/spreadsheets/d/1-3Vjw2Cyy-mry5gbC8ypIR3YVGFfEpyFESummAta6sg/edit"", ""Sheet1!B:D""), 2, FALSE), ""Not Found"")"),"səkər")</f>
        <v>səkər</v>
      </c>
      <c r="E8454" s="2" t="str">
        <f>IFERROR(__xludf.DUMMYFUNCTION("IFERROR(VLOOKUP(A8454, IMPORTRANGE(""https://docs.google.com/spreadsheets/d/1-3Vjw2Cyy-mry5gbC8ypIR3YVGFfEpyFESummAta6sg/edit"", ""Sheet1!B:D""), 3, FALSE), ""Not Found"")"),"s ə k ə r ")</f>
        <v>s ə k ə r </v>
      </c>
    </row>
    <row r="8455">
      <c r="A8455" s="1" t="s">
        <v>8456</v>
      </c>
      <c r="B8455" s="1" t="s">
        <v>6138</v>
      </c>
      <c r="C8455" s="2">
        <f>IFERROR(__xludf.DUMMYFUNCTION("IFERROR(VLOOKUP(A8455, IMPORTRANGE(""https://docs.google.com/spreadsheets/d/1AVX9GT0dgogEBStecCXMMQ29tWz3gBrtNB8yIromXbY/edit?gid=741673867"", ""out1g!A:B""), 2, FALSE), 0)"),283.0)</f>
        <v>283</v>
      </c>
      <c r="D8455" s="2" t="str">
        <f>IFERROR(__xludf.DUMMYFUNCTION("IFERROR(VLOOKUP(A8455, IMPORTRANGE(""https://docs.google.com/spreadsheets/d/1-3Vjw2Cyy-mry5gbC8ypIR3YVGFfEpyFESummAta6sg/edit"", ""Sheet1!B:D""), 2, FALSE), ""Not Found"")"),"mədɑnə")</f>
        <v>mədɑnə</v>
      </c>
      <c r="E8455" s="2" t="str">
        <f>IFERROR(__xludf.DUMMYFUNCTION("IFERROR(VLOOKUP(A8455, IMPORTRANGE(""https://docs.google.com/spreadsheets/d/1-3Vjw2Cyy-mry5gbC8ypIR3YVGFfEpyFESummAta6sg/edit"", ""Sheet1!B:D""), 3, FALSE), ""Not Found"")"),"m ə d ɑ n ə ")</f>
        <v>m ə d ɑ n ə </v>
      </c>
    </row>
    <row r="8456">
      <c r="A8456" s="1" t="s">
        <v>8457</v>
      </c>
      <c r="B8456" s="1" t="s">
        <v>6138</v>
      </c>
      <c r="C8456" s="2">
        <f>IFERROR(__xludf.DUMMYFUNCTION("IFERROR(VLOOKUP(A8456, IMPORTRANGE(""https://docs.google.com/spreadsheets/d/1AVX9GT0dgogEBStecCXMMQ29tWz3gBrtNB8yIromXbY/edit?gid=741673867"", ""out1g!A:B""), 2, FALSE), 0)"),121.0)</f>
        <v>121</v>
      </c>
      <c r="D8456" s="2" t="str">
        <f>IFERROR(__xludf.DUMMYFUNCTION("IFERROR(VLOOKUP(A8456, IMPORTRANGE(""https://docs.google.com/spreadsheets/d/1-3Vjw2Cyy-mry5gbC8ypIR3YVGFfEpyFESummAta6sg/edit"", ""Sheet1!B:D""), 2, FALSE), ""Not Found"")"),"baɪərz")</f>
        <v>baɪərz</v>
      </c>
      <c r="E8456" s="2" t="str">
        <f>IFERROR(__xludf.DUMMYFUNCTION("IFERROR(VLOOKUP(A8456, IMPORTRANGE(""https://docs.google.com/spreadsheets/d/1-3Vjw2Cyy-mry5gbC8ypIR3YVGFfEpyFESummAta6sg/edit"", ""Sheet1!B:D""), 3, FALSE), ""Not Found"")"),"b a ɪ ə r z ")</f>
        <v>b a ɪ ə r z </v>
      </c>
    </row>
    <row r="8457">
      <c r="A8457" s="1" t="s">
        <v>8458</v>
      </c>
      <c r="B8457" s="1" t="s">
        <v>6138</v>
      </c>
      <c r="C8457" s="2">
        <f>IFERROR(__xludf.DUMMYFUNCTION("IFERROR(VLOOKUP(A8457, IMPORTRANGE(""https://docs.google.com/spreadsheets/d/1AVX9GT0dgogEBStecCXMMQ29tWz3gBrtNB8yIromXbY/edit?gid=741673867"", ""out1g!A:B""), 2, FALSE), 0)"),247.0)</f>
        <v>247</v>
      </c>
      <c r="D8457" s="2" t="str">
        <f>IFERROR(__xludf.DUMMYFUNCTION("IFERROR(VLOOKUP(A8457, IMPORTRANGE(""https://docs.google.com/spreadsheets/d/1-3Vjw2Cyy-mry5gbC8ypIR3YVGFfEpyFESummAta6sg/edit"", ""Sheet1!B:D""), 2, FALSE), ""Not Found"")"),"pɑrʃəl")</f>
        <v>pɑrʃəl</v>
      </c>
      <c r="E8457" s="2" t="str">
        <f>IFERROR(__xludf.DUMMYFUNCTION("IFERROR(VLOOKUP(A8457, IMPORTRANGE(""https://docs.google.com/spreadsheets/d/1-3Vjw2Cyy-mry5gbC8ypIR3YVGFfEpyFESummAta6sg/edit"", ""Sheet1!B:D""), 3, FALSE), ""Not Found"")"),"p ɑ r ʃ ə l ")</f>
        <v>p ɑ r ʃ ə l </v>
      </c>
    </row>
    <row r="8458">
      <c r="A8458" s="1" t="s">
        <v>8459</v>
      </c>
      <c r="B8458" s="1" t="s">
        <v>6138</v>
      </c>
      <c r="C8458" s="2">
        <f>IFERROR(__xludf.DUMMYFUNCTION("IFERROR(VLOOKUP(A8458, IMPORTRANGE(""https://docs.google.com/spreadsheets/d/1AVX9GT0dgogEBStecCXMMQ29tWz3gBrtNB8yIromXbY/edit?gid=741673867"", ""out1g!A:B""), 2, FALSE), 0)"),7600.0)</f>
        <v>7600</v>
      </c>
      <c r="D8458" s="2" t="str">
        <f>IFERROR(__xludf.DUMMYFUNCTION("IFERROR(VLOOKUP(A8458, IMPORTRANGE(""https://docs.google.com/spreadsheets/d/1-3Vjw2Cyy-mry5gbC8ypIR3YVGFfEpyFESummAta6sg/edit"", ""Sheet1!B:D""), 2, FALSE), ""Not Found"")"),"paʊər")</f>
        <v>paʊər</v>
      </c>
      <c r="E8458" s="2" t="str">
        <f>IFERROR(__xludf.DUMMYFUNCTION("IFERROR(VLOOKUP(A8458, IMPORTRANGE(""https://docs.google.com/spreadsheets/d/1-3Vjw2Cyy-mry5gbC8ypIR3YVGFfEpyFESummAta6sg/edit"", ""Sheet1!B:D""), 3, FALSE), ""Not Found"")"),"p a ʊ ə r ")</f>
        <v>p a ʊ ə r </v>
      </c>
    </row>
    <row r="8459">
      <c r="A8459" s="1" t="s">
        <v>8460</v>
      </c>
      <c r="B8459" s="1" t="s">
        <v>6138</v>
      </c>
      <c r="C8459" s="2">
        <f>IFERROR(__xludf.DUMMYFUNCTION("IFERROR(VLOOKUP(A8459, IMPORTRANGE(""https://docs.google.com/spreadsheets/d/1AVX9GT0dgogEBStecCXMMQ29tWz3gBrtNB8yIromXbY/edit?gid=741673867"", ""out1g!A:B""), 2, FALSE), 0)"),70.0)</f>
        <v>70</v>
      </c>
      <c r="D8459" s="2" t="str">
        <f>IFERROR(__xludf.DUMMYFUNCTION("IFERROR(VLOOKUP(A8459, IMPORTRANGE(""https://docs.google.com/spreadsheets/d/1-3Vjw2Cyy-mry5gbC8ypIR3YVGFfEpyFESummAta6sg/edit"", ""Sheet1!B:D""), 2, FALSE), ""Not Found"")"),"hirɪŋz")</f>
        <v>hirɪŋz</v>
      </c>
      <c r="E8459" s="2" t="str">
        <f>IFERROR(__xludf.DUMMYFUNCTION("IFERROR(VLOOKUP(A8459, IMPORTRANGE(""https://docs.google.com/spreadsheets/d/1-3Vjw2Cyy-mry5gbC8ypIR3YVGFfEpyFESummAta6sg/edit"", ""Sheet1!B:D""), 3, FALSE), ""Not Found"")"),"h i r ɪ ŋ z ")</f>
        <v>h i r ɪ ŋ z </v>
      </c>
    </row>
    <row r="8460">
      <c r="A8460" s="1" t="s">
        <v>8461</v>
      </c>
      <c r="B8460" s="1" t="s">
        <v>6138</v>
      </c>
      <c r="C8460" s="2">
        <f>IFERROR(__xludf.DUMMYFUNCTION("IFERROR(VLOOKUP(A8460, IMPORTRANGE(""https://docs.google.com/spreadsheets/d/1AVX9GT0dgogEBStecCXMMQ29tWz3gBrtNB8yIromXbY/edit?gid=741673867"", ""out1g!A:B""), 2, FALSE), 0)"),1589.0)</f>
        <v>1589</v>
      </c>
      <c r="D8460" s="2" t="str">
        <f>IFERROR(__xludf.DUMMYFUNCTION("IFERROR(VLOOKUP(A8460, IMPORTRANGE(""https://docs.google.com/spreadsheets/d/1-3Vjw2Cyy-mry5gbC8ypIR3YVGFfEpyFESummAta6sg/edit"", ""Sheet1!B:D""), 2, FALSE), ""Not Found"")"),"lidər")</f>
        <v>lidər</v>
      </c>
      <c r="E8460" s="2" t="str">
        <f>IFERROR(__xludf.DUMMYFUNCTION("IFERROR(VLOOKUP(A8460, IMPORTRANGE(""https://docs.google.com/spreadsheets/d/1-3Vjw2Cyy-mry5gbC8ypIR3YVGFfEpyFESummAta6sg/edit"", ""Sheet1!B:D""), 3, FALSE), ""Not Found"")"),"l i d ə r ")</f>
        <v>l i d ə r </v>
      </c>
    </row>
    <row r="8461">
      <c r="A8461" s="1" t="s">
        <v>8462</v>
      </c>
      <c r="B8461" s="1" t="s">
        <v>6138</v>
      </c>
      <c r="C8461" s="2">
        <f>IFERROR(__xludf.DUMMYFUNCTION("IFERROR(VLOOKUP(A8461, IMPORTRANGE(""https://docs.google.com/spreadsheets/d/1AVX9GT0dgogEBStecCXMMQ29tWz3gBrtNB8yIromXbY/edit?gid=741673867"", ""out1g!A:B""), 2, FALSE), 0)"),334.0)</f>
        <v>334</v>
      </c>
      <c r="D8461" s="2" t="str">
        <f>IFERROR(__xludf.DUMMYFUNCTION("IFERROR(VLOOKUP(A8461, IMPORTRANGE(""https://docs.google.com/spreadsheets/d/1-3Vjw2Cyy-mry5gbC8ypIR3YVGFfEpyFESummAta6sg/edit"", ""Sheet1!B:D""), 2, FALSE), ""Not Found"")"),"mɑrʧɪŋ")</f>
        <v>mɑrʧɪŋ</v>
      </c>
      <c r="E8461" s="2" t="str">
        <f>IFERROR(__xludf.DUMMYFUNCTION("IFERROR(VLOOKUP(A8461, IMPORTRANGE(""https://docs.google.com/spreadsheets/d/1-3Vjw2Cyy-mry5gbC8ypIR3YVGFfEpyFESummAta6sg/edit"", ""Sheet1!B:D""), 3, FALSE), ""Not Found"")"),"m ɑ r ʧ ɪ ŋ ")</f>
        <v>m ɑ r ʧ ɪ ŋ </v>
      </c>
    </row>
    <row r="8462">
      <c r="A8462" s="1" t="s">
        <v>8463</v>
      </c>
      <c r="B8462" s="1" t="s">
        <v>6138</v>
      </c>
      <c r="C8462" s="2">
        <f>IFERROR(__xludf.DUMMYFUNCTION("IFERROR(VLOOKUP(A8462, IMPORTRANGE(""https://docs.google.com/spreadsheets/d/1AVX9GT0dgogEBStecCXMMQ29tWz3gBrtNB8yIromXbY/edit?gid=741673867"", ""out1g!A:B""), 2, FALSE), 0)"),1710.0)</f>
        <v>1710</v>
      </c>
      <c r="D8462" s="2" t="str">
        <f>IFERROR(__xludf.DUMMYFUNCTION("IFERROR(VLOOKUP(A8462, IMPORTRANGE(""https://docs.google.com/spreadsheets/d/1-3Vjw2Cyy-mry5gbC8ypIR3YVGFfEpyFESummAta6sg/edit"", ""Sheet1!B:D""), 2, FALSE), ""Not Found"")"),"mætərz")</f>
        <v>mætərz</v>
      </c>
      <c r="E8462" s="2" t="str">
        <f>IFERROR(__xludf.DUMMYFUNCTION("IFERROR(VLOOKUP(A8462, IMPORTRANGE(""https://docs.google.com/spreadsheets/d/1-3Vjw2Cyy-mry5gbC8ypIR3YVGFfEpyFESummAta6sg/edit"", ""Sheet1!B:D""), 3, FALSE), ""Not Found"")"),"m æ t ə r z ")</f>
        <v>m æ t ə r z </v>
      </c>
    </row>
    <row r="8463">
      <c r="A8463" s="1" t="s">
        <v>8464</v>
      </c>
      <c r="B8463" s="1" t="s">
        <v>6138</v>
      </c>
      <c r="C8463" s="2">
        <f>IFERROR(__xludf.DUMMYFUNCTION("IFERROR(VLOOKUP(A8463, IMPORTRANGE(""https://docs.google.com/spreadsheets/d/1AVX9GT0dgogEBStecCXMMQ29tWz3gBrtNB8yIromXbY/edit?gid=741673867"", ""out1g!A:B""), 2, FALSE), 0)"),66.0)</f>
        <v>66</v>
      </c>
      <c r="D8463" s="2" t="str">
        <f>IFERROR(__xludf.DUMMYFUNCTION("IFERROR(VLOOKUP(A8463, IMPORTRANGE(""https://docs.google.com/spreadsheets/d/1-3Vjw2Cyy-mry5gbC8ypIR3YVGFfEpyFESummAta6sg/edit"", ""Sheet1!B:D""), 2, FALSE), ""Not Found"")"),"fjud")</f>
        <v>fjud</v>
      </c>
      <c r="E8463" s="2" t="str">
        <f>IFERROR(__xludf.DUMMYFUNCTION("IFERROR(VLOOKUP(A8463, IMPORTRANGE(""https://docs.google.com/spreadsheets/d/1-3Vjw2Cyy-mry5gbC8ypIR3YVGFfEpyFESummAta6sg/edit"", ""Sheet1!B:D""), 3, FALSE), ""Not Found"")"),"f j u d ")</f>
        <v>f j u d </v>
      </c>
    </row>
    <row r="8464">
      <c r="A8464" s="1" t="s">
        <v>8465</v>
      </c>
      <c r="B8464" s="1" t="s">
        <v>6138</v>
      </c>
      <c r="C8464" s="2">
        <f>IFERROR(__xludf.DUMMYFUNCTION("IFERROR(VLOOKUP(A8464, IMPORTRANGE(""https://docs.google.com/spreadsheets/d/1AVX9GT0dgogEBStecCXMMQ29tWz3gBrtNB8yIromXbY/edit?gid=741673867"", ""out1g!A:B""), 2, FALSE), 0)"),59.0)</f>
        <v>59</v>
      </c>
      <c r="D8464" s="2" t="str">
        <f>IFERROR(__xludf.DUMMYFUNCTION("IFERROR(VLOOKUP(A8464, IMPORTRANGE(""https://docs.google.com/spreadsheets/d/1-3Vjw2Cyy-mry5gbC8ypIR3YVGFfEpyFESummAta6sg/edit"", ""Sheet1!B:D""), 2, FALSE), ""Not Found"")"),"ɑrmərd")</f>
        <v>ɑrmərd</v>
      </c>
      <c r="E8464" s="2" t="str">
        <f>IFERROR(__xludf.DUMMYFUNCTION("IFERROR(VLOOKUP(A8464, IMPORTRANGE(""https://docs.google.com/spreadsheets/d/1-3Vjw2Cyy-mry5gbC8ypIR3YVGFfEpyFESummAta6sg/edit"", ""Sheet1!B:D""), 3, FALSE), ""Not Found"")"),"ɑ r m ə r d ")</f>
        <v>ɑ r m ə r d </v>
      </c>
    </row>
    <row r="8465">
      <c r="A8465" s="1" t="s">
        <v>8466</v>
      </c>
      <c r="B8465" s="1" t="s">
        <v>6138</v>
      </c>
      <c r="C8465" s="2">
        <f>IFERROR(__xludf.DUMMYFUNCTION("IFERROR(VLOOKUP(A8465, IMPORTRANGE(""https://docs.google.com/spreadsheets/d/1AVX9GT0dgogEBStecCXMMQ29tWz3gBrtNB8yIromXbY/edit?gid=741673867"", ""out1g!A:B""), 2, FALSE), 0)"),491.0)</f>
        <v>491</v>
      </c>
      <c r="D8465" s="2" t="str">
        <f>IFERROR(__xludf.DUMMYFUNCTION("IFERROR(VLOOKUP(A8465, IMPORTRANGE(""https://docs.google.com/spreadsheets/d/1-3Vjw2Cyy-mry5gbC8ypIR3YVGFfEpyFESummAta6sg/edit"", ""Sheet1!B:D""), 2, FALSE), ""Not Found"")"),"floʊtɪŋ")</f>
        <v>floʊtɪŋ</v>
      </c>
      <c r="E8465" s="2" t="str">
        <f>IFERROR(__xludf.DUMMYFUNCTION("IFERROR(VLOOKUP(A8465, IMPORTRANGE(""https://docs.google.com/spreadsheets/d/1-3Vjw2Cyy-mry5gbC8ypIR3YVGFfEpyFESummAta6sg/edit"", ""Sheet1!B:D""), 3, FALSE), ""Not Found"")"),"f l o ʊ t ɪ ŋ ")</f>
        <v>f l o ʊ t ɪ ŋ </v>
      </c>
    </row>
    <row r="8466">
      <c r="A8466" s="1" t="s">
        <v>8467</v>
      </c>
      <c r="B8466" s="1" t="s">
        <v>6138</v>
      </c>
      <c r="C8466" s="2">
        <f>IFERROR(__xludf.DUMMYFUNCTION("IFERROR(VLOOKUP(A8466, IMPORTRANGE(""https://docs.google.com/spreadsheets/d/1AVX9GT0dgogEBStecCXMMQ29tWz3gBrtNB8yIromXbY/edit?gid=741673867"", ""out1g!A:B""), 2, FALSE), 0)"),271.0)</f>
        <v>271</v>
      </c>
      <c r="D8466" s="2" t="str">
        <f>IFERROR(__xludf.DUMMYFUNCTION("IFERROR(VLOOKUP(A8466, IMPORTRANGE(""https://docs.google.com/spreadsheets/d/1-3Vjw2Cyy-mry5gbC8ypIR3YVGFfEpyFESummAta6sg/edit"", ""Sheet1!B:D""), 2, FALSE), ""Not Found"")"),"flərtɪŋ")</f>
        <v>flərtɪŋ</v>
      </c>
      <c r="E8466" s="2" t="str">
        <f>IFERROR(__xludf.DUMMYFUNCTION("IFERROR(VLOOKUP(A8466, IMPORTRANGE(""https://docs.google.com/spreadsheets/d/1-3Vjw2Cyy-mry5gbC8ypIR3YVGFfEpyFESummAta6sg/edit"", ""Sheet1!B:D""), 3, FALSE), ""Not Found"")"),"f l ə r t ɪ ŋ ")</f>
        <v>f l ə r t ɪ ŋ </v>
      </c>
    </row>
    <row r="8467">
      <c r="A8467" s="1" t="s">
        <v>8468</v>
      </c>
      <c r="B8467" s="1" t="s">
        <v>6138</v>
      </c>
      <c r="C8467" s="2">
        <f>IFERROR(__xludf.DUMMYFUNCTION("IFERROR(VLOOKUP(A8467, IMPORTRANGE(""https://docs.google.com/spreadsheets/d/1AVX9GT0dgogEBStecCXMMQ29tWz3gBrtNB8yIromXbY/edit?gid=741673867"", ""out1g!A:B""), 2, FALSE), 0)"),50.0)</f>
        <v>50</v>
      </c>
      <c r="D8467" s="2" t="str">
        <f>IFERROR(__xludf.DUMMYFUNCTION("IFERROR(VLOOKUP(A8467, IMPORTRANGE(""https://docs.google.com/spreadsheets/d/1-3Vjw2Cyy-mry5gbC8ypIR3YVGFfEpyFESummAta6sg/edit"", ""Sheet1!B:D""), 2, FALSE), ""Not Found"")"),"wɛʤd")</f>
        <v>wɛʤd</v>
      </c>
      <c r="E8467" s="2" t="str">
        <f>IFERROR(__xludf.DUMMYFUNCTION("IFERROR(VLOOKUP(A8467, IMPORTRANGE(""https://docs.google.com/spreadsheets/d/1-3Vjw2Cyy-mry5gbC8ypIR3YVGFfEpyFESummAta6sg/edit"", ""Sheet1!B:D""), 3, FALSE), ""Not Found"")"),"w ɛ ʤ d ")</f>
        <v>w ɛ ʤ d </v>
      </c>
    </row>
    <row r="8468">
      <c r="A8468" s="1" t="s">
        <v>8469</v>
      </c>
      <c r="B8468" s="1" t="s">
        <v>6138</v>
      </c>
      <c r="C8468" s="2">
        <f>IFERROR(__xludf.DUMMYFUNCTION("IFERROR(VLOOKUP(A8468, IMPORTRANGE(""https://docs.google.com/spreadsheets/d/1AVX9GT0dgogEBStecCXMMQ29tWz3gBrtNB8yIromXbY/edit?gid=741673867"", ""out1g!A:B""), 2, FALSE), 0)"),67.0)</f>
        <v>67</v>
      </c>
      <c r="D8468" s="2" t="str">
        <f>IFERROR(__xludf.DUMMYFUNCTION("IFERROR(VLOOKUP(A8468, IMPORTRANGE(""https://docs.google.com/spreadsheets/d/1-3Vjw2Cyy-mry5gbC8ypIR3YVGFfEpyFESummAta6sg/edit"", ""Sheet1!B:D""), 2, FALSE), ""Not Found"")"),"liʧɪz")</f>
        <v>liʧɪz</v>
      </c>
      <c r="E8468" s="2" t="str">
        <f>IFERROR(__xludf.DUMMYFUNCTION("IFERROR(VLOOKUP(A8468, IMPORTRANGE(""https://docs.google.com/spreadsheets/d/1-3Vjw2Cyy-mry5gbC8ypIR3YVGFfEpyFESummAta6sg/edit"", ""Sheet1!B:D""), 3, FALSE), ""Not Found"")"),"l i ʧ ɪ z ")</f>
        <v>l i ʧ ɪ z </v>
      </c>
    </row>
    <row r="8469">
      <c r="A8469" s="1" t="s">
        <v>8470</v>
      </c>
      <c r="B8469" s="1" t="s">
        <v>6138</v>
      </c>
      <c r="C8469" s="2">
        <f>IFERROR(__xludf.DUMMYFUNCTION("IFERROR(VLOOKUP(A8469, IMPORTRANGE(""https://docs.google.com/spreadsheets/d/1AVX9GT0dgogEBStecCXMMQ29tWz3gBrtNB8yIromXbY/edit?gid=741673867"", ""out1g!A:B""), 2, FALSE), 0)"),46.0)</f>
        <v>46</v>
      </c>
      <c r="D8469" s="2" t="str">
        <f>IFERROR(__xludf.DUMMYFUNCTION("IFERROR(VLOOKUP(A8469, IMPORTRANGE(""https://docs.google.com/spreadsheets/d/1-3Vjw2Cyy-mry5gbC8ypIR3YVGFfEpyFESummAta6sg/edit"", ""Sheet1!B:D""), 2, FALSE), ""Not Found"")"),"əpfrənt")</f>
        <v>əpfrənt</v>
      </c>
      <c r="E8469" s="2" t="str">
        <f>IFERROR(__xludf.DUMMYFUNCTION("IFERROR(VLOOKUP(A8469, IMPORTRANGE(""https://docs.google.com/spreadsheets/d/1-3Vjw2Cyy-mry5gbC8ypIR3YVGFfEpyFESummAta6sg/edit"", ""Sheet1!B:D""), 3, FALSE), ""Not Found"")"),"ə p f r ə n t ")</f>
        <v>ə p f r ə n t </v>
      </c>
    </row>
    <row r="8470">
      <c r="A8470" s="1" t="s">
        <v>8471</v>
      </c>
      <c r="B8470" s="1" t="s">
        <v>6138</v>
      </c>
      <c r="C8470" s="2">
        <f>IFERROR(__xludf.DUMMYFUNCTION("IFERROR(VLOOKUP(A8470, IMPORTRANGE(""https://docs.google.com/spreadsheets/d/1AVX9GT0dgogEBStecCXMMQ29tWz3gBrtNB8yIromXbY/edit?gid=741673867"", ""out1g!A:B""), 2, FALSE), 0)"),50.0)</f>
        <v>50</v>
      </c>
      <c r="D8470" s="2" t="str">
        <f>IFERROR(__xludf.DUMMYFUNCTION("IFERROR(VLOOKUP(A8470, IMPORTRANGE(""https://docs.google.com/spreadsheets/d/1-3Vjw2Cyy-mry5gbC8ypIR3YVGFfEpyFESummAta6sg/edit"", ""Sheet1!B:D""), 2, FALSE), ""Not Found"")"),"pælɪt")</f>
        <v>pælɪt</v>
      </c>
      <c r="E8470" s="2" t="str">
        <f>IFERROR(__xludf.DUMMYFUNCTION("IFERROR(VLOOKUP(A8470, IMPORTRANGE(""https://docs.google.com/spreadsheets/d/1-3Vjw2Cyy-mry5gbC8ypIR3YVGFfEpyFESummAta6sg/edit"", ""Sheet1!B:D""), 3, FALSE), ""Not Found"")"),"p æ l ɪ t ")</f>
        <v>p æ l ɪ t </v>
      </c>
    </row>
    <row r="8471">
      <c r="A8471" s="1" t="s">
        <v>8472</v>
      </c>
      <c r="B8471" s="1" t="s">
        <v>6138</v>
      </c>
      <c r="C8471" s="2">
        <f>IFERROR(__xludf.DUMMYFUNCTION("IFERROR(VLOOKUP(A8471, IMPORTRANGE(""https://docs.google.com/spreadsheets/d/1AVX9GT0dgogEBStecCXMMQ29tWz3gBrtNB8yIromXbY/edit?gid=741673867"", ""out1g!A:B""), 2, FALSE), 0)"),9801.0)</f>
        <v>9801</v>
      </c>
      <c r="D8471" s="2" t="str">
        <f>IFERROR(__xludf.DUMMYFUNCTION("IFERROR(VLOOKUP(A8471, IMPORTRANGE(""https://docs.google.com/spreadsheets/d/1-3Vjw2Cyy-mry5gbC8ypIR3YVGFfEpyFESummAta6sg/edit"", ""Sheet1!B:D""), 2, FALSE), ""Not Found"")"),"truθ")</f>
        <v>truθ</v>
      </c>
      <c r="E8471" s="2" t="str">
        <f>IFERROR(__xludf.DUMMYFUNCTION("IFERROR(VLOOKUP(A8471, IMPORTRANGE(""https://docs.google.com/spreadsheets/d/1-3Vjw2Cyy-mry5gbC8ypIR3YVGFfEpyFESummAta6sg/edit"", ""Sheet1!B:D""), 3, FALSE), ""Not Found"")"),"t r u θ ")</f>
        <v>t r u θ </v>
      </c>
    </row>
    <row r="8472">
      <c r="A8472" s="1" t="s">
        <v>8473</v>
      </c>
      <c r="B8472" s="1" t="s">
        <v>6138</v>
      </c>
      <c r="C8472" s="2">
        <f>IFERROR(__xludf.DUMMYFUNCTION("IFERROR(VLOOKUP(A8472, IMPORTRANGE(""https://docs.google.com/spreadsheets/d/1AVX9GT0dgogEBStecCXMMQ29tWz3gBrtNB8yIromXbY/edit?gid=741673867"", ""out1g!A:B""), 2, FALSE), 0)"),92.0)</f>
        <v>92</v>
      </c>
      <c r="D8472" s="2" t="str">
        <f>IFERROR(__xludf.DUMMYFUNCTION("IFERROR(VLOOKUP(A8472, IMPORTRANGE(""https://docs.google.com/spreadsheets/d/1-3Vjw2Cyy-mry5gbC8ypIR3YVGFfEpyFESummAta6sg/edit"", ""Sheet1!B:D""), 2, FALSE), ""Not Found"")"),"bæŋz")</f>
        <v>bæŋz</v>
      </c>
      <c r="E8472" s="2" t="str">
        <f>IFERROR(__xludf.DUMMYFUNCTION("IFERROR(VLOOKUP(A8472, IMPORTRANGE(""https://docs.google.com/spreadsheets/d/1-3Vjw2Cyy-mry5gbC8ypIR3YVGFfEpyFESummAta6sg/edit"", ""Sheet1!B:D""), 3, FALSE), ""Not Found"")"),"b æ ŋ z ")</f>
        <v>b æ ŋ z </v>
      </c>
    </row>
    <row r="8473">
      <c r="A8473" s="1" t="s">
        <v>8474</v>
      </c>
      <c r="B8473" s="1" t="s">
        <v>6138</v>
      </c>
      <c r="C8473" s="2">
        <f>IFERROR(__xludf.DUMMYFUNCTION("IFERROR(VLOOKUP(A8473, IMPORTRANGE(""https://docs.google.com/spreadsheets/d/1AVX9GT0dgogEBStecCXMMQ29tWz3gBrtNB8yIromXbY/edit?gid=741673867"", ""out1g!A:B""), 2, FALSE), 0)"),134.0)</f>
        <v>134</v>
      </c>
      <c r="D8473" s="2" t="str">
        <f>IFERROR(__xludf.DUMMYFUNCTION("IFERROR(VLOOKUP(A8473, IMPORTRANGE(""https://docs.google.com/spreadsheets/d/1-3Vjw2Cyy-mry5gbC8ypIR3YVGFfEpyFESummAta6sg/edit"", ""Sheet1!B:D""), 2, FALSE), ""Not Found"")"),"resər")</f>
        <v>resər</v>
      </c>
      <c r="E8473" s="2" t="str">
        <f>IFERROR(__xludf.DUMMYFUNCTION("IFERROR(VLOOKUP(A8473, IMPORTRANGE(""https://docs.google.com/spreadsheets/d/1-3Vjw2Cyy-mry5gbC8ypIR3YVGFfEpyFESummAta6sg/edit"", ""Sheet1!B:D""), 3, FALSE), ""Not Found"")"),"r e s ə r ")</f>
        <v>r e s ə r </v>
      </c>
    </row>
    <row r="8474">
      <c r="A8474" s="1" t="s">
        <v>8475</v>
      </c>
      <c r="B8474" s="1" t="s">
        <v>6138</v>
      </c>
      <c r="C8474" s="2">
        <f>IFERROR(__xludf.DUMMYFUNCTION("IFERROR(VLOOKUP(A8474, IMPORTRANGE(""https://docs.google.com/spreadsheets/d/1AVX9GT0dgogEBStecCXMMQ29tWz3gBrtNB8yIromXbY/edit?gid=741673867"", ""out1g!A:B""), 2, FALSE), 0)"),93.0)</f>
        <v>93</v>
      </c>
      <c r="D8474" s="2" t="str">
        <f>IFERROR(__xludf.DUMMYFUNCTION("IFERROR(VLOOKUP(A8474, IMPORTRANGE(""https://docs.google.com/spreadsheets/d/1-3Vjw2Cyy-mry5gbC8ypIR3YVGFfEpyFESummAta6sg/edit"", ""Sheet1!B:D""), 2, FALSE), ""Not Found"")"),"ræfəl")</f>
        <v>ræfəl</v>
      </c>
      <c r="E8474" s="2" t="str">
        <f>IFERROR(__xludf.DUMMYFUNCTION("IFERROR(VLOOKUP(A8474, IMPORTRANGE(""https://docs.google.com/spreadsheets/d/1-3Vjw2Cyy-mry5gbC8ypIR3YVGFfEpyFESummAta6sg/edit"", ""Sheet1!B:D""), 3, FALSE), ""Not Found"")"),"r æ f ə l ")</f>
        <v>r æ f ə l </v>
      </c>
    </row>
    <row r="8475">
      <c r="A8475" s="1" t="s">
        <v>8476</v>
      </c>
      <c r="B8475" s="1" t="s">
        <v>6138</v>
      </c>
      <c r="C8475" s="2">
        <f>IFERROR(__xludf.DUMMYFUNCTION("IFERROR(VLOOKUP(A8475, IMPORTRANGE(""https://docs.google.com/spreadsheets/d/1AVX9GT0dgogEBStecCXMMQ29tWz3gBrtNB8yIromXbY/edit?gid=741673867"", ""out1g!A:B""), 2, FALSE), 0)"),794.0)</f>
        <v>794</v>
      </c>
      <c r="D8475" s="2" t="str">
        <f>IFERROR(__xludf.DUMMYFUNCTION("IFERROR(VLOOKUP(A8475, IMPORTRANGE(""https://docs.google.com/spreadsheets/d/1-3Vjw2Cyy-mry5gbC8ypIR3YVGFfEpyFESummAta6sg/edit"", ""Sheet1!B:D""), 2, FALSE), ""Not Found"")"),"besɪk")</f>
        <v>besɪk</v>
      </c>
      <c r="E8475" s="2" t="str">
        <f>IFERROR(__xludf.DUMMYFUNCTION("IFERROR(VLOOKUP(A8475, IMPORTRANGE(""https://docs.google.com/spreadsheets/d/1-3Vjw2Cyy-mry5gbC8ypIR3YVGFfEpyFESummAta6sg/edit"", ""Sheet1!B:D""), 3, FALSE), ""Not Found"")"),"b e s ɪ k ")</f>
        <v>b e s ɪ k </v>
      </c>
    </row>
    <row r="8476">
      <c r="A8476" s="1" t="s">
        <v>8477</v>
      </c>
      <c r="B8476" s="1" t="s">
        <v>6138</v>
      </c>
      <c r="C8476" s="2">
        <f>IFERROR(__xludf.DUMMYFUNCTION("IFERROR(VLOOKUP(A8476, IMPORTRANGE(""https://docs.google.com/spreadsheets/d/1AVX9GT0dgogEBStecCXMMQ29tWz3gBrtNB8yIromXbY/edit?gid=741673867"", ""out1g!A:B""), 2, FALSE), 0)"),321.0)</f>
        <v>321</v>
      </c>
      <c r="D8476" s="2" t="str">
        <f>IFERROR(__xludf.DUMMYFUNCTION("IFERROR(VLOOKUP(A8476, IMPORTRANGE(""https://docs.google.com/spreadsheets/d/1-3Vjw2Cyy-mry5gbC8ypIR3YVGFfEpyFESummAta6sg/edit"", ""Sheet1!B:D""), 2, FALSE), ""Not Found"")"),"swɪs")</f>
        <v>swɪs</v>
      </c>
      <c r="E8476" s="2" t="str">
        <f>IFERROR(__xludf.DUMMYFUNCTION("IFERROR(VLOOKUP(A8476, IMPORTRANGE(""https://docs.google.com/spreadsheets/d/1-3Vjw2Cyy-mry5gbC8ypIR3YVGFfEpyFESummAta6sg/edit"", ""Sheet1!B:D""), 3, FALSE), ""Not Found"")"),"s w ɪ s ")</f>
        <v>s w ɪ s </v>
      </c>
    </row>
    <row r="8477">
      <c r="A8477" s="1" t="s">
        <v>8478</v>
      </c>
      <c r="B8477" s="1" t="s">
        <v>6138</v>
      </c>
      <c r="C8477" s="2">
        <f>IFERROR(__xludf.DUMMYFUNCTION("IFERROR(VLOOKUP(A8477, IMPORTRANGE(""https://docs.google.com/spreadsheets/d/1AVX9GT0dgogEBStecCXMMQ29tWz3gBrtNB8yIromXbY/edit?gid=741673867"", ""out1g!A:B""), 2, FALSE), 0)"),573.0)</f>
        <v>573</v>
      </c>
      <c r="D8477" s="2" t="str">
        <f>IFERROR(__xludf.DUMMYFUNCTION("IFERROR(VLOOKUP(A8477, IMPORTRANGE(""https://docs.google.com/spreadsheets/d/1-3Vjw2Cyy-mry5gbC8ypIR3YVGFfEpyFESummAta6sg/edit"", ""Sheet1!B:D""), 2, FALSE), ""Not Found"")"),"wɔrdən")</f>
        <v>wɔrdən</v>
      </c>
      <c r="E8477" s="2" t="str">
        <f>IFERROR(__xludf.DUMMYFUNCTION("IFERROR(VLOOKUP(A8477, IMPORTRANGE(""https://docs.google.com/spreadsheets/d/1-3Vjw2Cyy-mry5gbC8ypIR3YVGFfEpyFESummAta6sg/edit"", ""Sheet1!B:D""), 3, FALSE), ""Not Found"")"),"w ɔ r d ə n ")</f>
        <v>w ɔ r d ə n </v>
      </c>
    </row>
    <row r="8478">
      <c r="A8478" s="1" t="s">
        <v>8479</v>
      </c>
      <c r="B8478" s="1" t="s">
        <v>6138</v>
      </c>
      <c r="C8478" s="2">
        <f>IFERROR(__xludf.DUMMYFUNCTION("IFERROR(VLOOKUP(A8478, IMPORTRANGE(""https://docs.google.com/spreadsheets/d/1AVX9GT0dgogEBStecCXMMQ29tWz3gBrtNB8yIromXbY/edit?gid=741673867"", ""out1g!A:B""), 2, FALSE), 0)"),1017.0)</f>
        <v>1017</v>
      </c>
      <c r="D8478" s="2" t="str">
        <f>IFERROR(__xludf.DUMMYFUNCTION("IFERROR(VLOOKUP(A8478, IMPORTRANGE(""https://docs.google.com/spreadsheets/d/1-3Vjw2Cyy-mry5gbC8ypIR3YVGFfEpyFESummAta6sg/edit"", ""Sheet1!B:D""), 2, FALSE), ""Not Found"")"),"ʤɔrdən")</f>
        <v>ʤɔrdən</v>
      </c>
      <c r="E8478" s="2" t="str">
        <f>IFERROR(__xludf.DUMMYFUNCTION("IFERROR(VLOOKUP(A8478, IMPORTRANGE(""https://docs.google.com/spreadsheets/d/1-3Vjw2Cyy-mry5gbC8ypIR3YVGFfEpyFESummAta6sg/edit"", ""Sheet1!B:D""), 3, FALSE), ""Not Found"")"),"ʤ ɔ r d ə n ")</f>
        <v>ʤ ɔ r d ə n </v>
      </c>
    </row>
    <row r="8479">
      <c r="A8479" s="1" t="s">
        <v>8480</v>
      </c>
      <c r="B8479" s="1" t="s">
        <v>6138</v>
      </c>
      <c r="C8479" s="2">
        <f>IFERROR(__xludf.DUMMYFUNCTION("IFERROR(VLOOKUP(A8479, IMPORTRANGE(""https://docs.google.com/spreadsheets/d/1AVX9GT0dgogEBStecCXMMQ29tWz3gBrtNB8yIromXbY/edit?gid=741673867"", ""out1g!A:B""), 2, FALSE), 0)"),359.0)</f>
        <v>359</v>
      </c>
      <c r="D8479" s="2" t="str">
        <f>IFERROR(__xludf.DUMMYFUNCTION("IFERROR(VLOOKUP(A8479, IMPORTRANGE(""https://docs.google.com/spreadsheets/d/1-3Vjw2Cyy-mry5gbC8ypIR3YVGFfEpyFESummAta6sg/edit"", ""Sheet1!B:D""), 2, FALSE), ""Not Found"")"),"ɛldər")</f>
        <v>ɛldər</v>
      </c>
      <c r="E8479" s="2" t="str">
        <f>IFERROR(__xludf.DUMMYFUNCTION("IFERROR(VLOOKUP(A8479, IMPORTRANGE(""https://docs.google.com/spreadsheets/d/1-3Vjw2Cyy-mry5gbC8ypIR3YVGFfEpyFESummAta6sg/edit"", ""Sheet1!B:D""), 3, FALSE), ""Not Found"")"),"ɛ l d ə r ")</f>
        <v>ɛ l d ə r </v>
      </c>
    </row>
    <row r="8480">
      <c r="A8480" s="1" t="s">
        <v>8481</v>
      </c>
      <c r="B8480" s="1" t="s">
        <v>6138</v>
      </c>
      <c r="C8480" s="2">
        <f>IFERROR(__xludf.DUMMYFUNCTION("IFERROR(VLOOKUP(A8480, IMPORTRANGE(""https://docs.google.com/spreadsheets/d/1AVX9GT0dgogEBStecCXMMQ29tWz3gBrtNB8yIromXbY/edit?gid=741673867"", ""out1g!A:B""), 2, FALSE), 0)"),3696.0)</f>
        <v>3696</v>
      </c>
      <c r="D8480" s="2" t="str">
        <f>IFERROR(__xludf.DUMMYFUNCTION("IFERROR(VLOOKUP(A8480, IMPORTRANGE(""https://docs.google.com/spreadsheets/d/1-3Vjw2Cyy-mry5gbC8ypIR3YVGFfEpyFESummAta6sg/edit"", ""Sheet1!B:D""), 2, FALSE), ""Not Found"")"),"graʊnd")</f>
        <v>graʊnd</v>
      </c>
      <c r="E8480" s="2" t="str">
        <f>IFERROR(__xludf.DUMMYFUNCTION("IFERROR(VLOOKUP(A8480, IMPORTRANGE(""https://docs.google.com/spreadsheets/d/1-3Vjw2Cyy-mry5gbC8ypIR3YVGFfEpyFESummAta6sg/edit"", ""Sheet1!B:D""), 3, FALSE), ""Not Found"")"),"g r a ʊ n d ")</f>
        <v>g r a ʊ n d </v>
      </c>
    </row>
    <row r="8481">
      <c r="A8481" s="1" t="s">
        <v>8482</v>
      </c>
      <c r="B8481" s="1" t="s">
        <v>6138</v>
      </c>
      <c r="C8481" s="2">
        <f>IFERROR(__xludf.DUMMYFUNCTION("IFERROR(VLOOKUP(A8481, IMPORTRANGE(""https://docs.google.com/spreadsheets/d/1AVX9GT0dgogEBStecCXMMQ29tWz3gBrtNB8yIromXbY/edit?gid=741673867"", ""out1g!A:B""), 2, FALSE), 0)"),60.0)</f>
        <v>60</v>
      </c>
      <c r="D8481" s="2" t="str">
        <f>IFERROR(__xludf.DUMMYFUNCTION("IFERROR(VLOOKUP(A8481, IMPORTRANGE(""https://docs.google.com/spreadsheets/d/1-3Vjw2Cyy-mry5gbC8ypIR3YVGFfEpyFESummAta6sg/edit"", ""Sheet1!B:D""), 2, FALSE), ""Not Found"")"),"mælɪs")</f>
        <v>mælɪs</v>
      </c>
      <c r="E8481" s="2" t="str">
        <f>IFERROR(__xludf.DUMMYFUNCTION("IFERROR(VLOOKUP(A8481, IMPORTRANGE(""https://docs.google.com/spreadsheets/d/1-3Vjw2Cyy-mry5gbC8ypIR3YVGFfEpyFESummAta6sg/edit"", ""Sheet1!B:D""), 3, FALSE), ""Not Found"")"),"m æ l ɪ s ")</f>
        <v>m æ l ɪ s </v>
      </c>
    </row>
    <row r="8482">
      <c r="A8482" s="1" t="s">
        <v>8483</v>
      </c>
      <c r="B8482" s="1" t="s">
        <v>6138</v>
      </c>
      <c r="C8482" s="2">
        <f>IFERROR(__xludf.DUMMYFUNCTION("IFERROR(VLOOKUP(A8482, IMPORTRANGE(""https://docs.google.com/spreadsheets/d/1AVX9GT0dgogEBStecCXMMQ29tWz3gBrtNB8yIromXbY/edit?gid=741673867"", ""out1g!A:B""), 2, FALSE), 0)"),69.0)</f>
        <v>69</v>
      </c>
      <c r="D8482" s="2" t="str">
        <f>IFERROR(__xludf.DUMMYFUNCTION("IFERROR(VLOOKUP(A8482, IMPORTRANGE(""https://docs.google.com/spreadsheets/d/1-3Vjw2Cyy-mry5gbC8ypIR3YVGFfEpyFESummAta6sg/edit"", ""Sheet1!B:D""), 2, FALSE), ""Not Found"")"),"bæzəl")</f>
        <v>bæzəl</v>
      </c>
      <c r="E8482" s="2" t="str">
        <f>IFERROR(__xludf.DUMMYFUNCTION("IFERROR(VLOOKUP(A8482, IMPORTRANGE(""https://docs.google.com/spreadsheets/d/1-3Vjw2Cyy-mry5gbC8ypIR3YVGFfEpyFESummAta6sg/edit"", ""Sheet1!B:D""), 3, FALSE), ""Not Found"")"),"b æ z ə l ")</f>
        <v>b æ z ə l </v>
      </c>
    </row>
    <row r="8483">
      <c r="A8483" s="1" t="s">
        <v>8484</v>
      </c>
      <c r="B8483" s="1" t="s">
        <v>6138</v>
      </c>
      <c r="C8483" s="2">
        <f>IFERROR(__xludf.DUMMYFUNCTION("IFERROR(VLOOKUP(A8483, IMPORTRANGE(""https://docs.google.com/spreadsheets/d/1AVX9GT0dgogEBStecCXMMQ29tWz3gBrtNB8yIromXbY/edit?gid=741673867"", ""out1g!A:B""), 2, FALSE), 0)"),818.0)</f>
        <v>818</v>
      </c>
      <c r="D8483" s="2" t="str">
        <f>IFERROR(__xludf.DUMMYFUNCTION("IFERROR(VLOOKUP(A8483, IMPORTRANGE(""https://docs.google.com/spreadsheets/d/1-3Vjw2Cyy-mry5gbC8ypIR3YVGFfEpyFESummAta6sg/edit"", ""Sheet1!B:D""), 2, FALSE), ""Not Found"")"),"nɔrməli")</f>
        <v>nɔrməli</v>
      </c>
      <c r="E8483" s="2" t="str">
        <f>IFERROR(__xludf.DUMMYFUNCTION("IFERROR(VLOOKUP(A8483, IMPORTRANGE(""https://docs.google.com/spreadsheets/d/1-3Vjw2Cyy-mry5gbC8ypIR3YVGFfEpyFESummAta6sg/edit"", ""Sheet1!B:D""), 3, FALSE), ""Not Found"")"),"n ɔ r m ə l i ")</f>
        <v>n ɔ r m ə l i </v>
      </c>
    </row>
    <row r="8484">
      <c r="A8484" s="1" t="s">
        <v>8485</v>
      </c>
      <c r="B8484" s="1" t="s">
        <v>6138</v>
      </c>
      <c r="C8484" s="2">
        <f>IFERROR(__xludf.DUMMYFUNCTION("IFERROR(VLOOKUP(A8484, IMPORTRANGE(""https://docs.google.com/spreadsheets/d/1AVX9GT0dgogEBStecCXMMQ29tWz3gBrtNB8yIromXbY/edit?gid=741673867"", ""out1g!A:B""), 2, FALSE), 0)"),1423.0)</f>
        <v>1423</v>
      </c>
      <c r="D8484" s="2" t="str">
        <f>IFERROR(__xludf.DUMMYFUNCTION("IFERROR(VLOOKUP(A8484, IMPORTRANGE(""https://docs.google.com/spreadsheets/d/1-3Vjw2Cyy-mry5gbC8ypIR3YVGFfEpyFESummAta6sg/edit"", ""Sheet1!B:D""), 2, FALSE), ""Not Found"")"),"bɪlɔŋz")</f>
        <v>bɪlɔŋz</v>
      </c>
      <c r="E8484" s="2" t="str">
        <f>IFERROR(__xludf.DUMMYFUNCTION("IFERROR(VLOOKUP(A8484, IMPORTRANGE(""https://docs.google.com/spreadsheets/d/1-3Vjw2Cyy-mry5gbC8ypIR3YVGFfEpyFESummAta6sg/edit"", ""Sheet1!B:D""), 3, FALSE), ""Not Found"")"),"b ɪ l ɔ ŋ z ")</f>
        <v>b ɪ l ɔ ŋ z </v>
      </c>
    </row>
    <row r="8485">
      <c r="A8485" s="1" t="s">
        <v>8486</v>
      </c>
      <c r="B8485" s="1" t="s">
        <v>6138</v>
      </c>
      <c r="C8485" s="2">
        <f>IFERROR(__xludf.DUMMYFUNCTION("IFERROR(VLOOKUP(A8485, IMPORTRANGE(""https://docs.google.com/spreadsheets/d/1AVX9GT0dgogEBStecCXMMQ29tWz3gBrtNB8yIromXbY/edit?gid=741673867"", ""out1g!A:B""), 2, FALSE), 0)"),1010.0)</f>
        <v>1010</v>
      </c>
      <c r="D8485" s="2" t="str">
        <f>IFERROR(__xludf.DUMMYFUNCTION("IFERROR(VLOOKUP(A8485, IMPORTRANGE(""https://docs.google.com/spreadsheets/d/1-3Vjw2Cyy-mry5gbC8ypIR3YVGFfEpyFESummAta6sg/edit"", ""Sheet1!B:D""), 2, FALSE), ""Not Found"")"),"trəŋk")</f>
        <v>trəŋk</v>
      </c>
      <c r="E8485" s="2" t="str">
        <f>IFERROR(__xludf.DUMMYFUNCTION("IFERROR(VLOOKUP(A8485, IMPORTRANGE(""https://docs.google.com/spreadsheets/d/1-3Vjw2Cyy-mry5gbC8ypIR3YVGFfEpyFESummAta6sg/edit"", ""Sheet1!B:D""), 3, FALSE), ""Not Found"")"),"t r ə ŋ k ")</f>
        <v>t r ə ŋ k </v>
      </c>
    </row>
    <row r="8486">
      <c r="A8486" s="1" t="s">
        <v>8487</v>
      </c>
      <c r="B8486" s="1" t="s">
        <v>6138</v>
      </c>
      <c r="C8486" s="2">
        <f>IFERROR(__xludf.DUMMYFUNCTION("IFERROR(VLOOKUP(A8486, IMPORTRANGE(""https://docs.google.com/spreadsheets/d/1AVX9GT0dgogEBStecCXMMQ29tWz3gBrtNB8yIromXbY/edit?gid=741673867"", ""out1g!A:B""), 2, FALSE), 0)"),274.0)</f>
        <v>274</v>
      </c>
      <c r="D8486" s="2" t="str">
        <f>IFERROR(__xludf.DUMMYFUNCTION("IFERROR(VLOOKUP(A8486, IMPORTRANGE(""https://docs.google.com/spreadsheets/d/1-3Vjw2Cyy-mry5gbC8ypIR3YVGFfEpyFESummAta6sg/edit"", ""Sheet1!B:D""), 2, FALSE), ""Not Found"")"),"flɔrəns")</f>
        <v>flɔrəns</v>
      </c>
      <c r="E8486" s="2" t="str">
        <f>IFERROR(__xludf.DUMMYFUNCTION("IFERROR(VLOOKUP(A8486, IMPORTRANGE(""https://docs.google.com/spreadsheets/d/1-3Vjw2Cyy-mry5gbC8ypIR3YVGFfEpyFESummAta6sg/edit"", ""Sheet1!B:D""), 3, FALSE), ""Not Found"")"),"f l ɔ r ə n s ")</f>
        <v>f l ɔ r ə n s </v>
      </c>
    </row>
    <row r="8487">
      <c r="A8487" s="1" t="s">
        <v>8488</v>
      </c>
      <c r="B8487" s="1" t="s">
        <v>6138</v>
      </c>
      <c r="C8487" s="2">
        <f>IFERROR(__xludf.DUMMYFUNCTION("IFERROR(VLOOKUP(A8487, IMPORTRANGE(""https://docs.google.com/spreadsheets/d/1AVX9GT0dgogEBStecCXMMQ29tWz3gBrtNB8yIromXbY/edit?gid=741673867"", ""out1g!A:B""), 2, FALSE), 0)"),3102.0)</f>
        <v>3102</v>
      </c>
      <c r="D8487" s="2" t="str">
        <f>IFERROR(__xludf.DUMMYFUNCTION("IFERROR(VLOOKUP(A8487, IMPORTRANGE(""https://docs.google.com/spreadsheets/d/1-3Vjw2Cyy-mry5gbC8ypIR3YVGFfEpyFESummAta6sg/edit"", ""Sheet1!B:D""), 2, FALSE), ""Not Found"")"),"itɪŋ")</f>
        <v>itɪŋ</v>
      </c>
      <c r="E8487" s="2" t="str">
        <f>IFERROR(__xludf.DUMMYFUNCTION("IFERROR(VLOOKUP(A8487, IMPORTRANGE(""https://docs.google.com/spreadsheets/d/1-3Vjw2Cyy-mry5gbC8ypIR3YVGFfEpyFESummAta6sg/edit"", ""Sheet1!B:D""), 3, FALSE), ""Not Found"")"),"i t ɪ ŋ ")</f>
        <v>i t ɪ ŋ </v>
      </c>
    </row>
    <row r="8488">
      <c r="A8488" s="1" t="s">
        <v>8489</v>
      </c>
      <c r="B8488" s="1" t="s">
        <v>6138</v>
      </c>
      <c r="C8488" s="2">
        <f>IFERROR(__xludf.DUMMYFUNCTION("IFERROR(VLOOKUP(A8488, IMPORTRANGE(""https://docs.google.com/spreadsheets/d/1AVX9GT0dgogEBStecCXMMQ29tWz3gBrtNB8yIromXbY/edit?gid=741673867"", ""out1g!A:B""), 2, FALSE), 0)"),128.0)</f>
        <v>128</v>
      </c>
      <c r="D8488" s="2" t="str">
        <f>IFERROR(__xludf.DUMMYFUNCTION("IFERROR(VLOOKUP(A8488, IMPORTRANGE(""https://docs.google.com/spreadsheets/d/1-3Vjw2Cyy-mry5gbC8ypIR3YVGFfEpyFESummAta6sg/edit"", ""Sheet1!B:D""), 2, FALSE), ""Not Found"")"),"mɑrks")</f>
        <v>mɑrks</v>
      </c>
      <c r="E8488" s="2" t="str">
        <f>IFERROR(__xludf.DUMMYFUNCTION("IFERROR(VLOOKUP(A8488, IMPORTRANGE(""https://docs.google.com/spreadsheets/d/1-3Vjw2Cyy-mry5gbC8ypIR3YVGFfEpyFESummAta6sg/edit"", ""Sheet1!B:D""), 3, FALSE), ""Not Found"")"),"m ɑ r k s ")</f>
        <v>m ɑ r k s </v>
      </c>
    </row>
    <row r="8489">
      <c r="A8489" s="1" t="s">
        <v>8490</v>
      </c>
      <c r="B8489" s="1" t="s">
        <v>6138</v>
      </c>
      <c r="C8489" s="2">
        <f>IFERROR(__xludf.DUMMYFUNCTION("IFERROR(VLOOKUP(A8489, IMPORTRANGE(""https://docs.google.com/spreadsheets/d/1AVX9GT0dgogEBStecCXMMQ29tWz3gBrtNB8yIromXbY/edit?gid=741673867"", ""out1g!A:B""), 2, FALSE), 0)"),96.0)</f>
        <v>96</v>
      </c>
      <c r="D8489" s="2" t="str">
        <f>IFERROR(__xludf.DUMMYFUNCTION("IFERROR(VLOOKUP(A8489, IMPORTRANGE(""https://docs.google.com/spreadsheets/d/1-3Vjw2Cyy-mry5gbC8ypIR3YVGFfEpyFESummAta6sg/edit"", ""Sheet1!B:D""), 2, FALSE), ""Not Found"")"),"kɑrtən")</f>
        <v>kɑrtən</v>
      </c>
      <c r="E8489" s="2" t="str">
        <f>IFERROR(__xludf.DUMMYFUNCTION("IFERROR(VLOOKUP(A8489, IMPORTRANGE(""https://docs.google.com/spreadsheets/d/1-3Vjw2Cyy-mry5gbC8ypIR3YVGFfEpyFESummAta6sg/edit"", ""Sheet1!B:D""), 3, FALSE), ""Not Found"")"),"k ɑ r t ə n ")</f>
        <v>k ɑ r t ə n </v>
      </c>
    </row>
    <row r="8490">
      <c r="A8490" s="1" t="s">
        <v>8491</v>
      </c>
      <c r="B8490" s="1" t="s">
        <v>6138</v>
      </c>
      <c r="C8490" s="2">
        <f>IFERROR(__xludf.DUMMYFUNCTION("IFERROR(VLOOKUP(A8490, IMPORTRANGE(""https://docs.google.com/spreadsheets/d/1AVX9GT0dgogEBStecCXMMQ29tWz3gBrtNB8yIromXbY/edit?gid=741673867"", ""out1g!A:B""), 2, FALSE), 0)"),74.0)</f>
        <v>74</v>
      </c>
      <c r="D8490" s="2" t="str">
        <f>IFERROR(__xludf.DUMMYFUNCTION("IFERROR(VLOOKUP(A8490, IMPORTRANGE(""https://docs.google.com/spreadsheets/d/1-3Vjw2Cyy-mry5gbC8ypIR3YVGFfEpyFESummAta6sg/edit"", ""Sheet1!B:D""), 2, FALSE), ""Not Found"")"),"ʃɛlɪŋ")</f>
        <v>ʃɛlɪŋ</v>
      </c>
      <c r="E8490" s="2" t="str">
        <f>IFERROR(__xludf.DUMMYFUNCTION("IFERROR(VLOOKUP(A8490, IMPORTRANGE(""https://docs.google.com/spreadsheets/d/1-3Vjw2Cyy-mry5gbC8ypIR3YVGFfEpyFESummAta6sg/edit"", ""Sheet1!B:D""), 3, FALSE), ""Not Found"")"),"ʃ ɛ l ɪ ŋ ")</f>
        <v>ʃ ɛ l ɪ ŋ </v>
      </c>
    </row>
    <row r="8491">
      <c r="A8491" s="1" t="s">
        <v>8492</v>
      </c>
      <c r="B8491" s="1" t="s">
        <v>6138</v>
      </c>
      <c r="C8491" s="2">
        <f>IFERROR(__xludf.DUMMYFUNCTION("IFERROR(VLOOKUP(A8491, IMPORTRANGE(""https://docs.google.com/spreadsheets/d/1AVX9GT0dgogEBStecCXMMQ29tWz3gBrtNB8yIromXbY/edit?gid=741673867"", ""out1g!A:B""), 2, FALSE), 0)"),220.0)</f>
        <v>220</v>
      </c>
      <c r="D8491" s="2" t="str">
        <f>IFERROR(__xludf.DUMMYFUNCTION("IFERROR(VLOOKUP(A8491, IMPORTRANGE(""https://docs.google.com/spreadsheets/d/1-3Vjw2Cyy-mry5gbC8ypIR3YVGFfEpyFESummAta6sg/edit"", ""Sheet1!B:D""), 2, FALSE), ""Not Found"")"),"trus")</f>
        <v>trus</v>
      </c>
      <c r="E8491" s="2" t="str">
        <f>IFERROR(__xludf.DUMMYFUNCTION("IFERROR(VLOOKUP(A8491, IMPORTRANGE(""https://docs.google.com/spreadsheets/d/1-3Vjw2Cyy-mry5gbC8ypIR3YVGFfEpyFESummAta6sg/edit"", ""Sheet1!B:D""), 3, FALSE), ""Not Found"")"),"t r u s ")</f>
        <v>t r u s </v>
      </c>
    </row>
    <row r="8492">
      <c r="A8492" s="1" t="s">
        <v>8493</v>
      </c>
      <c r="B8492" s="1" t="s">
        <v>6138</v>
      </c>
      <c r="C8492" s="2">
        <f>IFERROR(__xludf.DUMMYFUNCTION("IFERROR(VLOOKUP(A8492, IMPORTRANGE(""https://docs.google.com/spreadsheets/d/1AVX9GT0dgogEBStecCXMMQ29tWz3gBrtNB8yIromXbY/edit?gid=741673867"", ""out1g!A:B""), 2, FALSE), 0)"),173.0)</f>
        <v>173</v>
      </c>
      <c r="D8492" s="2" t="str">
        <f>IFERROR(__xludf.DUMMYFUNCTION("IFERROR(VLOOKUP(A8492, IMPORTRANGE(""https://docs.google.com/spreadsheets/d/1-3Vjw2Cyy-mry5gbC8ypIR3YVGFfEpyFESummAta6sg/edit"", ""Sheet1!B:D""), 2, FALSE), ""Not Found"")"),"skrinɪŋ")</f>
        <v>skrinɪŋ</v>
      </c>
      <c r="E8492" s="2" t="str">
        <f>IFERROR(__xludf.DUMMYFUNCTION("IFERROR(VLOOKUP(A8492, IMPORTRANGE(""https://docs.google.com/spreadsheets/d/1-3Vjw2Cyy-mry5gbC8ypIR3YVGFfEpyFESummAta6sg/edit"", ""Sheet1!B:D""), 3, FALSE), ""Not Found"")"),"s k r i n ɪ ŋ ")</f>
        <v>s k r i n ɪ ŋ </v>
      </c>
    </row>
    <row r="8493">
      <c r="A8493" s="1" t="s">
        <v>8494</v>
      </c>
      <c r="B8493" s="1" t="s">
        <v>6138</v>
      </c>
      <c r="C8493" s="2">
        <f>IFERROR(__xludf.DUMMYFUNCTION("IFERROR(VLOOKUP(A8493, IMPORTRANGE(""https://docs.google.com/spreadsheets/d/1AVX9GT0dgogEBStecCXMMQ29tWz3gBrtNB8yIromXbY/edit?gid=741673867"", ""out1g!A:B""), 2, FALSE), 0)"),78.0)</f>
        <v>78</v>
      </c>
      <c r="D8493" s="2" t="str">
        <f>IFERROR(__xludf.DUMMYFUNCTION("IFERROR(VLOOKUP(A8493, IMPORTRANGE(""https://docs.google.com/spreadsheets/d/1-3Vjw2Cyy-mry5gbC8ypIR3YVGFfEpyFESummAta6sg/edit"", ""Sheet1!B:D""), 2, FALSE), ""Not Found"")"),"drenz")</f>
        <v>drenz</v>
      </c>
      <c r="E8493" s="2" t="str">
        <f>IFERROR(__xludf.DUMMYFUNCTION("IFERROR(VLOOKUP(A8493, IMPORTRANGE(""https://docs.google.com/spreadsheets/d/1-3Vjw2Cyy-mry5gbC8ypIR3YVGFfEpyFESummAta6sg/edit"", ""Sheet1!B:D""), 3, FALSE), ""Not Found"")"),"d r e n z ")</f>
        <v>d r e n z </v>
      </c>
    </row>
    <row r="8494">
      <c r="A8494" s="1" t="s">
        <v>8495</v>
      </c>
      <c r="B8494" s="1" t="s">
        <v>6138</v>
      </c>
      <c r="C8494" s="2">
        <f>IFERROR(__xludf.DUMMYFUNCTION("IFERROR(VLOOKUP(A8494, IMPORTRANGE(""https://docs.google.com/spreadsheets/d/1AVX9GT0dgogEBStecCXMMQ29tWz3gBrtNB8yIromXbY/edit?gid=741673867"", ""out1g!A:B""), 2, FALSE), 0)"),56.0)</f>
        <v>56</v>
      </c>
      <c r="D8494" s="2" t="str">
        <f>IFERROR(__xludf.DUMMYFUNCTION("IFERROR(VLOOKUP(A8494, IMPORTRANGE(""https://docs.google.com/spreadsheets/d/1-3Vjw2Cyy-mry5gbC8ypIR3YVGFfEpyFESummAta6sg/edit"", ""Sheet1!B:D""), 2, FALSE), ""Not Found"")"),"ʧæmps")</f>
        <v>ʧæmps</v>
      </c>
      <c r="E8494" s="2" t="str">
        <f>IFERROR(__xludf.DUMMYFUNCTION("IFERROR(VLOOKUP(A8494, IMPORTRANGE(""https://docs.google.com/spreadsheets/d/1-3Vjw2Cyy-mry5gbC8ypIR3YVGFfEpyFESummAta6sg/edit"", ""Sheet1!B:D""), 3, FALSE), ""Not Found"")"),"ʧ æ m p s ")</f>
        <v>ʧ æ m p s </v>
      </c>
    </row>
    <row r="8495">
      <c r="A8495" s="1" t="s">
        <v>8496</v>
      </c>
      <c r="B8495" s="1" t="s">
        <v>6138</v>
      </c>
      <c r="C8495" s="2">
        <f>IFERROR(__xludf.DUMMYFUNCTION("IFERROR(VLOOKUP(A8495, IMPORTRANGE(""https://docs.google.com/spreadsheets/d/1AVX9GT0dgogEBStecCXMMQ29tWz3gBrtNB8yIromXbY/edit?gid=741673867"", ""out1g!A:B""), 2, FALSE), 0)"),125.0)</f>
        <v>125</v>
      </c>
      <c r="D8495" s="2" t="str">
        <f>IFERROR(__xludf.DUMMYFUNCTION("IFERROR(VLOOKUP(A8495, IMPORTRANGE(""https://docs.google.com/spreadsheets/d/1-3Vjw2Cyy-mry5gbC8ypIR3YVGFfEpyFESummAta6sg/edit"", ""Sheet1!B:D""), 2, FALSE), ""Not Found"")"),"stəmp")</f>
        <v>stəmp</v>
      </c>
      <c r="E8495" s="2" t="str">
        <f>IFERROR(__xludf.DUMMYFUNCTION("IFERROR(VLOOKUP(A8495, IMPORTRANGE(""https://docs.google.com/spreadsheets/d/1-3Vjw2Cyy-mry5gbC8ypIR3YVGFfEpyFESummAta6sg/edit"", ""Sheet1!B:D""), 3, FALSE), ""Not Found"")"),"s t ə m p ")</f>
        <v>s t ə m p </v>
      </c>
    </row>
    <row r="8496">
      <c r="A8496" s="1" t="s">
        <v>8497</v>
      </c>
      <c r="B8496" s="1" t="s">
        <v>6138</v>
      </c>
      <c r="C8496" s="2">
        <f>IFERROR(__xludf.DUMMYFUNCTION("IFERROR(VLOOKUP(A8496, IMPORTRANGE(""https://docs.google.com/spreadsheets/d/1AVX9GT0dgogEBStecCXMMQ29tWz3gBrtNB8yIromXbY/edit?gid=741673867"", ""out1g!A:B""), 2, FALSE), 0)"),130.0)</f>
        <v>130</v>
      </c>
      <c r="D8496" s="2" t="str">
        <f>IFERROR(__xludf.DUMMYFUNCTION("IFERROR(VLOOKUP(A8496, IMPORTRANGE(""https://docs.google.com/spreadsheets/d/1-3Vjw2Cyy-mry5gbC8ypIR3YVGFfEpyFESummAta6sg/edit"", ""Sheet1!B:D""), 2, FALSE), ""Not Found"")"),"pɑŋgoʊ")</f>
        <v>pɑŋgoʊ</v>
      </c>
      <c r="E8496" s="2" t="str">
        <f>IFERROR(__xludf.DUMMYFUNCTION("IFERROR(VLOOKUP(A8496, IMPORTRANGE(""https://docs.google.com/spreadsheets/d/1-3Vjw2Cyy-mry5gbC8ypIR3YVGFfEpyFESummAta6sg/edit"", ""Sheet1!B:D""), 3, FALSE), ""Not Found"")"),"p ɑ ŋ g o ʊ ")</f>
        <v>p ɑ ŋ g o ʊ </v>
      </c>
    </row>
    <row r="8497">
      <c r="A8497" s="1" t="s">
        <v>8498</v>
      </c>
      <c r="B8497" s="1" t="s">
        <v>6138</v>
      </c>
      <c r="C8497" s="2">
        <f>IFERROR(__xludf.DUMMYFUNCTION("IFERROR(VLOOKUP(A8497, IMPORTRANGE(""https://docs.google.com/spreadsheets/d/1AVX9GT0dgogEBStecCXMMQ29tWz3gBrtNB8yIromXbY/edit?gid=741673867"", ""out1g!A:B""), 2, FALSE), 0)"),754.0)</f>
        <v>754</v>
      </c>
      <c r="D8497" s="2" t="str">
        <f>IFERROR(__xludf.DUMMYFUNCTION("IFERROR(VLOOKUP(A8497, IMPORTRANGE(""https://docs.google.com/spreadsheets/d/1-3Vjw2Cyy-mry5gbC8ypIR3YVGFfEpyFESummAta6sg/edit"", ""Sheet1!B:D""), 2, FALSE), ""Not Found"")"),"frikɪŋ")</f>
        <v>frikɪŋ</v>
      </c>
      <c r="E8497" s="2" t="str">
        <f>IFERROR(__xludf.DUMMYFUNCTION("IFERROR(VLOOKUP(A8497, IMPORTRANGE(""https://docs.google.com/spreadsheets/d/1-3Vjw2Cyy-mry5gbC8ypIR3YVGFfEpyFESummAta6sg/edit"", ""Sheet1!B:D""), 3, FALSE), ""Not Found"")"),"f r i k ɪ ŋ ")</f>
        <v>f r i k ɪ ŋ </v>
      </c>
    </row>
    <row r="8498">
      <c r="A8498" s="1" t="s">
        <v>8499</v>
      </c>
      <c r="B8498" s="1" t="s">
        <v>6138</v>
      </c>
      <c r="C8498" s="2">
        <f>IFERROR(__xludf.DUMMYFUNCTION("IFERROR(VLOOKUP(A8498, IMPORTRANGE(""https://docs.google.com/spreadsheets/d/1AVX9GT0dgogEBStecCXMMQ29tWz3gBrtNB8yIromXbY/edit?gid=741673867"", ""out1g!A:B""), 2, FALSE), 0)"),75.0)</f>
        <v>75</v>
      </c>
      <c r="D8498" s="2" t="str">
        <f>IFERROR(__xludf.DUMMYFUNCTION("IFERROR(VLOOKUP(A8498, IMPORTRANGE(""https://docs.google.com/spreadsheets/d/1-3Vjw2Cyy-mry5gbC8ypIR3YVGFfEpyFESummAta6sg/edit"", ""Sheet1!B:D""), 2, FALSE), ""Not Found"")"),"vɪkər")</f>
        <v>vɪkər</v>
      </c>
      <c r="E8498" s="2" t="str">
        <f>IFERROR(__xludf.DUMMYFUNCTION("IFERROR(VLOOKUP(A8498, IMPORTRANGE(""https://docs.google.com/spreadsheets/d/1-3Vjw2Cyy-mry5gbC8ypIR3YVGFfEpyFESummAta6sg/edit"", ""Sheet1!B:D""), 3, FALSE), ""Not Found"")"),"v ɪ k ə r ")</f>
        <v>v ɪ k ə r </v>
      </c>
    </row>
    <row r="8499">
      <c r="A8499" s="1" t="s">
        <v>8500</v>
      </c>
      <c r="B8499" s="1" t="s">
        <v>6138</v>
      </c>
      <c r="C8499" s="2">
        <f>IFERROR(__xludf.DUMMYFUNCTION("IFERROR(VLOOKUP(A8499, IMPORTRANGE(""https://docs.google.com/spreadsheets/d/1AVX9GT0dgogEBStecCXMMQ29tWz3gBrtNB8yIromXbY/edit?gid=741673867"", ""out1g!A:B""), 2, FALSE), 0)"),61.0)</f>
        <v>61</v>
      </c>
      <c r="D8499" s="2" t="str">
        <f>IFERROR(__xludf.DUMMYFUNCTION("IFERROR(VLOOKUP(A8499, IMPORTRANGE(""https://docs.google.com/spreadsheets/d/1-3Vjw2Cyy-mry5gbC8ypIR3YVGFfEpyFESummAta6sg/edit"", ""Sheet1!B:D""), 2, FALSE), ""Not Found"")"),"trəkər")</f>
        <v>trəkər</v>
      </c>
      <c r="E8499" s="2" t="str">
        <f>IFERROR(__xludf.DUMMYFUNCTION("IFERROR(VLOOKUP(A8499, IMPORTRANGE(""https://docs.google.com/spreadsheets/d/1-3Vjw2Cyy-mry5gbC8ypIR3YVGFfEpyFESummAta6sg/edit"", ""Sheet1!B:D""), 3, FALSE), ""Not Found"")"),"t r ə k ə r ")</f>
        <v>t r ə k ə r </v>
      </c>
    </row>
    <row r="8500">
      <c r="A8500" s="1" t="s">
        <v>8501</v>
      </c>
      <c r="B8500" s="1" t="s">
        <v>6138</v>
      </c>
      <c r="C8500" s="2">
        <f>IFERROR(__xludf.DUMMYFUNCTION("IFERROR(VLOOKUP(A8500, IMPORTRANGE(""https://docs.google.com/spreadsheets/d/1AVX9GT0dgogEBStecCXMMQ29tWz3gBrtNB8yIromXbY/edit?gid=741673867"", ""out1g!A:B""), 2, FALSE), 0)"),61.0)</f>
        <v>61</v>
      </c>
      <c r="D8500" s="2" t="str">
        <f>IFERROR(__xludf.DUMMYFUNCTION("IFERROR(VLOOKUP(A8500, IMPORTRANGE(""https://docs.google.com/spreadsheets/d/1-3Vjw2Cyy-mry5gbC8ypIR3YVGFfEpyFESummAta6sg/edit"", ""Sheet1!B:D""), 2, FALSE), ""Not Found"")"),"mərun")</f>
        <v>mərun</v>
      </c>
      <c r="E8500" s="2" t="str">
        <f>IFERROR(__xludf.DUMMYFUNCTION("IFERROR(VLOOKUP(A8500, IMPORTRANGE(""https://docs.google.com/spreadsheets/d/1-3Vjw2Cyy-mry5gbC8ypIR3YVGFfEpyFESummAta6sg/edit"", ""Sheet1!B:D""), 3, FALSE), ""Not Found"")"),"m ə r u n ")</f>
        <v>m ə r u n </v>
      </c>
    </row>
    <row r="8501">
      <c r="A8501" s="1" t="s">
        <v>8502</v>
      </c>
      <c r="B8501" s="1" t="s">
        <v>6138</v>
      </c>
      <c r="C8501" s="2">
        <f>IFERROR(__xludf.DUMMYFUNCTION("IFERROR(VLOOKUP(A8501, IMPORTRANGE(""https://docs.google.com/spreadsheets/d/1AVX9GT0dgogEBStecCXMMQ29tWz3gBrtNB8yIromXbY/edit?gid=741673867"", ""out1g!A:B""), 2, FALSE), 0)"),47.0)</f>
        <v>47</v>
      </c>
      <c r="D8501" s="2" t="str">
        <f>IFERROR(__xludf.DUMMYFUNCTION("IFERROR(VLOOKUP(A8501, IMPORTRANGE(""https://docs.google.com/spreadsheets/d/1-3Vjw2Cyy-mry5gbC8ypIR3YVGFfEpyFESummAta6sg/edit"", ""Sheet1!B:D""), 2, FALSE), ""Not Found"")"),"kəlaɪd")</f>
        <v>kəlaɪd</v>
      </c>
      <c r="E8501" s="2" t="str">
        <f>IFERROR(__xludf.DUMMYFUNCTION("IFERROR(VLOOKUP(A8501, IMPORTRANGE(""https://docs.google.com/spreadsheets/d/1-3Vjw2Cyy-mry5gbC8ypIR3YVGFfEpyFESummAta6sg/edit"", ""Sheet1!B:D""), 3, FALSE), ""Not Found"")"),"k ə l a ɪ d ")</f>
        <v>k ə l a ɪ d </v>
      </c>
    </row>
    <row r="8502">
      <c r="A8502" s="1" t="s">
        <v>8503</v>
      </c>
      <c r="B8502" s="1" t="s">
        <v>6138</v>
      </c>
      <c r="C8502" s="2">
        <f>IFERROR(__xludf.DUMMYFUNCTION("IFERROR(VLOOKUP(A8502, IMPORTRANGE(""https://docs.google.com/spreadsheets/d/1AVX9GT0dgogEBStecCXMMQ29tWz3gBrtNB8yIromXbY/edit?gid=741673867"", ""out1g!A:B""), 2, FALSE), 0)"),10959.0)</f>
        <v>10959</v>
      </c>
      <c r="D8502" s="2" t="str">
        <f>IFERROR(__xludf.DUMMYFUNCTION("IFERROR(VLOOKUP(A8502, IMPORTRANGE(""https://docs.google.com/spreadsheets/d/1-3Vjw2Cyy-mry5gbC8ypIR3YVGFfEpyFESummAta6sg/edit"", ""Sheet1!B:D""), 2, FALSE), ""Not Found"")"),"aʊərz")</f>
        <v>aʊərz</v>
      </c>
      <c r="E8502" s="2" t="str">
        <f>IFERROR(__xludf.DUMMYFUNCTION("IFERROR(VLOOKUP(A8502, IMPORTRANGE(""https://docs.google.com/spreadsheets/d/1-3Vjw2Cyy-mry5gbC8ypIR3YVGFfEpyFESummAta6sg/edit"", ""Sheet1!B:D""), 3, FALSE), ""Not Found"")"),"a ʊ ə r z ")</f>
        <v>a ʊ ə r z </v>
      </c>
    </row>
    <row r="8503">
      <c r="A8503" s="1" t="s">
        <v>8504</v>
      </c>
      <c r="B8503" s="1" t="s">
        <v>6138</v>
      </c>
      <c r="C8503" s="2">
        <f>IFERROR(__xludf.DUMMYFUNCTION("IFERROR(VLOOKUP(A8503, IMPORTRANGE(""https://docs.google.com/spreadsheets/d/1AVX9GT0dgogEBStecCXMMQ29tWz3gBrtNB8yIromXbY/edit?gid=741673867"", ""out1g!A:B""), 2, FALSE), 0)"),325.0)</f>
        <v>325</v>
      </c>
      <c r="D8503" s="2" t="str">
        <f>IFERROR(__xludf.DUMMYFUNCTION("IFERROR(VLOOKUP(A8503, IMPORTRANGE(""https://docs.google.com/spreadsheets/d/1-3Vjw2Cyy-mry5gbC8ypIR3YVGFfEpyFESummAta6sg/edit"", ""Sheet1!B:D""), 2, FALSE), ""Not Found"")"),"pərʧəs")</f>
        <v>pərʧəs</v>
      </c>
      <c r="E8503" s="2" t="str">
        <f>IFERROR(__xludf.DUMMYFUNCTION("IFERROR(VLOOKUP(A8503, IMPORTRANGE(""https://docs.google.com/spreadsheets/d/1-3Vjw2Cyy-mry5gbC8ypIR3YVGFfEpyFESummAta6sg/edit"", ""Sheet1!B:D""), 3, FALSE), ""Not Found"")"),"p ə r ʧ ə s ")</f>
        <v>p ə r ʧ ə s </v>
      </c>
    </row>
    <row r="8504">
      <c r="A8504" s="1" t="s">
        <v>8505</v>
      </c>
      <c r="B8504" s="1" t="s">
        <v>6138</v>
      </c>
      <c r="C8504" s="2">
        <f>IFERROR(__xludf.DUMMYFUNCTION("IFERROR(VLOOKUP(A8504, IMPORTRANGE(""https://docs.google.com/spreadsheets/d/1AVX9GT0dgogEBStecCXMMQ29tWz3gBrtNB8yIromXbY/edit?gid=741673867"", ""out1g!A:B""), 2, FALSE), 0)"),85.0)</f>
        <v>85</v>
      </c>
      <c r="D8504" s="2" t="str">
        <f>IFERROR(__xludf.DUMMYFUNCTION("IFERROR(VLOOKUP(A8504, IMPORTRANGE(""https://docs.google.com/spreadsheets/d/1-3Vjw2Cyy-mry5gbC8ypIR3YVGFfEpyFESummAta6sg/edit"", ""Sheet1!B:D""), 2, FALSE), ""Not Found"")"),"flæpɪŋ")</f>
        <v>flæpɪŋ</v>
      </c>
      <c r="E8504" s="2" t="str">
        <f>IFERROR(__xludf.DUMMYFUNCTION("IFERROR(VLOOKUP(A8504, IMPORTRANGE(""https://docs.google.com/spreadsheets/d/1-3Vjw2Cyy-mry5gbC8ypIR3YVGFfEpyFESummAta6sg/edit"", ""Sheet1!B:D""), 3, FALSE), ""Not Found"")"),"f l æ p ɪ ŋ ")</f>
        <v>f l æ p ɪ ŋ </v>
      </c>
    </row>
    <row r="8505">
      <c r="A8505" s="1" t="s">
        <v>8506</v>
      </c>
      <c r="B8505" s="1" t="s">
        <v>6138</v>
      </c>
      <c r="C8505" s="2">
        <f>IFERROR(__xludf.DUMMYFUNCTION("IFERROR(VLOOKUP(A8505, IMPORTRANGE(""https://docs.google.com/spreadsheets/d/1AVX9GT0dgogEBStecCXMMQ29tWz3gBrtNB8yIromXbY/edit?gid=741673867"", ""out1g!A:B""), 2, FALSE), 0)"),905.0)</f>
        <v>905</v>
      </c>
      <c r="D8505" s="2" t="str">
        <f>IFERROR(__xludf.DUMMYFUNCTION("IFERROR(VLOOKUP(A8505, IMPORTRANGE(""https://docs.google.com/spreadsheets/d/1-3Vjw2Cyy-mry5gbC8ypIR3YVGFfEpyFESummAta6sg/edit"", ""Sheet1!B:D""), 2, FALSE), ""Not Found"")"),"læk")</f>
        <v>læk</v>
      </c>
      <c r="E8505" s="2" t="str">
        <f>IFERROR(__xludf.DUMMYFUNCTION("IFERROR(VLOOKUP(A8505, IMPORTRANGE(""https://docs.google.com/spreadsheets/d/1-3Vjw2Cyy-mry5gbC8ypIR3YVGFfEpyFESummAta6sg/edit"", ""Sheet1!B:D""), 3, FALSE), ""Not Found"")"),"l æ k ")</f>
        <v>l æ k </v>
      </c>
    </row>
    <row r="8506">
      <c r="A8506" s="1" t="s">
        <v>8507</v>
      </c>
      <c r="B8506" s="1" t="s">
        <v>6138</v>
      </c>
      <c r="C8506" s="2">
        <f>IFERROR(__xludf.DUMMYFUNCTION("IFERROR(VLOOKUP(A8506, IMPORTRANGE(""https://docs.google.com/spreadsheets/d/1AVX9GT0dgogEBStecCXMMQ29tWz3gBrtNB8yIromXbY/edit?gid=741673867"", ""out1g!A:B""), 2, FALSE), 0)"),59.0)</f>
        <v>59</v>
      </c>
      <c r="D8506" s="2" t="str">
        <f>IFERROR(__xludf.DUMMYFUNCTION("IFERROR(VLOOKUP(A8506, IMPORTRANGE(""https://docs.google.com/spreadsheets/d/1-3Vjw2Cyy-mry5gbC8ypIR3YVGFfEpyFESummAta6sg/edit"", ""Sheet1!B:D""), 2, FALSE), ""Not Found"")"),"lɪŋgoʊ")</f>
        <v>lɪŋgoʊ</v>
      </c>
      <c r="E8506" s="2" t="str">
        <f>IFERROR(__xludf.DUMMYFUNCTION("IFERROR(VLOOKUP(A8506, IMPORTRANGE(""https://docs.google.com/spreadsheets/d/1-3Vjw2Cyy-mry5gbC8ypIR3YVGFfEpyFESummAta6sg/edit"", ""Sheet1!B:D""), 3, FALSE), ""Not Found"")"),"l ɪ ŋ g o ʊ ")</f>
        <v>l ɪ ŋ g o ʊ </v>
      </c>
    </row>
    <row r="8507">
      <c r="A8507" s="1" t="s">
        <v>8508</v>
      </c>
      <c r="B8507" s="1" t="s">
        <v>6138</v>
      </c>
      <c r="C8507" s="2">
        <f>IFERROR(__xludf.DUMMYFUNCTION("IFERROR(VLOOKUP(A8507, IMPORTRANGE(""https://docs.google.com/spreadsheets/d/1AVX9GT0dgogEBStecCXMMQ29tWz3gBrtNB8yIromXbY/edit?gid=741673867"", ""out1g!A:B""), 2, FALSE), 0)"),56.0)</f>
        <v>56</v>
      </c>
      <c r="D8507" s="2" t="str">
        <f>IFERROR(__xludf.DUMMYFUNCTION("IFERROR(VLOOKUP(A8507, IMPORTRANGE(""https://docs.google.com/spreadsheets/d/1-3Vjw2Cyy-mry5gbC8ypIR3YVGFfEpyFESummAta6sg/edit"", ""Sheet1!B:D""), 2, FALSE), ""Not Found"")"),"fu")</f>
        <v>fu</v>
      </c>
      <c r="E8507" s="2" t="str">
        <f>IFERROR(__xludf.DUMMYFUNCTION("IFERROR(VLOOKUP(A8507, IMPORTRANGE(""https://docs.google.com/spreadsheets/d/1-3Vjw2Cyy-mry5gbC8ypIR3YVGFfEpyFESummAta6sg/edit"", ""Sheet1!B:D""), 3, FALSE), ""Not Found"")"),"f u ")</f>
        <v>f u </v>
      </c>
    </row>
    <row r="8508">
      <c r="A8508" s="1" t="s">
        <v>8509</v>
      </c>
      <c r="B8508" s="1" t="s">
        <v>6138</v>
      </c>
      <c r="C8508" s="2">
        <f>IFERROR(__xludf.DUMMYFUNCTION("IFERROR(VLOOKUP(A8508, IMPORTRANGE(""https://docs.google.com/spreadsheets/d/1AVX9GT0dgogEBStecCXMMQ29tWz3gBrtNB8yIromXbY/edit?gid=741673867"", ""out1g!A:B""), 2, FALSE), 0)"),422.0)</f>
        <v>422</v>
      </c>
      <c r="D8508" s="2" t="str">
        <f>IFERROR(__xludf.DUMMYFUNCTION("IFERROR(VLOOKUP(A8508, IMPORTRANGE(""https://docs.google.com/spreadsheets/d/1-3Vjw2Cyy-mry5gbC8ypIR3YVGFfEpyFESummAta6sg/edit"", ""Sheet1!B:D""), 2, FALSE), ""Not Found"")"),"praɪər")</f>
        <v>praɪər</v>
      </c>
      <c r="E8508" s="2" t="str">
        <f>IFERROR(__xludf.DUMMYFUNCTION("IFERROR(VLOOKUP(A8508, IMPORTRANGE(""https://docs.google.com/spreadsheets/d/1-3Vjw2Cyy-mry5gbC8ypIR3YVGFfEpyFESummAta6sg/edit"", ""Sheet1!B:D""), 3, FALSE), ""Not Found"")"),"p r a ɪ ə r ")</f>
        <v>p r a ɪ ə r </v>
      </c>
    </row>
    <row r="8509">
      <c r="A8509" s="1" t="s">
        <v>8510</v>
      </c>
      <c r="B8509" s="1" t="s">
        <v>6138</v>
      </c>
      <c r="C8509" s="2">
        <f>IFERROR(__xludf.DUMMYFUNCTION("IFERROR(VLOOKUP(A8509, IMPORTRANGE(""https://docs.google.com/spreadsheets/d/1AVX9GT0dgogEBStecCXMMQ29tWz3gBrtNB8yIromXbY/edit?gid=741673867"", ""out1g!A:B""), 2, FALSE), 0)"),9259.0)</f>
        <v>9259</v>
      </c>
      <c r="D8509" s="2" t="str">
        <f>IFERROR(__xludf.DUMMYFUNCTION("IFERROR(VLOOKUP(A8509, IMPORTRANGE(""https://docs.google.com/spreadsheets/d/1-3Vjw2Cyy-mry5gbC8ypIR3YVGFfEpyFESummAta6sg/edit"", ""Sheet1!B:D""), 2, FALSE), ""Not Found"")"),"frənt")</f>
        <v>frənt</v>
      </c>
      <c r="E8509" s="2" t="str">
        <f>IFERROR(__xludf.DUMMYFUNCTION("IFERROR(VLOOKUP(A8509, IMPORTRANGE(""https://docs.google.com/spreadsheets/d/1-3Vjw2Cyy-mry5gbC8ypIR3YVGFfEpyFESummAta6sg/edit"", ""Sheet1!B:D""), 3, FALSE), ""Not Found"")"),"f r ə n t ")</f>
        <v>f r ə n t </v>
      </c>
    </row>
    <row r="8510">
      <c r="A8510" s="1" t="s">
        <v>8511</v>
      </c>
      <c r="B8510" s="1" t="s">
        <v>6138</v>
      </c>
      <c r="C8510" s="2">
        <f>IFERROR(__xludf.DUMMYFUNCTION("IFERROR(VLOOKUP(A8510, IMPORTRANGE(""https://docs.google.com/spreadsheets/d/1AVX9GT0dgogEBStecCXMMQ29tWz3gBrtNB8yIromXbY/edit?gid=741673867"", ""out1g!A:B""), 2, FALSE), 0)"),9308.0)</f>
        <v>9308</v>
      </c>
      <c r="D8510" s="2" t="str">
        <f>IFERROR(__xludf.DUMMYFUNCTION("IFERROR(VLOOKUP(A8510, IMPORTRANGE(""https://docs.google.com/spreadsheets/d/1-3Vjw2Cyy-mry5gbC8ypIR3YVGFfEpyFESummAta6sg/edit"", ""Sheet1!B:D""), 2, FALSE), ""Not Found"")"),"iðər")</f>
        <v>iðər</v>
      </c>
      <c r="E8510" s="2" t="str">
        <f>IFERROR(__xludf.DUMMYFUNCTION("IFERROR(VLOOKUP(A8510, IMPORTRANGE(""https://docs.google.com/spreadsheets/d/1-3Vjw2Cyy-mry5gbC8ypIR3YVGFfEpyFESummAta6sg/edit"", ""Sheet1!B:D""), 3, FALSE), ""Not Found"")"),"i ð ə r ")</f>
        <v>i ð ə r </v>
      </c>
    </row>
    <row r="8511">
      <c r="A8511" s="1" t="s">
        <v>8512</v>
      </c>
      <c r="B8511" s="1" t="s">
        <v>6138</v>
      </c>
      <c r="C8511" s="2">
        <f>IFERROR(__xludf.DUMMYFUNCTION("IFERROR(VLOOKUP(A8511, IMPORTRANGE(""https://docs.google.com/spreadsheets/d/1AVX9GT0dgogEBStecCXMMQ29tWz3gBrtNB8yIromXbY/edit?gid=741673867"", ""out1g!A:B""), 2, FALSE), 0)"),248.0)</f>
        <v>248</v>
      </c>
      <c r="D8511" s="2" t="str">
        <f>IFERROR(__xludf.DUMMYFUNCTION("IFERROR(VLOOKUP(A8511, IMPORTRANGE(""https://docs.google.com/spreadsheets/d/1-3Vjw2Cyy-mry5gbC8ypIR3YVGFfEpyFESummAta6sg/edit"", ""Sheet1!B:D""), 2, FALSE), ""Not Found"")"),"fjuz")</f>
        <v>fjuz</v>
      </c>
      <c r="E8511" s="2" t="str">
        <f>IFERROR(__xludf.DUMMYFUNCTION("IFERROR(VLOOKUP(A8511, IMPORTRANGE(""https://docs.google.com/spreadsheets/d/1-3Vjw2Cyy-mry5gbC8ypIR3YVGFfEpyFESummAta6sg/edit"", ""Sheet1!B:D""), 3, FALSE), ""Not Found"")"),"f j u z ")</f>
        <v>f j u z </v>
      </c>
    </row>
    <row r="8512">
      <c r="A8512" s="1" t="s">
        <v>8513</v>
      </c>
      <c r="B8512" s="1" t="s">
        <v>6138</v>
      </c>
      <c r="C8512" s="2">
        <f>IFERROR(__xludf.DUMMYFUNCTION("IFERROR(VLOOKUP(A8512, IMPORTRANGE(""https://docs.google.com/spreadsheets/d/1AVX9GT0dgogEBStecCXMMQ29tWz3gBrtNB8yIromXbY/edit?gid=741673867"", ""out1g!A:B""), 2, FALSE), 0)"),409.0)</f>
        <v>409</v>
      </c>
      <c r="D8512" s="2" t="str">
        <f>IFERROR(__xludf.DUMMYFUNCTION("IFERROR(VLOOKUP(A8512, IMPORTRANGE(""https://docs.google.com/spreadsheets/d/1-3Vjw2Cyy-mry5gbC8ypIR3YVGFfEpyFESummAta6sg/edit"", ""Sheet1!B:D""), 2, FALSE), ""Not Found"")"),"maɪloʊ")</f>
        <v>maɪloʊ</v>
      </c>
      <c r="E8512" s="2" t="str">
        <f>IFERROR(__xludf.DUMMYFUNCTION("IFERROR(VLOOKUP(A8512, IMPORTRANGE(""https://docs.google.com/spreadsheets/d/1-3Vjw2Cyy-mry5gbC8ypIR3YVGFfEpyFESummAta6sg/edit"", ""Sheet1!B:D""), 3, FALSE), ""Not Found"")"),"m a ɪ l o ʊ ")</f>
        <v>m a ɪ l o ʊ </v>
      </c>
    </row>
    <row r="8513">
      <c r="A8513" s="1" t="s">
        <v>8514</v>
      </c>
      <c r="B8513" s="1" t="s">
        <v>6138</v>
      </c>
      <c r="C8513" s="2">
        <f>IFERROR(__xludf.DUMMYFUNCTION("IFERROR(VLOOKUP(A8513, IMPORTRANGE(""https://docs.google.com/spreadsheets/d/1AVX9GT0dgogEBStecCXMMQ29tWz3gBrtNB8yIromXbY/edit?gid=741673867"", ""out1g!A:B""), 2, FALSE), 0)"),3930.0)</f>
        <v>3930</v>
      </c>
      <c r="D8513" s="2" t="str">
        <f>IFERROR(__xludf.DUMMYFUNCTION("IFERROR(VLOOKUP(A8513, IMPORTRANGE(""https://docs.google.com/spreadsheets/d/1-3Vjw2Cyy-mry5gbC8ypIR3YVGFfEpyFESummAta6sg/edit"", ""Sheet1!B:D""), 2, FALSE), ""Not Found"")"),"mɛrɪʤ")</f>
        <v>mɛrɪʤ</v>
      </c>
      <c r="E8513" s="2" t="str">
        <f>IFERROR(__xludf.DUMMYFUNCTION("IFERROR(VLOOKUP(A8513, IMPORTRANGE(""https://docs.google.com/spreadsheets/d/1-3Vjw2Cyy-mry5gbC8ypIR3YVGFfEpyFESummAta6sg/edit"", ""Sheet1!B:D""), 3, FALSE), ""Not Found"")"),"m ɛ r ɪ ʤ ")</f>
        <v>m ɛ r ɪ ʤ </v>
      </c>
    </row>
    <row r="8514">
      <c r="A8514" s="1" t="s">
        <v>8515</v>
      </c>
      <c r="B8514" s="1" t="s">
        <v>6138</v>
      </c>
      <c r="C8514" s="2">
        <f>IFERROR(__xludf.DUMMYFUNCTION("IFERROR(VLOOKUP(A8514, IMPORTRANGE(""https://docs.google.com/spreadsheets/d/1AVX9GT0dgogEBStecCXMMQ29tWz3gBrtNB8yIromXbY/edit?gid=741673867"", ""out1g!A:B""), 2, FALSE), 0)"),72.0)</f>
        <v>72</v>
      </c>
      <c r="D8514" s="2" t="str">
        <f>IFERROR(__xludf.DUMMYFUNCTION("IFERROR(VLOOKUP(A8514, IMPORTRANGE(""https://docs.google.com/spreadsheets/d/1-3Vjw2Cyy-mry5gbC8ypIR3YVGFfEpyFESummAta6sg/edit"", ""Sheet1!B:D""), 2, FALSE), ""Not Found"")"),"paɪlɪŋ")</f>
        <v>paɪlɪŋ</v>
      </c>
      <c r="E8514" s="2" t="str">
        <f>IFERROR(__xludf.DUMMYFUNCTION("IFERROR(VLOOKUP(A8514, IMPORTRANGE(""https://docs.google.com/spreadsheets/d/1-3Vjw2Cyy-mry5gbC8ypIR3YVGFfEpyFESummAta6sg/edit"", ""Sheet1!B:D""), 3, FALSE), ""Not Found"")"),"p a ɪ l ɪ ŋ ")</f>
        <v>p a ɪ l ɪ ŋ </v>
      </c>
    </row>
    <row r="8515">
      <c r="A8515" s="1" t="s">
        <v>8516</v>
      </c>
      <c r="B8515" s="1" t="s">
        <v>6138</v>
      </c>
      <c r="C8515" s="2">
        <f>IFERROR(__xludf.DUMMYFUNCTION("IFERROR(VLOOKUP(A8515, IMPORTRANGE(""https://docs.google.com/spreadsheets/d/1AVX9GT0dgogEBStecCXMMQ29tWz3gBrtNB8yIromXbY/edit?gid=741673867"", ""out1g!A:B""), 2, FALSE), 0)"),122.0)</f>
        <v>122</v>
      </c>
      <c r="D8515" s="2" t="str">
        <f>IFERROR(__xludf.DUMMYFUNCTION("IFERROR(VLOOKUP(A8515, IMPORTRANGE(""https://docs.google.com/spreadsheets/d/1-3Vjw2Cyy-mry5gbC8ypIR3YVGFfEpyFESummAta6sg/edit"", ""Sheet1!B:D""), 2, FALSE), ""Not Found"")"),"hɔŋk")</f>
        <v>hɔŋk</v>
      </c>
      <c r="E8515" s="2" t="str">
        <f>IFERROR(__xludf.DUMMYFUNCTION("IFERROR(VLOOKUP(A8515, IMPORTRANGE(""https://docs.google.com/spreadsheets/d/1-3Vjw2Cyy-mry5gbC8ypIR3YVGFfEpyFESummAta6sg/edit"", ""Sheet1!B:D""), 3, FALSE), ""Not Found"")"),"h ɔ ŋ k ")</f>
        <v>h ɔ ŋ k </v>
      </c>
    </row>
    <row r="8516">
      <c r="A8516" s="1" t="s">
        <v>8517</v>
      </c>
      <c r="B8516" s="1" t="s">
        <v>6138</v>
      </c>
      <c r="C8516" s="2">
        <f>IFERROR(__xludf.DUMMYFUNCTION("IFERROR(VLOOKUP(A8516, IMPORTRANGE(""https://docs.google.com/spreadsheets/d/1AVX9GT0dgogEBStecCXMMQ29tWz3gBrtNB8yIromXbY/edit?gid=741673867"", ""out1g!A:B""), 2, FALSE), 0)"),1063.0)</f>
        <v>1063</v>
      </c>
      <c r="D8516" s="2" t="str">
        <f>IFERROR(__xludf.DUMMYFUNCTION("IFERROR(VLOOKUP(A8516, IMPORTRANGE(""https://docs.google.com/spreadsheets/d/1-3Vjw2Cyy-mry5gbC8ypIR3YVGFfEpyFESummAta6sg/edit"", ""Sheet1!B:D""), 2, FALSE), ""Not Found"")"),"kjʊr")</f>
        <v>kjʊr</v>
      </c>
      <c r="E8516" s="2" t="str">
        <f>IFERROR(__xludf.DUMMYFUNCTION("IFERROR(VLOOKUP(A8516, IMPORTRANGE(""https://docs.google.com/spreadsheets/d/1-3Vjw2Cyy-mry5gbC8ypIR3YVGFfEpyFESummAta6sg/edit"", ""Sheet1!B:D""), 3, FALSE), ""Not Found"")"),"k j ʊ r ")</f>
        <v>k j ʊ r </v>
      </c>
    </row>
    <row r="8517">
      <c r="A8517" s="1" t="s">
        <v>8518</v>
      </c>
      <c r="B8517" s="1" t="s">
        <v>6138</v>
      </c>
      <c r="C8517" s="2">
        <f>IFERROR(__xludf.DUMMYFUNCTION("IFERROR(VLOOKUP(A8517, IMPORTRANGE(""https://docs.google.com/spreadsheets/d/1AVX9GT0dgogEBStecCXMMQ29tWz3gBrtNB8yIromXbY/edit?gid=741673867"", ""out1g!A:B""), 2, FALSE), 0)"),14752.0)</f>
        <v>14752</v>
      </c>
      <c r="D8517" s="2" t="str">
        <f>IFERROR(__xludf.DUMMYFUNCTION("IFERROR(VLOOKUP(A8517, IMPORTRANGE(""https://docs.google.com/spreadsheets/d/1-3Vjw2Cyy-mry5gbC8ypIR3YVGFfEpyFESummAta6sg/edit"", ""Sheet1!B:D""), 2, FALSE), ""Not Found"")"),"hævɪŋ")</f>
        <v>hævɪŋ</v>
      </c>
      <c r="E8517" s="2" t="str">
        <f>IFERROR(__xludf.DUMMYFUNCTION("IFERROR(VLOOKUP(A8517, IMPORTRANGE(""https://docs.google.com/spreadsheets/d/1-3Vjw2Cyy-mry5gbC8ypIR3YVGFfEpyFESummAta6sg/edit"", ""Sheet1!B:D""), 3, FALSE), ""Not Found"")"),"h æ v ɪ ŋ ")</f>
        <v>h æ v ɪ ŋ </v>
      </c>
    </row>
    <row r="8518">
      <c r="A8518" s="1" t="s">
        <v>8519</v>
      </c>
      <c r="B8518" s="1" t="s">
        <v>6138</v>
      </c>
      <c r="C8518" s="2">
        <f>IFERROR(__xludf.DUMMYFUNCTION("IFERROR(VLOOKUP(A8518, IMPORTRANGE(""https://docs.google.com/spreadsheets/d/1AVX9GT0dgogEBStecCXMMQ29tWz3gBrtNB8yIromXbY/edit?gid=741673867"", ""out1g!A:B""), 2, FALSE), 0)"),190.0)</f>
        <v>190</v>
      </c>
      <c r="D8518" s="2" t="str">
        <f>IFERROR(__xludf.DUMMYFUNCTION("IFERROR(VLOOKUP(A8518, IMPORTRANGE(""https://docs.google.com/spreadsheets/d/1-3Vjw2Cyy-mry5gbC8ypIR3YVGFfEpyFESummAta6sg/edit"", ""Sheet1!B:D""), 2, FALSE), ""Not Found"")"),"bists")</f>
        <v>bists</v>
      </c>
      <c r="E8518" s="2" t="str">
        <f>IFERROR(__xludf.DUMMYFUNCTION("IFERROR(VLOOKUP(A8518, IMPORTRANGE(""https://docs.google.com/spreadsheets/d/1-3Vjw2Cyy-mry5gbC8ypIR3YVGFfEpyFESummAta6sg/edit"", ""Sheet1!B:D""), 3, FALSE), ""Not Found"")"),"b i s t s ")</f>
        <v>b i s t s </v>
      </c>
    </row>
    <row r="8519">
      <c r="A8519" s="1" t="s">
        <v>8520</v>
      </c>
      <c r="B8519" s="1" t="s">
        <v>6138</v>
      </c>
      <c r="C8519" s="2">
        <f>IFERROR(__xludf.DUMMYFUNCTION("IFERROR(VLOOKUP(A8519, IMPORTRANGE(""https://docs.google.com/spreadsheets/d/1AVX9GT0dgogEBStecCXMMQ29tWz3gBrtNB8yIromXbY/edit?gid=741673867"", ""out1g!A:B""), 2, FALSE), 0)"),689.0)</f>
        <v>689</v>
      </c>
      <c r="D8519" s="2" t="str">
        <f>IFERROR(__xludf.DUMMYFUNCTION("IFERROR(VLOOKUP(A8519, IMPORTRANGE(""https://docs.google.com/spreadsheets/d/1-3Vjw2Cyy-mry5gbC8ypIR3YVGFfEpyFESummAta6sg/edit"", ""Sheet1!B:D""), 2, FALSE), ""Not Found"")"),"mɔrəl")</f>
        <v>mɔrəl</v>
      </c>
      <c r="E8519" s="2" t="str">
        <f>IFERROR(__xludf.DUMMYFUNCTION("IFERROR(VLOOKUP(A8519, IMPORTRANGE(""https://docs.google.com/spreadsheets/d/1-3Vjw2Cyy-mry5gbC8ypIR3YVGFfEpyFESummAta6sg/edit"", ""Sheet1!B:D""), 3, FALSE), ""Not Found"")"),"m ɔ r ə l ")</f>
        <v>m ɔ r ə l </v>
      </c>
    </row>
    <row r="8520">
      <c r="A8520" s="1" t="s">
        <v>8521</v>
      </c>
      <c r="B8520" s="1" t="s">
        <v>6138</v>
      </c>
      <c r="C8520" s="2">
        <f>IFERROR(__xludf.DUMMYFUNCTION("IFERROR(VLOOKUP(A8520, IMPORTRANGE(""https://docs.google.com/spreadsheets/d/1AVX9GT0dgogEBStecCXMMQ29tWz3gBrtNB8yIromXbY/edit?gid=741673867"", ""out1g!A:B""), 2, FALSE), 0)"),69.0)</f>
        <v>69</v>
      </c>
      <c r="D8520" s="2" t="str">
        <f>IFERROR(__xludf.DUMMYFUNCTION("IFERROR(VLOOKUP(A8520, IMPORTRANGE(""https://docs.google.com/spreadsheets/d/1-3Vjw2Cyy-mry5gbC8ypIR3YVGFfEpyFESummAta6sg/edit"", ""Sheet1!B:D""), 2, FALSE), ""Not Found"")"),"ɑnərz")</f>
        <v>ɑnərz</v>
      </c>
      <c r="E8520" s="2" t="str">
        <f>IFERROR(__xludf.DUMMYFUNCTION("IFERROR(VLOOKUP(A8520, IMPORTRANGE(""https://docs.google.com/spreadsheets/d/1-3Vjw2Cyy-mry5gbC8ypIR3YVGFfEpyFESummAta6sg/edit"", ""Sheet1!B:D""), 3, FALSE), ""Not Found"")"),"ɑ n ə r z ")</f>
        <v>ɑ n ə r z </v>
      </c>
    </row>
    <row r="8521">
      <c r="A8521" s="1" t="s">
        <v>8522</v>
      </c>
      <c r="B8521" s="1" t="s">
        <v>6138</v>
      </c>
      <c r="C8521" s="2">
        <f>IFERROR(__xludf.DUMMYFUNCTION("IFERROR(VLOOKUP(A8521, IMPORTRANGE(""https://docs.google.com/spreadsheets/d/1AVX9GT0dgogEBStecCXMMQ29tWz3gBrtNB8yIromXbY/edit?gid=741673867"", ""out1g!A:B""), 2, FALSE), 0)"),204.0)</f>
        <v>204</v>
      </c>
      <c r="D8521" s="2" t="str">
        <f>IFERROR(__xludf.DUMMYFUNCTION("IFERROR(VLOOKUP(A8521, IMPORTRANGE(""https://docs.google.com/spreadsheets/d/1-3Vjw2Cyy-mry5gbC8ypIR3YVGFfEpyFESummAta6sg/edit"", ""Sheet1!B:D""), 2, FALSE), ""Not Found"")"),"rɪpɪŋ")</f>
        <v>rɪpɪŋ</v>
      </c>
      <c r="E8521" s="2" t="str">
        <f>IFERROR(__xludf.DUMMYFUNCTION("IFERROR(VLOOKUP(A8521, IMPORTRANGE(""https://docs.google.com/spreadsheets/d/1-3Vjw2Cyy-mry5gbC8ypIR3YVGFfEpyFESummAta6sg/edit"", ""Sheet1!B:D""), 3, FALSE), ""Not Found"")"),"r ɪ p ɪ ŋ ")</f>
        <v>r ɪ p ɪ ŋ </v>
      </c>
    </row>
    <row r="8522">
      <c r="A8522" s="1" t="s">
        <v>8523</v>
      </c>
      <c r="B8522" s="1" t="s">
        <v>6138</v>
      </c>
      <c r="C8522" s="2">
        <f>IFERROR(__xludf.DUMMYFUNCTION("IFERROR(VLOOKUP(A8522, IMPORTRANGE(""https://docs.google.com/spreadsheets/d/1AVX9GT0dgogEBStecCXMMQ29tWz3gBrtNB8yIromXbY/edit?gid=741673867"", ""out1g!A:B""), 2, FALSE), 0)"),396.0)</f>
        <v>396</v>
      </c>
      <c r="D8522" s="2" t="str">
        <f>IFERROR(__xludf.DUMMYFUNCTION("IFERROR(VLOOKUP(A8522, IMPORTRANGE(""https://docs.google.com/spreadsheets/d/1-3Vjw2Cyy-mry5gbC8ypIR3YVGFfEpyFESummAta6sg/edit"", ""Sheet1!B:D""), 2, FALSE), ""Not Found"")"),"ʤoʊəl")</f>
        <v>ʤoʊəl</v>
      </c>
      <c r="E8522" s="2" t="str">
        <f>IFERROR(__xludf.DUMMYFUNCTION("IFERROR(VLOOKUP(A8522, IMPORTRANGE(""https://docs.google.com/spreadsheets/d/1-3Vjw2Cyy-mry5gbC8ypIR3YVGFfEpyFESummAta6sg/edit"", ""Sheet1!B:D""), 3, FALSE), ""Not Found"")"),"ʤ o ʊ ə l ")</f>
        <v>ʤ o ʊ ə l </v>
      </c>
    </row>
    <row r="8523">
      <c r="A8523" s="1" t="s">
        <v>8524</v>
      </c>
      <c r="B8523" s="1" t="s">
        <v>6138</v>
      </c>
      <c r="C8523" s="2">
        <f>IFERROR(__xludf.DUMMYFUNCTION("IFERROR(VLOOKUP(A8523, IMPORTRANGE(""https://docs.google.com/spreadsheets/d/1AVX9GT0dgogEBStecCXMMQ29tWz3gBrtNB8yIromXbY/edit?gid=741673867"", ""out1g!A:B""), 2, FALSE), 0)"),53.0)</f>
        <v>53</v>
      </c>
      <c r="D8523" s="2" t="str">
        <f>IFERROR(__xludf.DUMMYFUNCTION("IFERROR(VLOOKUP(A8523, IMPORTRANGE(""https://docs.google.com/spreadsheets/d/1-3Vjw2Cyy-mry5gbC8ypIR3YVGFfEpyFESummAta6sg/edit"", ""Sheet1!B:D""), 2, FALSE), ""Not Found"")"),"sɛvənz")</f>
        <v>sɛvənz</v>
      </c>
      <c r="E8523" s="2" t="str">
        <f>IFERROR(__xludf.DUMMYFUNCTION("IFERROR(VLOOKUP(A8523, IMPORTRANGE(""https://docs.google.com/spreadsheets/d/1-3Vjw2Cyy-mry5gbC8ypIR3YVGFfEpyFESummAta6sg/edit"", ""Sheet1!B:D""), 3, FALSE), ""Not Found"")"),"s ɛ v ə n z ")</f>
        <v>s ɛ v ə n z </v>
      </c>
    </row>
    <row r="8524">
      <c r="A8524" s="1" t="s">
        <v>8525</v>
      </c>
      <c r="B8524" s="1" t="s">
        <v>6138</v>
      </c>
      <c r="C8524" s="2">
        <f>IFERROR(__xludf.DUMMYFUNCTION("IFERROR(VLOOKUP(A8524, IMPORTRANGE(""https://docs.google.com/spreadsheets/d/1AVX9GT0dgogEBStecCXMMQ29tWz3gBrtNB8yIromXbY/edit?gid=741673867"", ""out1g!A:B""), 2, FALSE), 0)"),854.0)</f>
        <v>854</v>
      </c>
      <c r="D8524" s="2" t="str">
        <f>IFERROR(__xludf.DUMMYFUNCTION("IFERROR(VLOOKUP(A8524, IMPORTRANGE(""https://docs.google.com/spreadsheets/d/1-3Vjw2Cyy-mry5gbC8ypIR3YVGFfEpyFESummAta6sg/edit"", ""Sheet1!B:D""), 2, FALSE), ""Not Found"")"),"westɪd")</f>
        <v>westɪd</v>
      </c>
      <c r="E8524" s="2" t="str">
        <f>IFERROR(__xludf.DUMMYFUNCTION("IFERROR(VLOOKUP(A8524, IMPORTRANGE(""https://docs.google.com/spreadsheets/d/1-3Vjw2Cyy-mry5gbC8ypIR3YVGFfEpyFESummAta6sg/edit"", ""Sheet1!B:D""), 3, FALSE), ""Not Found"")"),"w e s t ɪ d ")</f>
        <v>w e s t ɪ d </v>
      </c>
    </row>
    <row r="8525">
      <c r="A8525" s="1" t="s">
        <v>8526</v>
      </c>
      <c r="B8525" s="1" t="s">
        <v>6138</v>
      </c>
      <c r="C8525" s="2">
        <f>IFERROR(__xludf.DUMMYFUNCTION("IFERROR(VLOOKUP(A8525, IMPORTRANGE(""https://docs.google.com/spreadsheets/d/1AVX9GT0dgogEBStecCXMMQ29tWz3gBrtNB8yIromXbY/edit?gid=741673867"", ""out1g!A:B""), 2, FALSE), 0)"),234.0)</f>
        <v>234</v>
      </c>
      <c r="D8525" s="2" t="str">
        <f>IFERROR(__xludf.DUMMYFUNCTION("IFERROR(VLOOKUP(A8525, IMPORTRANGE(""https://docs.google.com/spreadsheets/d/1-3Vjw2Cyy-mry5gbC8ypIR3YVGFfEpyFESummAta6sg/edit"", ""Sheet1!B:D""), 2, FALSE), ""Not Found"")"),"səlɑn")</f>
        <v>səlɑn</v>
      </c>
      <c r="E8525" s="2" t="str">
        <f>IFERROR(__xludf.DUMMYFUNCTION("IFERROR(VLOOKUP(A8525, IMPORTRANGE(""https://docs.google.com/spreadsheets/d/1-3Vjw2Cyy-mry5gbC8ypIR3YVGFfEpyFESummAta6sg/edit"", ""Sheet1!B:D""), 3, FALSE), ""Not Found"")"),"s ə l ɑ n ")</f>
        <v>s ə l ɑ n </v>
      </c>
    </row>
    <row r="8526">
      <c r="A8526" s="1" t="s">
        <v>8527</v>
      </c>
      <c r="B8526" s="1" t="s">
        <v>6138</v>
      </c>
      <c r="C8526" s="2">
        <f>IFERROR(__xludf.DUMMYFUNCTION("IFERROR(VLOOKUP(A8526, IMPORTRANGE(""https://docs.google.com/spreadsheets/d/1AVX9GT0dgogEBStecCXMMQ29tWz3gBrtNB8yIromXbY/edit?gid=741673867"", ""out1g!A:B""), 2, FALSE), 0)"),104.0)</f>
        <v>104</v>
      </c>
      <c r="D8526" s="2" t="str">
        <f>IFERROR(__xludf.DUMMYFUNCTION("IFERROR(VLOOKUP(A8526, IMPORTRANGE(""https://docs.google.com/spreadsheets/d/1-3Vjw2Cyy-mry5gbC8ypIR3YVGFfEpyFESummAta6sg/edit"", ""Sheet1!B:D""), 2, FALSE), ""Not Found"")"),"klæpɪŋ")</f>
        <v>klæpɪŋ</v>
      </c>
      <c r="E8526" s="2" t="str">
        <f>IFERROR(__xludf.DUMMYFUNCTION("IFERROR(VLOOKUP(A8526, IMPORTRANGE(""https://docs.google.com/spreadsheets/d/1-3Vjw2Cyy-mry5gbC8ypIR3YVGFfEpyFESummAta6sg/edit"", ""Sheet1!B:D""), 3, FALSE), ""Not Found"")"),"k l æ p ɪ ŋ ")</f>
        <v>k l æ p ɪ ŋ </v>
      </c>
    </row>
    <row r="8527">
      <c r="A8527" s="1" t="s">
        <v>8528</v>
      </c>
      <c r="B8527" s="1" t="s">
        <v>6138</v>
      </c>
      <c r="C8527" s="2">
        <f>IFERROR(__xludf.DUMMYFUNCTION("IFERROR(VLOOKUP(A8527, IMPORTRANGE(""https://docs.google.com/spreadsheets/d/1AVX9GT0dgogEBStecCXMMQ29tWz3gBrtNB8yIromXbY/edit?gid=741673867"", ""out1g!A:B""), 2, FALSE), 0)"),197.0)</f>
        <v>197</v>
      </c>
      <c r="D8527" s="2" t="str">
        <f>IFERROR(__xludf.DUMMYFUNCTION("IFERROR(VLOOKUP(A8527, IMPORTRANGE(""https://docs.google.com/spreadsheets/d/1-3Vjw2Cyy-mry5gbC8ypIR3YVGFfEpyFESummAta6sg/edit"", ""Sheet1!B:D""), 2, FALSE), ""Not Found"")"),"bikən")</f>
        <v>bikən</v>
      </c>
      <c r="E8527" s="2" t="str">
        <f>IFERROR(__xludf.DUMMYFUNCTION("IFERROR(VLOOKUP(A8527, IMPORTRANGE(""https://docs.google.com/spreadsheets/d/1-3Vjw2Cyy-mry5gbC8ypIR3YVGFfEpyFESummAta6sg/edit"", ""Sheet1!B:D""), 3, FALSE), ""Not Found"")"),"b i k ə n ")</f>
        <v>b i k ə n </v>
      </c>
    </row>
    <row r="8528">
      <c r="A8528" s="1" t="s">
        <v>8529</v>
      </c>
      <c r="B8528" s="1" t="s">
        <v>6138</v>
      </c>
      <c r="C8528" s="2">
        <f>IFERROR(__xludf.DUMMYFUNCTION("IFERROR(VLOOKUP(A8528, IMPORTRANGE(""https://docs.google.com/spreadsheets/d/1AVX9GT0dgogEBStecCXMMQ29tWz3gBrtNB8yIromXbY/edit?gid=741673867"", ""out1g!A:B""), 2, FALSE), 0)"),51.0)</f>
        <v>51</v>
      </c>
      <c r="D8528" s="2" t="str">
        <f>IFERROR(__xludf.DUMMYFUNCTION("IFERROR(VLOOKUP(A8528, IMPORTRANGE(""https://docs.google.com/spreadsheets/d/1-3Vjw2Cyy-mry5gbC8ypIR3YVGFfEpyFESummAta6sg/edit"", ""Sheet1!B:D""), 2, FALSE), ""Not Found"")"),"pɛrɪʃt")</f>
        <v>pɛrɪʃt</v>
      </c>
      <c r="E8528" s="2" t="str">
        <f>IFERROR(__xludf.DUMMYFUNCTION("IFERROR(VLOOKUP(A8528, IMPORTRANGE(""https://docs.google.com/spreadsheets/d/1-3Vjw2Cyy-mry5gbC8ypIR3YVGFfEpyFESummAta6sg/edit"", ""Sheet1!B:D""), 3, FALSE), ""Not Found"")"),"p ɛ r ɪ ʃ t ")</f>
        <v>p ɛ r ɪ ʃ t </v>
      </c>
    </row>
    <row r="8529">
      <c r="A8529" s="1" t="s">
        <v>8530</v>
      </c>
      <c r="B8529" s="1" t="s">
        <v>6138</v>
      </c>
      <c r="C8529" s="2">
        <f>IFERROR(__xludf.DUMMYFUNCTION("IFERROR(VLOOKUP(A8529, IMPORTRANGE(""https://docs.google.com/spreadsheets/d/1AVX9GT0dgogEBStecCXMMQ29tWz3gBrtNB8yIromXbY/edit?gid=741673867"", ""out1g!A:B""), 2, FALSE), 0)"),66.0)</f>
        <v>66</v>
      </c>
      <c r="D8529" s="2" t="str">
        <f>IFERROR(__xludf.DUMMYFUNCTION("IFERROR(VLOOKUP(A8529, IMPORTRANGE(""https://docs.google.com/spreadsheets/d/1-3Vjw2Cyy-mry5gbC8ypIR3YVGFfEpyFESummAta6sg/edit"", ""Sheet1!B:D""), 2, FALSE), ""Not Found"")"),"kjʊrz")</f>
        <v>kjʊrz</v>
      </c>
      <c r="E8529" s="2" t="str">
        <f>IFERROR(__xludf.DUMMYFUNCTION("IFERROR(VLOOKUP(A8529, IMPORTRANGE(""https://docs.google.com/spreadsheets/d/1-3Vjw2Cyy-mry5gbC8ypIR3YVGFfEpyFESummAta6sg/edit"", ""Sheet1!B:D""), 3, FALSE), ""Not Found"")"),"k j ʊ r z ")</f>
        <v>k j ʊ r z </v>
      </c>
    </row>
    <row r="8530">
      <c r="A8530" s="1" t="s">
        <v>8531</v>
      </c>
      <c r="B8530" s="1" t="s">
        <v>6138</v>
      </c>
      <c r="C8530" s="2">
        <f>IFERROR(__xludf.DUMMYFUNCTION("IFERROR(VLOOKUP(A8530, IMPORTRANGE(""https://docs.google.com/spreadsheets/d/1AVX9GT0dgogEBStecCXMMQ29tWz3gBrtNB8yIromXbY/edit?gid=741673867"", ""out1g!A:B""), 2, FALSE), 0)"),140.0)</f>
        <v>140</v>
      </c>
      <c r="D8530" s="2" t="str">
        <f>IFERROR(__xludf.DUMMYFUNCTION("IFERROR(VLOOKUP(A8530, IMPORTRANGE(""https://docs.google.com/spreadsheets/d/1-3Vjw2Cyy-mry5gbC8ypIR3YVGFfEpyFESummAta6sg/edit"", ""Sheet1!B:D""), 2, FALSE), ""Not Found"")"),"pɑrtiɪŋ")</f>
        <v>pɑrtiɪŋ</v>
      </c>
      <c r="E8530" s="2" t="str">
        <f>IFERROR(__xludf.DUMMYFUNCTION("IFERROR(VLOOKUP(A8530, IMPORTRANGE(""https://docs.google.com/spreadsheets/d/1-3Vjw2Cyy-mry5gbC8ypIR3YVGFfEpyFESummAta6sg/edit"", ""Sheet1!B:D""), 3, FALSE), ""Not Found"")"),"p ɑ r t i ɪ ŋ ")</f>
        <v>p ɑ r t i ɪ ŋ </v>
      </c>
    </row>
    <row r="8531">
      <c r="A8531" s="1" t="s">
        <v>8532</v>
      </c>
      <c r="B8531" s="1" t="s">
        <v>6138</v>
      </c>
      <c r="C8531" s="2">
        <f>IFERROR(__xludf.DUMMYFUNCTION("IFERROR(VLOOKUP(A8531, IMPORTRANGE(""https://docs.google.com/spreadsheets/d/1AVX9GT0dgogEBStecCXMMQ29tWz3gBrtNB8yIromXbY/edit?gid=741673867"", ""out1g!A:B""), 2, FALSE), 0)"),173.0)</f>
        <v>173</v>
      </c>
      <c r="D8531" s="2" t="str">
        <f>IFERROR(__xludf.DUMMYFUNCTION("IFERROR(VLOOKUP(A8531, IMPORTRANGE(""https://docs.google.com/spreadsheets/d/1-3Vjw2Cyy-mry5gbC8ypIR3YVGFfEpyFESummAta6sg/edit"", ""Sheet1!B:D""), 2, FALSE), ""Not Found"")"),"spæŋk")</f>
        <v>spæŋk</v>
      </c>
      <c r="E8531" s="2" t="str">
        <f>IFERROR(__xludf.DUMMYFUNCTION("IFERROR(VLOOKUP(A8531, IMPORTRANGE(""https://docs.google.com/spreadsheets/d/1-3Vjw2Cyy-mry5gbC8ypIR3YVGFfEpyFESummAta6sg/edit"", ""Sheet1!B:D""), 3, FALSE), ""Not Found"")"),"s p æ ŋ k ")</f>
        <v>s p æ ŋ k </v>
      </c>
    </row>
    <row r="8532">
      <c r="A8532" s="1" t="s">
        <v>8533</v>
      </c>
      <c r="B8532" s="1" t="s">
        <v>6138</v>
      </c>
      <c r="C8532" s="2">
        <f>IFERROR(__xludf.DUMMYFUNCTION("IFERROR(VLOOKUP(A8532, IMPORTRANGE(""https://docs.google.com/spreadsheets/d/1AVX9GT0dgogEBStecCXMMQ29tWz3gBrtNB8yIromXbY/edit?gid=741673867"", ""out1g!A:B""), 2, FALSE), 0)"),161.0)</f>
        <v>161</v>
      </c>
      <c r="D8532" s="2" t="str">
        <f>IFERROR(__xludf.DUMMYFUNCTION("IFERROR(VLOOKUP(A8532, IMPORTRANGE(""https://docs.google.com/spreadsheets/d/1-3Vjw2Cyy-mry5gbC8ypIR3YVGFfEpyFESummAta6sg/edit"", ""Sheet1!B:D""), 2, FALSE), ""Not Found"")"),"ɪnsɛkt")</f>
        <v>ɪnsɛkt</v>
      </c>
      <c r="E8532" s="2" t="str">
        <f>IFERROR(__xludf.DUMMYFUNCTION("IFERROR(VLOOKUP(A8532, IMPORTRANGE(""https://docs.google.com/spreadsheets/d/1-3Vjw2Cyy-mry5gbC8ypIR3YVGFfEpyFESummAta6sg/edit"", ""Sheet1!B:D""), 3, FALSE), ""Not Found"")"),"ɪ n s ɛ k t ")</f>
        <v>ɪ n s ɛ k t </v>
      </c>
    </row>
    <row r="8533">
      <c r="A8533" s="1" t="s">
        <v>8534</v>
      </c>
      <c r="B8533" s="1" t="s">
        <v>6138</v>
      </c>
      <c r="C8533" s="2">
        <f>IFERROR(__xludf.DUMMYFUNCTION("IFERROR(VLOOKUP(A8533, IMPORTRANGE(""https://docs.google.com/spreadsheets/d/1AVX9GT0dgogEBStecCXMMQ29tWz3gBrtNB8yIromXbY/edit?gid=741673867"", ""out1g!A:B""), 2, FALSE), 0)"),95.0)</f>
        <v>95</v>
      </c>
      <c r="D8533" s="2" t="str">
        <f>IFERROR(__xludf.DUMMYFUNCTION("IFERROR(VLOOKUP(A8533, IMPORTRANGE(""https://docs.google.com/spreadsheets/d/1-3Vjw2Cyy-mry5gbC8ypIR3YVGFfEpyFESummAta6sg/edit"", ""Sheet1!B:D""), 2, FALSE), ""Not Found"")"),"ɑrməri")</f>
        <v>ɑrməri</v>
      </c>
      <c r="E8533" s="2" t="str">
        <f>IFERROR(__xludf.DUMMYFUNCTION("IFERROR(VLOOKUP(A8533, IMPORTRANGE(""https://docs.google.com/spreadsheets/d/1-3Vjw2Cyy-mry5gbC8ypIR3YVGFfEpyFESummAta6sg/edit"", ""Sheet1!B:D""), 3, FALSE), ""Not Found"")"),"ɑ r m ə r i ")</f>
        <v>ɑ r m ə r i </v>
      </c>
    </row>
    <row r="8534">
      <c r="A8534" s="1" t="s">
        <v>8535</v>
      </c>
      <c r="B8534" s="1" t="s">
        <v>6138</v>
      </c>
      <c r="C8534" s="2">
        <f>IFERROR(__xludf.DUMMYFUNCTION("IFERROR(VLOOKUP(A8534, IMPORTRANGE(""https://docs.google.com/spreadsheets/d/1AVX9GT0dgogEBStecCXMMQ29tWz3gBrtNB8yIromXbY/edit?gid=741673867"", ""out1g!A:B""), 2, FALSE), 0)"),267.0)</f>
        <v>267</v>
      </c>
      <c r="D8534" s="2" t="str">
        <f>IFERROR(__xludf.DUMMYFUNCTION("IFERROR(VLOOKUP(A8534, IMPORTRANGE(""https://docs.google.com/spreadsheets/d/1-3Vjw2Cyy-mry5gbC8ypIR3YVGFfEpyFESummAta6sg/edit"", ""Sheet1!B:D""), 2, FALSE), ""Not Found"")"),"riʧɪz")</f>
        <v>riʧɪz</v>
      </c>
      <c r="E8534" s="2" t="str">
        <f>IFERROR(__xludf.DUMMYFUNCTION("IFERROR(VLOOKUP(A8534, IMPORTRANGE(""https://docs.google.com/spreadsheets/d/1-3Vjw2Cyy-mry5gbC8ypIR3YVGFfEpyFESummAta6sg/edit"", ""Sheet1!B:D""), 3, FALSE), ""Not Found"")"),"r i ʧ ɪ z ")</f>
        <v>r i ʧ ɪ z </v>
      </c>
    </row>
    <row r="8535">
      <c r="A8535" s="1" t="s">
        <v>8536</v>
      </c>
      <c r="B8535" s="1" t="s">
        <v>6138</v>
      </c>
      <c r="C8535" s="2">
        <f>IFERROR(__xludf.DUMMYFUNCTION("IFERROR(VLOOKUP(A8535, IMPORTRANGE(""https://docs.google.com/spreadsheets/d/1AVX9GT0dgogEBStecCXMMQ29tWz3gBrtNB8yIromXbY/edit?gid=741673867"", ""out1g!A:B""), 2, FALSE), 0)"),97.0)</f>
        <v>97</v>
      </c>
      <c r="D8535" s="2" t="str">
        <f>IFERROR(__xludf.DUMMYFUNCTION("IFERROR(VLOOKUP(A8535, IMPORTRANGE(""https://docs.google.com/spreadsheets/d/1-3Vjw2Cyy-mry5gbC8ypIR3YVGFfEpyFESummAta6sg/edit"", ""Sheet1!B:D""), 2, FALSE), ""Not Found"")"),"sketər")</f>
        <v>sketər</v>
      </c>
      <c r="E8535" s="2" t="str">
        <f>IFERROR(__xludf.DUMMYFUNCTION("IFERROR(VLOOKUP(A8535, IMPORTRANGE(""https://docs.google.com/spreadsheets/d/1-3Vjw2Cyy-mry5gbC8ypIR3YVGFfEpyFESummAta6sg/edit"", ""Sheet1!B:D""), 3, FALSE), ""Not Found"")"),"s k e t ə r ")</f>
        <v>s k e t ə r </v>
      </c>
    </row>
    <row r="8536">
      <c r="A8536" s="1" t="s">
        <v>8537</v>
      </c>
      <c r="B8536" s="1" t="s">
        <v>6138</v>
      </c>
      <c r="C8536" s="2">
        <f>IFERROR(__xludf.DUMMYFUNCTION("IFERROR(VLOOKUP(A8536, IMPORTRANGE(""https://docs.google.com/spreadsheets/d/1AVX9GT0dgogEBStecCXMMQ29tWz3gBrtNB8yIromXbY/edit?gid=741673867"", ""out1g!A:B""), 2, FALSE), 0)"),616.0)</f>
        <v>616</v>
      </c>
      <c r="D8536" s="2" t="str">
        <f>IFERROR(__xludf.DUMMYFUNCTION("IFERROR(VLOOKUP(A8536, IMPORTRANGE(""https://docs.google.com/spreadsheets/d/1-3Vjw2Cyy-mry5gbC8ypIR3YVGFfEpyFESummAta6sg/edit"", ""Sheet1!B:D""), 2, FALSE), ""Not Found"")"),"əpər")</f>
        <v>əpər</v>
      </c>
      <c r="E8536" s="2" t="str">
        <f>IFERROR(__xludf.DUMMYFUNCTION("IFERROR(VLOOKUP(A8536, IMPORTRANGE(""https://docs.google.com/spreadsheets/d/1-3Vjw2Cyy-mry5gbC8ypIR3YVGFfEpyFESummAta6sg/edit"", ""Sheet1!B:D""), 3, FALSE), ""Not Found"")"),"ə p ə r ")</f>
        <v>ə p ə r </v>
      </c>
    </row>
    <row r="8537">
      <c r="A8537" s="1" t="s">
        <v>8538</v>
      </c>
      <c r="B8537" s="1" t="s">
        <v>6138</v>
      </c>
      <c r="C8537" s="2">
        <f>IFERROR(__xludf.DUMMYFUNCTION("IFERROR(VLOOKUP(A8537, IMPORTRANGE(""https://docs.google.com/spreadsheets/d/1AVX9GT0dgogEBStecCXMMQ29tWz3gBrtNB8yIromXbY/edit?gid=741673867"", ""out1g!A:B""), 2, FALSE), 0)"),87.0)</f>
        <v>87</v>
      </c>
      <c r="D8537" s="2" t="str">
        <f>IFERROR(__xludf.DUMMYFUNCTION("IFERROR(VLOOKUP(A8537, IMPORTRANGE(""https://docs.google.com/spreadsheets/d/1-3Vjw2Cyy-mry5gbC8ypIR3YVGFfEpyFESummAta6sg/edit"", ""Sheet1!B:D""), 2, FALSE), ""Not Found"")"),"pesɪz")</f>
        <v>pesɪz</v>
      </c>
      <c r="E8537" s="2" t="str">
        <f>IFERROR(__xludf.DUMMYFUNCTION("IFERROR(VLOOKUP(A8537, IMPORTRANGE(""https://docs.google.com/spreadsheets/d/1-3Vjw2Cyy-mry5gbC8ypIR3YVGFfEpyFESummAta6sg/edit"", ""Sheet1!B:D""), 3, FALSE), ""Not Found"")"),"p e s ɪ z ")</f>
        <v>p e s ɪ z </v>
      </c>
    </row>
    <row r="8538">
      <c r="A8538" s="1" t="s">
        <v>8539</v>
      </c>
      <c r="B8538" s="1" t="s">
        <v>6138</v>
      </c>
      <c r="C8538" s="2">
        <f>IFERROR(__xludf.DUMMYFUNCTION("IFERROR(VLOOKUP(A8538, IMPORTRANGE(""https://docs.google.com/spreadsheets/d/1AVX9GT0dgogEBStecCXMMQ29tWz3gBrtNB8yIromXbY/edit?gid=741673867"", ""out1g!A:B""), 2, FALSE), 0)"),651.0)</f>
        <v>651</v>
      </c>
      <c r="D8538" s="2" t="str">
        <f>IFERROR(__xludf.DUMMYFUNCTION("IFERROR(VLOOKUP(A8538, IMPORTRANGE(""https://docs.google.com/spreadsheets/d/1-3Vjw2Cyy-mry5gbC8ypIR3YVGFfEpyFESummAta6sg/edit"", ""Sheet1!B:D""), 2, FALSE), ""Not Found"")"),"mænərz")</f>
        <v>mænərz</v>
      </c>
      <c r="E8538" s="2" t="str">
        <f>IFERROR(__xludf.DUMMYFUNCTION("IFERROR(VLOOKUP(A8538, IMPORTRANGE(""https://docs.google.com/spreadsheets/d/1-3Vjw2Cyy-mry5gbC8ypIR3YVGFfEpyFESummAta6sg/edit"", ""Sheet1!B:D""), 3, FALSE), ""Not Found"")"),"m æ n ə r z ")</f>
        <v>m æ n ə r z </v>
      </c>
    </row>
    <row r="8539">
      <c r="A8539" s="1" t="s">
        <v>8540</v>
      </c>
      <c r="B8539" s="1" t="s">
        <v>6138</v>
      </c>
      <c r="C8539" s="2">
        <f>IFERROR(__xludf.DUMMYFUNCTION("IFERROR(VLOOKUP(A8539, IMPORTRANGE(""https://docs.google.com/spreadsheets/d/1AVX9GT0dgogEBStecCXMMQ29tWz3gBrtNB8yIromXbY/edit?gid=741673867"", ""out1g!A:B""), 2, FALSE), 0)"),818.0)</f>
        <v>818</v>
      </c>
      <c r="D8539" s="2" t="str">
        <f>IFERROR(__xludf.DUMMYFUNCTION("IFERROR(VLOOKUP(A8539, IMPORTRANGE(""https://docs.google.com/spreadsheets/d/1-3Vjw2Cyy-mry5gbC8ypIR3YVGFfEpyFESummAta6sg/edit"", ""Sheet1!B:D""), 2, FALSE), ""Not Found"")"),"paʊdər")</f>
        <v>paʊdər</v>
      </c>
      <c r="E8539" s="2" t="str">
        <f>IFERROR(__xludf.DUMMYFUNCTION("IFERROR(VLOOKUP(A8539, IMPORTRANGE(""https://docs.google.com/spreadsheets/d/1-3Vjw2Cyy-mry5gbC8ypIR3YVGFfEpyFESummAta6sg/edit"", ""Sheet1!B:D""), 3, FALSE), ""Not Found"")"),"p a ʊ d ə r ")</f>
        <v>p a ʊ d ə r </v>
      </c>
    </row>
    <row r="8540">
      <c r="A8540" s="1" t="s">
        <v>8541</v>
      </c>
      <c r="B8540" s="1" t="s">
        <v>6138</v>
      </c>
      <c r="C8540" s="2">
        <f>IFERROR(__xludf.DUMMYFUNCTION("IFERROR(VLOOKUP(A8540, IMPORTRANGE(""https://docs.google.com/spreadsheets/d/1AVX9GT0dgogEBStecCXMMQ29tWz3gBrtNB8yIromXbY/edit?gid=741673867"", ""out1g!A:B""), 2, FALSE), 0)"),59.0)</f>
        <v>59</v>
      </c>
      <c r="D8540" s="2" t="str">
        <f>IFERROR(__xludf.DUMMYFUNCTION("IFERROR(VLOOKUP(A8540, IMPORTRANGE(""https://docs.google.com/spreadsheets/d/1-3Vjw2Cyy-mry5gbC8ypIR3YVGFfEpyFESummAta6sg/edit"", ""Sheet1!B:D""), 2, FALSE), ""Not Found"")"),"kətərz")</f>
        <v>kətərz</v>
      </c>
      <c r="E8540" s="2" t="str">
        <f>IFERROR(__xludf.DUMMYFUNCTION("IFERROR(VLOOKUP(A8540, IMPORTRANGE(""https://docs.google.com/spreadsheets/d/1-3Vjw2Cyy-mry5gbC8ypIR3YVGFfEpyFESummAta6sg/edit"", ""Sheet1!B:D""), 3, FALSE), ""Not Found"")"),"k ə t ə r z ")</f>
        <v>k ə t ə r z </v>
      </c>
    </row>
    <row r="8541">
      <c r="A8541" s="1" t="s">
        <v>8542</v>
      </c>
      <c r="B8541" s="1" t="s">
        <v>6138</v>
      </c>
      <c r="C8541" s="2">
        <f>IFERROR(__xludf.DUMMYFUNCTION("IFERROR(VLOOKUP(A8541, IMPORTRANGE(""https://docs.google.com/spreadsheets/d/1AVX9GT0dgogEBStecCXMMQ29tWz3gBrtNB8yIromXbY/edit?gid=741673867"", ""out1g!A:B""), 2, FALSE), 0)"),64.0)</f>
        <v>64</v>
      </c>
      <c r="D8541" s="2" t="str">
        <f>IFERROR(__xludf.DUMMYFUNCTION("IFERROR(VLOOKUP(A8541, IMPORTRANGE(""https://docs.google.com/spreadsheets/d/1-3Vjw2Cyy-mry5gbC8ypIR3YVGFfEpyFESummAta6sg/edit"", ""Sheet1!B:D""), 2, FALSE), ""Not Found"")"),"fɛlənz")</f>
        <v>fɛlənz</v>
      </c>
      <c r="E8541" s="2" t="str">
        <f>IFERROR(__xludf.DUMMYFUNCTION("IFERROR(VLOOKUP(A8541, IMPORTRANGE(""https://docs.google.com/spreadsheets/d/1-3Vjw2Cyy-mry5gbC8ypIR3YVGFfEpyFESummAta6sg/edit"", ""Sheet1!B:D""), 3, FALSE), ""Not Found"")"),"f ɛ l ə n z ")</f>
        <v>f ɛ l ə n z </v>
      </c>
    </row>
    <row r="8542">
      <c r="A8542" s="1" t="s">
        <v>8543</v>
      </c>
      <c r="B8542" s="1" t="s">
        <v>6138</v>
      </c>
      <c r="C8542" s="2">
        <f>IFERROR(__xludf.DUMMYFUNCTION("IFERROR(VLOOKUP(A8542, IMPORTRANGE(""https://docs.google.com/spreadsheets/d/1AVX9GT0dgogEBStecCXMMQ29tWz3gBrtNB8yIromXbY/edit?gid=741673867"", ""out1g!A:B""), 2, FALSE), 0)"),3115.0)</f>
        <v>3115</v>
      </c>
      <c r="D8542" s="2" t="str">
        <f>IFERROR(__xludf.DUMMYFUNCTION("IFERROR(VLOOKUP(A8542, IMPORTRANGE(""https://docs.google.com/spreadsheets/d/1-3Vjw2Cyy-mry5gbC8ypIR3YVGFfEpyFESummAta6sg/edit"", ""Sheet1!B:D""), 2, FALSE), ""Not Found"")"),"ʃɛrɪf")</f>
        <v>ʃɛrɪf</v>
      </c>
      <c r="E8542" s="2" t="str">
        <f>IFERROR(__xludf.DUMMYFUNCTION("IFERROR(VLOOKUP(A8542, IMPORTRANGE(""https://docs.google.com/spreadsheets/d/1-3Vjw2Cyy-mry5gbC8ypIR3YVGFfEpyFESummAta6sg/edit"", ""Sheet1!B:D""), 3, FALSE), ""Not Found"")"),"ʃ ɛ r ɪ f ")</f>
        <v>ʃ ɛ r ɪ f </v>
      </c>
    </row>
    <row r="8543">
      <c r="A8543" s="1" t="s">
        <v>8544</v>
      </c>
      <c r="B8543" s="1" t="s">
        <v>6138</v>
      </c>
      <c r="C8543" s="2">
        <f>IFERROR(__xludf.DUMMYFUNCTION("IFERROR(VLOOKUP(A8543, IMPORTRANGE(""https://docs.google.com/spreadsheets/d/1AVX9GT0dgogEBStecCXMMQ29tWz3gBrtNB8yIromXbY/edit?gid=741673867"", ""out1g!A:B""), 2, FALSE), 0)"),259.0)</f>
        <v>259</v>
      </c>
      <c r="D8543" s="2" t="str">
        <f>IFERROR(__xludf.DUMMYFUNCTION("IFERROR(VLOOKUP(A8543, IMPORTRANGE(""https://docs.google.com/spreadsheets/d/1-3Vjw2Cyy-mry5gbC8ypIR3YVGFfEpyFESummAta6sg/edit"", ""Sheet1!B:D""), 2, FALSE), ""Not Found"")"),"fəŋki")</f>
        <v>fəŋki</v>
      </c>
      <c r="E8543" s="2" t="str">
        <f>IFERROR(__xludf.DUMMYFUNCTION("IFERROR(VLOOKUP(A8543, IMPORTRANGE(""https://docs.google.com/spreadsheets/d/1-3Vjw2Cyy-mry5gbC8ypIR3YVGFfEpyFESummAta6sg/edit"", ""Sheet1!B:D""), 3, FALSE), ""Not Found"")"),"f ə ŋ k i ")</f>
        <v>f ə ŋ k i </v>
      </c>
    </row>
    <row r="8544">
      <c r="A8544" s="1" t="s">
        <v>8545</v>
      </c>
      <c r="B8544" s="1" t="s">
        <v>6138</v>
      </c>
      <c r="C8544" s="2">
        <f>IFERROR(__xludf.DUMMYFUNCTION("IFERROR(VLOOKUP(A8544, IMPORTRANGE(""https://docs.google.com/spreadsheets/d/1AVX9GT0dgogEBStecCXMMQ29tWz3gBrtNB8yIromXbY/edit?gid=741673867"", ""out1g!A:B""), 2, FALSE), 0)"),303.0)</f>
        <v>303</v>
      </c>
      <c r="D8544" s="2" t="str">
        <f>IFERROR(__xludf.DUMMYFUNCTION("IFERROR(VLOOKUP(A8544, IMPORTRANGE(""https://docs.google.com/spreadsheets/d/1-3Vjw2Cyy-mry5gbC8ypIR3YVGFfEpyFESummAta6sg/edit"", ""Sheet1!B:D""), 2, FALSE), ""Not Found"")"),"slɪpɪŋ")</f>
        <v>slɪpɪŋ</v>
      </c>
      <c r="E8544" s="2" t="str">
        <f>IFERROR(__xludf.DUMMYFUNCTION("IFERROR(VLOOKUP(A8544, IMPORTRANGE(""https://docs.google.com/spreadsheets/d/1-3Vjw2Cyy-mry5gbC8ypIR3YVGFfEpyFESummAta6sg/edit"", ""Sheet1!B:D""), 3, FALSE), ""Not Found"")"),"s l ɪ p ɪ ŋ ")</f>
        <v>s l ɪ p ɪ ŋ </v>
      </c>
    </row>
    <row r="8545">
      <c r="A8545" s="1" t="s">
        <v>8546</v>
      </c>
      <c r="B8545" s="1" t="s">
        <v>6138</v>
      </c>
      <c r="C8545" s="2">
        <f>IFERROR(__xludf.DUMMYFUNCTION("IFERROR(VLOOKUP(A8545, IMPORTRANGE(""https://docs.google.com/spreadsheets/d/1AVX9GT0dgogEBStecCXMMQ29tWz3gBrtNB8yIromXbY/edit?gid=741673867"", ""out1g!A:B""), 2, FALSE), 0)"),223.0)</f>
        <v>223</v>
      </c>
      <c r="D8545" s="2" t="str">
        <f>IFERROR(__xludf.DUMMYFUNCTION("IFERROR(VLOOKUP(A8545, IMPORTRANGE(""https://docs.google.com/spreadsheets/d/1-3Vjw2Cyy-mry5gbC8ypIR3YVGFfEpyFESummAta6sg/edit"", ""Sheet1!B:D""), 2, FALSE), ""Not Found"")"),"stilz")</f>
        <v>stilz</v>
      </c>
      <c r="E8545" s="2" t="str">
        <f>IFERROR(__xludf.DUMMYFUNCTION("IFERROR(VLOOKUP(A8545, IMPORTRANGE(""https://docs.google.com/spreadsheets/d/1-3Vjw2Cyy-mry5gbC8ypIR3YVGFfEpyFESummAta6sg/edit"", ""Sheet1!B:D""), 3, FALSE), ""Not Found"")"),"s t i l z ")</f>
        <v>s t i l z </v>
      </c>
    </row>
    <row r="8546">
      <c r="A8546" s="1" t="s">
        <v>8547</v>
      </c>
      <c r="B8546" s="1" t="s">
        <v>6138</v>
      </c>
      <c r="C8546" s="2">
        <f>IFERROR(__xludf.DUMMYFUNCTION("IFERROR(VLOOKUP(A8546, IMPORTRANGE(""https://docs.google.com/spreadsheets/d/1AVX9GT0dgogEBStecCXMMQ29tWz3gBrtNB8yIromXbY/edit?gid=741673867"", ""out1g!A:B""), 2, FALSE), 0)"),130.0)</f>
        <v>130</v>
      </c>
      <c r="D8546" s="2" t="str">
        <f>IFERROR(__xludf.DUMMYFUNCTION("IFERROR(VLOOKUP(A8546, IMPORTRANGE(""https://docs.google.com/spreadsheets/d/1-3Vjw2Cyy-mry5gbC8ypIR3YVGFfEpyFESummAta6sg/edit"", ""Sheet1!B:D""), 2, FALSE), ""Not Found"")"),"sæksən")</f>
        <v>sæksən</v>
      </c>
      <c r="E8546" s="2" t="str">
        <f>IFERROR(__xludf.DUMMYFUNCTION("IFERROR(VLOOKUP(A8546, IMPORTRANGE(""https://docs.google.com/spreadsheets/d/1-3Vjw2Cyy-mry5gbC8ypIR3YVGFfEpyFESummAta6sg/edit"", ""Sheet1!B:D""), 3, FALSE), ""Not Found"")"),"s æ k s ə n ")</f>
        <v>s æ k s ə n </v>
      </c>
    </row>
    <row r="8547">
      <c r="A8547" s="1" t="s">
        <v>8548</v>
      </c>
      <c r="B8547" s="1" t="s">
        <v>6138</v>
      </c>
      <c r="C8547" s="2">
        <f>IFERROR(__xludf.DUMMYFUNCTION("IFERROR(VLOOKUP(A8547, IMPORTRANGE(""https://docs.google.com/spreadsheets/d/1AVX9GT0dgogEBStecCXMMQ29tWz3gBrtNB8yIromXbY/edit?gid=741673867"", ""out1g!A:B""), 2, FALSE), 0)"),279.0)</f>
        <v>279</v>
      </c>
      <c r="D8547" s="2" t="str">
        <f>IFERROR(__xludf.DUMMYFUNCTION("IFERROR(VLOOKUP(A8547, IMPORTRANGE(""https://docs.google.com/spreadsheets/d/1-3Vjw2Cyy-mry5gbC8ypIR3YVGFfEpyFESummAta6sg/edit"", ""Sheet1!B:D""), 2, FALSE), ""Not Found"")"),"bɑrbər")</f>
        <v>bɑrbər</v>
      </c>
      <c r="E8547" s="2" t="str">
        <f>IFERROR(__xludf.DUMMYFUNCTION("IFERROR(VLOOKUP(A8547, IMPORTRANGE(""https://docs.google.com/spreadsheets/d/1-3Vjw2Cyy-mry5gbC8ypIR3YVGFfEpyFESummAta6sg/edit"", ""Sheet1!B:D""), 3, FALSE), ""Not Found"")"),"b ɑ r b ə r ")</f>
        <v>b ɑ r b ə r </v>
      </c>
    </row>
    <row r="8548">
      <c r="A8548" s="1" t="s">
        <v>8549</v>
      </c>
      <c r="B8548" s="1" t="s">
        <v>6138</v>
      </c>
      <c r="C8548" s="2">
        <f>IFERROR(__xludf.DUMMYFUNCTION("IFERROR(VLOOKUP(A8548, IMPORTRANGE(""https://docs.google.com/spreadsheets/d/1AVX9GT0dgogEBStecCXMMQ29tWz3gBrtNB8yIromXbY/edit?gid=741673867"", ""out1g!A:B""), 2, FALSE), 0)"),65.0)</f>
        <v>65</v>
      </c>
      <c r="D8548" s="2" t="str">
        <f>IFERROR(__xludf.DUMMYFUNCTION("IFERROR(VLOOKUP(A8548, IMPORTRANGE(""https://docs.google.com/spreadsheets/d/1-3Vjw2Cyy-mry5gbC8ypIR3YVGFfEpyFESummAta6sg/edit"", ""Sheet1!B:D""), 2, FALSE), ""Not Found"")"),"krɪtər")</f>
        <v>krɪtər</v>
      </c>
      <c r="E8548" s="2" t="str">
        <f>IFERROR(__xludf.DUMMYFUNCTION("IFERROR(VLOOKUP(A8548, IMPORTRANGE(""https://docs.google.com/spreadsheets/d/1-3Vjw2Cyy-mry5gbC8ypIR3YVGFfEpyFESummAta6sg/edit"", ""Sheet1!B:D""), 3, FALSE), ""Not Found"")"),"k r ɪ t ə r ")</f>
        <v>k r ɪ t ə r </v>
      </c>
    </row>
    <row r="8549">
      <c r="A8549" s="1" t="s">
        <v>8550</v>
      </c>
      <c r="B8549" s="1" t="s">
        <v>6138</v>
      </c>
      <c r="C8549" s="2">
        <f>IFERROR(__xludf.DUMMYFUNCTION("IFERROR(VLOOKUP(A8549, IMPORTRANGE(""https://docs.google.com/spreadsheets/d/1AVX9GT0dgogEBStecCXMMQ29tWz3gBrtNB8yIromXbY/edit?gid=741673867"", ""out1g!A:B""), 2, FALSE), 0)"),302.0)</f>
        <v>302</v>
      </c>
      <c r="D8549" s="2" t="str">
        <f>IFERROR(__xludf.DUMMYFUNCTION("IFERROR(VLOOKUP(A8549, IMPORTRANGE(""https://docs.google.com/spreadsheets/d/1-3Vjw2Cyy-mry5gbC8ypIR3YVGFfEpyFESummAta6sg/edit"", ""Sheet1!B:D""), 2, FALSE), ""Not Found"")"),"stæmp")</f>
        <v>stæmp</v>
      </c>
      <c r="E8549" s="2" t="str">
        <f>IFERROR(__xludf.DUMMYFUNCTION("IFERROR(VLOOKUP(A8549, IMPORTRANGE(""https://docs.google.com/spreadsheets/d/1-3Vjw2Cyy-mry5gbC8ypIR3YVGFfEpyFESummAta6sg/edit"", ""Sheet1!B:D""), 3, FALSE), ""Not Found"")"),"s t æ m p ")</f>
        <v>s t æ m p </v>
      </c>
    </row>
    <row r="8550">
      <c r="A8550" s="1" t="s">
        <v>8551</v>
      </c>
      <c r="B8550" s="1" t="s">
        <v>6138</v>
      </c>
      <c r="C8550" s="2">
        <f>IFERROR(__xludf.DUMMYFUNCTION("IFERROR(VLOOKUP(A8550, IMPORTRANGE(""https://docs.google.com/spreadsheets/d/1AVX9GT0dgogEBStecCXMMQ29tWz3gBrtNB8yIromXbY/edit?gid=741673867"", ""out1g!A:B""), 2, FALSE), 0)"),135.0)</f>
        <v>135</v>
      </c>
      <c r="D8550" s="2" t="str">
        <f>IFERROR(__xludf.DUMMYFUNCTION("IFERROR(VLOOKUP(A8550, IMPORTRANGE(""https://docs.google.com/spreadsheets/d/1-3Vjw2Cyy-mry5gbC8ypIR3YVGFfEpyFESummAta6sg/edit"", ""Sheet1!B:D""), 2, FALSE), ""Not Found"")"),"pɪsɪz")</f>
        <v>pɪsɪz</v>
      </c>
      <c r="E8550" s="2" t="str">
        <f>IFERROR(__xludf.DUMMYFUNCTION("IFERROR(VLOOKUP(A8550, IMPORTRANGE(""https://docs.google.com/spreadsheets/d/1-3Vjw2Cyy-mry5gbC8ypIR3YVGFfEpyFESummAta6sg/edit"", ""Sheet1!B:D""), 3, FALSE), ""Not Found"")"),"p ɪ s ɪ z ")</f>
        <v>p ɪ s ɪ z </v>
      </c>
    </row>
    <row r="8551">
      <c r="A8551" s="1" t="s">
        <v>8552</v>
      </c>
      <c r="B8551" s="1" t="s">
        <v>6138</v>
      </c>
      <c r="C8551" s="2">
        <f>IFERROR(__xludf.DUMMYFUNCTION("IFERROR(VLOOKUP(A8551, IMPORTRANGE(""https://docs.google.com/spreadsheets/d/1AVX9GT0dgogEBStecCXMMQ29tWz3gBrtNB8yIromXbY/edit?gid=741673867"", ""out1g!A:B""), 2, FALSE), 0)"),91.0)</f>
        <v>91</v>
      </c>
      <c r="D8551" s="2" t="str">
        <f>IFERROR(__xludf.DUMMYFUNCTION("IFERROR(VLOOKUP(A8551, IMPORTRANGE(""https://docs.google.com/spreadsheets/d/1-3Vjw2Cyy-mry5gbC8ypIR3YVGFfEpyFESummAta6sg/edit"", ""Sheet1!B:D""), 2, FALSE), ""Not Found"")"),"baʊnsi")</f>
        <v>baʊnsi</v>
      </c>
      <c r="E8551" s="2" t="str">
        <f>IFERROR(__xludf.DUMMYFUNCTION("IFERROR(VLOOKUP(A8551, IMPORTRANGE(""https://docs.google.com/spreadsheets/d/1-3Vjw2Cyy-mry5gbC8ypIR3YVGFfEpyFESummAta6sg/edit"", ""Sheet1!B:D""), 3, FALSE), ""Not Found"")"),"b a ʊ n s i ")</f>
        <v>b a ʊ n s i </v>
      </c>
    </row>
    <row r="8552">
      <c r="A8552" s="1" t="s">
        <v>8553</v>
      </c>
      <c r="B8552" s="1" t="s">
        <v>6138</v>
      </c>
      <c r="C8552" s="2">
        <f>IFERROR(__xludf.DUMMYFUNCTION("IFERROR(VLOOKUP(A8552, IMPORTRANGE(""https://docs.google.com/spreadsheets/d/1AVX9GT0dgogEBStecCXMMQ29tWz3gBrtNB8yIromXbY/edit?gid=741673867"", ""out1g!A:B""), 2, FALSE), 0)"),67.0)</f>
        <v>67</v>
      </c>
      <c r="D8552" s="2" t="str">
        <f>IFERROR(__xludf.DUMMYFUNCTION("IFERROR(VLOOKUP(A8552, IMPORTRANGE(""https://docs.google.com/spreadsheets/d/1-3Vjw2Cyy-mry5gbC8ypIR3YVGFfEpyFESummAta6sg/edit"", ""Sheet1!B:D""), 2, FALSE), ""Not Found"")"),"kloʊvər")</f>
        <v>kloʊvər</v>
      </c>
      <c r="E8552" s="2" t="str">
        <f>IFERROR(__xludf.DUMMYFUNCTION("IFERROR(VLOOKUP(A8552, IMPORTRANGE(""https://docs.google.com/spreadsheets/d/1-3Vjw2Cyy-mry5gbC8ypIR3YVGFfEpyFESummAta6sg/edit"", ""Sheet1!B:D""), 3, FALSE), ""Not Found"")"),"k l o ʊ v ə r ")</f>
        <v>k l o ʊ v ə r </v>
      </c>
    </row>
    <row r="8553">
      <c r="A8553" s="1" t="s">
        <v>8554</v>
      </c>
      <c r="B8553" s="1" t="s">
        <v>6138</v>
      </c>
      <c r="C8553" s="2">
        <f>IFERROR(__xludf.DUMMYFUNCTION("IFERROR(VLOOKUP(A8553, IMPORTRANGE(""https://docs.google.com/spreadsheets/d/1AVX9GT0dgogEBStecCXMMQ29tWz3gBrtNB8yIromXbY/edit?gid=741673867"", ""out1g!A:B""), 2, FALSE), 0)"),117.0)</f>
        <v>117</v>
      </c>
      <c r="D8553" s="2" t="str">
        <f>IFERROR(__xludf.DUMMYFUNCTION("IFERROR(VLOOKUP(A8553, IMPORTRANGE(""https://docs.google.com/spreadsheets/d/1-3Vjw2Cyy-mry5gbC8ypIR3YVGFfEpyFESummAta6sg/edit"", ""Sheet1!B:D""), 2, FALSE), ""Not Found"")"),"ʧitə")</f>
        <v>ʧitə</v>
      </c>
      <c r="E8553" s="2" t="str">
        <f>IFERROR(__xludf.DUMMYFUNCTION("IFERROR(VLOOKUP(A8553, IMPORTRANGE(""https://docs.google.com/spreadsheets/d/1-3Vjw2Cyy-mry5gbC8ypIR3YVGFfEpyFESummAta6sg/edit"", ""Sheet1!B:D""), 3, FALSE), ""Not Found"")"),"ʧ i t ə ")</f>
        <v>ʧ i t ə </v>
      </c>
    </row>
    <row r="8554">
      <c r="A8554" s="1" t="s">
        <v>8555</v>
      </c>
      <c r="B8554" s="1" t="s">
        <v>6138</v>
      </c>
      <c r="C8554" s="2">
        <f>IFERROR(__xludf.DUMMYFUNCTION("IFERROR(VLOOKUP(A8554, IMPORTRANGE(""https://docs.google.com/spreadsheets/d/1AVX9GT0dgogEBStecCXMMQ29tWz3gBrtNB8yIromXbY/edit?gid=741673867"", ""out1g!A:B""), 2, FALSE), 0)"),577.0)</f>
        <v>577</v>
      </c>
      <c r="D8554" s="2" t="str">
        <f>IFERROR(__xludf.DUMMYFUNCTION("IFERROR(VLOOKUP(A8554, IMPORTRANGE(""https://docs.google.com/spreadsheets/d/1-3Vjw2Cyy-mry5gbC8ypIR3YVGFfEpyFESummAta6sg/edit"", ""Sheet1!B:D""), 2, FALSE), ""Not Found"")"),"ʃrɪŋk")</f>
        <v>ʃrɪŋk</v>
      </c>
      <c r="E8554" s="2" t="str">
        <f>IFERROR(__xludf.DUMMYFUNCTION("IFERROR(VLOOKUP(A8554, IMPORTRANGE(""https://docs.google.com/spreadsheets/d/1-3Vjw2Cyy-mry5gbC8ypIR3YVGFfEpyFESummAta6sg/edit"", ""Sheet1!B:D""), 3, FALSE), ""Not Found"")"),"ʃ r ɪ ŋ k ")</f>
        <v>ʃ r ɪ ŋ k </v>
      </c>
    </row>
    <row r="8555">
      <c r="A8555" s="1" t="s">
        <v>8556</v>
      </c>
      <c r="B8555" s="1" t="s">
        <v>6138</v>
      </c>
      <c r="C8555" s="2">
        <f>IFERROR(__xludf.DUMMYFUNCTION("IFERROR(VLOOKUP(A8555, IMPORTRANGE(""https://docs.google.com/spreadsheets/d/1AVX9GT0dgogEBStecCXMMQ29tWz3gBrtNB8yIromXbY/edit?gid=741673867"", ""out1g!A:B""), 2, FALSE), 0)"),137.0)</f>
        <v>137</v>
      </c>
      <c r="D8555" s="2" t="str">
        <f>IFERROR(__xludf.DUMMYFUNCTION("IFERROR(VLOOKUP(A8555, IMPORTRANGE(""https://docs.google.com/spreadsheets/d/1-3Vjw2Cyy-mry5gbC8ypIR3YVGFfEpyFESummAta6sg/edit"", ""Sheet1!B:D""), 2, FALSE), ""Not Found"")"),"hitɪŋ")</f>
        <v>hitɪŋ</v>
      </c>
      <c r="E8555" s="2" t="str">
        <f>IFERROR(__xludf.DUMMYFUNCTION("IFERROR(VLOOKUP(A8555, IMPORTRANGE(""https://docs.google.com/spreadsheets/d/1-3Vjw2Cyy-mry5gbC8ypIR3YVGFfEpyFESummAta6sg/edit"", ""Sheet1!B:D""), 3, FALSE), ""Not Found"")"),"h i t ɪ ŋ ")</f>
        <v>h i t ɪ ŋ </v>
      </c>
    </row>
    <row r="8556">
      <c r="A8556" s="1" t="s">
        <v>8557</v>
      </c>
      <c r="B8556" s="1" t="s">
        <v>6138</v>
      </c>
      <c r="C8556" s="2">
        <f>IFERROR(__xludf.DUMMYFUNCTION("IFERROR(VLOOKUP(A8556, IMPORTRANGE(""https://docs.google.com/spreadsheets/d/1AVX9GT0dgogEBStecCXMMQ29tWz3gBrtNB8yIromXbY/edit?gid=741673867"", ""out1g!A:B""), 2, FALSE), 0)"),55.0)</f>
        <v>55</v>
      </c>
      <c r="D8556" s="2" t="str">
        <f>IFERROR(__xludf.DUMMYFUNCTION("IFERROR(VLOOKUP(A8556, IMPORTRANGE(""https://docs.google.com/spreadsheets/d/1-3Vjw2Cyy-mry5gbC8ypIR3YVGFfEpyFESummAta6sg/edit"", ""Sheet1!B:D""), 2, FALSE), ""Not Found"")"),"mɪksər")</f>
        <v>mɪksər</v>
      </c>
      <c r="E8556" s="2" t="str">
        <f>IFERROR(__xludf.DUMMYFUNCTION("IFERROR(VLOOKUP(A8556, IMPORTRANGE(""https://docs.google.com/spreadsheets/d/1-3Vjw2Cyy-mry5gbC8ypIR3YVGFfEpyFESummAta6sg/edit"", ""Sheet1!B:D""), 3, FALSE), ""Not Found"")"),"m ɪ k s ə r ")</f>
        <v>m ɪ k s ə r </v>
      </c>
    </row>
    <row r="8557">
      <c r="A8557" s="1" t="s">
        <v>8558</v>
      </c>
      <c r="B8557" s="1" t="s">
        <v>6138</v>
      </c>
      <c r="C8557" s="2">
        <f>IFERROR(__xludf.DUMMYFUNCTION("IFERROR(VLOOKUP(A8557, IMPORTRANGE(""https://docs.google.com/spreadsheets/d/1AVX9GT0dgogEBStecCXMMQ29tWz3gBrtNB8yIromXbY/edit?gid=741673867"", ""out1g!A:B""), 2, FALSE), 0)"),1519.0)</f>
        <v>1519</v>
      </c>
      <c r="D8557" s="2" t="str">
        <f>IFERROR(__xludf.DUMMYFUNCTION("IFERROR(VLOOKUP(A8557, IMPORTRANGE(""https://docs.google.com/spreadsheets/d/1-3Vjw2Cyy-mry5gbC8ypIR3YVGFfEpyFESummAta6sg/edit"", ""Sheet1!B:D""), 2, FALSE), ""Not Found"")"),"skrud")</f>
        <v>skrud</v>
      </c>
      <c r="E8557" s="2" t="str">
        <f>IFERROR(__xludf.DUMMYFUNCTION("IFERROR(VLOOKUP(A8557, IMPORTRANGE(""https://docs.google.com/spreadsheets/d/1-3Vjw2Cyy-mry5gbC8ypIR3YVGFfEpyFESummAta6sg/edit"", ""Sheet1!B:D""), 3, FALSE), ""Not Found"")"),"s k r u d ")</f>
        <v>s k r u d </v>
      </c>
    </row>
    <row r="8558">
      <c r="A8558" s="1" t="s">
        <v>8559</v>
      </c>
      <c r="B8558" s="1" t="s">
        <v>6138</v>
      </c>
      <c r="C8558" s="2">
        <f>IFERROR(__xludf.DUMMYFUNCTION("IFERROR(VLOOKUP(A8558, IMPORTRANGE(""https://docs.google.com/spreadsheets/d/1AVX9GT0dgogEBStecCXMMQ29tWz3gBrtNB8yIromXbY/edit?gid=741673867"", ""out1g!A:B""), 2, FALSE), 0)"),223.0)</f>
        <v>223</v>
      </c>
      <c r="D8558" s="2" t="str">
        <f>IFERROR(__xludf.DUMMYFUNCTION("IFERROR(VLOOKUP(A8558, IMPORTRANGE(""https://docs.google.com/spreadsheets/d/1-3Vjw2Cyy-mry5gbC8ypIR3YVGFfEpyFESummAta6sg/edit"", ""Sheet1!B:D""), 2, FALSE), ""Not Found"")"),"skwɑʃ")</f>
        <v>skwɑʃ</v>
      </c>
      <c r="E8558" s="2" t="str">
        <f>IFERROR(__xludf.DUMMYFUNCTION("IFERROR(VLOOKUP(A8558, IMPORTRANGE(""https://docs.google.com/spreadsheets/d/1-3Vjw2Cyy-mry5gbC8ypIR3YVGFfEpyFESummAta6sg/edit"", ""Sheet1!B:D""), 3, FALSE), ""Not Found"")"),"s k w ɑ ʃ ")</f>
        <v>s k w ɑ ʃ </v>
      </c>
    </row>
    <row r="8559">
      <c r="A8559" s="1" t="s">
        <v>8560</v>
      </c>
      <c r="B8559" s="1" t="s">
        <v>6138</v>
      </c>
      <c r="C8559" s="2">
        <f>IFERROR(__xludf.DUMMYFUNCTION("IFERROR(VLOOKUP(A8559, IMPORTRANGE(""https://docs.google.com/spreadsheets/d/1AVX9GT0dgogEBStecCXMMQ29tWz3gBrtNB8yIromXbY/edit?gid=741673867"", ""out1g!A:B""), 2, FALSE), 0)"),61.0)</f>
        <v>61</v>
      </c>
      <c r="D8559" s="2" t="str">
        <f>IFERROR(__xludf.DUMMYFUNCTION("IFERROR(VLOOKUP(A8559, IMPORTRANGE(""https://docs.google.com/spreadsheets/d/1-3Vjw2Cyy-mry5gbC8ypIR3YVGFfEpyFESummAta6sg/edit"", ""Sheet1!B:D""), 2, FALSE), ""Not Found"")"),"zoʊnɪŋ")</f>
        <v>zoʊnɪŋ</v>
      </c>
      <c r="E8559" s="2" t="str">
        <f>IFERROR(__xludf.DUMMYFUNCTION("IFERROR(VLOOKUP(A8559, IMPORTRANGE(""https://docs.google.com/spreadsheets/d/1-3Vjw2Cyy-mry5gbC8ypIR3YVGFfEpyFESummAta6sg/edit"", ""Sheet1!B:D""), 3, FALSE), ""Not Found"")"),"z o ʊ n ɪ ŋ ")</f>
        <v>z o ʊ n ɪ ŋ </v>
      </c>
    </row>
    <row r="8560">
      <c r="A8560" s="1" t="s">
        <v>8561</v>
      </c>
      <c r="B8560" s="1" t="s">
        <v>6138</v>
      </c>
      <c r="C8560" s="2">
        <f>IFERROR(__xludf.DUMMYFUNCTION("IFERROR(VLOOKUP(A8560, IMPORTRANGE(""https://docs.google.com/spreadsheets/d/1AVX9GT0dgogEBStecCXMMQ29tWz3gBrtNB8yIromXbY/edit?gid=741673867"", ""out1g!A:B""), 2, FALSE), 0)"),17.0)</f>
        <v>17</v>
      </c>
      <c r="D8560" s="2" t="str">
        <f>IFERROR(__xludf.DUMMYFUNCTION("IFERROR(VLOOKUP(A8560, IMPORTRANGE(""https://docs.google.com/spreadsheets/d/1-3Vjw2Cyy-mry5gbC8ypIR3YVGFfEpyFESummAta6sg/edit"", ""Sheet1!B:D""), 2, FALSE), ""Not Found"")"),"skɪnɪŋ")</f>
        <v>skɪnɪŋ</v>
      </c>
      <c r="E8560" s="2" t="str">
        <f>IFERROR(__xludf.DUMMYFUNCTION("IFERROR(VLOOKUP(A8560, IMPORTRANGE(""https://docs.google.com/spreadsheets/d/1-3Vjw2Cyy-mry5gbC8ypIR3YVGFfEpyFESummAta6sg/edit"", ""Sheet1!B:D""), 3, FALSE), ""Not Found"")"),"s k ɪ n ɪ ŋ ")</f>
        <v>s k ɪ n ɪ ŋ </v>
      </c>
    </row>
    <row r="8561">
      <c r="A8561" s="1" t="s">
        <v>8562</v>
      </c>
      <c r="B8561" s="1" t="s">
        <v>6138</v>
      </c>
      <c r="C8561" s="2">
        <f>IFERROR(__xludf.DUMMYFUNCTION("IFERROR(VLOOKUP(A8561, IMPORTRANGE(""https://docs.google.com/spreadsheets/d/1AVX9GT0dgogEBStecCXMMQ29tWz3gBrtNB8yIromXbY/edit?gid=741673867"", ""out1g!A:B""), 2, FALSE), 0)"),81.0)</f>
        <v>81</v>
      </c>
      <c r="D8561" s="2" t="str">
        <f>IFERROR(__xludf.DUMMYFUNCTION("IFERROR(VLOOKUP(A8561, IMPORTRANGE(""https://docs.google.com/spreadsheets/d/1-3Vjw2Cyy-mry5gbC8ypIR3YVGFfEpyFESummAta6sg/edit"", ""Sheet1!B:D""), 2, FALSE), ""Not Found"")"),"məzəl")</f>
        <v>məzəl</v>
      </c>
      <c r="E8561" s="2" t="str">
        <f>IFERROR(__xludf.DUMMYFUNCTION("IFERROR(VLOOKUP(A8561, IMPORTRANGE(""https://docs.google.com/spreadsheets/d/1-3Vjw2Cyy-mry5gbC8ypIR3YVGFfEpyFESummAta6sg/edit"", ""Sheet1!B:D""), 3, FALSE), ""Not Found"")"),"m ə z ə l ")</f>
        <v>m ə z ə l </v>
      </c>
    </row>
    <row r="8562">
      <c r="A8562" s="1" t="s">
        <v>8563</v>
      </c>
      <c r="B8562" s="1" t="s">
        <v>6138</v>
      </c>
      <c r="C8562" s="2">
        <f>IFERROR(__xludf.DUMMYFUNCTION("IFERROR(VLOOKUP(A8562, IMPORTRANGE(""https://docs.google.com/spreadsheets/d/1AVX9GT0dgogEBStecCXMMQ29tWz3gBrtNB8yIromXbY/edit?gid=741673867"", ""out1g!A:B""), 2, FALSE), 0)"),765.0)</f>
        <v>765</v>
      </c>
      <c r="D8562" s="2" t="str">
        <f>IFERROR(__xludf.DUMMYFUNCTION("IFERROR(VLOOKUP(A8562, IMPORTRANGE(""https://docs.google.com/spreadsheets/d/1-3Vjw2Cyy-mry5gbC8ypIR3YVGFfEpyFESummAta6sg/edit"", ""Sheet1!B:D""), 2, FALSE), ""Not Found"")"),"sɔr")</f>
        <v>sɔr</v>
      </c>
      <c r="E8562" s="2" t="str">
        <f>IFERROR(__xludf.DUMMYFUNCTION("IFERROR(VLOOKUP(A8562, IMPORTRANGE(""https://docs.google.com/spreadsheets/d/1-3Vjw2Cyy-mry5gbC8ypIR3YVGFfEpyFESummAta6sg/edit"", ""Sheet1!B:D""), 3, FALSE), ""Not Found"")"),"s ɔ r ")</f>
        <v>s ɔ r </v>
      </c>
    </row>
    <row r="8563">
      <c r="A8563" s="1" t="s">
        <v>8564</v>
      </c>
      <c r="B8563" s="1" t="s">
        <v>6138</v>
      </c>
      <c r="C8563" s="2">
        <f>IFERROR(__xludf.DUMMYFUNCTION("IFERROR(VLOOKUP(A8563, IMPORTRANGE(""https://docs.google.com/spreadsheets/d/1AVX9GT0dgogEBStecCXMMQ29tWz3gBrtNB8yIromXbY/edit?gid=741673867"", ""out1g!A:B""), 2, FALSE), 0)"),82.0)</f>
        <v>82</v>
      </c>
      <c r="D8563" s="2" t="str">
        <f>IFERROR(__xludf.DUMMYFUNCTION("IFERROR(VLOOKUP(A8563, IMPORTRANGE(""https://docs.google.com/spreadsheets/d/1-3Vjw2Cyy-mry5gbC8ypIR3YVGFfEpyFESummAta6sg/edit"", ""Sheet1!B:D""), 2, FALSE), ""Not Found"")"),"haɪərz")</f>
        <v>haɪərz</v>
      </c>
      <c r="E8563" s="2" t="str">
        <f>IFERROR(__xludf.DUMMYFUNCTION("IFERROR(VLOOKUP(A8563, IMPORTRANGE(""https://docs.google.com/spreadsheets/d/1-3Vjw2Cyy-mry5gbC8ypIR3YVGFfEpyFESummAta6sg/edit"", ""Sheet1!B:D""), 3, FALSE), ""Not Found"")"),"h a ɪ ə r z ")</f>
        <v>h a ɪ ə r z </v>
      </c>
    </row>
    <row r="8564">
      <c r="A8564" s="1" t="s">
        <v>8565</v>
      </c>
      <c r="B8564" s="1" t="s">
        <v>6138</v>
      </c>
      <c r="C8564" s="2">
        <f>IFERROR(__xludf.DUMMYFUNCTION("IFERROR(VLOOKUP(A8564, IMPORTRANGE(""https://docs.google.com/spreadsheets/d/1AVX9GT0dgogEBStecCXMMQ29tWz3gBrtNB8yIromXbY/edit?gid=741673867"", ""out1g!A:B""), 2, FALSE), 0)"),263.0)</f>
        <v>263</v>
      </c>
      <c r="D8564" s="2" t="str">
        <f>IFERROR(__xludf.DUMMYFUNCTION("IFERROR(VLOOKUP(A8564, IMPORTRANGE(""https://docs.google.com/spreadsheets/d/1-3Vjw2Cyy-mry5gbC8ypIR3YVGFfEpyFESummAta6sg/edit"", ""Sheet1!B:D""), 2, FALSE), ""Not Found"")"),"kɑndəm")</f>
        <v>kɑndəm</v>
      </c>
      <c r="E8564" s="2" t="str">
        <f>IFERROR(__xludf.DUMMYFUNCTION("IFERROR(VLOOKUP(A8564, IMPORTRANGE(""https://docs.google.com/spreadsheets/d/1-3Vjw2Cyy-mry5gbC8ypIR3YVGFfEpyFESummAta6sg/edit"", ""Sheet1!B:D""), 3, FALSE), ""Not Found"")"),"k ɑ n d ə m ")</f>
        <v>k ɑ n d ə m </v>
      </c>
    </row>
    <row r="8565">
      <c r="A8565" s="1" t="s">
        <v>8566</v>
      </c>
      <c r="B8565" s="1" t="s">
        <v>6138</v>
      </c>
      <c r="C8565" s="2">
        <f>IFERROR(__xludf.DUMMYFUNCTION("IFERROR(VLOOKUP(A8565, IMPORTRANGE(""https://docs.google.com/spreadsheets/d/1AVX9GT0dgogEBStecCXMMQ29tWz3gBrtNB8yIromXbY/edit?gid=741673867"", ""out1g!A:B""), 2, FALSE), 0)"),113.0)</f>
        <v>113</v>
      </c>
      <c r="D8565" s="2" t="str">
        <f>IFERROR(__xludf.DUMMYFUNCTION("IFERROR(VLOOKUP(A8565, IMPORTRANGE(""https://docs.google.com/spreadsheets/d/1-3Vjw2Cyy-mry5gbC8ypIR3YVGFfEpyFESummAta6sg/edit"", ""Sheet1!B:D""), 2, FALSE), ""Not Found"")"),"tɪŋkər")</f>
        <v>tɪŋkər</v>
      </c>
      <c r="E8565" s="2" t="str">
        <f>IFERROR(__xludf.DUMMYFUNCTION("IFERROR(VLOOKUP(A8565, IMPORTRANGE(""https://docs.google.com/spreadsheets/d/1-3Vjw2Cyy-mry5gbC8ypIR3YVGFfEpyFESummAta6sg/edit"", ""Sheet1!B:D""), 3, FALSE), ""Not Found"")"),"t ɪ ŋ k ə r ")</f>
        <v>t ɪ ŋ k ə r </v>
      </c>
    </row>
    <row r="8566">
      <c r="A8566" s="1" t="s">
        <v>8567</v>
      </c>
      <c r="B8566" s="1" t="s">
        <v>6138</v>
      </c>
      <c r="C8566" s="2">
        <f>IFERROR(__xludf.DUMMYFUNCTION("IFERROR(VLOOKUP(A8566, IMPORTRANGE(""https://docs.google.com/spreadsheets/d/1AVX9GT0dgogEBStecCXMMQ29tWz3gBrtNB8yIromXbY/edit?gid=741673867"", ""out1g!A:B""), 2, FALSE), 0)"),296.0)</f>
        <v>296</v>
      </c>
      <c r="D8566" s="2" t="str">
        <f>IFERROR(__xludf.DUMMYFUNCTION("IFERROR(VLOOKUP(A8566, IMPORTRANGE(""https://docs.google.com/spreadsheets/d/1-3Vjw2Cyy-mry5gbC8ypIR3YVGFfEpyFESummAta6sg/edit"", ""Sheet1!B:D""), 2, FALSE), ""Not Found"")"),"mɑrʃəl")</f>
        <v>mɑrʃəl</v>
      </c>
      <c r="E8566" s="2" t="str">
        <f>IFERROR(__xludf.DUMMYFUNCTION("IFERROR(VLOOKUP(A8566, IMPORTRANGE(""https://docs.google.com/spreadsheets/d/1-3Vjw2Cyy-mry5gbC8ypIR3YVGFfEpyFESummAta6sg/edit"", ""Sheet1!B:D""), 3, FALSE), ""Not Found"")"),"m ɑ r ʃ ə l ")</f>
        <v>m ɑ r ʃ ə l </v>
      </c>
    </row>
    <row r="8567">
      <c r="A8567" s="1" t="s">
        <v>8568</v>
      </c>
      <c r="B8567" s="1" t="s">
        <v>6138</v>
      </c>
      <c r="C8567" s="2">
        <f>IFERROR(__xludf.DUMMYFUNCTION("IFERROR(VLOOKUP(A8567, IMPORTRANGE(""https://docs.google.com/spreadsheets/d/1AVX9GT0dgogEBStecCXMMQ29tWz3gBrtNB8yIromXbY/edit?gid=741673867"", ""out1g!A:B""), 2, FALSE), 0)"),16.0)</f>
        <v>16</v>
      </c>
      <c r="D8567" s="2" t="str">
        <f>IFERROR(__xludf.DUMMYFUNCTION("IFERROR(VLOOKUP(A8567, IMPORTRANGE(""https://docs.google.com/spreadsheets/d/1-3Vjw2Cyy-mry5gbC8ypIR3YVGFfEpyFESummAta6sg/edit"", ""Sheet1!B:D""), 2, FALSE), ""Not Found"")"),"ʃækəl")</f>
        <v>ʃækəl</v>
      </c>
      <c r="E8567" s="2" t="str">
        <f>IFERROR(__xludf.DUMMYFUNCTION("IFERROR(VLOOKUP(A8567, IMPORTRANGE(""https://docs.google.com/spreadsheets/d/1-3Vjw2Cyy-mry5gbC8ypIR3YVGFfEpyFESummAta6sg/edit"", ""Sheet1!B:D""), 3, FALSE), ""Not Found"")"),"ʃ æ k ə l ")</f>
        <v>ʃ æ k ə l </v>
      </c>
    </row>
    <row r="8568">
      <c r="A8568" s="1" t="s">
        <v>8569</v>
      </c>
      <c r="B8568" s="1" t="s">
        <v>6138</v>
      </c>
      <c r="C8568" s="2">
        <f>IFERROR(__xludf.DUMMYFUNCTION("IFERROR(VLOOKUP(A8568, IMPORTRANGE(""https://docs.google.com/spreadsheets/d/1AVX9GT0dgogEBStecCXMMQ29tWz3gBrtNB8yIromXbY/edit?gid=741673867"", ""out1g!A:B""), 2, FALSE), 0)"),52.0)</f>
        <v>52</v>
      </c>
      <c r="D8568" s="2" t="str">
        <f>IFERROR(__xludf.DUMMYFUNCTION("IFERROR(VLOOKUP(A8568, IMPORTRANGE(""https://docs.google.com/spreadsheets/d/1-3Vjw2Cyy-mry5gbC8ypIR3YVGFfEpyFESummAta6sg/edit"", ""Sheet1!B:D""), 2, FALSE), ""Not Found"")"),"braʊzɪŋ")</f>
        <v>braʊzɪŋ</v>
      </c>
      <c r="E8568" s="2" t="str">
        <f>IFERROR(__xludf.DUMMYFUNCTION("IFERROR(VLOOKUP(A8568, IMPORTRANGE(""https://docs.google.com/spreadsheets/d/1-3Vjw2Cyy-mry5gbC8ypIR3YVGFfEpyFESummAta6sg/edit"", ""Sheet1!B:D""), 3, FALSE), ""Not Found"")"),"b r a ʊ z ɪ ŋ ")</f>
        <v>b r a ʊ z ɪ ŋ </v>
      </c>
    </row>
    <row r="8569">
      <c r="A8569" s="1" t="s">
        <v>8570</v>
      </c>
      <c r="B8569" s="1" t="s">
        <v>6138</v>
      </c>
      <c r="C8569" s="2">
        <f>IFERROR(__xludf.DUMMYFUNCTION("IFERROR(VLOOKUP(A8569, IMPORTRANGE(""https://docs.google.com/spreadsheets/d/1AVX9GT0dgogEBStecCXMMQ29tWz3gBrtNB8yIromXbY/edit?gid=741673867"", ""out1g!A:B""), 2, FALSE), 0)"),10857.0)</f>
        <v>10857</v>
      </c>
      <c r="D8569" s="2" t="str">
        <f>IFERROR(__xludf.DUMMYFUNCTION("IFERROR(VLOOKUP(A8569, IMPORTRANGE(""https://docs.google.com/spreadsheets/d/1-3Vjw2Cyy-mry5gbC8ypIR3YVGFfEpyFESummAta6sg/edit"", ""Sheet1!B:D""), 2, FALSE), ""Not Found"")"),"pərsən")</f>
        <v>pərsən</v>
      </c>
      <c r="E8569" s="2" t="str">
        <f>IFERROR(__xludf.DUMMYFUNCTION("IFERROR(VLOOKUP(A8569, IMPORTRANGE(""https://docs.google.com/spreadsheets/d/1-3Vjw2Cyy-mry5gbC8ypIR3YVGFfEpyFESummAta6sg/edit"", ""Sheet1!B:D""), 3, FALSE), ""Not Found"")"),"p ə r s ə n ")</f>
        <v>p ə r s ə n </v>
      </c>
    </row>
    <row r="8570">
      <c r="A8570" s="1" t="s">
        <v>8571</v>
      </c>
      <c r="B8570" s="1" t="s">
        <v>6138</v>
      </c>
      <c r="C8570" s="2">
        <f>IFERROR(__xludf.DUMMYFUNCTION("IFERROR(VLOOKUP(A8570, IMPORTRANGE(""https://docs.google.com/spreadsheets/d/1AVX9GT0dgogEBStecCXMMQ29tWz3gBrtNB8yIromXbY/edit?gid=741673867"", ""out1g!A:B""), 2, FALSE), 0)"),56.0)</f>
        <v>56</v>
      </c>
      <c r="D8570" s="2" t="str">
        <f>IFERROR(__xludf.DUMMYFUNCTION("IFERROR(VLOOKUP(A8570, IMPORTRANGE(""https://docs.google.com/spreadsheets/d/1-3Vjw2Cyy-mry5gbC8ypIR3YVGFfEpyFESummAta6sg/edit"", ""Sheet1!B:D""), 2, FALSE), ""Not Found"")"),"hæʧɪz")</f>
        <v>hæʧɪz</v>
      </c>
      <c r="E8570" s="2" t="str">
        <f>IFERROR(__xludf.DUMMYFUNCTION("IFERROR(VLOOKUP(A8570, IMPORTRANGE(""https://docs.google.com/spreadsheets/d/1-3Vjw2Cyy-mry5gbC8ypIR3YVGFfEpyFESummAta6sg/edit"", ""Sheet1!B:D""), 3, FALSE), ""Not Found"")"),"h æ ʧ ɪ z ")</f>
        <v>h æ ʧ ɪ z </v>
      </c>
    </row>
    <row r="8571">
      <c r="A8571" s="1" t="s">
        <v>8572</v>
      </c>
      <c r="B8571" s="1" t="s">
        <v>6138</v>
      </c>
      <c r="C8571" s="2">
        <f>IFERROR(__xludf.DUMMYFUNCTION("IFERROR(VLOOKUP(A8571, IMPORTRANGE(""https://docs.google.com/spreadsheets/d/1AVX9GT0dgogEBStecCXMMQ29tWz3gBrtNB8yIromXbY/edit?gid=741673867"", ""out1g!A:B""), 2, FALSE), 0)"),184.0)</f>
        <v>184</v>
      </c>
      <c r="D8571" s="2" t="str">
        <f>IFERROR(__xludf.DUMMYFUNCTION("IFERROR(VLOOKUP(A8571, IMPORTRANGE(""https://docs.google.com/spreadsheets/d/1-3Vjw2Cyy-mry5gbC8ypIR3YVGFfEpyFESummAta6sg/edit"", ""Sheet1!B:D""), 2, FALSE), ""Not Found"")"),"vaɪtəlz")</f>
        <v>vaɪtəlz</v>
      </c>
      <c r="E8571" s="2" t="str">
        <f>IFERROR(__xludf.DUMMYFUNCTION("IFERROR(VLOOKUP(A8571, IMPORTRANGE(""https://docs.google.com/spreadsheets/d/1-3Vjw2Cyy-mry5gbC8ypIR3YVGFfEpyFESummAta6sg/edit"", ""Sheet1!B:D""), 3, FALSE), ""Not Found"")"),"v a ɪ t ə l z ")</f>
        <v>v a ɪ t ə l z </v>
      </c>
    </row>
    <row r="8572">
      <c r="A8572" s="1" t="s">
        <v>8573</v>
      </c>
      <c r="B8572" s="1" t="s">
        <v>6138</v>
      </c>
      <c r="C8572" s="2">
        <f>IFERROR(__xludf.DUMMYFUNCTION("IFERROR(VLOOKUP(A8572, IMPORTRANGE(""https://docs.google.com/spreadsheets/d/1AVX9GT0dgogEBStecCXMMQ29tWz3gBrtNB8yIromXbY/edit?gid=741673867"", ""out1g!A:B""), 2, FALSE), 0)"),128.0)</f>
        <v>128</v>
      </c>
      <c r="D8572" s="2" t="str">
        <f>IFERROR(__xludf.DUMMYFUNCTION("IFERROR(VLOOKUP(A8572, IMPORTRANGE(""https://docs.google.com/spreadsheets/d/1-3Vjw2Cyy-mry5gbC8ypIR3YVGFfEpyFESummAta6sg/edit"", ""Sheet1!B:D""), 2, FALSE), ""Not Found"")"),"bru")</f>
        <v>bru</v>
      </c>
      <c r="E8572" s="2" t="str">
        <f>IFERROR(__xludf.DUMMYFUNCTION("IFERROR(VLOOKUP(A8572, IMPORTRANGE(""https://docs.google.com/spreadsheets/d/1-3Vjw2Cyy-mry5gbC8ypIR3YVGFfEpyFESummAta6sg/edit"", ""Sheet1!B:D""), 3, FALSE), ""Not Found"")"),"b r u ")</f>
        <v>b r u </v>
      </c>
    </row>
    <row r="8573">
      <c r="A8573" s="1" t="s">
        <v>8574</v>
      </c>
      <c r="B8573" s="1" t="s">
        <v>6138</v>
      </c>
      <c r="C8573" s="2">
        <f>IFERROR(__xludf.DUMMYFUNCTION("IFERROR(VLOOKUP(A8573, IMPORTRANGE(""https://docs.google.com/spreadsheets/d/1AVX9GT0dgogEBStecCXMMQ29tWz3gBrtNB8yIromXbY/edit?gid=741673867"", ""out1g!A:B""), 2, FALSE), 0)"),127.0)</f>
        <v>127</v>
      </c>
      <c r="D8573" s="2" t="str">
        <f>IFERROR(__xludf.DUMMYFUNCTION("IFERROR(VLOOKUP(A8573, IMPORTRANGE(""https://docs.google.com/spreadsheets/d/1-3Vjw2Cyy-mry5gbC8ypIR3YVGFfEpyFESummAta6sg/edit"", ""Sheet1!B:D""), 2, FALSE), ""Not Found"")"),"mjut")</f>
        <v>mjut</v>
      </c>
      <c r="E8573" s="2" t="str">
        <f>IFERROR(__xludf.DUMMYFUNCTION("IFERROR(VLOOKUP(A8573, IMPORTRANGE(""https://docs.google.com/spreadsheets/d/1-3Vjw2Cyy-mry5gbC8ypIR3YVGFfEpyFESummAta6sg/edit"", ""Sheet1!B:D""), 3, FALSE), ""Not Found"")"),"m j u t ")</f>
        <v>m j u t </v>
      </c>
    </row>
    <row r="8574">
      <c r="A8574" s="1" t="s">
        <v>8575</v>
      </c>
      <c r="B8574" s="1" t="s">
        <v>6138</v>
      </c>
      <c r="C8574" s="2">
        <f>IFERROR(__xludf.DUMMYFUNCTION("IFERROR(VLOOKUP(A8574, IMPORTRANGE(""https://docs.google.com/spreadsheets/d/1AVX9GT0dgogEBStecCXMMQ29tWz3gBrtNB8yIromXbY/edit?gid=741673867"", ""out1g!A:B""), 2, FALSE), 0)"),583.0)</f>
        <v>583</v>
      </c>
      <c r="D8574" s="2" t="str">
        <f>IFERROR(__xludf.DUMMYFUNCTION("IFERROR(VLOOKUP(A8574, IMPORTRANGE(""https://docs.google.com/spreadsheets/d/1-3Vjw2Cyy-mry5gbC8ypIR3YVGFfEpyFESummAta6sg/edit"", ""Sheet1!B:D""), 2, FALSE), ""Not Found"")"),"ʃædoʊz")</f>
        <v>ʃædoʊz</v>
      </c>
      <c r="E8574" s="2" t="str">
        <f>IFERROR(__xludf.DUMMYFUNCTION("IFERROR(VLOOKUP(A8574, IMPORTRANGE(""https://docs.google.com/spreadsheets/d/1-3Vjw2Cyy-mry5gbC8ypIR3YVGFfEpyFESummAta6sg/edit"", ""Sheet1!B:D""), 3, FALSE), ""Not Found"")"),"ʃ æ d o ʊ z ")</f>
        <v>ʃ æ d o ʊ z </v>
      </c>
    </row>
    <row r="8575">
      <c r="A8575" s="1" t="s">
        <v>8576</v>
      </c>
      <c r="B8575" s="1" t="s">
        <v>6138</v>
      </c>
      <c r="C8575" s="2">
        <f>IFERROR(__xludf.DUMMYFUNCTION("IFERROR(VLOOKUP(A8575, IMPORTRANGE(""https://docs.google.com/spreadsheets/d/1AVX9GT0dgogEBStecCXMMQ29tWz3gBrtNB8yIromXbY/edit?gid=741673867"", ""out1g!A:B""), 2, FALSE), 0)"),48.0)</f>
        <v>48</v>
      </c>
      <c r="D8575" s="2" t="str">
        <f>IFERROR(__xludf.DUMMYFUNCTION("IFERROR(VLOOKUP(A8575, IMPORTRANGE(""https://docs.google.com/spreadsheets/d/1-3Vjw2Cyy-mry5gbC8ypIR3YVGFfEpyFESummAta6sg/edit"", ""Sheet1!B:D""), 2, FALSE), ""Not Found"")"),"lemən")</f>
        <v>lemən</v>
      </c>
      <c r="E8575" s="2" t="str">
        <f>IFERROR(__xludf.DUMMYFUNCTION("IFERROR(VLOOKUP(A8575, IMPORTRANGE(""https://docs.google.com/spreadsheets/d/1-3Vjw2Cyy-mry5gbC8ypIR3YVGFfEpyFESummAta6sg/edit"", ""Sheet1!B:D""), 3, FALSE), ""Not Found"")"),"l e m ə n ")</f>
        <v>l e m ə n </v>
      </c>
    </row>
    <row r="8576">
      <c r="A8576" s="1" t="s">
        <v>8577</v>
      </c>
      <c r="B8576" s="1" t="s">
        <v>6138</v>
      </c>
      <c r="C8576" s="2">
        <f>IFERROR(__xludf.DUMMYFUNCTION("IFERROR(VLOOKUP(A8576, IMPORTRANGE(""https://docs.google.com/spreadsheets/d/1AVX9GT0dgogEBStecCXMMQ29tWz3gBrtNB8yIromXbY/edit?gid=741673867"", ""out1g!A:B""), 2, FALSE), 0)"),120.0)</f>
        <v>120</v>
      </c>
      <c r="D8576" s="2" t="str">
        <f>IFERROR(__xludf.DUMMYFUNCTION("IFERROR(VLOOKUP(A8576, IMPORTRANGE(""https://docs.google.com/spreadsheets/d/1-3Vjw2Cyy-mry5gbC8ypIR3YVGFfEpyFESummAta6sg/edit"", ""Sheet1!B:D""), 2, FALSE), ""Not Found"")"),"frɪgɪŋ")</f>
        <v>frɪgɪŋ</v>
      </c>
      <c r="E8576" s="2" t="str">
        <f>IFERROR(__xludf.DUMMYFUNCTION("IFERROR(VLOOKUP(A8576, IMPORTRANGE(""https://docs.google.com/spreadsheets/d/1-3Vjw2Cyy-mry5gbC8ypIR3YVGFfEpyFESummAta6sg/edit"", ""Sheet1!B:D""), 3, FALSE), ""Not Found"")"),"f r ɪ g ɪ ŋ ")</f>
        <v>f r ɪ g ɪ ŋ </v>
      </c>
    </row>
    <row r="8577">
      <c r="A8577" s="1" t="s">
        <v>8578</v>
      </c>
      <c r="B8577" s="1" t="s">
        <v>6138</v>
      </c>
      <c r="C8577" s="2">
        <f>IFERROR(__xludf.DUMMYFUNCTION("IFERROR(VLOOKUP(A8577, IMPORTRANGE(""https://docs.google.com/spreadsheets/d/1AVX9GT0dgogEBStecCXMMQ29tWz3gBrtNB8yIromXbY/edit?gid=741673867"", ""out1g!A:B""), 2, FALSE), 0)"),8912.0)</f>
        <v>8912</v>
      </c>
      <c r="D8577" s="2" t="str">
        <f>IFERROR(__xludf.DUMMYFUNCTION("IFERROR(VLOOKUP(A8577, IMPORTRANGE(""https://docs.google.com/spreadsheets/d/1-3Vjw2Cyy-mry5gbC8ypIR3YVGFfEpyFESummAta6sg/edit"", ""Sheet1!B:D""), 2, FALSE), ""Not Found"")"),"wɔr")</f>
        <v>wɔr</v>
      </c>
      <c r="E8577" s="2" t="str">
        <f>IFERROR(__xludf.DUMMYFUNCTION("IFERROR(VLOOKUP(A8577, IMPORTRANGE(""https://docs.google.com/spreadsheets/d/1-3Vjw2Cyy-mry5gbC8ypIR3YVGFfEpyFESummAta6sg/edit"", ""Sheet1!B:D""), 3, FALSE), ""Not Found"")"),"w ɔ r ")</f>
        <v>w ɔ r </v>
      </c>
    </row>
    <row r="8578">
      <c r="A8578" s="1" t="s">
        <v>8579</v>
      </c>
      <c r="B8578" s="1" t="s">
        <v>6138</v>
      </c>
      <c r="C8578" s="2">
        <f>IFERROR(__xludf.DUMMYFUNCTION("IFERROR(VLOOKUP(A8578, IMPORTRANGE(""https://docs.google.com/spreadsheets/d/1AVX9GT0dgogEBStecCXMMQ29tWz3gBrtNB8yIromXbY/edit?gid=741673867"", ""out1g!A:B""), 2, FALSE), 0)"),60.0)</f>
        <v>60</v>
      </c>
      <c r="D8578" s="2" t="str">
        <f>IFERROR(__xludf.DUMMYFUNCTION("IFERROR(VLOOKUP(A8578, IMPORTRANGE(""https://docs.google.com/spreadsheets/d/1-3Vjw2Cyy-mry5gbC8ypIR3YVGFfEpyFESummAta6sg/edit"", ""Sheet1!B:D""), 2, FALSE), ""Not Found"")"),"kɑndər")</f>
        <v>kɑndər</v>
      </c>
      <c r="E8578" s="2" t="str">
        <f>IFERROR(__xludf.DUMMYFUNCTION("IFERROR(VLOOKUP(A8578, IMPORTRANGE(""https://docs.google.com/spreadsheets/d/1-3Vjw2Cyy-mry5gbC8ypIR3YVGFfEpyFESummAta6sg/edit"", ""Sheet1!B:D""), 3, FALSE), ""Not Found"")"),"k ɑ n d ə r ")</f>
        <v>k ɑ n d ə r </v>
      </c>
    </row>
    <row r="8579">
      <c r="A8579" s="1" t="s">
        <v>8580</v>
      </c>
      <c r="B8579" s="1" t="s">
        <v>6138</v>
      </c>
      <c r="C8579" s="2">
        <f>IFERROR(__xludf.DUMMYFUNCTION("IFERROR(VLOOKUP(A8579, IMPORTRANGE(""https://docs.google.com/spreadsheets/d/1AVX9GT0dgogEBStecCXMMQ29tWz3gBrtNB8yIromXbY/edit?gid=741673867"", ""out1g!A:B""), 2, FALSE), 0)"),46.0)</f>
        <v>46</v>
      </c>
      <c r="D8579" s="2" t="str">
        <f>IFERROR(__xludf.DUMMYFUNCTION("IFERROR(VLOOKUP(A8579, IMPORTRANGE(""https://docs.google.com/spreadsheets/d/1-3Vjw2Cyy-mry5gbC8ypIR3YVGFfEpyFESummAta6sg/edit"", ""Sheet1!B:D""), 2, FALSE), ""Not Found"")"),"ripərz")</f>
        <v>ripərz</v>
      </c>
      <c r="E8579" s="2" t="str">
        <f>IFERROR(__xludf.DUMMYFUNCTION("IFERROR(VLOOKUP(A8579, IMPORTRANGE(""https://docs.google.com/spreadsheets/d/1-3Vjw2Cyy-mry5gbC8ypIR3YVGFfEpyFESummAta6sg/edit"", ""Sheet1!B:D""), 3, FALSE), ""Not Found"")"),"r i p ə r z ")</f>
        <v>r i p ə r z </v>
      </c>
    </row>
    <row r="8580">
      <c r="A8580" s="1" t="s">
        <v>8581</v>
      </c>
      <c r="B8580" s="1" t="s">
        <v>6138</v>
      </c>
      <c r="C8580" s="2">
        <f>IFERROR(__xludf.DUMMYFUNCTION("IFERROR(VLOOKUP(A8580, IMPORTRANGE(""https://docs.google.com/spreadsheets/d/1AVX9GT0dgogEBStecCXMMQ29tWz3gBrtNB8yIromXbY/edit?gid=741673867"", ""out1g!A:B""), 2, FALSE), 0)"),85.0)</f>
        <v>85</v>
      </c>
      <c r="D8580" s="2" t="str">
        <f>IFERROR(__xludf.DUMMYFUNCTION("IFERROR(VLOOKUP(A8580, IMPORTRANGE(""https://docs.google.com/spreadsheets/d/1-3Vjw2Cyy-mry5gbC8ypIR3YVGFfEpyFESummAta6sg/edit"", ""Sheet1!B:D""), 2, FALSE), ""Not Found"")"),"kæbət")</f>
        <v>kæbət</v>
      </c>
      <c r="E8580" s="2" t="str">
        <f>IFERROR(__xludf.DUMMYFUNCTION("IFERROR(VLOOKUP(A8580, IMPORTRANGE(""https://docs.google.com/spreadsheets/d/1-3Vjw2Cyy-mry5gbC8ypIR3YVGFfEpyFESummAta6sg/edit"", ""Sheet1!B:D""), 3, FALSE), ""Not Found"")"),"k æ b ə t ")</f>
        <v>k æ b ə t </v>
      </c>
    </row>
    <row r="8581">
      <c r="A8581" s="1" t="s">
        <v>8582</v>
      </c>
      <c r="B8581" s="1" t="s">
        <v>6138</v>
      </c>
      <c r="C8581" s="2">
        <f>IFERROR(__xludf.DUMMYFUNCTION("IFERROR(VLOOKUP(A8581, IMPORTRANGE(""https://docs.google.com/spreadsheets/d/1AVX9GT0dgogEBStecCXMMQ29tWz3gBrtNB8yIromXbY/edit?gid=741673867"", ""out1g!A:B""), 2, FALSE), 0)"),286.0)</f>
        <v>286</v>
      </c>
      <c r="D8581" s="2" t="str">
        <f>IFERROR(__xludf.DUMMYFUNCTION("IFERROR(VLOOKUP(A8581, IMPORTRANGE(""https://docs.google.com/spreadsheets/d/1-3Vjw2Cyy-mry5gbC8ypIR3YVGFfEpyFESummAta6sg/edit"", ""Sheet1!B:D""), 2, FALSE), ""Not Found"")"),"kwɔrəl")</f>
        <v>kwɔrəl</v>
      </c>
      <c r="E8581" s="2" t="str">
        <f>IFERROR(__xludf.DUMMYFUNCTION("IFERROR(VLOOKUP(A8581, IMPORTRANGE(""https://docs.google.com/spreadsheets/d/1-3Vjw2Cyy-mry5gbC8ypIR3YVGFfEpyFESummAta6sg/edit"", ""Sheet1!B:D""), 3, FALSE), ""Not Found"")"),"k w ɔ r ə l ")</f>
        <v>k w ɔ r ə l </v>
      </c>
    </row>
    <row r="8582">
      <c r="A8582" s="1" t="s">
        <v>8583</v>
      </c>
      <c r="B8582" s="1" t="s">
        <v>6138</v>
      </c>
      <c r="C8582" s="2">
        <f>IFERROR(__xludf.DUMMYFUNCTION("IFERROR(VLOOKUP(A8582, IMPORTRANGE(""https://docs.google.com/spreadsheets/d/1AVX9GT0dgogEBStecCXMMQ29tWz3gBrtNB8yIromXbY/edit?gid=741673867"", ""out1g!A:B""), 2, FALSE), 0)"),1783.0)</f>
        <v>1783</v>
      </c>
      <c r="D8582" s="2" t="str">
        <f>IFERROR(__xludf.DUMMYFUNCTION("IFERROR(VLOOKUP(A8582, IMPORTRANGE(""https://docs.google.com/spreadsheets/d/1-3Vjw2Cyy-mry5gbC8ypIR3YVGFfEpyFESummAta6sg/edit"", ""Sheet1!B:D""), 2, FALSE), ""Not Found"")"),"pisɪz")</f>
        <v>pisɪz</v>
      </c>
      <c r="E8582" s="2" t="str">
        <f>IFERROR(__xludf.DUMMYFUNCTION("IFERROR(VLOOKUP(A8582, IMPORTRANGE(""https://docs.google.com/spreadsheets/d/1-3Vjw2Cyy-mry5gbC8ypIR3YVGFfEpyFESummAta6sg/edit"", ""Sheet1!B:D""), 3, FALSE), ""Not Found"")"),"p i s ɪ z ")</f>
        <v>p i s ɪ z </v>
      </c>
    </row>
    <row r="8583">
      <c r="A8583" s="1" t="s">
        <v>8584</v>
      </c>
      <c r="B8583" s="1" t="s">
        <v>6138</v>
      </c>
      <c r="C8583" s="2">
        <f>IFERROR(__xludf.DUMMYFUNCTION("IFERROR(VLOOKUP(A8583, IMPORTRANGE(""https://docs.google.com/spreadsheets/d/1AVX9GT0dgogEBStecCXMMQ29tWz3gBrtNB8yIromXbY/edit?gid=741673867"", ""out1g!A:B""), 2, FALSE), 0)"),9730.0)</f>
        <v>9730</v>
      </c>
      <c r="D8583" s="2" t="str">
        <f>IFERROR(__xludf.DUMMYFUNCTION("IFERROR(VLOOKUP(A8583, IMPORTRANGE(""https://docs.google.com/spreadsheets/d/1-3Vjw2Cyy-mry5gbC8ypIR3YVGFfEpyFESummAta6sg/edit"", ""Sheet1!B:D""), 2, FALSE), ""Not Found"")"),"tɛlɪŋ")</f>
        <v>tɛlɪŋ</v>
      </c>
      <c r="E8583" s="2" t="str">
        <f>IFERROR(__xludf.DUMMYFUNCTION("IFERROR(VLOOKUP(A8583, IMPORTRANGE(""https://docs.google.com/spreadsheets/d/1-3Vjw2Cyy-mry5gbC8ypIR3YVGFfEpyFESummAta6sg/edit"", ""Sheet1!B:D""), 3, FALSE), ""Not Found"")"),"t ɛ l ɪ ŋ ")</f>
        <v>t ɛ l ɪ ŋ </v>
      </c>
    </row>
    <row r="8584">
      <c r="A8584" s="1" t="s">
        <v>8585</v>
      </c>
      <c r="B8584" s="1" t="s">
        <v>6138</v>
      </c>
      <c r="C8584" s="2">
        <f>IFERROR(__xludf.DUMMYFUNCTION("IFERROR(VLOOKUP(A8584, IMPORTRANGE(""https://docs.google.com/spreadsheets/d/1AVX9GT0dgogEBStecCXMMQ29tWz3gBrtNB8yIromXbY/edit?gid=741673867"", ""out1g!A:B""), 2, FALSE), 0)"),71.0)</f>
        <v>71</v>
      </c>
      <c r="D8584" s="2" t="str">
        <f>IFERROR(__xludf.DUMMYFUNCTION("IFERROR(VLOOKUP(A8584, IMPORTRANGE(""https://docs.google.com/spreadsheets/d/1-3Vjw2Cyy-mry5gbC8ypIR3YVGFfEpyFESummAta6sg/edit"", ""Sheet1!B:D""), 2, FALSE), ""Not Found"")"),"kræklɪŋ")</f>
        <v>kræklɪŋ</v>
      </c>
      <c r="E8584" s="2" t="str">
        <f>IFERROR(__xludf.DUMMYFUNCTION("IFERROR(VLOOKUP(A8584, IMPORTRANGE(""https://docs.google.com/spreadsheets/d/1-3Vjw2Cyy-mry5gbC8ypIR3YVGFfEpyFESummAta6sg/edit"", ""Sheet1!B:D""), 3, FALSE), ""Not Found"")"),"k r æ k l ɪ ŋ ")</f>
        <v>k r æ k l ɪ ŋ </v>
      </c>
    </row>
    <row r="8585">
      <c r="A8585" s="1" t="s">
        <v>8586</v>
      </c>
      <c r="B8585" s="1" t="s">
        <v>6138</v>
      </c>
      <c r="C8585" s="2">
        <f>IFERROR(__xludf.DUMMYFUNCTION("IFERROR(VLOOKUP(A8585, IMPORTRANGE(""https://docs.google.com/spreadsheets/d/1AVX9GT0dgogEBStecCXMMQ29tWz3gBrtNB8yIromXbY/edit?gid=741673867"", ""out1g!A:B""), 2, FALSE), 0)"),293.0)</f>
        <v>293</v>
      </c>
      <c r="D8585" s="2" t="str">
        <f>IFERROR(__xludf.DUMMYFUNCTION("IFERROR(VLOOKUP(A8585, IMPORTRANGE(""https://docs.google.com/spreadsheets/d/1-3Vjw2Cyy-mry5gbC8ypIR3YVGFfEpyFESummAta6sg/edit"", ""Sheet1!B:D""), 2, FALSE), ""Not Found"")"),"ʤɛləsi")</f>
        <v>ʤɛləsi</v>
      </c>
      <c r="E8585" s="2" t="str">
        <f>IFERROR(__xludf.DUMMYFUNCTION("IFERROR(VLOOKUP(A8585, IMPORTRANGE(""https://docs.google.com/spreadsheets/d/1-3Vjw2Cyy-mry5gbC8ypIR3YVGFfEpyFESummAta6sg/edit"", ""Sheet1!B:D""), 3, FALSE), ""Not Found"")"),"ʤ ɛ l ə s i ")</f>
        <v>ʤ ɛ l ə s i </v>
      </c>
    </row>
    <row r="8586">
      <c r="A8586" s="1" t="s">
        <v>8587</v>
      </c>
      <c r="B8586" s="1" t="s">
        <v>6138</v>
      </c>
      <c r="C8586" s="2">
        <f>IFERROR(__xludf.DUMMYFUNCTION("IFERROR(VLOOKUP(A8586, IMPORTRANGE(""https://docs.google.com/spreadsheets/d/1AVX9GT0dgogEBStecCXMMQ29tWz3gBrtNB8yIromXbY/edit?gid=741673867"", ""out1g!A:B""), 2, FALSE), 0)"),162.0)</f>
        <v>162</v>
      </c>
      <c r="D8586" s="2" t="str">
        <f>IFERROR(__xludf.DUMMYFUNCTION("IFERROR(VLOOKUP(A8586, IMPORTRANGE(""https://docs.google.com/spreadsheets/d/1-3Vjw2Cyy-mry5gbC8ypIR3YVGFfEpyFESummAta6sg/edit"", ""Sheet1!B:D""), 2, FALSE), ""Not Found"")"),"rɛntɪŋ")</f>
        <v>rɛntɪŋ</v>
      </c>
      <c r="E8586" s="2" t="str">
        <f>IFERROR(__xludf.DUMMYFUNCTION("IFERROR(VLOOKUP(A8586, IMPORTRANGE(""https://docs.google.com/spreadsheets/d/1-3Vjw2Cyy-mry5gbC8ypIR3YVGFfEpyFESummAta6sg/edit"", ""Sheet1!B:D""), 3, FALSE), ""Not Found"")"),"r ɛ n t ɪ ŋ ")</f>
        <v>r ɛ n t ɪ ŋ </v>
      </c>
    </row>
    <row r="8587">
      <c r="A8587" s="1" t="s">
        <v>8588</v>
      </c>
      <c r="B8587" s="1" t="s">
        <v>6138</v>
      </c>
      <c r="C8587" s="2">
        <f>IFERROR(__xludf.DUMMYFUNCTION("IFERROR(VLOOKUP(A8587, IMPORTRANGE(""https://docs.google.com/spreadsheets/d/1AVX9GT0dgogEBStecCXMMQ29tWz3gBrtNB8yIromXbY/edit?gid=741673867"", ""out1g!A:B""), 2, FALSE), 0)"),258.0)</f>
        <v>258</v>
      </c>
      <c r="D8587" s="2" t="str">
        <f>IFERROR(__xludf.DUMMYFUNCTION("IFERROR(VLOOKUP(A8587, IMPORTRANGE(""https://docs.google.com/spreadsheets/d/1-3Vjw2Cyy-mry5gbC8ypIR3YVGFfEpyFESummAta6sg/edit"", ""Sheet1!B:D""), 2, FALSE), ""Not Found"")"),"ʤɪŋgəl")</f>
        <v>ʤɪŋgəl</v>
      </c>
      <c r="E8587" s="2" t="str">
        <f>IFERROR(__xludf.DUMMYFUNCTION("IFERROR(VLOOKUP(A8587, IMPORTRANGE(""https://docs.google.com/spreadsheets/d/1-3Vjw2Cyy-mry5gbC8ypIR3YVGFfEpyFESummAta6sg/edit"", ""Sheet1!B:D""), 3, FALSE), ""Not Found"")"),"ʤ ɪ ŋ g ə l ")</f>
        <v>ʤ ɪ ŋ g ə l </v>
      </c>
    </row>
    <row r="8588">
      <c r="A8588" s="1" t="s">
        <v>8589</v>
      </c>
      <c r="B8588" s="1" t="s">
        <v>6138</v>
      </c>
      <c r="C8588" s="2">
        <f>IFERROR(__xludf.DUMMYFUNCTION("IFERROR(VLOOKUP(A8588, IMPORTRANGE(""https://docs.google.com/spreadsheets/d/1AVX9GT0dgogEBStecCXMMQ29tWz3gBrtNB8yIromXbY/edit?gid=741673867"", ""out1g!A:B""), 2, FALSE), 0)"),91.0)</f>
        <v>91</v>
      </c>
      <c r="D8588" s="2" t="str">
        <f>IFERROR(__xludf.DUMMYFUNCTION("IFERROR(VLOOKUP(A8588, IMPORTRANGE(""https://docs.google.com/spreadsheets/d/1-3Vjw2Cyy-mry5gbC8ypIR3YVGFfEpyFESummAta6sg/edit"", ""Sheet1!B:D""), 2, FALSE), ""Not Found"")"),"fæŋz")</f>
        <v>fæŋz</v>
      </c>
      <c r="E8588" s="2" t="str">
        <f>IFERROR(__xludf.DUMMYFUNCTION("IFERROR(VLOOKUP(A8588, IMPORTRANGE(""https://docs.google.com/spreadsheets/d/1-3Vjw2Cyy-mry5gbC8ypIR3YVGFfEpyFESummAta6sg/edit"", ""Sheet1!B:D""), 3, FALSE), ""Not Found"")"),"f æ ŋ z ")</f>
        <v>f æ ŋ z </v>
      </c>
    </row>
    <row r="8589">
      <c r="A8589" s="1" t="s">
        <v>8590</v>
      </c>
      <c r="B8589" s="1" t="s">
        <v>6138</v>
      </c>
      <c r="C8589" s="2">
        <f>IFERROR(__xludf.DUMMYFUNCTION("IFERROR(VLOOKUP(A8589, IMPORTRANGE(""https://docs.google.com/spreadsheets/d/1AVX9GT0dgogEBStecCXMMQ29tWz3gBrtNB8yIromXbY/edit?gid=741673867"", ""out1g!A:B""), 2, FALSE), 0)"),135.0)</f>
        <v>135</v>
      </c>
      <c r="D8589" s="2" t="str">
        <f>IFERROR(__xludf.DUMMYFUNCTION("IFERROR(VLOOKUP(A8589, IMPORTRANGE(""https://docs.google.com/spreadsheets/d/1-3Vjw2Cyy-mry5gbC8ypIR3YVGFfEpyFESummAta6sg/edit"", ""Sheet1!B:D""), 2, FALSE), ""Not Found"")"),"tɛndz")</f>
        <v>tɛndz</v>
      </c>
      <c r="E8589" s="2" t="str">
        <f>IFERROR(__xludf.DUMMYFUNCTION("IFERROR(VLOOKUP(A8589, IMPORTRANGE(""https://docs.google.com/spreadsheets/d/1-3Vjw2Cyy-mry5gbC8ypIR3YVGFfEpyFESummAta6sg/edit"", ""Sheet1!B:D""), 3, FALSE), ""Not Found"")"),"t ɛ n d z ")</f>
        <v>t ɛ n d z </v>
      </c>
    </row>
    <row r="8590">
      <c r="A8590" s="1" t="s">
        <v>8591</v>
      </c>
      <c r="B8590" s="1" t="s">
        <v>6138</v>
      </c>
      <c r="C8590" s="2">
        <f>IFERROR(__xludf.DUMMYFUNCTION("IFERROR(VLOOKUP(A8590, IMPORTRANGE(""https://docs.google.com/spreadsheets/d/1AVX9GT0dgogEBStecCXMMQ29tWz3gBrtNB8yIromXbY/edit?gid=741673867"", ""out1g!A:B""), 2, FALSE), 0)"),1199.0)</f>
        <v>1199</v>
      </c>
      <c r="D8590" s="2" t="str">
        <f>IFERROR(__xludf.DUMMYFUNCTION("IFERROR(VLOOKUP(A8590, IMPORTRANGE(""https://docs.google.com/spreadsheets/d/1-3Vjw2Cyy-mry5gbC8ypIR3YVGFfEpyFESummAta6sg/edit"", ""Sheet1!B:D""), 2, FALSE), ""Not Found"")"),"ɪligəl")</f>
        <v>ɪligəl</v>
      </c>
      <c r="E8590" s="2" t="str">
        <f>IFERROR(__xludf.DUMMYFUNCTION("IFERROR(VLOOKUP(A8590, IMPORTRANGE(""https://docs.google.com/spreadsheets/d/1-3Vjw2Cyy-mry5gbC8ypIR3YVGFfEpyFESummAta6sg/edit"", ""Sheet1!B:D""), 3, FALSE), ""Not Found"")"),"ɪ l i g ə l ")</f>
        <v>ɪ l i g ə l </v>
      </c>
    </row>
    <row r="8591">
      <c r="A8591" s="1" t="s">
        <v>8592</v>
      </c>
      <c r="B8591" s="1" t="s">
        <v>6138</v>
      </c>
      <c r="C8591" s="2">
        <f>IFERROR(__xludf.DUMMYFUNCTION("IFERROR(VLOOKUP(A8591, IMPORTRANGE(""https://docs.google.com/spreadsheets/d/1AVX9GT0dgogEBStecCXMMQ29tWz3gBrtNB8yIromXbY/edit?gid=741673867"", ""out1g!A:B""), 2, FALSE), 0)"),238.0)</f>
        <v>238</v>
      </c>
      <c r="D8591" s="2" t="str">
        <f>IFERROR(__xludf.DUMMYFUNCTION("IFERROR(VLOOKUP(A8591, IMPORTRANGE(""https://docs.google.com/spreadsheets/d/1-3Vjw2Cyy-mry5gbC8ypIR3YVGFfEpyFESummAta6sg/edit"", ""Sheet1!B:D""), 2, FALSE), ""Not Found"")"),"hændɪŋ")</f>
        <v>hændɪŋ</v>
      </c>
      <c r="E8591" s="2" t="str">
        <f>IFERROR(__xludf.DUMMYFUNCTION("IFERROR(VLOOKUP(A8591, IMPORTRANGE(""https://docs.google.com/spreadsheets/d/1-3Vjw2Cyy-mry5gbC8ypIR3YVGFfEpyFESummAta6sg/edit"", ""Sheet1!B:D""), 3, FALSE), ""Not Found"")"),"h æ n d ɪ ŋ ")</f>
        <v>h æ n d ɪ ŋ </v>
      </c>
    </row>
    <row r="8592">
      <c r="A8592" s="1" t="s">
        <v>8593</v>
      </c>
      <c r="B8592" s="1" t="s">
        <v>6138</v>
      </c>
      <c r="C8592" s="2">
        <f>IFERROR(__xludf.DUMMYFUNCTION("IFERROR(VLOOKUP(A8592, IMPORTRANGE(""https://docs.google.com/spreadsheets/d/1AVX9GT0dgogEBStecCXMMQ29tWz3gBrtNB8yIromXbY/edit?gid=741673867"", ""out1g!A:B""), 2, FALSE), 0)"),1439.0)</f>
        <v>1439</v>
      </c>
      <c r="D8592" s="2" t="str">
        <f>IFERROR(__xludf.DUMMYFUNCTION("IFERROR(VLOOKUP(A8592, IMPORTRANGE(""https://docs.google.com/spreadsheets/d/1-3Vjw2Cyy-mry5gbC8ypIR3YVGFfEpyFESummAta6sg/edit"", ""Sheet1!B:D""), 2, FALSE), ""Not Found"")"),"hetɪd")</f>
        <v>hetɪd</v>
      </c>
      <c r="E8592" s="2" t="str">
        <f>IFERROR(__xludf.DUMMYFUNCTION("IFERROR(VLOOKUP(A8592, IMPORTRANGE(""https://docs.google.com/spreadsheets/d/1-3Vjw2Cyy-mry5gbC8ypIR3YVGFfEpyFESummAta6sg/edit"", ""Sheet1!B:D""), 3, FALSE), ""Not Found"")"),"h e t ɪ d ")</f>
        <v>h e t ɪ d </v>
      </c>
    </row>
    <row r="8593">
      <c r="A8593" s="1" t="s">
        <v>8594</v>
      </c>
      <c r="B8593" s="1" t="s">
        <v>6138</v>
      </c>
      <c r="C8593" s="2">
        <f>IFERROR(__xludf.DUMMYFUNCTION("IFERROR(VLOOKUP(A8593, IMPORTRANGE(""https://docs.google.com/spreadsheets/d/1AVX9GT0dgogEBStecCXMMQ29tWz3gBrtNB8yIromXbY/edit?gid=741673867"", ""out1g!A:B""), 2, FALSE), 0)"),1148.0)</f>
        <v>1148</v>
      </c>
      <c r="D8593" s="2" t="str">
        <f>IFERROR(__xludf.DUMMYFUNCTION("IFERROR(VLOOKUP(A8593, IMPORTRANGE(""https://docs.google.com/spreadsheets/d/1-3Vjw2Cyy-mry5gbC8ypIR3YVGFfEpyFESummAta6sg/edit"", ""Sheet1!B:D""), 2, FALSE), ""Not Found"")"),"səfər")</f>
        <v>səfər</v>
      </c>
      <c r="E8593" s="2" t="str">
        <f>IFERROR(__xludf.DUMMYFUNCTION("IFERROR(VLOOKUP(A8593, IMPORTRANGE(""https://docs.google.com/spreadsheets/d/1-3Vjw2Cyy-mry5gbC8ypIR3YVGFfEpyFESummAta6sg/edit"", ""Sheet1!B:D""), 3, FALSE), ""Not Found"")"),"s ə f ə r ")</f>
        <v>s ə f ə r </v>
      </c>
    </row>
    <row r="8594">
      <c r="A8594" s="1" t="s">
        <v>8595</v>
      </c>
      <c r="B8594" s="1" t="s">
        <v>6138</v>
      </c>
      <c r="C8594" s="2">
        <f>IFERROR(__xludf.DUMMYFUNCTION("IFERROR(VLOOKUP(A8594, IMPORTRANGE(""https://docs.google.com/spreadsheets/d/1AVX9GT0dgogEBStecCXMMQ29tWz3gBrtNB8yIromXbY/edit?gid=741673867"", ""out1g!A:B""), 2, FALSE), 0)"),50.0)</f>
        <v>50</v>
      </c>
      <c r="D8594" s="2" t="str">
        <f>IFERROR(__xludf.DUMMYFUNCTION("IFERROR(VLOOKUP(A8594, IMPORTRANGE(""https://docs.google.com/spreadsheets/d/1-3Vjw2Cyy-mry5gbC8ypIR3YVGFfEpyFESummAta6sg/edit"", ""Sheet1!B:D""), 2, FALSE), ""Not Found"")"),"mɑrdi")</f>
        <v>mɑrdi</v>
      </c>
      <c r="E8594" s="2" t="str">
        <f>IFERROR(__xludf.DUMMYFUNCTION("IFERROR(VLOOKUP(A8594, IMPORTRANGE(""https://docs.google.com/spreadsheets/d/1-3Vjw2Cyy-mry5gbC8ypIR3YVGFfEpyFESummAta6sg/edit"", ""Sheet1!B:D""), 3, FALSE), ""Not Found"")"),"m ɑ r d i ")</f>
        <v>m ɑ r d i </v>
      </c>
    </row>
    <row r="8595">
      <c r="A8595" s="1" t="s">
        <v>8596</v>
      </c>
      <c r="B8595" s="1" t="s">
        <v>6138</v>
      </c>
      <c r="C8595" s="2">
        <f>IFERROR(__xludf.DUMMYFUNCTION("IFERROR(VLOOKUP(A8595, IMPORTRANGE(""https://docs.google.com/spreadsheets/d/1AVX9GT0dgogEBStecCXMMQ29tWz3gBrtNB8yIromXbY/edit?gid=741673867"", ""out1g!A:B""), 2, FALSE), 0)"),51.0)</f>
        <v>51</v>
      </c>
      <c r="D8595" s="2" t="str">
        <f>IFERROR(__xludf.DUMMYFUNCTION("IFERROR(VLOOKUP(A8595, IMPORTRANGE(""https://docs.google.com/spreadsheets/d/1-3Vjw2Cyy-mry5gbC8ypIR3YVGFfEpyFESummAta6sg/edit"", ""Sheet1!B:D""), 2, FALSE), ""Not Found"")"),"hɔgɪŋ")</f>
        <v>hɔgɪŋ</v>
      </c>
      <c r="E8595" s="2" t="str">
        <f>IFERROR(__xludf.DUMMYFUNCTION("IFERROR(VLOOKUP(A8595, IMPORTRANGE(""https://docs.google.com/spreadsheets/d/1-3Vjw2Cyy-mry5gbC8ypIR3YVGFfEpyFESummAta6sg/edit"", ""Sheet1!B:D""), 3, FALSE), ""Not Found"")"),"h ɔ g ɪ ŋ ")</f>
        <v>h ɔ g ɪ ŋ </v>
      </c>
    </row>
    <row r="8596">
      <c r="A8596" s="1" t="s">
        <v>8597</v>
      </c>
      <c r="B8596" s="1" t="s">
        <v>6138</v>
      </c>
      <c r="C8596" s="2">
        <f>IFERROR(__xludf.DUMMYFUNCTION("IFERROR(VLOOKUP(A8596, IMPORTRANGE(""https://docs.google.com/spreadsheets/d/1AVX9GT0dgogEBStecCXMMQ29tWz3gBrtNB8yIromXbY/edit?gid=741673867"", ""out1g!A:B""), 2, FALSE), 0)"),127.0)</f>
        <v>127</v>
      </c>
      <c r="D8596" s="2" t="str">
        <f>IFERROR(__xludf.DUMMYFUNCTION("IFERROR(VLOOKUP(A8596, IMPORTRANGE(""https://docs.google.com/spreadsheets/d/1-3Vjw2Cyy-mry5gbC8ypIR3YVGFfEpyFESummAta6sg/edit"", ""Sheet1!B:D""), 2, FALSE), ""Not Found"")"),"sɛkʃənz")</f>
        <v>sɛkʃənz</v>
      </c>
      <c r="E8596" s="2" t="str">
        <f>IFERROR(__xludf.DUMMYFUNCTION("IFERROR(VLOOKUP(A8596, IMPORTRANGE(""https://docs.google.com/spreadsheets/d/1-3Vjw2Cyy-mry5gbC8ypIR3YVGFfEpyFESummAta6sg/edit"", ""Sheet1!B:D""), 3, FALSE), ""Not Found"")"),"s ɛ k ʃ ə n z ")</f>
        <v>s ɛ k ʃ ə n z </v>
      </c>
    </row>
    <row r="8597">
      <c r="A8597" s="1" t="s">
        <v>8598</v>
      </c>
      <c r="B8597" s="1" t="s">
        <v>6138</v>
      </c>
      <c r="C8597" s="2">
        <f>IFERROR(__xludf.DUMMYFUNCTION("IFERROR(VLOOKUP(A8597, IMPORTRANGE(""https://docs.google.com/spreadsheets/d/1AVX9GT0dgogEBStecCXMMQ29tWz3gBrtNB8yIromXbY/edit?gid=741673867"", ""out1g!A:B""), 2, FALSE), 0)"),53.0)</f>
        <v>53</v>
      </c>
      <c r="D8597" s="2" t="str">
        <f>IFERROR(__xludf.DUMMYFUNCTION("IFERROR(VLOOKUP(A8597, IMPORTRANGE(""https://docs.google.com/spreadsheets/d/1-3Vjw2Cyy-mry5gbC8ypIR3YVGFfEpyFESummAta6sg/edit"", ""Sheet1!B:D""), 2, FALSE), ""Not Found"")"),"mɑrʤənz")</f>
        <v>mɑrʤənz</v>
      </c>
      <c r="E8597" s="2" t="str">
        <f>IFERROR(__xludf.DUMMYFUNCTION("IFERROR(VLOOKUP(A8597, IMPORTRANGE(""https://docs.google.com/spreadsheets/d/1-3Vjw2Cyy-mry5gbC8ypIR3YVGFfEpyFESummAta6sg/edit"", ""Sheet1!B:D""), 3, FALSE), ""Not Found"")"),"m ɑ r ʤ ə n z ")</f>
        <v>m ɑ r ʤ ə n z </v>
      </c>
    </row>
    <row r="8598">
      <c r="A8598" s="1" t="s">
        <v>8599</v>
      </c>
      <c r="B8598" s="1" t="s">
        <v>6138</v>
      </c>
      <c r="C8598" s="2">
        <f>IFERROR(__xludf.DUMMYFUNCTION("IFERROR(VLOOKUP(A8598, IMPORTRANGE(""https://docs.google.com/spreadsheets/d/1AVX9GT0dgogEBStecCXMMQ29tWz3gBrtNB8yIromXbY/edit?gid=741673867"", ""out1g!A:B""), 2, FALSE), 0)"),152.0)</f>
        <v>152</v>
      </c>
      <c r="D8598" s="2" t="str">
        <f>IFERROR(__xludf.DUMMYFUNCTION("IFERROR(VLOOKUP(A8598, IMPORTRANGE(""https://docs.google.com/spreadsheets/d/1-3Vjw2Cyy-mry5gbC8ypIR3YVGFfEpyFESummAta6sg/edit"", ""Sheet1!B:D""), 2, FALSE), ""Not Found"")"),"kɪŋki")</f>
        <v>kɪŋki</v>
      </c>
      <c r="E8598" s="2" t="str">
        <f>IFERROR(__xludf.DUMMYFUNCTION("IFERROR(VLOOKUP(A8598, IMPORTRANGE(""https://docs.google.com/spreadsheets/d/1-3Vjw2Cyy-mry5gbC8ypIR3YVGFfEpyFESummAta6sg/edit"", ""Sheet1!B:D""), 3, FALSE), ""Not Found"")"),"k ɪ ŋ k i ")</f>
        <v>k ɪ ŋ k i </v>
      </c>
    </row>
    <row r="8599">
      <c r="A8599" s="1" t="s">
        <v>8600</v>
      </c>
      <c r="B8599" s="1" t="s">
        <v>6138</v>
      </c>
      <c r="C8599" s="2">
        <f>IFERROR(__xludf.DUMMYFUNCTION("IFERROR(VLOOKUP(A8599, IMPORTRANGE(""https://docs.google.com/spreadsheets/d/1AVX9GT0dgogEBStecCXMMQ29tWz3gBrtNB8yIromXbY/edit?gid=741673867"", ""out1g!A:B""), 2, FALSE), 0)"),1401.0)</f>
        <v>1401</v>
      </c>
      <c r="D8599" s="2" t="str">
        <f>IFERROR(__xludf.DUMMYFUNCTION("IFERROR(VLOOKUP(A8599, IMPORTRANGE(""https://docs.google.com/spreadsheets/d/1-3Vjw2Cyy-mry5gbC8ypIR3YVGFfEpyFESummAta6sg/edit"", ""Sheet1!B:D""), 2, FALSE), ""Not Found"")"),"brenz")</f>
        <v>brenz</v>
      </c>
      <c r="E8599" s="2" t="str">
        <f>IFERROR(__xludf.DUMMYFUNCTION("IFERROR(VLOOKUP(A8599, IMPORTRANGE(""https://docs.google.com/spreadsheets/d/1-3Vjw2Cyy-mry5gbC8ypIR3YVGFfEpyFESummAta6sg/edit"", ""Sheet1!B:D""), 3, FALSE), ""Not Found"")"),"b r e n z ")</f>
        <v>b r e n z </v>
      </c>
    </row>
    <row r="8600">
      <c r="A8600" s="1" t="s">
        <v>8601</v>
      </c>
      <c r="B8600" s="1" t="s">
        <v>6138</v>
      </c>
      <c r="C8600" s="2">
        <f>IFERROR(__xludf.DUMMYFUNCTION("IFERROR(VLOOKUP(A8600, IMPORTRANGE(""https://docs.google.com/spreadsheets/d/1AVX9GT0dgogEBStecCXMMQ29tWz3gBrtNB8yIromXbY/edit?gid=741673867"", ""out1g!A:B""), 2, FALSE), 0)"),557.0)</f>
        <v>557</v>
      </c>
      <c r="D8600" s="2" t="str">
        <f>IFERROR(__xludf.DUMMYFUNCTION("IFERROR(VLOOKUP(A8600, IMPORTRANGE(""https://docs.google.com/spreadsheets/d/1-3Vjw2Cyy-mry5gbC8ypIR3YVGFfEpyFESummAta6sg/edit"", ""Sheet1!B:D""), 2, FALSE), ""Not Found"")"),"brɑ")</f>
        <v>brɑ</v>
      </c>
      <c r="E8600" s="2" t="str">
        <f>IFERROR(__xludf.DUMMYFUNCTION("IFERROR(VLOOKUP(A8600, IMPORTRANGE(""https://docs.google.com/spreadsheets/d/1-3Vjw2Cyy-mry5gbC8ypIR3YVGFfEpyFESummAta6sg/edit"", ""Sheet1!B:D""), 3, FALSE), ""Not Found"")"),"b r ɑ ")</f>
        <v>b r ɑ </v>
      </c>
    </row>
    <row r="8601">
      <c r="A8601" s="1" t="s">
        <v>8602</v>
      </c>
      <c r="B8601" s="1" t="s">
        <v>6138</v>
      </c>
      <c r="C8601" s="2">
        <f>IFERROR(__xludf.DUMMYFUNCTION("IFERROR(VLOOKUP(A8601, IMPORTRANGE(""https://docs.google.com/spreadsheets/d/1AVX9GT0dgogEBStecCXMMQ29tWz3gBrtNB8yIromXbY/edit?gid=741673867"", ""out1g!A:B""), 2, FALSE), 0)"),358.0)</f>
        <v>358</v>
      </c>
      <c r="D8601" s="2" t="str">
        <f>IFERROR(__xludf.DUMMYFUNCTION("IFERROR(VLOOKUP(A8601, IMPORTRANGE(""https://docs.google.com/spreadsheets/d/1-3Vjw2Cyy-mry5gbC8ypIR3YVGFfEpyFESummAta6sg/edit"", ""Sheet1!B:D""), 2, FALSE), ""Not Found"")"),"mjul")</f>
        <v>mjul</v>
      </c>
      <c r="E8601" s="2" t="str">
        <f>IFERROR(__xludf.DUMMYFUNCTION("IFERROR(VLOOKUP(A8601, IMPORTRANGE(""https://docs.google.com/spreadsheets/d/1-3Vjw2Cyy-mry5gbC8ypIR3YVGFfEpyFESummAta6sg/edit"", ""Sheet1!B:D""), 3, FALSE), ""Not Found"")"),"m j u l ")</f>
        <v>m j u l </v>
      </c>
    </row>
    <row r="8602">
      <c r="A8602" s="1" t="s">
        <v>8603</v>
      </c>
      <c r="B8602" s="1" t="s">
        <v>6138</v>
      </c>
      <c r="C8602" s="2">
        <f>IFERROR(__xludf.DUMMYFUNCTION("IFERROR(VLOOKUP(A8602, IMPORTRANGE(""https://docs.google.com/spreadsheets/d/1AVX9GT0dgogEBStecCXMMQ29tWz3gBrtNB8yIromXbY/edit?gid=741673867"", ""out1g!A:B""), 2, FALSE), 0)"),48.0)</f>
        <v>48</v>
      </c>
      <c r="D8602" s="2" t="str">
        <f>IFERROR(__xludf.DUMMYFUNCTION("IFERROR(VLOOKUP(A8602, IMPORTRANGE(""https://docs.google.com/spreadsheets/d/1-3Vjw2Cyy-mry5gbC8ypIR3YVGFfEpyFESummAta6sg/edit"", ""Sheet1!B:D""), 2, FALSE), ""Not Found"")"),"bruɪŋ")</f>
        <v>bruɪŋ</v>
      </c>
      <c r="E8602" s="2" t="str">
        <f>IFERROR(__xludf.DUMMYFUNCTION("IFERROR(VLOOKUP(A8602, IMPORTRANGE(""https://docs.google.com/spreadsheets/d/1-3Vjw2Cyy-mry5gbC8ypIR3YVGFfEpyFESummAta6sg/edit"", ""Sheet1!B:D""), 3, FALSE), ""Not Found"")"),"b r u ɪ ŋ ")</f>
        <v>b r u ɪ ŋ </v>
      </c>
    </row>
    <row r="8603">
      <c r="A8603" s="1" t="s">
        <v>8604</v>
      </c>
      <c r="B8603" s="1" t="s">
        <v>6138</v>
      </c>
      <c r="C8603" s="2">
        <f>IFERROR(__xludf.DUMMYFUNCTION("IFERROR(VLOOKUP(A8603, IMPORTRANGE(""https://docs.google.com/spreadsheets/d/1AVX9GT0dgogEBStecCXMMQ29tWz3gBrtNB8yIromXbY/edit?gid=741673867"", ""out1g!A:B""), 2, FALSE), 0)"),530.0)</f>
        <v>530</v>
      </c>
      <c r="D8603" s="2" t="str">
        <f>IFERROR(__xludf.DUMMYFUNCTION("IFERROR(VLOOKUP(A8603, IMPORTRANGE(""https://docs.google.com/spreadsheets/d/1-3Vjw2Cyy-mry5gbC8ypIR3YVGFfEpyFESummAta6sg/edit"", ""Sheet1!B:D""), 2, FALSE), ""Not Found"")"),"tɛlən")</f>
        <v>tɛlən</v>
      </c>
      <c r="E8603" s="2" t="str">
        <f>IFERROR(__xludf.DUMMYFUNCTION("IFERROR(VLOOKUP(A8603, IMPORTRANGE(""https://docs.google.com/spreadsheets/d/1-3Vjw2Cyy-mry5gbC8ypIR3YVGFfEpyFESummAta6sg/edit"", ""Sheet1!B:D""), 3, FALSE), ""Not Found"")"),"t ɛ l ə n ")</f>
        <v>t ɛ l ə n </v>
      </c>
    </row>
    <row r="8604">
      <c r="A8604" s="1" t="s">
        <v>8605</v>
      </c>
      <c r="B8604" s="1" t="s">
        <v>6138</v>
      </c>
      <c r="C8604" s="2">
        <f>IFERROR(__xludf.DUMMYFUNCTION("IFERROR(VLOOKUP(A8604, IMPORTRANGE(""https://docs.google.com/spreadsheets/d/1AVX9GT0dgogEBStecCXMMQ29tWz3gBrtNB8yIromXbY/edit?gid=741673867"", ""out1g!A:B""), 2, FALSE), 0)"),108.0)</f>
        <v>108</v>
      </c>
      <c r="D8604" s="2" t="str">
        <f>IFERROR(__xludf.DUMMYFUNCTION("IFERROR(VLOOKUP(A8604, IMPORTRANGE(""https://docs.google.com/spreadsheets/d/1-3Vjw2Cyy-mry5gbC8ypIR3YVGFfEpyFESummAta6sg/edit"", ""Sheet1!B:D""), 2, FALSE), ""Not Found"")"),"trelz")</f>
        <v>trelz</v>
      </c>
      <c r="E8604" s="2" t="str">
        <f>IFERROR(__xludf.DUMMYFUNCTION("IFERROR(VLOOKUP(A8604, IMPORTRANGE(""https://docs.google.com/spreadsheets/d/1-3Vjw2Cyy-mry5gbC8ypIR3YVGFfEpyFESummAta6sg/edit"", ""Sheet1!B:D""), 3, FALSE), ""Not Found"")"),"t r e l z ")</f>
        <v>t r e l z </v>
      </c>
    </row>
    <row r="8605">
      <c r="A8605" s="1" t="s">
        <v>8606</v>
      </c>
      <c r="B8605" s="1" t="s">
        <v>6138</v>
      </c>
      <c r="C8605" s="2">
        <f>IFERROR(__xludf.DUMMYFUNCTION("IFERROR(VLOOKUP(A8605, IMPORTRANGE(""https://docs.google.com/spreadsheets/d/1AVX9GT0dgogEBStecCXMMQ29tWz3gBrtNB8yIromXbY/edit?gid=741673867"", ""out1g!A:B""), 2, FALSE), 0)"),38.0)</f>
        <v>38</v>
      </c>
      <c r="D8605" s="2" t="str">
        <f>IFERROR(__xludf.DUMMYFUNCTION("IFERROR(VLOOKUP(A8605, IMPORTRANGE(""https://docs.google.com/spreadsheets/d/1-3Vjw2Cyy-mry5gbC8ypIR3YVGFfEpyFESummAta6sg/edit"", ""Sheet1!B:D""), 2, FALSE), ""Not Found"")"),"ækrən")</f>
        <v>ækrən</v>
      </c>
      <c r="E8605" s="2" t="str">
        <f>IFERROR(__xludf.DUMMYFUNCTION("IFERROR(VLOOKUP(A8605, IMPORTRANGE(""https://docs.google.com/spreadsheets/d/1-3Vjw2Cyy-mry5gbC8ypIR3YVGFfEpyFESummAta6sg/edit"", ""Sheet1!B:D""), 3, FALSE), ""Not Found"")"),"æ k r ə n ")</f>
        <v>æ k r ə n </v>
      </c>
    </row>
    <row r="8606">
      <c r="A8606" s="1" t="s">
        <v>8607</v>
      </c>
      <c r="B8606" s="1" t="s">
        <v>6138</v>
      </c>
      <c r="C8606" s="2">
        <f>IFERROR(__xludf.DUMMYFUNCTION("IFERROR(VLOOKUP(A8606, IMPORTRANGE(""https://docs.google.com/spreadsheets/d/1AVX9GT0dgogEBStecCXMMQ29tWz3gBrtNB8yIromXbY/edit?gid=741673867"", ""out1g!A:B""), 2, FALSE), 0)"),372.0)</f>
        <v>372</v>
      </c>
      <c r="D8606" s="2" t="str">
        <f>IFERROR(__xludf.DUMMYFUNCTION("IFERROR(VLOOKUP(A8606, IMPORTRANGE(""https://docs.google.com/spreadsheets/d/1-3Vjw2Cyy-mry5gbC8ypIR3YVGFfEpyFESummAta6sg/edit"", ""Sheet1!B:D""), 2, FALSE), ""Not Found"")"),"ɑrmər")</f>
        <v>ɑrmər</v>
      </c>
      <c r="E8606" s="2" t="str">
        <f>IFERROR(__xludf.DUMMYFUNCTION("IFERROR(VLOOKUP(A8606, IMPORTRANGE(""https://docs.google.com/spreadsheets/d/1-3Vjw2Cyy-mry5gbC8ypIR3YVGFfEpyFESummAta6sg/edit"", ""Sheet1!B:D""), 3, FALSE), ""Not Found"")"),"ɑ r m ə r ")</f>
        <v>ɑ r m ə r </v>
      </c>
    </row>
    <row r="8607">
      <c r="A8607" s="1" t="s">
        <v>8608</v>
      </c>
      <c r="B8607" s="1" t="s">
        <v>6138</v>
      </c>
      <c r="C8607" s="2">
        <f>IFERROR(__xludf.DUMMYFUNCTION("IFERROR(VLOOKUP(A8607, IMPORTRANGE(""https://docs.google.com/spreadsheets/d/1AVX9GT0dgogEBStecCXMMQ29tWz3gBrtNB8yIromXbY/edit?gid=741673867"", ""out1g!A:B""), 2, FALSE), 0)"),107.0)</f>
        <v>107</v>
      </c>
      <c r="D8607" s="2" t="str">
        <f>IFERROR(__xludf.DUMMYFUNCTION("IFERROR(VLOOKUP(A8607, IMPORTRANGE(""https://docs.google.com/spreadsheets/d/1-3Vjw2Cyy-mry5gbC8ypIR3YVGFfEpyFESummAta6sg/edit"", ""Sheet1!B:D""), 2, FALSE), ""Not Found"")"),"fju")</f>
        <v>fju</v>
      </c>
      <c r="E8607" s="2" t="str">
        <f>IFERROR(__xludf.DUMMYFUNCTION("IFERROR(VLOOKUP(A8607, IMPORTRANGE(""https://docs.google.com/spreadsheets/d/1-3Vjw2Cyy-mry5gbC8ypIR3YVGFfEpyFESummAta6sg/edit"", ""Sheet1!B:D""), 3, FALSE), ""Not Found"")"),"f j u ")</f>
        <v>f j u </v>
      </c>
    </row>
    <row r="8608">
      <c r="A8608" s="1" t="s">
        <v>8609</v>
      </c>
      <c r="B8608" s="1" t="s">
        <v>6138</v>
      </c>
      <c r="C8608" s="2">
        <f>IFERROR(__xludf.DUMMYFUNCTION("IFERROR(VLOOKUP(A8608, IMPORTRANGE(""https://docs.google.com/spreadsheets/d/1AVX9GT0dgogEBStecCXMMQ29tWz3gBrtNB8yIromXbY/edit?gid=741673867"", ""out1g!A:B""), 2, FALSE), 0)"),2735.0)</f>
        <v>2735</v>
      </c>
      <c r="D8608" s="2" t="str">
        <f>IFERROR(__xludf.DUMMYFUNCTION("IFERROR(VLOOKUP(A8608, IMPORTRANGE(""https://docs.google.com/spreadsheets/d/1-3Vjw2Cyy-mry5gbC8ypIR3YVGFfEpyFESummAta6sg/edit"", ""Sheet1!B:D""), 2, FALSE), ""Not Found"")"),"hæŋɪŋ")</f>
        <v>hæŋɪŋ</v>
      </c>
      <c r="E8608" s="2" t="str">
        <f>IFERROR(__xludf.DUMMYFUNCTION("IFERROR(VLOOKUP(A8608, IMPORTRANGE(""https://docs.google.com/spreadsheets/d/1-3Vjw2Cyy-mry5gbC8ypIR3YVGFfEpyFESummAta6sg/edit"", ""Sheet1!B:D""), 3, FALSE), ""Not Found"")"),"h æ ŋ ɪ ŋ ")</f>
        <v>h æ ŋ ɪ ŋ </v>
      </c>
    </row>
    <row r="8609">
      <c r="A8609" s="1" t="s">
        <v>8610</v>
      </c>
      <c r="B8609" s="1" t="s">
        <v>6138</v>
      </c>
      <c r="C8609" s="2">
        <f>IFERROR(__xludf.DUMMYFUNCTION("IFERROR(VLOOKUP(A8609, IMPORTRANGE(""https://docs.google.com/spreadsheets/d/1AVX9GT0dgogEBStecCXMMQ29tWz3gBrtNB8yIromXbY/edit?gid=741673867"", ""out1g!A:B""), 2, FALSE), 0)"),1165.0)</f>
        <v>1165</v>
      </c>
      <c r="D8609" s="2" t="str">
        <f>IFERROR(__xludf.DUMMYFUNCTION("IFERROR(VLOOKUP(A8609, IMPORTRANGE(""https://docs.google.com/spreadsheets/d/1-3Vjw2Cyy-mry5gbC8ypIR3YVGFfEpyFESummAta6sg/edit"", ""Sheet1!B:D""), 2, FALSE), ""Not Found"")"),"taʊər")</f>
        <v>taʊər</v>
      </c>
      <c r="E8609" s="2" t="str">
        <f>IFERROR(__xludf.DUMMYFUNCTION("IFERROR(VLOOKUP(A8609, IMPORTRANGE(""https://docs.google.com/spreadsheets/d/1-3Vjw2Cyy-mry5gbC8ypIR3YVGFfEpyFESummAta6sg/edit"", ""Sheet1!B:D""), 3, FALSE), ""Not Found"")"),"t a ʊ ə r ")</f>
        <v>t a ʊ ə r </v>
      </c>
    </row>
    <row r="8610">
      <c r="A8610" s="1" t="s">
        <v>8611</v>
      </c>
      <c r="B8610" s="1" t="s">
        <v>6138</v>
      </c>
      <c r="C8610" s="2">
        <f>IFERROR(__xludf.DUMMYFUNCTION("IFERROR(VLOOKUP(A8610, IMPORTRANGE(""https://docs.google.com/spreadsheets/d/1AVX9GT0dgogEBStecCXMMQ29tWz3gBrtNB8yIromXbY/edit?gid=741673867"", ""out1g!A:B""), 2, FALSE), 0)"),202.0)</f>
        <v>202</v>
      </c>
      <c r="D8610" s="2" t="str">
        <f>IFERROR(__xludf.DUMMYFUNCTION("IFERROR(VLOOKUP(A8610, IMPORTRANGE(""https://docs.google.com/spreadsheets/d/1-3Vjw2Cyy-mry5gbC8ypIR3YVGFfEpyFESummAta6sg/edit"", ""Sheet1!B:D""), 2, FALSE), ""Not Found"")"),"spɪtɪŋ")</f>
        <v>spɪtɪŋ</v>
      </c>
      <c r="E8610" s="2" t="str">
        <f>IFERROR(__xludf.DUMMYFUNCTION("IFERROR(VLOOKUP(A8610, IMPORTRANGE(""https://docs.google.com/spreadsheets/d/1-3Vjw2Cyy-mry5gbC8ypIR3YVGFfEpyFESummAta6sg/edit"", ""Sheet1!B:D""), 3, FALSE), ""Not Found"")"),"s p ɪ t ɪ ŋ ")</f>
        <v>s p ɪ t ɪ ŋ </v>
      </c>
    </row>
    <row r="8611">
      <c r="A8611" s="1" t="s">
        <v>8612</v>
      </c>
      <c r="B8611" s="1" t="s">
        <v>6138</v>
      </c>
      <c r="C8611" s="2">
        <f>IFERROR(__xludf.DUMMYFUNCTION("IFERROR(VLOOKUP(A8611, IMPORTRANGE(""https://docs.google.com/spreadsheets/d/1AVX9GT0dgogEBStecCXMMQ29tWz3gBrtNB8yIromXbY/edit?gid=741673867"", ""out1g!A:B""), 2, FALSE), 0)"),564.0)</f>
        <v>564</v>
      </c>
      <c r="D8611" s="2" t="str">
        <f>IFERROR(__xludf.DUMMYFUNCTION("IFERROR(VLOOKUP(A8611, IMPORTRANGE(""https://docs.google.com/spreadsheets/d/1-3Vjw2Cyy-mry5gbC8ypIR3YVGFfEpyFESummAta6sg/edit"", ""Sheet1!B:D""), 2, FALSE), ""Not Found"")"),"θrɪld")</f>
        <v>θrɪld</v>
      </c>
      <c r="E8611" s="2" t="str">
        <f>IFERROR(__xludf.DUMMYFUNCTION("IFERROR(VLOOKUP(A8611, IMPORTRANGE(""https://docs.google.com/spreadsheets/d/1-3Vjw2Cyy-mry5gbC8ypIR3YVGFfEpyFESummAta6sg/edit"", ""Sheet1!B:D""), 3, FALSE), ""Not Found"")"),"θ r ɪ l d ")</f>
        <v>θ r ɪ l d </v>
      </c>
    </row>
    <row r="8612">
      <c r="A8612" s="1" t="s">
        <v>8613</v>
      </c>
      <c r="B8612" s="1" t="s">
        <v>6138</v>
      </c>
      <c r="C8612" s="2">
        <f>IFERROR(__xludf.DUMMYFUNCTION("IFERROR(VLOOKUP(A8612, IMPORTRANGE(""https://docs.google.com/spreadsheets/d/1AVX9GT0dgogEBStecCXMMQ29tWz3gBrtNB8yIromXbY/edit?gid=741673867"", ""out1g!A:B""), 2, FALSE), 0)"),1154.0)</f>
        <v>1154</v>
      </c>
      <c r="D8612" s="2" t="str">
        <f>IFERROR(__xludf.DUMMYFUNCTION("IFERROR(VLOOKUP(A8612, IMPORTRANGE(""https://docs.google.com/spreadsheets/d/1-3Vjw2Cyy-mry5gbC8ypIR3YVGFfEpyFESummAta6sg/edit"", ""Sheet1!B:D""), 2, FALSE), ""Not Found"")"),"məriə")</f>
        <v>məriə</v>
      </c>
      <c r="E8612" s="2" t="str">
        <f>IFERROR(__xludf.DUMMYFUNCTION("IFERROR(VLOOKUP(A8612, IMPORTRANGE(""https://docs.google.com/spreadsheets/d/1-3Vjw2Cyy-mry5gbC8ypIR3YVGFfEpyFESummAta6sg/edit"", ""Sheet1!B:D""), 3, FALSE), ""Not Found"")"),"m ə r i ə ")</f>
        <v>m ə r i ə </v>
      </c>
    </row>
    <row r="8613">
      <c r="A8613" s="1" t="s">
        <v>8614</v>
      </c>
      <c r="B8613" s="1" t="s">
        <v>6138</v>
      </c>
      <c r="C8613" s="2">
        <f>IFERROR(__xludf.DUMMYFUNCTION("IFERROR(VLOOKUP(A8613, IMPORTRANGE(""https://docs.google.com/spreadsheets/d/1AVX9GT0dgogEBStecCXMMQ29tWz3gBrtNB8yIromXbY/edit?gid=741673867"", ""out1g!A:B""), 2, FALSE), 0)"),1384.0)</f>
        <v>1384</v>
      </c>
      <c r="D8613" s="2" t="str">
        <f>IFERROR(__xludf.DUMMYFUNCTION("IFERROR(VLOOKUP(A8613, IMPORTRANGE(""https://docs.google.com/spreadsheets/d/1-3Vjw2Cyy-mry5gbC8ypIR3YVGFfEpyFESummAta6sg/edit"", ""Sheet1!B:D""), 2, FALSE), ""Not Found"")"),"pʊlɪŋ")</f>
        <v>pʊlɪŋ</v>
      </c>
      <c r="E8613" s="2" t="str">
        <f>IFERROR(__xludf.DUMMYFUNCTION("IFERROR(VLOOKUP(A8613, IMPORTRANGE(""https://docs.google.com/spreadsheets/d/1-3Vjw2Cyy-mry5gbC8ypIR3YVGFfEpyFESummAta6sg/edit"", ""Sheet1!B:D""), 3, FALSE), ""Not Found"")"),"p ʊ l ɪ ŋ ")</f>
        <v>p ʊ l ɪ ŋ </v>
      </c>
    </row>
    <row r="8614">
      <c r="A8614" s="1" t="s">
        <v>8615</v>
      </c>
      <c r="B8614" s="1" t="s">
        <v>6138</v>
      </c>
      <c r="C8614" s="2">
        <f>IFERROR(__xludf.DUMMYFUNCTION("IFERROR(VLOOKUP(A8614, IMPORTRANGE(""https://docs.google.com/spreadsheets/d/1AVX9GT0dgogEBStecCXMMQ29tWz3gBrtNB8yIromXbY/edit?gid=741673867"", ""out1g!A:B""), 2, FALSE), 0)"),672.0)</f>
        <v>672</v>
      </c>
      <c r="D8614" s="2" t="str">
        <f>IFERROR(__xludf.DUMMYFUNCTION("IFERROR(VLOOKUP(A8614, IMPORTRANGE(""https://docs.google.com/spreadsheets/d/1-3Vjw2Cyy-mry5gbC8ypIR3YVGFfEpyFESummAta6sg/edit"", ""Sheet1!B:D""), 2, FALSE), ""Not Found"")"),"nərsɪz")</f>
        <v>nərsɪz</v>
      </c>
      <c r="E8614" s="2" t="str">
        <f>IFERROR(__xludf.DUMMYFUNCTION("IFERROR(VLOOKUP(A8614, IMPORTRANGE(""https://docs.google.com/spreadsheets/d/1-3Vjw2Cyy-mry5gbC8ypIR3YVGFfEpyFESummAta6sg/edit"", ""Sheet1!B:D""), 3, FALSE), ""Not Found"")"),"n ə r s ɪ z ")</f>
        <v>n ə r s ɪ z </v>
      </c>
    </row>
    <row r="8615">
      <c r="A8615" s="1" t="s">
        <v>8616</v>
      </c>
      <c r="B8615" s="1" t="s">
        <v>6138</v>
      </c>
      <c r="C8615" s="2">
        <f>IFERROR(__xludf.DUMMYFUNCTION("IFERROR(VLOOKUP(A8615, IMPORTRANGE(""https://docs.google.com/spreadsheets/d/1AVX9GT0dgogEBStecCXMMQ29tWz3gBrtNB8yIromXbY/edit?gid=741673867"", ""out1g!A:B""), 2, FALSE), 0)"),217.0)</f>
        <v>217</v>
      </c>
      <c r="D8615" s="2" t="str">
        <f>IFERROR(__xludf.DUMMYFUNCTION("IFERROR(VLOOKUP(A8615, IMPORTRANGE(""https://docs.google.com/spreadsheets/d/1-3Vjw2Cyy-mry5gbC8ypIR3YVGFfEpyFESummAta6sg/edit"", ""Sheet1!B:D""), 2, FALSE), ""Not Found"")"),"lʊr")</f>
        <v>lʊr</v>
      </c>
      <c r="E8615" s="2" t="str">
        <f>IFERROR(__xludf.DUMMYFUNCTION("IFERROR(VLOOKUP(A8615, IMPORTRANGE(""https://docs.google.com/spreadsheets/d/1-3Vjw2Cyy-mry5gbC8ypIR3YVGFfEpyFESummAta6sg/edit"", ""Sheet1!B:D""), 3, FALSE), ""Not Found"")"),"l ʊ r ")</f>
        <v>l ʊ r </v>
      </c>
    </row>
    <row r="8616">
      <c r="A8616" s="1" t="s">
        <v>8617</v>
      </c>
      <c r="B8616" s="1" t="s">
        <v>6138</v>
      </c>
      <c r="C8616" s="2">
        <f>IFERROR(__xludf.DUMMYFUNCTION("IFERROR(VLOOKUP(A8616, IMPORTRANGE(""https://docs.google.com/spreadsheets/d/1AVX9GT0dgogEBStecCXMMQ29tWz3gBrtNB8yIromXbY/edit?gid=741673867"", ""out1g!A:B""), 2, FALSE), 0)"),1498.0)</f>
        <v>1498</v>
      </c>
      <c r="D8616" s="2" t="str">
        <f>IFERROR(__xludf.DUMMYFUNCTION("IFERROR(VLOOKUP(A8616, IMPORTRANGE(""https://docs.google.com/spreadsheets/d/1-3Vjw2Cyy-mry5gbC8ypIR3YVGFfEpyFESummAta6sg/edit"", ""Sheet1!B:D""), 2, FALSE), ""Not Found"")"),"su")</f>
        <v>su</v>
      </c>
      <c r="E8616" s="2" t="str">
        <f>IFERROR(__xludf.DUMMYFUNCTION("IFERROR(VLOOKUP(A8616, IMPORTRANGE(""https://docs.google.com/spreadsheets/d/1-3Vjw2Cyy-mry5gbC8ypIR3YVGFfEpyFESummAta6sg/edit"", ""Sheet1!B:D""), 3, FALSE), ""Not Found"")"),"s u ")</f>
        <v>s u </v>
      </c>
    </row>
    <row r="8617">
      <c r="A8617" s="1" t="s">
        <v>8618</v>
      </c>
      <c r="B8617" s="1" t="s">
        <v>6138</v>
      </c>
      <c r="C8617" s="2">
        <f>IFERROR(__xludf.DUMMYFUNCTION("IFERROR(VLOOKUP(A8617, IMPORTRANGE(""https://docs.google.com/spreadsheets/d/1AVX9GT0dgogEBStecCXMMQ29tWz3gBrtNB8yIromXbY/edit?gid=741673867"", ""out1g!A:B""), 2, FALSE), 0)"),188.0)</f>
        <v>188</v>
      </c>
      <c r="D8617" s="2" t="str">
        <f>IFERROR(__xludf.DUMMYFUNCTION("IFERROR(VLOOKUP(A8617, IMPORTRANGE(""https://docs.google.com/spreadsheets/d/1-3Vjw2Cyy-mry5gbC8ypIR3YVGFfEpyFESummAta6sg/edit"", ""Sheet1!B:D""), 2, FALSE), ""Not Found"")"),"groʊnɪŋ")</f>
        <v>groʊnɪŋ</v>
      </c>
      <c r="E8617" s="2" t="str">
        <f>IFERROR(__xludf.DUMMYFUNCTION("IFERROR(VLOOKUP(A8617, IMPORTRANGE(""https://docs.google.com/spreadsheets/d/1-3Vjw2Cyy-mry5gbC8ypIR3YVGFfEpyFESummAta6sg/edit"", ""Sheet1!B:D""), 3, FALSE), ""Not Found"")"),"g r o ʊ n ɪ ŋ ")</f>
        <v>g r o ʊ n ɪ ŋ </v>
      </c>
    </row>
    <row r="8618">
      <c r="A8618" s="1" t="s">
        <v>8619</v>
      </c>
      <c r="B8618" s="1" t="s">
        <v>6138</v>
      </c>
      <c r="C8618" s="2">
        <f>IFERROR(__xludf.DUMMYFUNCTION("IFERROR(VLOOKUP(A8618, IMPORTRANGE(""https://docs.google.com/spreadsheets/d/1AVX9GT0dgogEBStecCXMMQ29tWz3gBrtNB8yIromXbY/edit?gid=741673867"", ""out1g!A:B""), 2, FALSE), 0)"),16.0)</f>
        <v>16</v>
      </c>
      <c r="D8618" s="2" t="str">
        <f>IFERROR(__xludf.DUMMYFUNCTION("IFERROR(VLOOKUP(A8618, IMPORTRANGE(""https://docs.google.com/spreadsheets/d/1-3Vjw2Cyy-mry5gbC8ypIR3YVGFfEpyFESummAta6sg/edit"", ""Sheet1!B:D""), 2, FALSE), ""Not Found"")"),"wɔrənz")</f>
        <v>wɔrənz</v>
      </c>
      <c r="E8618" s="2" t="str">
        <f>IFERROR(__xludf.DUMMYFUNCTION("IFERROR(VLOOKUP(A8618, IMPORTRANGE(""https://docs.google.com/spreadsheets/d/1-3Vjw2Cyy-mry5gbC8ypIR3YVGFfEpyFESummAta6sg/edit"", ""Sheet1!B:D""), 3, FALSE), ""Not Found"")"),"w ɔ r ə n z ")</f>
        <v>w ɔ r ə n z </v>
      </c>
    </row>
    <row r="8619">
      <c r="A8619" s="1" t="s">
        <v>8620</v>
      </c>
      <c r="B8619" s="1" t="s">
        <v>6138</v>
      </c>
      <c r="C8619" s="2">
        <f>IFERROR(__xludf.DUMMYFUNCTION("IFERROR(VLOOKUP(A8619, IMPORTRANGE(""https://docs.google.com/spreadsheets/d/1AVX9GT0dgogEBStecCXMMQ29tWz3gBrtNB8yIromXbY/edit?gid=741673867"", ""out1g!A:B""), 2, FALSE), 0)"),109.0)</f>
        <v>109</v>
      </c>
      <c r="D8619" s="2" t="str">
        <f>IFERROR(__xludf.DUMMYFUNCTION("IFERROR(VLOOKUP(A8619, IMPORTRANGE(""https://docs.google.com/spreadsheets/d/1-3Vjw2Cyy-mry5gbC8ypIR3YVGFfEpyFESummAta6sg/edit"", ""Sheet1!B:D""), 2, FALSE), ""Not Found"")"),"pɑrʃəli")</f>
        <v>pɑrʃəli</v>
      </c>
      <c r="E8619" s="2" t="str">
        <f>IFERROR(__xludf.DUMMYFUNCTION("IFERROR(VLOOKUP(A8619, IMPORTRANGE(""https://docs.google.com/spreadsheets/d/1-3Vjw2Cyy-mry5gbC8ypIR3YVGFfEpyFESummAta6sg/edit"", ""Sheet1!B:D""), 3, FALSE), ""Not Found"")"),"p ɑ r ʃ ə l i ")</f>
        <v>p ɑ r ʃ ə l i </v>
      </c>
    </row>
    <row r="8620">
      <c r="A8620" s="1" t="s">
        <v>8621</v>
      </c>
      <c r="B8620" s="1" t="s">
        <v>6138</v>
      </c>
      <c r="C8620" s="2">
        <f>IFERROR(__xludf.DUMMYFUNCTION("IFERROR(VLOOKUP(A8620, IMPORTRANGE(""https://docs.google.com/spreadsheets/d/1AVX9GT0dgogEBStecCXMMQ29tWz3gBrtNB8yIromXbY/edit?gid=741673867"", ""out1g!A:B""), 2, FALSE), 0)"),124.0)</f>
        <v>124</v>
      </c>
      <c r="D8620" s="2" t="str">
        <f>IFERROR(__xludf.DUMMYFUNCTION("IFERROR(VLOOKUP(A8620, IMPORTRANGE(""https://docs.google.com/spreadsheets/d/1-3Vjw2Cyy-mry5gbC8ypIR3YVGFfEpyFESummAta6sg/edit"", ""Sheet1!B:D""), 2, FALSE), ""Not Found"")"),"bumər")</f>
        <v>bumər</v>
      </c>
      <c r="E8620" s="2" t="str">
        <f>IFERROR(__xludf.DUMMYFUNCTION("IFERROR(VLOOKUP(A8620, IMPORTRANGE(""https://docs.google.com/spreadsheets/d/1-3Vjw2Cyy-mry5gbC8ypIR3YVGFfEpyFESummAta6sg/edit"", ""Sheet1!B:D""), 3, FALSE), ""Not Found"")"),"b u m ə r ")</f>
        <v>b u m ə r </v>
      </c>
    </row>
    <row r="8621">
      <c r="A8621" s="1" t="s">
        <v>8622</v>
      </c>
      <c r="B8621" s="1" t="s">
        <v>6138</v>
      </c>
      <c r="C8621" s="2">
        <f>IFERROR(__xludf.DUMMYFUNCTION("IFERROR(VLOOKUP(A8621, IMPORTRANGE(""https://docs.google.com/spreadsheets/d/1AVX9GT0dgogEBStecCXMMQ29tWz3gBrtNB8yIromXbY/edit?gid=741673867"", ""out1g!A:B""), 2, FALSE), 0)"),64.0)</f>
        <v>64</v>
      </c>
      <c r="D8621" s="2" t="str">
        <f>IFERROR(__xludf.DUMMYFUNCTION("IFERROR(VLOOKUP(A8621, IMPORTRANGE(""https://docs.google.com/spreadsheets/d/1-3Vjw2Cyy-mry5gbC8ypIR3YVGFfEpyFESummAta6sg/edit"", ""Sheet1!B:D""), 2, FALSE), ""Not Found"")"),"klɑkt")</f>
        <v>klɑkt</v>
      </c>
      <c r="E8621" s="2" t="str">
        <f>IFERROR(__xludf.DUMMYFUNCTION("IFERROR(VLOOKUP(A8621, IMPORTRANGE(""https://docs.google.com/spreadsheets/d/1-3Vjw2Cyy-mry5gbC8ypIR3YVGFfEpyFESummAta6sg/edit"", ""Sheet1!B:D""), 3, FALSE), ""Not Found"")"),"k l ɑ k t ")</f>
        <v>k l ɑ k t </v>
      </c>
    </row>
    <row r="8622">
      <c r="A8622" s="1" t="s">
        <v>8623</v>
      </c>
      <c r="B8622" s="1" t="s">
        <v>6138</v>
      </c>
      <c r="C8622" s="2">
        <f>IFERROR(__xludf.DUMMYFUNCTION("IFERROR(VLOOKUP(A8622, IMPORTRANGE(""https://docs.google.com/spreadsheets/d/1AVX9GT0dgogEBStecCXMMQ29tWz3gBrtNB8yIromXbY/edit?gid=741673867"", ""out1g!A:B""), 2, FALSE), 0)"),131.0)</f>
        <v>131</v>
      </c>
      <c r="D8622" s="2" t="str">
        <f>IFERROR(__xludf.DUMMYFUNCTION("IFERROR(VLOOKUP(A8622, IMPORTRANGE(""https://docs.google.com/spreadsheets/d/1-3Vjw2Cyy-mry5gbC8ypIR3YVGFfEpyFESummAta6sg/edit"", ""Sheet1!B:D""), 2, FALSE), ""Not Found"")"),"splin")</f>
        <v>splin</v>
      </c>
      <c r="E8622" s="2" t="str">
        <f>IFERROR(__xludf.DUMMYFUNCTION("IFERROR(VLOOKUP(A8622, IMPORTRANGE(""https://docs.google.com/spreadsheets/d/1-3Vjw2Cyy-mry5gbC8ypIR3YVGFfEpyFESummAta6sg/edit"", ""Sheet1!B:D""), 3, FALSE), ""Not Found"")"),"s p l i n ")</f>
        <v>s p l i n </v>
      </c>
    </row>
    <row r="8623">
      <c r="A8623" s="1" t="s">
        <v>8624</v>
      </c>
      <c r="B8623" s="1" t="s">
        <v>6138</v>
      </c>
      <c r="C8623" s="2">
        <f>IFERROR(__xludf.DUMMYFUNCTION("IFERROR(VLOOKUP(A8623, IMPORTRANGE(""https://docs.google.com/spreadsheets/d/1AVX9GT0dgogEBStecCXMMQ29tWz3gBrtNB8yIromXbY/edit?gid=741673867"", ""out1g!A:B""), 2, FALSE), 0)"),201.0)</f>
        <v>201</v>
      </c>
      <c r="D8623" s="2" t="str">
        <f>IFERROR(__xludf.DUMMYFUNCTION("IFERROR(VLOOKUP(A8623, IMPORTRANGE(""https://docs.google.com/spreadsheets/d/1-3Vjw2Cyy-mry5gbC8ypIR3YVGFfEpyFESummAta6sg/edit"", ""Sheet1!B:D""), 2, FALSE), ""Not Found"")"),"bəsɪz")</f>
        <v>bəsɪz</v>
      </c>
      <c r="E8623" s="2" t="str">
        <f>IFERROR(__xludf.DUMMYFUNCTION("IFERROR(VLOOKUP(A8623, IMPORTRANGE(""https://docs.google.com/spreadsheets/d/1-3Vjw2Cyy-mry5gbC8ypIR3YVGFfEpyFESummAta6sg/edit"", ""Sheet1!B:D""), 3, FALSE), ""Not Found"")"),"b ə s ɪ z ")</f>
        <v>b ə s ɪ z </v>
      </c>
    </row>
    <row r="8624">
      <c r="A8624" s="1" t="s">
        <v>8625</v>
      </c>
      <c r="B8624" s="1" t="s">
        <v>6138</v>
      </c>
      <c r="C8624" s="2">
        <f>IFERROR(__xludf.DUMMYFUNCTION("IFERROR(VLOOKUP(A8624, IMPORTRANGE(""https://docs.google.com/spreadsheets/d/1AVX9GT0dgogEBStecCXMMQ29tWz3gBrtNB8yIromXbY/edit?gid=741673867"", ""out1g!A:B""), 2, FALSE), 0)"),53.0)</f>
        <v>53</v>
      </c>
      <c r="D8624" s="2" t="str">
        <f>IFERROR(__xludf.DUMMYFUNCTION("IFERROR(VLOOKUP(A8624, IMPORTRANGE(""https://docs.google.com/spreadsheets/d/1-3Vjw2Cyy-mry5gbC8ypIR3YVGFfEpyFESummAta6sg/edit"", ""Sheet1!B:D""), 2, FALSE), ""Not Found"")"),"præŋks")</f>
        <v>præŋks</v>
      </c>
      <c r="E8624" s="2" t="str">
        <f>IFERROR(__xludf.DUMMYFUNCTION("IFERROR(VLOOKUP(A8624, IMPORTRANGE(""https://docs.google.com/spreadsheets/d/1-3Vjw2Cyy-mry5gbC8ypIR3YVGFfEpyFESummAta6sg/edit"", ""Sheet1!B:D""), 3, FALSE), ""Not Found"")"),"p r æ ŋ k s ")</f>
        <v>p r æ ŋ k s </v>
      </c>
    </row>
    <row r="8625">
      <c r="A8625" s="1" t="s">
        <v>8626</v>
      </c>
      <c r="B8625" s="1" t="s">
        <v>6138</v>
      </c>
      <c r="C8625" s="2">
        <f>IFERROR(__xludf.DUMMYFUNCTION("IFERROR(VLOOKUP(A8625, IMPORTRANGE(""https://docs.google.com/spreadsheets/d/1AVX9GT0dgogEBStecCXMMQ29tWz3gBrtNB8yIromXbY/edit?gid=741673867"", ""out1g!A:B""), 2, FALSE), 0)"),87.0)</f>
        <v>87</v>
      </c>
      <c r="D8625" s="2" t="str">
        <f>IFERROR(__xludf.DUMMYFUNCTION("IFERROR(VLOOKUP(A8625, IMPORTRANGE(""https://docs.google.com/spreadsheets/d/1-3Vjw2Cyy-mry5gbC8ypIR3YVGFfEpyFESummAta6sg/edit"", ""Sheet1!B:D""), 2, FALSE), ""Not Found"")"),"sɪŋks")</f>
        <v>sɪŋks</v>
      </c>
      <c r="E8625" s="2" t="str">
        <f>IFERROR(__xludf.DUMMYFUNCTION("IFERROR(VLOOKUP(A8625, IMPORTRANGE(""https://docs.google.com/spreadsheets/d/1-3Vjw2Cyy-mry5gbC8ypIR3YVGFfEpyFESummAta6sg/edit"", ""Sheet1!B:D""), 3, FALSE), ""Not Found"")"),"s ɪ ŋ k s ")</f>
        <v>s ɪ ŋ k s </v>
      </c>
    </row>
    <row r="8626">
      <c r="A8626" s="1" t="s">
        <v>8627</v>
      </c>
      <c r="B8626" s="1" t="s">
        <v>6138</v>
      </c>
      <c r="C8626" s="2">
        <f>IFERROR(__xludf.DUMMYFUNCTION("IFERROR(VLOOKUP(A8626, IMPORTRANGE(""https://docs.google.com/spreadsheets/d/1AVX9GT0dgogEBStecCXMMQ29tWz3gBrtNB8yIromXbY/edit?gid=741673867"", ""out1g!A:B""), 2, FALSE), 0)"),46.0)</f>
        <v>46</v>
      </c>
      <c r="D8626" s="2" t="str">
        <f>IFERROR(__xludf.DUMMYFUNCTION("IFERROR(VLOOKUP(A8626, IMPORTRANGE(""https://docs.google.com/spreadsheets/d/1-3Vjw2Cyy-mry5gbC8ypIR3YVGFfEpyFESummAta6sg/edit"", ""Sheet1!B:D""), 2, FALSE), ""Not Found"")"),"səræn")</f>
        <v>səræn</v>
      </c>
      <c r="E8626" s="2" t="str">
        <f>IFERROR(__xludf.DUMMYFUNCTION("IFERROR(VLOOKUP(A8626, IMPORTRANGE(""https://docs.google.com/spreadsheets/d/1-3Vjw2Cyy-mry5gbC8ypIR3YVGFfEpyFESummAta6sg/edit"", ""Sheet1!B:D""), 3, FALSE), ""Not Found"")"),"s ə r æ n ")</f>
        <v>s ə r æ n </v>
      </c>
    </row>
    <row r="8627">
      <c r="A8627" s="1" t="s">
        <v>8628</v>
      </c>
      <c r="B8627" s="1" t="s">
        <v>6138</v>
      </c>
      <c r="C8627" s="2">
        <f>IFERROR(__xludf.DUMMYFUNCTION("IFERROR(VLOOKUP(A8627, IMPORTRANGE(""https://docs.google.com/spreadsheets/d/1AVX9GT0dgogEBStecCXMMQ29tWz3gBrtNB8yIromXbY/edit?gid=741673867"", ""out1g!A:B""), 2, FALSE), 0)"),191.0)</f>
        <v>191</v>
      </c>
      <c r="D8627" s="2" t="str">
        <f>IFERROR(__xludf.DUMMYFUNCTION("IFERROR(VLOOKUP(A8627, IMPORTRANGE(""https://docs.google.com/spreadsheets/d/1-3Vjw2Cyy-mry5gbC8ypIR3YVGFfEpyFESummAta6sg/edit"", ""Sheet1!B:D""), 2, FALSE), ""Not Found"")"),"slaɪdɪŋ")</f>
        <v>slaɪdɪŋ</v>
      </c>
      <c r="E8627" s="2" t="str">
        <f>IFERROR(__xludf.DUMMYFUNCTION("IFERROR(VLOOKUP(A8627, IMPORTRANGE(""https://docs.google.com/spreadsheets/d/1-3Vjw2Cyy-mry5gbC8ypIR3YVGFfEpyFESummAta6sg/edit"", ""Sheet1!B:D""), 3, FALSE), ""Not Found"")"),"s l a ɪ d ɪ ŋ ")</f>
        <v>s l a ɪ d ɪ ŋ </v>
      </c>
    </row>
    <row r="8628">
      <c r="A8628" s="1" t="s">
        <v>8629</v>
      </c>
      <c r="B8628" s="1" t="s">
        <v>6138</v>
      </c>
      <c r="C8628" s="2">
        <f>IFERROR(__xludf.DUMMYFUNCTION("IFERROR(VLOOKUP(A8628, IMPORTRANGE(""https://docs.google.com/spreadsheets/d/1AVX9GT0dgogEBStecCXMMQ29tWz3gBrtNB8yIromXbY/edit?gid=741673867"", ""out1g!A:B""), 2, FALSE), 0)"),1935.0)</f>
        <v>1935</v>
      </c>
      <c r="D8628" s="2" t="str">
        <f>IFERROR(__xludf.DUMMYFUNCTION("IFERROR(VLOOKUP(A8628, IMPORTRANGE(""https://docs.google.com/spreadsheets/d/1-3Vjw2Cyy-mry5gbC8ypIR3YVGFfEpyFESummAta6sg/edit"", ""Sheet1!B:D""), 2, FALSE), ""Not Found"")"),"faɪndɪŋ")</f>
        <v>faɪndɪŋ</v>
      </c>
      <c r="E8628" s="2" t="str">
        <f>IFERROR(__xludf.DUMMYFUNCTION("IFERROR(VLOOKUP(A8628, IMPORTRANGE(""https://docs.google.com/spreadsheets/d/1-3Vjw2Cyy-mry5gbC8ypIR3YVGFfEpyFESummAta6sg/edit"", ""Sheet1!B:D""), 3, FALSE), ""Not Found"")"),"f a ɪ n d ɪ ŋ ")</f>
        <v>f a ɪ n d ɪ ŋ </v>
      </c>
    </row>
    <row r="8629">
      <c r="A8629" s="1" t="s">
        <v>8630</v>
      </c>
      <c r="B8629" s="1" t="s">
        <v>6138</v>
      </c>
      <c r="C8629" s="2">
        <f>IFERROR(__xludf.DUMMYFUNCTION("IFERROR(VLOOKUP(A8629, IMPORTRANGE(""https://docs.google.com/spreadsheets/d/1AVX9GT0dgogEBStecCXMMQ29tWz3gBrtNB8yIromXbY/edit?gid=741673867"", ""out1g!A:B""), 2, FALSE), 0)"),245.0)</f>
        <v>245</v>
      </c>
      <c r="D8629" s="2" t="str">
        <f>IFERROR(__xludf.DUMMYFUNCTION("IFERROR(VLOOKUP(A8629, IMPORTRANGE(""https://docs.google.com/spreadsheets/d/1-3Vjw2Cyy-mry5gbC8ypIR3YVGFfEpyFESummAta6sg/edit"", ""Sheet1!B:D""), 2, FALSE), ""Not Found"")"),"moʊnɪŋ")</f>
        <v>moʊnɪŋ</v>
      </c>
      <c r="E8629" s="2" t="str">
        <f>IFERROR(__xludf.DUMMYFUNCTION("IFERROR(VLOOKUP(A8629, IMPORTRANGE(""https://docs.google.com/spreadsheets/d/1-3Vjw2Cyy-mry5gbC8ypIR3YVGFfEpyFESummAta6sg/edit"", ""Sheet1!B:D""), 3, FALSE), ""Not Found"")"),"m o ʊ n ɪ ŋ ")</f>
        <v>m o ʊ n ɪ ŋ </v>
      </c>
    </row>
    <row r="8630">
      <c r="A8630" s="1" t="s">
        <v>8631</v>
      </c>
      <c r="B8630" s="1" t="s">
        <v>6138</v>
      </c>
      <c r="C8630" s="2">
        <f>IFERROR(__xludf.DUMMYFUNCTION("IFERROR(VLOOKUP(A8630, IMPORTRANGE(""https://docs.google.com/spreadsheets/d/1AVX9GT0dgogEBStecCXMMQ29tWz3gBrtNB8yIromXbY/edit?gid=741673867"", ""out1g!A:B""), 2, FALSE), 0)"),388.0)</f>
        <v>388</v>
      </c>
      <c r="D8630" s="2" t="str">
        <f>IFERROR(__xludf.DUMMYFUNCTION("IFERROR(VLOOKUP(A8630, IMPORTRANGE(""https://docs.google.com/spreadsheets/d/1-3Vjw2Cyy-mry5gbC8ypIR3YVGFfEpyFESummAta6sg/edit"", ""Sheet1!B:D""), 2, FALSE), ""Not Found"")"),"ligəli")</f>
        <v>ligəli</v>
      </c>
      <c r="E8630" s="2" t="str">
        <f>IFERROR(__xludf.DUMMYFUNCTION("IFERROR(VLOOKUP(A8630, IMPORTRANGE(""https://docs.google.com/spreadsheets/d/1-3Vjw2Cyy-mry5gbC8ypIR3YVGFfEpyFESummAta6sg/edit"", ""Sheet1!B:D""), 3, FALSE), ""Not Found"")"),"l i g ə l i ")</f>
        <v>l i g ə l i </v>
      </c>
    </row>
    <row r="8631">
      <c r="A8631" s="1" t="s">
        <v>8632</v>
      </c>
      <c r="B8631" s="1" t="s">
        <v>6138</v>
      </c>
      <c r="C8631" s="2">
        <f>IFERROR(__xludf.DUMMYFUNCTION("IFERROR(VLOOKUP(A8631, IMPORTRANGE(""https://docs.google.com/spreadsheets/d/1AVX9GT0dgogEBStecCXMMQ29tWz3gBrtNB8yIromXbY/edit?gid=741673867"", ""out1g!A:B""), 2, FALSE), 0)"),56.0)</f>
        <v>56</v>
      </c>
      <c r="D8631" s="2" t="str">
        <f>IFERROR(__xludf.DUMMYFUNCTION("IFERROR(VLOOKUP(A8631, IMPORTRANGE(""https://docs.google.com/spreadsheets/d/1-3Vjw2Cyy-mry5gbC8ypIR3YVGFfEpyFESummAta6sg/edit"", ""Sheet1!B:D""), 2, FALSE), ""Not Found"")"),"kroʊər")</f>
        <v>kroʊər</v>
      </c>
      <c r="E8631" s="2" t="str">
        <f>IFERROR(__xludf.DUMMYFUNCTION("IFERROR(VLOOKUP(A8631, IMPORTRANGE(""https://docs.google.com/spreadsheets/d/1-3Vjw2Cyy-mry5gbC8ypIR3YVGFfEpyFESummAta6sg/edit"", ""Sheet1!B:D""), 3, FALSE), ""Not Found"")"),"k r o ʊ ə r ")</f>
        <v>k r o ʊ ə r </v>
      </c>
    </row>
    <row r="8632">
      <c r="A8632" s="1" t="s">
        <v>8633</v>
      </c>
      <c r="B8632" s="1" t="s">
        <v>6138</v>
      </c>
      <c r="C8632" s="2">
        <f>IFERROR(__xludf.DUMMYFUNCTION("IFERROR(VLOOKUP(A8632, IMPORTRANGE(""https://docs.google.com/spreadsheets/d/1AVX9GT0dgogEBStecCXMMQ29tWz3gBrtNB8yIromXbY/edit?gid=741673867"", ""out1g!A:B""), 2, FALSE), 0)"),627.0)</f>
        <v>627</v>
      </c>
      <c r="D8632" s="2" t="str">
        <f>IFERROR(__xludf.DUMMYFUNCTION("IFERROR(VLOOKUP(A8632, IMPORTRANGE(""https://docs.google.com/spreadsheets/d/1-3Vjw2Cyy-mry5gbC8ypIR3YVGFfEpyFESummAta6sg/edit"", ""Sheet1!B:D""), 2, FALSE), ""Not Found"")"),"ʧitɪd")</f>
        <v>ʧitɪd</v>
      </c>
      <c r="E8632" s="2" t="str">
        <f>IFERROR(__xludf.DUMMYFUNCTION("IFERROR(VLOOKUP(A8632, IMPORTRANGE(""https://docs.google.com/spreadsheets/d/1-3Vjw2Cyy-mry5gbC8ypIR3YVGFfEpyFESummAta6sg/edit"", ""Sheet1!B:D""), 3, FALSE), ""Not Found"")"),"ʧ i t ɪ d ")</f>
        <v>ʧ i t ɪ d </v>
      </c>
    </row>
    <row r="8633">
      <c r="A8633" s="1" t="s">
        <v>8634</v>
      </c>
      <c r="B8633" s="1" t="s">
        <v>6138</v>
      </c>
      <c r="C8633" s="2">
        <f>IFERROR(__xludf.DUMMYFUNCTION("IFERROR(VLOOKUP(A8633, IMPORTRANGE(""https://docs.google.com/spreadsheets/d/1AVX9GT0dgogEBStecCXMMQ29tWz3gBrtNB8yIromXbY/edit?gid=741673867"", ""out1g!A:B""), 2, FALSE), 0)"),520.0)</f>
        <v>520</v>
      </c>
      <c r="D8633" s="2" t="str">
        <f>IFERROR(__xludf.DUMMYFUNCTION("IFERROR(VLOOKUP(A8633, IMPORTRANGE(""https://docs.google.com/spreadsheets/d/1-3Vjw2Cyy-mry5gbC8ypIR3YVGFfEpyFESummAta6sg/edit"", ""Sheet1!B:D""), 2, FALSE), ""Not Found"")"),"ɪntɛns")</f>
        <v>ɪntɛns</v>
      </c>
      <c r="E8633" s="2" t="str">
        <f>IFERROR(__xludf.DUMMYFUNCTION("IFERROR(VLOOKUP(A8633, IMPORTRANGE(""https://docs.google.com/spreadsheets/d/1-3Vjw2Cyy-mry5gbC8ypIR3YVGFfEpyFESummAta6sg/edit"", ""Sheet1!B:D""), 3, FALSE), ""Not Found"")"),"ɪ n t ɛ n s ")</f>
        <v>ɪ n t ɛ n s </v>
      </c>
    </row>
    <row r="8634">
      <c r="A8634" s="1" t="s">
        <v>8635</v>
      </c>
      <c r="B8634" s="1" t="s">
        <v>6138</v>
      </c>
      <c r="C8634" s="2">
        <f>IFERROR(__xludf.DUMMYFUNCTION("IFERROR(VLOOKUP(A8634, IMPORTRANGE(""https://docs.google.com/spreadsheets/d/1AVX9GT0dgogEBStecCXMMQ29tWz3gBrtNB8yIromXbY/edit?gid=741673867"", ""out1g!A:B""), 2, FALSE), 0)"),865.0)</f>
        <v>865</v>
      </c>
      <c r="D8634" s="2" t="str">
        <f>IFERROR(__xludf.DUMMYFUNCTION("IFERROR(VLOOKUP(A8634, IMPORTRANGE(""https://docs.google.com/spreadsheets/d/1-3Vjw2Cyy-mry5gbC8ypIR3YVGFfEpyFESummAta6sg/edit"", ""Sheet1!B:D""), 2, FALSE), ""Not Found"")"),"stɑrvɪŋ")</f>
        <v>stɑrvɪŋ</v>
      </c>
      <c r="E8634" s="2" t="str">
        <f>IFERROR(__xludf.DUMMYFUNCTION("IFERROR(VLOOKUP(A8634, IMPORTRANGE(""https://docs.google.com/spreadsheets/d/1-3Vjw2Cyy-mry5gbC8ypIR3YVGFfEpyFESummAta6sg/edit"", ""Sheet1!B:D""), 3, FALSE), ""Not Found"")"),"s t ɑ r v ɪ ŋ ")</f>
        <v>s t ɑ r v ɪ ŋ </v>
      </c>
    </row>
    <row r="8635">
      <c r="A8635" s="1" t="s">
        <v>8636</v>
      </c>
      <c r="B8635" s="1" t="s">
        <v>6138</v>
      </c>
      <c r="C8635" s="2">
        <f>IFERROR(__xludf.DUMMYFUNCTION("IFERROR(VLOOKUP(A8635, IMPORTRANGE(""https://docs.google.com/spreadsheets/d/1AVX9GT0dgogEBStecCXMMQ29tWz3gBrtNB8yIromXbY/edit?gid=741673867"", ""out1g!A:B""), 2, FALSE), 0)"),76.0)</f>
        <v>76</v>
      </c>
      <c r="D8635" s="2" t="str">
        <f>IFERROR(__xludf.DUMMYFUNCTION("IFERROR(VLOOKUP(A8635, IMPORTRANGE(""https://docs.google.com/spreadsheets/d/1-3Vjw2Cyy-mry5gbC8ypIR3YVGFfEpyFESummAta6sg/edit"", ""Sheet1!B:D""), 2, FALSE), ""Not Found"")"),"pɪkəld")</f>
        <v>pɪkəld</v>
      </c>
      <c r="E8635" s="2" t="str">
        <f>IFERROR(__xludf.DUMMYFUNCTION("IFERROR(VLOOKUP(A8635, IMPORTRANGE(""https://docs.google.com/spreadsheets/d/1-3Vjw2Cyy-mry5gbC8ypIR3YVGFfEpyFESummAta6sg/edit"", ""Sheet1!B:D""), 3, FALSE), ""Not Found"")"),"p ɪ k ə l d ")</f>
        <v>p ɪ k ə l d </v>
      </c>
    </row>
    <row r="8636">
      <c r="A8636" s="1" t="s">
        <v>8637</v>
      </c>
      <c r="B8636" s="1" t="s">
        <v>6138</v>
      </c>
      <c r="C8636" s="2">
        <f>IFERROR(__xludf.DUMMYFUNCTION("IFERROR(VLOOKUP(A8636, IMPORTRANGE(""https://docs.google.com/spreadsheets/d/1AVX9GT0dgogEBStecCXMMQ29tWz3gBrtNB8yIromXbY/edit?gid=741673867"", ""out1g!A:B""), 2, FALSE), 0)"),62.0)</f>
        <v>62</v>
      </c>
      <c r="D8636" s="2" t="str">
        <f>IFERROR(__xludf.DUMMYFUNCTION("IFERROR(VLOOKUP(A8636, IMPORTRANGE(""https://docs.google.com/spreadsheets/d/1-3Vjw2Cyy-mry5gbC8ypIR3YVGFfEpyFESummAta6sg/edit"", ""Sheet1!B:D""), 2, FALSE), ""Not Found"")"),"sɪkər")</f>
        <v>sɪkər</v>
      </c>
      <c r="E8636" s="2" t="str">
        <f>IFERROR(__xludf.DUMMYFUNCTION("IFERROR(VLOOKUP(A8636, IMPORTRANGE(""https://docs.google.com/spreadsheets/d/1-3Vjw2Cyy-mry5gbC8ypIR3YVGFfEpyFESummAta6sg/edit"", ""Sheet1!B:D""), 3, FALSE), ""Not Found"")"),"s ɪ k ə r ")</f>
        <v>s ɪ k ə r </v>
      </c>
    </row>
    <row r="8637">
      <c r="A8637" s="1" t="s">
        <v>8638</v>
      </c>
      <c r="B8637" s="1" t="s">
        <v>6138</v>
      </c>
      <c r="C8637" s="2">
        <f>IFERROR(__xludf.DUMMYFUNCTION("IFERROR(VLOOKUP(A8637, IMPORTRANGE(""https://docs.google.com/spreadsheets/d/1AVX9GT0dgogEBStecCXMMQ29tWz3gBrtNB8yIromXbY/edit?gid=741673867"", ""out1g!A:B""), 2, FALSE), 0)"),2638.0)</f>
        <v>2638</v>
      </c>
      <c r="D8637" s="2" t="str">
        <f>IFERROR(__xludf.DUMMYFUNCTION("IFERROR(VLOOKUP(A8637, IMPORTRANGE(""https://docs.google.com/spreadsheets/d/1-3Vjw2Cyy-mry5gbC8ypIR3YVGFfEpyFESummAta6sg/edit"", ""Sheet1!B:D""), 2, FALSE), ""Not Found"")"),"pepərz")</f>
        <v>pepərz</v>
      </c>
      <c r="E8637" s="2" t="str">
        <f>IFERROR(__xludf.DUMMYFUNCTION("IFERROR(VLOOKUP(A8637, IMPORTRANGE(""https://docs.google.com/spreadsheets/d/1-3Vjw2Cyy-mry5gbC8ypIR3YVGFfEpyFESummAta6sg/edit"", ""Sheet1!B:D""), 3, FALSE), ""Not Found"")"),"p e p ə r z ")</f>
        <v>p e p ə r z </v>
      </c>
    </row>
    <row r="8638">
      <c r="A8638" s="1" t="s">
        <v>8639</v>
      </c>
      <c r="B8638" s="1" t="s">
        <v>6138</v>
      </c>
      <c r="C8638" s="2">
        <f>IFERROR(__xludf.DUMMYFUNCTION("IFERROR(VLOOKUP(A8638, IMPORTRANGE(""https://docs.google.com/spreadsheets/d/1AVX9GT0dgogEBStecCXMMQ29tWz3gBrtNB8yIromXbY/edit?gid=741673867"", ""out1g!A:B""), 2, FALSE), 0)"),52.0)</f>
        <v>52</v>
      </c>
      <c r="D8638" s="2" t="str">
        <f>IFERROR(__xludf.DUMMYFUNCTION("IFERROR(VLOOKUP(A8638, IMPORTRANGE(""https://docs.google.com/spreadsheets/d/1-3Vjw2Cyy-mry5gbC8ypIR3YVGFfEpyFESummAta6sg/edit"", ""Sheet1!B:D""), 2, FALSE), ""Not Found"")"),"waɪni")</f>
        <v>waɪni</v>
      </c>
      <c r="E8638" s="2" t="str">
        <f>IFERROR(__xludf.DUMMYFUNCTION("IFERROR(VLOOKUP(A8638, IMPORTRANGE(""https://docs.google.com/spreadsheets/d/1-3Vjw2Cyy-mry5gbC8ypIR3YVGFfEpyFESummAta6sg/edit"", ""Sheet1!B:D""), 3, FALSE), ""Not Found"")"),"w a ɪ n i ")</f>
        <v>w a ɪ n i </v>
      </c>
    </row>
    <row r="8639">
      <c r="A8639" s="1" t="s">
        <v>8640</v>
      </c>
      <c r="B8639" s="1" t="s">
        <v>6138</v>
      </c>
      <c r="C8639" s="2">
        <f>IFERROR(__xludf.DUMMYFUNCTION("IFERROR(VLOOKUP(A8639, IMPORTRANGE(""https://docs.google.com/spreadsheets/d/1AVX9GT0dgogEBStecCXMMQ29tWz3gBrtNB8yIromXbY/edit?gid=741673867"", ""out1g!A:B""), 2, FALSE), 0)"),828.0)</f>
        <v>828</v>
      </c>
      <c r="D8639" s="2" t="str">
        <f>IFERROR(__xludf.DUMMYFUNCTION("IFERROR(VLOOKUP(A8639, IMPORTRANGE(""https://docs.google.com/spreadsheets/d/1-3Vjw2Cyy-mry5gbC8ypIR3YVGFfEpyFESummAta6sg/edit"", ""Sheet1!B:D""), 2, FALSE), ""Not Found"")"),"vərʒən")</f>
        <v>vərʒən</v>
      </c>
      <c r="E8639" s="2" t="str">
        <f>IFERROR(__xludf.DUMMYFUNCTION("IFERROR(VLOOKUP(A8639, IMPORTRANGE(""https://docs.google.com/spreadsheets/d/1-3Vjw2Cyy-mry5gbC8ypIR3YVGFfEpyFESummAta6sg/edit"", ""Sheet1!B:D""), 3, FALSE), ""Not Found"")"),"v ə r ʒ ə n ")</f>
        <v>v ə r ʒ ə n </v>
      </c>
    </row>
    <row r="8640">
      <c r="A8640" s="1" t="s">
        <v>8641</v>
      </c>
      <c r="B8640" s="1" t="s">
        <v>6138</v>
      </c>
      <c r="C8640" s="2">
        <f>IFERROR(__xludf.DUMMYFUNCTION("IFERROR(VLOOKUP(A8640, IMPORTRANGE(""https://docs.google.com/spreadsheets/d/1AVX9GT0dgogEBStecCXMMQ29tWz3gBrtNB8yIromXbY/edit?gid=741673867"", ""out1g!A:B""), 2, FALSE), 0)"),129.0)</f>
        <v>129</v>
      </c>
      <c r="D8640" s="2" t="str">
        <f>IFERROR(__xludf.DUMMYFUNCTION("IFERROR(VLOOKUP(A8640, IMPORTRANGE(""https://docs.google.com/spreadsheets/d/1-3Vjw2Cyy-mry5gbC8ypIR3YVGFfEpyFESummAta6sg/edit"", ""Sheet1!B:D""), 2, FALSE), ""Not Found"")"),"koʊlən")</f>
        <v>koʊlən</v>
      </c>
      <c r="E8640" s="2" t="str">
        <f>IFERROR(__xludf.DUMMYFUNCTION("IFERROR(VLOOKUP(A8640, IMPORTRANGE(""https://docs.google.com/spreadsheets/d/1-3Vjw2Cyy-mry5gbC8ypIR3YVGFfEpyFESummAta6sg/edit"", ""Sheet1!B:D""), 3, FALSE), ""Not Found"")"),"k o ʊ l ə n ")</f>
        <v>k o ʊ l ə n </v>
      </c>
    </row>
    <row r="8641">
      <c r="A8641" s="1" t="s">
        <v>8642</v>
      </c>
      <c r="B8641" s="1" t="s">
        <v>6138</v>
      </c>
      <c r="C8641" s="2">
        <f>IFERROR(__xludf.DUMMYFUNCTION("IFERROR(VLOOKUP(A8641, IMPORTRANGE(""https://docs.google.com/spreadsheets/d/1AVX9GT0dgogEBStecCXMMQ29tWz3gBrtNB8yIromXbY/edit?gid=741673867"", ""out1g!A:B""), 2, FALSE), 0)"),246.0)</f>
        <v>246</v>
      </c>
      <c r="D8641" s="2" t="str">
        <f>IFERROR(__xludf.DUMMYFUNCTION("IFERROR(VLOOKUP(A8641, IMPORTRANGE(""https://docs.google.com/spreadsheets/d/1-3Vjw2Cyy-mry5gbC8ypIR3YVGFfEpyFESummAta6sg/edit"", ""Sheet1!B:D""), 2, FALSE), ""Not Found"")"),"rɛntəl")</f>
        <v>rɛntəl</v>
      </c>
      <c r="E8641" s="2" t="str">
        <f>IFERROR(__xludf.DUMMYFUNCTION("IFERROR(VLOOKUP(A8641, IMPORTRANGE(""https://docs.google.com/spreadsheets/d/1-3Vjw2Cyy-mry5gbC8ypIR3YVGFfEpyFESummAta6sg/edit"", ""Sheet1!B:D""), 3, FALSE), ""Not Found"")"),"r ɛ n t ə l ")</f>
        <v>r ɛ n t ə l </v>
      </c>
    </row>
    <row r="8642">
      <c r="A8642" s="1" t="s">
        <v>8643</v>
      </c>
      <c r="B8642" s="1" t="s">
        <v>6138</v>
      </c>
      <c r="C8642" s="2">
        <f>IFERROR(__xludf.DUMMYFUNCTION("IFERROR(VLOOKUP(A8642, IMPORTRANGE(""https://docs.google.com/spreadsheets/d/1AVX9GT0dgogEBStecCXMMQ29tWz3gBrtNB8yIromXbY/edit?gid=741673867"", ""out1g!A:B""), 2, FALSE), 0)"),1789.0)</f>
        <v>1789</v>
      </c>
      <c r="D8642" s="2" t="str">
        <f>IFERROR(__xludf.DUMMYFUNCTION("IFERROR(VLOOKUP(A8642, IMPORTRANGE(""https://docs.google.com/spreadsheets/d/1-3Vjw2Cyy-mry5gbC8ypIR3YVGFfEpyFESummAta6sg/edit"", ""Sheet1!B:D""), 2, FALSE), ""Not Found"")"),"pərpəs")</f>
        <v>pərpəs</v>
      </c>
      <c r="E8642" s="2" t="str">
        <f>IFERROR(__xludf.DUMMYFUNCTION("IFERROR(VLOOKUP(A8642, IMPORTRANGE(""https://docs.google.com/spreadsheets/d/1-3Vjw2Cyy-mry5gbC8ypIR3YVGFfEpyFESummAta6sg/edit"", ""Sheet1!B:D""), 3, FALSE), ""Not Found"")"),"p ə r p ə s ")</f>
        <v>p ə r p ə s </v>
      </c>
    </row>
    <row r="8643">
      <c r="A8643" s="1" t="s">
        <v>8644</v>
      </c>
      <c r="B8643" s="1" t="s">
        <v>6138</v>
      </c>
      <c r="C8643" s="2">
        <f>IFERROR(__xludf.DUMMYFUNCTION("IFERROR(VLOOKUP(A8643, IMPORTRANGE(""https://docs.google.com/spreadsheets/d/1AVX9GT0dgogEBStecCXMMQ29tWz3gBrtNB8yIromXbY/edit?gid=741673867"", ""out1g!A:B""), 2, FALSE), 0)"),49.0)</f>
        <v>49</v>
      </c>
      <c r="D8643" s="2" t="str">
        <f>IFERROR(__xludf.DUMMYFUNCTION("IFERROR(VLOOKUP(A8643, IMPORTRANGE(""https://docs.google.com/spreadsheets/d/1-3Vjw2Cyy-mry5gbC8ypIR3YVGFfEpyFESummAta6sg/edit"", ""Sheet1!B:D""), 2, FALSE), ""Not Found"")"),"kemən")</f>
        <v>kemən</v>
      </c>
      <c r="E8643" s="2" t="str">
        <f>IFERROR(__xludf.DUMMYFUNCTION("IFERROR(VLOOKUP(A8643, IMPORTRANGE(""https://docs.google.com/spreadsheets/d/1-3Vjw2Cyy-mry5gbC8ypIR3YVGFfEpyFESummAta6sg/edit"", ""Sheet1!B:D""), 3, FALSE), ""Not Found"")"),"k e m ə n ")</f>
        <v>k e m ə n </v>
      </c>
    </row>
    <row r="8644">
      <c r="A8644" s="1" t="s">
        <v>8645</v>
      </c>
      <c r="B8644" s="1" t="s">
        <v>6138</v>
      </c>
      <c r="C8644" s="2">
        <f>IFERROR(__xludf.DUMMYFUNCTION("IFERROR(VLOOKUP(A8644, IMPORTRANGE(""https://docs.google.com/spreadsheets/d/1AVX9GT0dgogEBStecCXMMQ29tWz3gBrtNB8yIromXbY/edit?gid=741673867"", ""out1g!A:B""), 2, FALSE), 0)"),123.0)</f>
        <v>123</v>
      </c>
      <c r="D8644" s="2" t="str">
        <f>IFERROR(__xludf.DUMMYFUNCTION("IFERROR(VLOOKUP(A8644, IMPORTRANGE(""https://docs.google.com/spreadsheets/d/1-3Vjw2Cyy-mry5gbC8ypIR3YVGFfEpyFESummAta6sg/edit"", ""Sheet1!B:D""), 2, FALSE), ""Not Found"")"),"ɪnʤɛkt")</f>
        <v>ɪnʤɛkt</v>
      </c>
      <c r="E8644" s="2" t="str">
        <f>IFERROR(__xludf.DUMMYFUNCTION("IFERROR(VLOOKUP(A8644, IMPORTRANGE(""https://docs.google.com/spreadsheets/d/1-3Vjw2Cyy-mry5gbC8ypIR3YVGFfEpyFESummAta6sg/edit"", ""Sheet1!B:D""), 3, FALSE), ""Not Found"")"),"ɪ n ʤ ɛ k t ")</f>
        <v>ɪ n ʤ ɛ k t </v>
      </c>
    </row>
    <row r="8645">
      <c r="A8645" s="1" t="s">
        <v>8646</v>
      </c>
      <c r="B8645" s="1" t="s">
        <v>6138</v>
      </c>
      <c r="C8645" s="2">
        <f>IFERROR(__xludf.DUMMYFUNCTION("IFERROR(VLOOKUP(A8645, IMPORTRANGE(""https://docs.google.com/spreadsheets/d/1AVX9GT0dgogEBStecCXMMQ29tWz3gBrtNB8yIromXbY/edit?gid=741673867"", ""out1g!A:B""), 2, FALSE), 0)"),1094.0)</f>
        <v>1094</v>
      </c>
      <c r="D8645" s="2" t="str">
        <f>IFERROR(__xludf.DUMMYFUNCTION("IFERROR(VLOOKUP(A8645, IMPORTRANGE(""https://docs.google.com/spreadsheets/d/1-3Vjw2Cyy-mry5gbC8ypIR3YVGFfEpyFESummAta6sg/edit"", ""Sheet1!B:D""), 2, FALSE), ""Not Found"")"),"vɪktəri")</f>
        <v>vɪktəri</v>
      </c>
      <c r="E8645" s="2" t="str">
        <f>IFERROR(__xludf.DUMMYFUNCTION("IFERROR(VLOOKUP(A8645, IMPORTRANGE(""https://docs.google.com/spreadsheets/d/1-3Vjw2Cyy-mry5gbC8ypIR3YVGFfEpyFESummAta6sg/edit"", ""Sheet1!B:D""), 3, FALSE), ""Not Found"")"),"v ɪ k t ə r i ")</f>
        <v>v ɪ k t ə r i </v>
      </c>
    </row>
    <row r="8646">
      <c r="A8646" s="1" t="s">
        <v>8647</v>
      </c>
      <c r="B8646" s="1" t="s">
        <v>6138</v>
      </c>
      <c r="C8646" s="2">
        <f>IFERROR(__xludf.DUMMYFUNCTION("IFERROR(VLOOKUP(A8646, IMPORTRANGE(""https://docs.google.com/spreadsheets/d/1AVX9GT0dgogEBStecCXMMQ29tWz3gBrtNB8yIromXbY/edit?gid=741673867"", ""out1g!A:B""), 2, FALSE), 0)"),81.0)</f>
        <v>81</v>
      </c>
      <c r="D8646" s="2" t="str">
        <f>IFERROR(__xludf.DUMMYFUNCTION("IFERROR(VLOOKUP(A8646, IMPORTRANGE(""https://docs.google.com/spreadsheets/d/1-3Vjw2Cyy-mry5gbC8ypIR3YVGFfEpyFESummAta6sg/edit"", ""Sheet1!B:D""), 2, FALSE), ""Not Found"")"),"ʤækəl")</f>
        <v>ʤækəl</v>
      </c>
      <c r="E8646" s="2" t="str">
        <f>IFERROR(__xludf.DUMMYFUNCTION("IFERROR(VLOOKUP(A8646, IMPORTRANGE(""https://docs.google.com/spreadsheets/d/1-3Vjw2Cyy-mry5gbC8ypIR3YVGFfEpyFESummAta6sg/edit"", ""Sheet1!B:D""), 3, FALSE), ""Not Found"")"),"ʤ æ k ə l ")</f>
        <v>ʤ æ k ə l </v>
      </c>
    </row>
    <row r="8647">
      <c r="A8647" s="1" t="s">
        <v>8648</v>
      </c>
      <c r="B8647" s="1" t="s">
        <v>6138</v>
      </c>
      <c r="C8647" s="2">
        <f>IFERROR(__xludf.DUMMYFUNCTION("IFERROR(VLOOKUP(A8647, IMPORTRANGE(""https://docs.google.com/spreadsheets/d/1AVX9GT0dgogEBStecCXMMQ29tWz3gBrtNB8yIromXbY/edit?gid=741673867"", ""out1g!A:B""), 2, FALSE), 0)"),105.0)</f>
        <v>105</v>
      </c>
      <c r="D8647" s="2" t="str">
        <f>IFERROR(__xludf.DUMMYFUNCTION("IFERROR(VLOOKUP(A8647, IMPORTRANGE(""https://docs.google.com/spreadsheets/d/1-3Vjw2Cyy-mry5gbC8ypIR3YVGFfEpyFESummAta6sg/edit"", ""Sheet1!B:D""), 2, FALSE), ""Not Found"")"),"bitəl")</f>
        <v>bitəl</v>
      </c>
      <c r="E8647" s="2" t="str">
        <f>IFERROR(__xludf.DUMMYFUNCTION("IFERROR(VLOOKUP(A8647, IMPORTRANGE(""https://docs.google.com/spreadsheets/d/1-3Vjw2Cyy-mry5gbC8ypIR3YVGFfEpyFESummAta6sg/edit"", ""Sheet1!B:D""), 3, FALSE), ""Not Found"")"),"b i t ə l ")</f>
        <v>b i t ə l </v>
      </c>
    </row>
    <row r="8648">
      <c r="A8648" s="1" t="s">
        <v>8649</v>
      </c>
      <c r="B8648" s="1" t="s">
        <v>6138</v>
      </c>
      <c r="C8648" s="2">
        <f>IFERROR(__xludf.DUMMYFUNCTION("IFERROR(VLOOKUP(A8648, IMPORTRANGE(""https://docs.google.com/spreadsheets/d/1AVX9GT0dgogEBStecCXMMQ29tWz3gBrtNB8yIromXbY/edit?gid=741673867"", ""out1g!A:B""), 2, FALSE), 0)"),900.0)</f>
        <v>900</v>
      </c>
      <c r="D8648" s="2" t="str">
        <f>IFERROR(__xludf.DUMMYFUNCTION("IFERROR(VLOOKUP(A8648, IMPORTRANGE(""https://docs.google.com/spreadsheets/d/1-3Vjw2Cyy-mry5gbC8ypIR3YVGFfEpyFESummAta6sg/edit"", ""Sheet1!B:D""), 2, FALSE), ""Not Found"")"),"mɑrʃəl")</f>
        <v>mɑrʃəl</v>
      </c>
      <c r="E8648" s="2" t="str">
        <f>IFERROR(__xludf.DUMMYFUNCTION("IFERROR(VLOOKUP(A8648, IMPORTRANGE(""https://docs.google.com/spreadsheets/d/1-3Vjw2Cyy-mry5gbC8ypIR3YVGFfEpyFESummAta6sg/edit"", ""Sheet1!B:D""), 3, FALSE), ""Not Found"")"),"m ɑ r ʃ ə l ")</f>
        <v>m ɑ r ʃ ə l </v>
      </c>
    </row>
    <row r="8649">
      <c r="A8649" s="1" t="s">
        <v>8650</v>
      </c>
      <c r="B8649" s="1" t="s">
        <v>6138</v>
      </c>
      <c r="C8649" s="2">
        <f>IFERROR(__xludf.DUMMYFUNCTION("IFERROR(VLOOKUP(A8649, IMPORTRANGE(""https://docs.google.com/spreadsheets/d/1AVX9GT0dgogEBStecCXMMQ29tWz3gBrtNB8yIromXbY/edit?gid=741673867"", ""out1g!A:B""), 2, FALSE), 0)"),659.0)</f>
        <v>659</v>
      </c>
      <c r="D8649" s="2" t="str">
        <f>IFERROR(__xludf.DUMMYFUNCTION("IFERROR(VLOOKUP(A8649, IMPORTRANGE(""https://docs.google.com/spreadsheets/d/1-3Vjw2Cyy-mry5gbC8ypIR3YVGFfEpyFESummAta6sg/edit"", ""Sheet1!B:D""), 2, FALSE), ""Not Found"")"),"sæk")</f>
        <v>sæk</v>
      </c>
      <c r="E8649" s="2" t="str">
        <f>IFERROR(__xludf.DUMMYFUNCTION("IFERROR(VLOOKUP(A8649, IMPORTRANGE(""https://docs.google.com/spreadsheets/d/1-3Vjw2Cyy-mry5gbC8ypIR3YVGFfEpyFESummAta6sg/edit"", ""Sheet1!B:D""), 3, FALSE), ""Not Found"")"),"s æ k ")</f>
        <v>s æ k </v>
      </c>
    </row>
    <row r="8650">
      <c r="A8650" s="1" t="s">
        <v>8651</v>
      </c>
      <c r="B8650" s="1" t="s">
        <v>6138</v>
      </c>
      <c r="C8650" s="2">
        <f>IFERROR(__xludf.DUMMYFUNCTION("IFERROR(VLOOKUP(A8650, IMPORTRANGE(""https://docs.google.com/spreadsheets/d/1AVX9GT0dgogEBStecCXMMQ29tWz3gBrtNB8yIromXbY/edit?gid=741673867"", ""out1g!A:B""), 2, FALSE), 0)"),406.0)</f>
        <v>406</v>
      </c>
      <c r="D8650" s="2" t="str">
        <f>IFERROR(__xludf.DUMMYFUNCTION("IFERROR(VLOOKUP(A8650, IMPORTRANGE(""https://docs.google.com/spreadsheets/d/1-3Vjw2Cyy-mry5gbC8ypIR3YVGFfEpyFESummAta6sg/edit"", ""Sheet1!B:D""), 2, FALSE), ""Not Found"")"),"wɑʧɪz")</f>
        <v>wɑʧɪz</v>
      </c>
      <c r="E8650" s="2" t="str">
        <f>IFERROR(__xludf.DUMMYFUNCTION("IFERROR(VLOOKUP(A8650, IMPORTRANGE(""https://docs.google.com/spreadsheets/d/1-3Vjw2Cyy-mry5gbC8ypIR3YVGFfEpyFESummAta6sg/edit"", ""Sheet1!B:D""), 3, FALSE), ""Not Found"")"),"w ɑ ʧ ɪ z ")</f>
        <v>w ɑ ʧ ɪ z </v>
      </c>
    </row>
    <row r="8651">
      <c r="A8651" s="1" t="s">
        <v>8652</v>
      </c>
      <c r="B8651" s="1" t="s">
        <v>6138</v>
      </c>
      <c r="C8651" s="2">
        <f>IFERROR(__xludf.DUMMYFUNCTION("IFERROR(VLOOKUP(A8651, IMPORTRANGE(""https://docs.google.com/spreadsheets/d/1AVX9GT0dgogEBStecCXMMQ29tWz3gBrtNB8yIromXbY/edit?gid=741673867"", ""out1g!A:B""), 2, FALSE), 0)"),86.0)</f>
        <v>86</v>
      </c>
      <c r="D8651" s="2" t="str">
        <f>IFERROR(__xludf.DUMMYFUNCTION("IFERROR(VLOOKUP(A8651, IMPORTRANGE(""https://docs.google.com/spreadsheets/d/1-3Vjw2Cyy-mry5gbC8ypIR3YVGFfEpyFESummAta6sg/edit"", ""Sheet1!B:D""), 2, FALSE), ""Not Found"")"),"stərdi")</f>
        <v>stərdi</v>
      </c>
      <c r="E8651" s="2" t="str">
        <f>IFERROR(__xludf.DUMMYFUNCTION("IFERROR(VLOOKUP(A8651, IMPORTRANGE(""https://docs.google.com/spreadsheets/d/1-3Vjw2Cyy-mry5gbC8ypIR3YVGFfEpyFESummAta6sg/edit"", ""Sheet1!B:D""), 3, FALSE), ""Not Found"")"),"s t ə r d i ")</f>
        <v>s t ə r d i </v>
      </c>
    </row>
    <row r="8652">
      <c r="A8652" s="1" t="s">
        <v>8653</v>
      </c>
      <c r="B8652" s="1" t="s">
        <v>6138</v>
      </c>
      <c r="C8652" s="2">
        <f>IFERROR(__xludf.DUMMYFUNCTION("IFERROR(VLOOKUP(A8652, IMPORTRANGE(""https://docs.google.com/spreadsheets/d/1AVX9GT0dgogEBStecCXMMQ29tWz3gBrtNB8yIromXbY/edit?gid=741673867"", ""out1g!A:B""), 2, FALSE), 0)"),63.0)</f>
        <v>63</v>
      </c>
      <c r="D8652" s="2" t="str">
        <f>IFERROR(__xludf.DUMMYFUNCTION("IFERROR(VLOOKUP(A8652, IMPORTRANGE(""https://docs.google.com/spreadsheets/d/1-3Vjw2Cyy-mry5gbC8ypIR3YVGFfEpyFESummAta6sg/edit"", ""Sheet1!B:D""), 2, FALSE), ""Not Found"")"),"sərin")</f>
        <v>sərin</v>
      </c>
      <c r="E8652" s="2" t="str">
        <f>IFERROR(__xludf.DUMMYFUNCTION("IFERROR(VLOOKUP(A8652, IMPORTRANGE(""https://docs.google.com/spreadsheets/d/1-3Vjw2Cyy-mry5gbC8ypIR3YVGFfEpyFESummAta6sg/edit"", ""Sheet1!B:D""), 3, FALSE), ""Not Found"")"),"s ə r i n ")</f>
        <v>s ə r i n </v>
      </c>
    </row>
    <row r="8653">
      <c r="A8653" s="1" t="s">
        <v>8654</v>
      </c>
      <c r="B8653" s="1" t="s">
        <v>6138</v>
      </c>
      <c r="C8653" s="2">
        <f>IFERROR(__xludf.DUMMYFUNCTION("IFERROR(VLOOKUP(A8653, IMPORTRANGE(""https://docs.google.com/spreadsheets/d/1AVX9GT0dgogEBStecCXMMQ29tWz3gBrtNB8yIromXbY/edit?gid=741673867"", ""out1g!A:B""), 2, FALSE), 0)"),58.0)</f>
        <v>58</v>
      </c>
      <c r="D8653" s="2" t="str">
        <f>IFERROR(__xludf.DUMMYFUNCTION("IFERROR(VLOOKUP(A8653, IMPORTRANGE(""https://docs.google.com/spreadsheets/d/1-3Vjw2Cyy-mry5gbC8ypIR3YVGFfEpyFESummAta6sg/edit"", ""Sheet1!B:D""), 2, FALSE), ""Not Found"")"),"brevər")</f>
        <v>brevər</v>
      </c>
      <c r="E8653" s="2" t="str">
        <f>IFERROR(__xludf.DUMMYFUNCTION("IFERROR(VLOOKUP(A8653, IMPORTRANGE(""https://docs.google.com/spreadsheets/d/1-3Vjw2Cyy-mry5gbC8ypIR3YVGFfEpyFESummAta6sg/edit"", ""Sheet1!B:D""), 3, FALSE), ""Not Found"")"),"b r e v ə r ")</f>
        <v>b r e v ə r </v>
      </c>
    </row>
    <row r="8654">
      <c r="A8654" s="1" t="s">
        <v>8655</v>
      </c>
      <c r="B8654" s="1" t="s">
        <v>6138</v>
      </c>
      <c r="C8654" s="2">
        <f>IFERROR(__xludf.DUMMYFUNCTION("IFERROR(VLOOKUP(A8654, IMPORTRANGE(""https://docs.google.com/spreadsheets/d/1AVX9GT0dgogEBStecCXMMQ29tWz3gBrtNB8yIromXbY/edit?gid=741673867"", ""out1g!A:B""), 2, FALSE), 0)"),139.0)</f>
        <v>139</v>
      </c>
      <c r="D8654" s="2" t="str">
        <f>IFERROR(__xludf.DUMMYFUNCTION("IFERROR(VLOOKUP(A8654, IMPORTRANGE(""https://docs.google.com/spreadsheets/d/1-3Vjw2Cyy-mry5gbC8ypIR3YVGFfEpyFESummAta6sg/edit"", ""Sheet1!B:D""), 2, FALSE), ""Not Found"")"),"pents")</f>
        <v>pents</v>
      </c>
      <c r="E8654" s="2" t="str">
        <f>IFERROR(__xludf.DUMMYFUNCTION("IFERROR(VLOOKUP(A8654, IMPORTRANGE(""https://docs.google.com/spreadsheets/d/1-3Vjw2Cyy-mry5gbC8ypIR3YVGFfEpyFESummAta6sg/edit"", ""Sheet1!B:D""), 3, FALSE), ""Not Found"")"),"p e n t s ")</f>
        <v>p e n t s </v>
      </c>
    </row>
    <row r="8655">
      <c r="A8655" s="1" t="s">
        <v>8656</v>
      </c>
      <c r="B8655" s="1" t="s">
        <v>6138</v>
      </c>
      <c r="C8655" s="2">
        <f>IFERROR(__xludf.DUMMYFUNCTION("IFERROR(VLOOKUP(A8655, IMPORTRANGE(""https://docs.google.com/spreadsheets/d/1AVX9GT0dgogEBStecCXMMQ29tWz3gBrtNB8yIromXbY/edit?gid=741673867"", ""out1g!A:B""), 2, FALSE), 0)"),55.0)</f>
        <v>55</v>
      </c>
      <c r="D8655" s="2" t="str">
        <f>IFERROR(__xludf.DUMMYFUNCTION("IFERROR(VLOOKUP(A8655, IMPORTRANGE(""https://docs.google.com/spreadsheets/d/1-3Vjw2Cyy-mry5gbC8ypIR3YVGFfEpyFESummAta6sg/edit"", ""Sheet1!B:D""), 2, FALSE), ""Not Found"")"),"əstərn")</f>
        <v>əstərn</v>
      </c>
      <c r="E8655" s="2" t="str">
        <f>IFERROR(__xludf.DUMMYFUNCTION("IFERROR(VLOOKUP(A8655, IMPORTRANGE(""https://docs.google.com/spreadsheets/d/1-3Vjw2Cyy-mry5gbC8ypIR3YVGFfEpyFESummAta6sg/edit"", ""Sheet1!B:D""), 3, FALSE), ""Not Found"")"),"ə s t ə r n ")</f>
        <v>ə s t ə r n </v>
      </c>
    </row>
    <row r="8656">
      <c r="A8656" s="1" t="s">
        <v>8657</v>
      </c>
      <c r="B8656" s="1" t="s">
        <v>6138</v>
      </c>
      <c r="C8656" s="2">
        <f>IFERROR(__xludf.DUMMYFUNCTION("IFERROR(VLOOKUP(A8656, IMPORTRANGE(""https://docs.google.com/spreadsheets/d/1AVX9GT0dgogEBStecCXMMQ29tWz3gBrtNB8yIromXbY/edit?gid=741673867"", ""out1g!A:B""), 2, FALSE), 0)"),319.0)</f>
        <v>319</v>
      </c>
      <c r="D8656" s="2" t="str">
        <f>IFERROR(__xludf.DUMMYFUNCTION("IFERROR(VLOOKUP(A8656, IMPORTRANGE(""https://docs.google.com/spreadsheets/d/1-3Vjw2Cyy-mry5gbC8ypIR3YVGFfEpyFESummAta6sg/edit"", ""Sheet1!B:D""), 2, FALSE), ""Not Found"")"),"pjuk")</f>
        <v>pjuk</v>
      </c>
      <c r="E8656" s="2" t="str">
        <f>IFERROR(__xludf.DUMMYFUNCTION("IFERROR(VLOOKUP(A8656, IMPORTRANGE(""https://docs.google.com/spreadsheets/d/1-3Vjw2Cyy-mry5gbC8ypIR3YVGFfEpyFESummAta6sg/edit"", ""Sheet1!B:D""), 3, FALSE), ""Not Found"")"),"p j u k ")</f>
        <v>p j u k </v>
      </c>
    </row>
    <row r="8657">
      <c r="A8657" s="1" t="s">
        <v>8658</v>
      </c>
      <c r="B8657" s="1" t="s">
        <v>6138</v>
      </c>
      <c r="C8657" s="2">
        <f>IFERROR(__xludf.DUMMYFUNCTION("IFERROR(VLOOKUP(A8657, IMPORTRANGE(""https://docs.google.com/spreadsheets/d/1AVX9GT0dgogEBStecCXMMQ29tWz3gBrtNB8yIromXbY/edit?gid=741673867"", ""out1g!A:B""), 2, FALSE), 0)"),212.0)</f>
        <v>212</v>
      </c>
      <c r="D8657" s="2" t="str">
        <f>IFERROR(__xludf.DUMMYFUNCTION("IFERROR(VLOOKUP(A8657, IMPORTRANGE(""https://docs.google.com/spreadsheets/d/1-3Vjw2Cyy-mry5gbC8ypIR3YVGFfEpyFESummAta6sg/edit"", ""Sheet1!B:D""), 2, FALSE), ""Not Found"")"),"pɛrz")</f>
        <v>pɛrz</v>
      </c>
      <c r="E8657" s="2" t="str">
        <f>IFERROR(__xludf.DUMMYFUNCTION("IFERROR(VLOOKUP(A8657, IMPORTRANGE(""https://docs.google.com/spreadsheets/d/1-3Vjw2Cyy-mry5gbC8ypIR3YVGFfEpyFESummAta6sg/edit"", ""Sheet1!B:D""), 3, FALSE), ""Not Found"")"),"p ɛ r z ")</f>
        <v>p ɛ r z </v>
      </c>
    </row>
    <row r="8658">
      <c r="A8658" s="1" t="s">
        <v>8659</v>
      </c>
      <c r="B8658" s="1" t="s">
        <v>6138</v>
      </c>
      <c r="C8658" s="2">
        <f>IFERROR(__xludf.DUMMYFUNCTION("IFERROR(VLOOKUP(A8658, IMPORTRANGE(""https://docs.google.com/spreadsheets/d/1AVX9GT0dgogEBStecCXMMQ29tWz3gBrtNB8yIromXbY/edit?gid=741673867"", ""out1g!A:B""), 2, FALSE), 0)"),349.0)</f>
        <v>349</v>
      </c>
      <c r="D8658" s="2" t="str">
        <f>IFERROR(__xludf.DUMMYFUNCTION("IFERROR(VLOOKUP(A8658, IMPORTRANGE(""https://docs.google.com/spreadsheets/d/1-3Vjw2Cyy-mry5gbC8ypIR3YVGFfEpyFESummAta6sg/edit"", ""Sheet1!B:D""), 2, FALSE), ""Not Found"")"),"ʃəvəl")</f>
        <v>ʃəvəl</v>
      </c>
      <c r="E8658" s="2" t="str">
        <f>IFERROR(__xludf.DUMMYFUNCTION("IFERROR(VLOOKUP(A8658, IMPORTRANGE(""https://docs.google.com/spreadsheets/d/1-3Vjw2Cyy-mry5gbC8ypIR3YVGFfEpyFESummAta6sg/edit"", ""Sheet1!B:D""), 3, FALSE), ""Not Found"")"),"ʃ ə v ə l ")</f>
        <v>ʃ ə v ə l </v>
      </c>
    </row>
    <row r="8659">
      <c r="A8659" s="1" t="s">
        <v>8660</v>
      </c>
      <c r="B8659" s="1" t="s">
        <v>6138</v>
      </c>
      <c r="C8659" s="2">
        <f>IFERROR(__xludf.DUMMYFUNCTION("IFERROR(VLOOKUP(A8659, IMPORTRANGE(""https://docs.google.com/spreadsheets/d/1AVX9GT0dgogEBStecCXMMQ29tWz3gBrtNB8yIromXbY/edit?gid=741673867"", ""out1g!A:B""), 2, FALSE), 0)"),97.0)</f>
        <v>97</v>
      </c>
      <c r="D8659" s="2" t="str">
        <f>IFERROR(__xludf.DUMMYFUNCTION("IFERROR(VLOOKUP(A8659, IMPORTRANGE(""https://docs.google.com/spreadsheets/d/1-3Vjw2Cyy-mry5gbC8ypIR3YVGFfEpyFESummAta6sg/edit"", ""Sheet1!B:D""), 2, FALSE), ""Not Found"")"),"kɔriənz")</f>
        <v>kɔriənz</v>
      </c>
      <c r="E8659" s="2" t="str">
        <f>IFERROR(__xludf.DUMMYFUNCTION("IFERROR(VLOOKUP(A8659, IMPORTRANGE(""https://docs.google.com/spreadsheets/d/1-3Vjw2Cyy-mry5gbC8ypIR3YVGFfEpyFESummAta6sg/edit"", ""Sheet1!B:D""), 3, FALSE), ""Not Found"")"),"k ɔ r i ə n z ")</f>
        <v>k ɔ r i ə n z </v>
      </c>
    </row>
    <row r="8660">
      <c r="A8660" s="1" t="s">
        <v>8661</v>
      </c>
      <c r="B8660" s="1" t="s">
        <v>6138</v>
      </c>
      <c r="C8660" s="2">
        <f>IFERROR(__xludf.DUMMYFUNCTION("IFERROR(VLOOKUP(A8660, IMPORTRANGE(""https://docs.google.com/spreadsheets/d/1AVX9GT0dgogEBStecCXMMQ29tWz3gBrtNB8yIromXbY/edit?gid=741673867"", ""out1g!A:B""), 2, FALSE), 0)"),102.0)</f>
        <v>102</v>
      </c>
      <c r="D8660" s="2" t="str">
        <f>IFERROR(__xludf.DUMMYFUNCTION("IFERROR(VLOOKUP(A8660, IMPORTRANGE(""https://docs.google.com/spreadsheets/d/1-3Vjw2Cyy-mry5gbC8ypIR3YVGFfEpyFESummAta6sg/edit"", ""Sheet1!B:D""), 2, FALSE), ""Not Found"")"),"ʃutərz")</f>
        <v>ʃutərz</v>
      </c>
      <c r="E8660" s="2" t="str">
        <f>IFERROR(__xludf.DUMMYFUNCTION("IFERROR(VLOOKUP(A8660, IMPORTRANGE(""https://docs.google.com/spreadsheets/d/1-3Vjw2Cyy-mry5gbC8ypIR3YVGFfEpyFESummAta6sg/edit"", ""Sheet1!B:D""), 3, FALSE), ""Not Found"")"),"ʃ u t ə r z ")</f>
        <v>ʃ u t ə r z </v>
      </c>
    </row>
    <row r="8661">
      <c r="A8661" s="1" t="s">
        <v>8662</v>
      </c>
      <c r="B8661" s="1" t="s">
        <v>6138</v>
      </c>
      <c r="C8661" s="2">
        <f>IFERROR(__xludf.DUMMYFUNCTION("IFERROR(VLOOKUP(A8661, IMPORTRANGE(""https://docs.google.com/spreadsheets/d/1AVX9GT0dgogEBStecCXMMQ29tWz3gBrtNB8yIromXbY/edit?gid=741673867"", ""out1g!A:B""), 2, FALSE), 0)"),235.0)</f>
        <v>235</v>
      </c>
      <c r="D8661" s="2" t="str">
        <f>IFERROR(__xludf.DUMMYFUNCTION("IFERROR(VLOOKUP(A8661, IMPORTRANGE(""https://docs.google.com/spreadsheets/d/1-3Vjw2Cyy-mry5gbC8ypIR3YVGFfEpyFESummAta6sg/edit"", ""Sheet1!B:D""), 2, FALSE), ""Not Found"")"),"ənloʊd")</f>
        <v>ənloʊd</v>
      </c>
      <c r="E8661" s="2" t="str">
        <f>IFERROR(__xludf.DUMMYFUNCTION("IFERROR(VLOOKUP(A8661, IMPORTRANGE(""https://docs.google.com/spreadsheets/d/1-3Vjw2Cyy-mry5gbC8ypIR3YVGFfEpyFESummAta6sg/edit"", ""Sheet1!B:D""), 3, FALSE), ""Not Found"")"),"ə n l o ʊ d ")</f>
        <v>ə n l o ʊ d </v>
      </c>
    </row>
    <row r="8662">
      <c r="A8662" s="1" t="s">
        <v>8663</v>
      </c>
      <c r="B8662" s="1" t="s">
        <v>6138</v>
      </c>
      <c r="C8662" s="2">
        <f>IFERROR(__xludf.DUMMYFUNCTION("IFERROR(VLOOKUP(A8662, IMPORTRANGE(""https://docs.google.com/spreadsheets/d/1AVX9GT0dgogEBStecCXMMQ29tWz3gBrtNB8yIromXbY/edit?gid=741673867"", ""out1g!A:B""), 2, FALSE), 0)"),25.0)</f>
        <v>25</v>
      </c>
      <c r="D8662" s="2" t="str">
        <f>IFERROR(__xludf.DUMMYFUNCTION("IFERROR(VLOOKUP(A8662, IMPORTRANGE(""https://docs.google.com/spreadsheets/d/1-3Vjw2Cyy-mry5gbC8ypIR3YVGFfEpyFESummAta6sg/edit"", ""Sheet1!B:D""), 2, FALSE), ""Not Found"")"),"gæbɪŋ")</f>
        <v>gæbɪŋ</v>
      </c>
      <c r="E8662" s="2" t="str">
        <f>IFERROR(__xludf.DUMMYFUNCTION("IFERROR(VLOOKUP(A8662, IMPORTRANGE(""https://docs.google.com/spreadsheets/d/1-3Vjw2Cyy-mry5gbC8ypIR3YVGFfEpyFESummAta6sg/edit"", ""Sheet1!B:D""), 3, FALSE), ""Not Found"")"),"g æ b ɪ ŋ ")</f>
        <v>g æ b ɪ ŋ </v>
      </c>
    </row>
    <row r="8663">
      <c r="A8663" s="1" t="s">
        <v>8664</v>
      </c>
      <c r="B8663" s="1" t="s">
        <v>6138</v>
      </c>
      <c r="C8663" s="2">
        <f>IFERROR(__xludf.DUMMYFUNCTION("IFERROR(VLOOKUP(A8663, IMPORTRANGE(""https://docs.google.com/spreadsheets/d/1AVX9GT0dgogEBStecCXMMQ29tWz3gBrtNB8yIromXbY/edit?gid=741673867"", ""out1g!A:B""), 2, FALSE), 0)"),179.0)</f>
        <v>179</v>
      </c>
      <c r="D8663" s="2" t="str">
        <f>IFERROR(__xludf.DUMMYFUNCTION("IFERROR(VLOOKUP(A8663, IMPORTRANGE(""https://docs.google.com/spreadsheets/d/1-3Vjw2Cyy-mry5gbC8ypIR3YVGFfEpyFESummAta6sg/edit"", ""Sheet1!B:D""), 2, FALSE), ""Not Found"")"),"kraʊdz")</f>
        <v>kraʊdz</v>
      </c>
      <c r="E8663" s="2" t="str">
        <f>IFERROR(__xludf.DUMMYFUNCTION("IFERROR(VLOOKUP(A8663, IMPORTRANGE(""https://docs.google.com/spreadsheets/d/1-3Vjw2Cyy-mry5gbC8ypIR3YVGFfEpyFESummAta6sg/edit"", ""Sheet1!B:D""), 3, FALSE), ""Not Found"")"),"k r a ʊ d z ")</f>
        <v>k r a ʊ d z </v>
      </c>
    </row>
    <row r="8664">
      <c r="A8664" s="1" t="s">
        <v>8665</v>
      </c>
      <c r="B8664" s="1" t="s">
        <v>6138</v>
      </c>
      <c r="C8664" s="2">
        <f>IFERROR(__xludf.DUMMYFUNCTION("IFERROR(VLOOKUP(A8664, IMPORTRANGE(""https://docs.google.com/spreadsheets/d/1AVX9GT0dgogEBStecCXMMQ29tWz3gBrtNB8yIromXbY/edit?gid=741673867"", ""out1g!A:B""), 2, FALSE), 0)"),1333.0)</f>
        <v>1333</v>
      </c>
      <c r="D8664" s="2" t="str">
        <f>IFERROR(__xludf.DUMMYFUNCTION("IFERROR(VLOOKUP(A8664, IMPORTRANGE(""https://docs.google.com/spreadsheets/d/1-3Vjw2Cyy-mry5gbC8ypIR3YVGFfEpyFESummAta6sg/edit"", ""Sheet1!B:D""), 2, FALSE), ""Not Found"")"),"kloʊzɪŋ")</f>
        <v>kloʊzɪŋ</v>
      </c>
      <c r="E8664" s="2" t="str">
        <f>IFERROR(__xludf.DUMMYFUNCTION("IFERROR(VLOOKUP(A8664, IMPORTRANGE(""https://docs.google.com/spreadsheets/d/1-3Vjw2Cyy-mry5gbC8ypIR3YVGFfEpyFESummAta6sg/edit"", ""Sheet1!B:D""), 3, FALSE), ""Not Found"")"),"k l o ʊ z ɪ ŋ ")</f>
        <v>k l o ʊ z ɪ ŋ </v>
      </c>
    </row>
    <row r="8665">
      <c r="A8665" s="1" t="s">
        <v>8666</v>
      </c>
      <c r="B8665" s="1" t="s">
        <v>6138</v>
      </c>
      <c r="C8665" s="2">
        <f>IFERROR(__xludf.DUMMYFUNCTION("IFERROR(VLOOKUP(A8665, IMPORTRANGE(""https://docs.google.com/spreadsheets/d/1AVX9GT0dgogEBStecCXMMQ29tWz3gBrtNB8yIromXbY/edit?gid=741673867"", ""out1g!A:B""), 2, FALSE), 0)"),136.0)</f>
        <v>136</v>
      </c>
      <c r="D8665" s="2" t="str">
        <f>IFERROR(__xludf.DUMMYFUNCTION("IFERROR(VLOOKUP(A8665, IMPORTRANGE(""https://docs.google.com/spreadsheets/d/1-3Vjw2Cyy-mry5gbC8ypIR3YVGFfEpyFESummAta6sg/edit"", ""Sheet1!B:D""), 2, FALSE), ""Not Found"")"),"məŋks")</f>
        <v>məŋks</v>
      </c>
      <c r="E8665" s="2" t="str">
        <f>IFERROR(__xludf.DUMMYFUNCTION("IFERROR(VLOOKUP(A8665, IMPORTRANGE(""https://docs.google.com/spreadsheets/d/1-3Vjw2Cyy-mry5gbC8ypIR3YVGFfEpyFESummAta6sg/edit"", ""Sheet1!B:D""), 3, FALSE), ""Not Found"")"),"m ə ŋ k s ")</f>
        <v>m ə ŋ k s </v>
      </c>
    </row>
    <row r="8666">
      <c r="A8666" s="1" t="s">
        <v>8667</v>
      </c>
      <c r="B8666" s="1" t="s">
        <v>6138</v>
      </c>
      <c r="C8666" s="2">
        <f>IFERROR(__xludf.DUMMYFUNCTION("IFERROR(VLOOKUP(A8666, IMPORTRANGE(""https://docs.google.com/spreadsheets/d/1AVX9GT0dgogEBStecCXMMQ29tWz3gBrtNB8yIromXbY/edit?gid=741673867"", ""out1g!A:B""), 2, FALSE), 0)"),146.0)</f>
        <v>146</v>
      </c>
      <c r="D8666" s="2" t="str">
        <f>IFERROR(__xludf.DUMMYFUNCTION("IFERROR(VLOOKUP(A8666, IMPORTRANGE(""https://docs.google.com/spreadsheets/d/1-3Vjw2Cyy-mry5gbC8ypIR3YVGFfEpyFESummAta6sg/edit"", ""Sheet1!B:D""), 2, FALSE), ""Not Found"")"),"taɪtən")</f>
        <v>taɪtən</v>
      </c>
      <c r="E8666" s="2" t="str">
        <f>IFERROR(__xludf.DUMMYFUNCTION("IFERROR(VLOOKUP(A8666, IMPORTRANGE(""https://docs.google.com/spreadsheets/d/1-3Vjw2Cyy-mry5gbC8ypIR3YVGFfEpyFESummAta6sg/edit"", ""Sheet1!B:D""), 3, FALSE), ""Not Found"")"),"t a ɪ t ə n ")</f>
        <v>t a ɪ t ə n </v>
      </c>
    </row>
    <row r="8667">
      <c r="A8667" s="1" t="s">
        <v>8668</v>
      </c>
      <c r="B8667" s="1" t="s">
        <v>6138</v>
      </c>
      <c r="C8667" s="2">
        <f>IFERROR(__xludf.DUMMYFUNCTION("IFERROR(VLOOKUP(A8667, IMPORTRANGE(""https://docs.google.com/spreadsheets/d/1AVX9GT0dgogEBStecCXMMQ29tWz3gBrtNB8yIromXbY/edit?gid=741673867"", ""out1g!A:B""), 2, FALSE), 0)"),560.0)</f>
        <v>560</v>
      </c>
      <c r="D8667" s="2" t="str">
        <f>IFERROR(__xludf.DUMMYFUNCTION("IFERROR(VLOOKUP(A8667, IMPORTRANGE(""https://docs.google.com/spreadsheets/d/1-3Vjw2Cyy-mry5gbC8ypIR3YVGFfEpyFESummAta6sg/edit"", ""Sheet1!B:D""), 2, FALSE), ""Not Found"")"),"rɪvərs")</f>
        <v>rɪvərs</v>
      </c>
      <c r="E8667" s="2" t="str">
        <f>IFERROR(__xludf.DUMMYFUNCTION("IFERROR(VLOOKUP(A8667, IMPORTRANGE(""https://docs.google.com/spreadsheets/d/1-3Vjw2Cyy-mry5gbC8ypIR3YVGFfEpyFESummAta6sg/edit"", ""Sheet1!B:D""), 3, FALSE), ""Not Found"")"),"r ɪ v ə r s ")</f>
        <v>r ɪ v ə r s </v>
      </c>
    </row>
    <row r="8668">
      <c r="A8668" s="1" t="s">
        <v>8669</v>
      </c>
      <c r="B8668" s="1" t="s">
        <v>6138</v>
      </c>
      <c r="C8668" s="2">
        <f>IFERROR(__xludf.DUMMYFUNCTION("IFERROR(VLOOKUP(A8668, IMPORTRANGE(""https://docs.google.com/spreadsheets/d/1AVX9GT0dgogEBStecCXMMQ29tWz3gBrtNB8yIromXbY/edit?gid=741673867"", ""out1g!A:B""), 2, FALSE), 0)"),629.0)</f>
        <v>629</v>
      </c>
      <c r="D8668" s="2" t="str">
        <f>IFERROR(__xludf.DUMMYFUNCTION("IFERROR(VLOOKUP(A8668, IMPORTRANGE(""https://docs.google.com/spreadsheets/d/1-3Vjw2Cyy-mry5gbC8ypIR3YVGFfEpyFESummAta6sg/edit"", ""Sheet1!B:D""), 2, FALSE), ""Not Found"")"),"pərpəl")</f>
        <v>pərpəl</v>
      </c>
      <c r="E8668" s="2" t="str">
        <f>IFERROR(__xludf.DUMMYFUNCTION("IFERROR(VLOOKUP(A8668, IMPORTRANGE(""https://docs.google.com/spreadsheets/d/1-3Vjw2Cyy-mry5gbC8ypIR3YVGFfEpyFESummAta6sg/edit"", ""Sheet1!B:D""), 3, FALSE), ""Not Found"")"),"p ə r p ə l ")</f>
        <v>p ə r p ə l </v>
      </c>
    </row>
    <row r="8669">
      <c r="A8669" s="1" t="s">
        <v>8670</v>
      </c>
      <c r="B8669" s="1" t="s">
        <v>6138</v>
      </c>
      <c r="C8669" s="2">
        <f>IFERROR(__xludf.DUMMYFUNCTION("IFERROR(VLOOKUP(A8669, IMPORTRANGE(""https://docs.google.com/spreadsheets/d/1AVX9GT0dgogEBStecCXMMQ29tWz3gBrtNB8yIromXbY/edit?gid=741673867"", ""out1g!A:B""), 2, FALSE), 0)"),46.0)</f>
        <v>46</v>
      </c>
      <c r="D8669" s="2" t="str">
        <f>IFERROR(__xludf.DUMMYFUNCTION("IFERROR(VLOOKUP(A8669, IMPORTRANGE(""https://docs.google.com/spreadsheets/d/1-3Vjw2Cyy-mry5gbC8ypIR3YVGFfEpyFESummAta6sg/edit"", ""Sheet1!B:D""), 2, FALSE), ""Not Found"")"),"lʊki")</f>
        <v>lʊki</v>
      </c>
      <c r="E8669" s="2" t="str">
        <f>IFERROR(__xludf.DUMMYFUNCTION("IFERROR(VLOOKUP(A8669, IMPORTRANGE(""https://docs.google.com/spreadsheets/d/1-3Vjw2Cyy-mry5gbC8ypIR3YVGFfEpyFESummAta6sg/edit"", ""Sheet1!B:D""), 3, FALSE), ""Not Found"")"),"l ʊ k i ")</f>
        <v>l ʊ k i </v>
      </c>
    </row>
    <row r="8670">
      <c r="A8670" s="1" t="s">
        <v>8671</v>
      </c>
      <c r="B8670" s="1" t="s">
        <v>6138</v>
      </c>
      <c r="C8670" s="2">
        <f>IFERROR(__xludf.DUMMYFUNCTION("IFERROR(VLOOKUP(A8670, IMPORTRANGE(""https://docs.google.com/spreadsheets/d/1AVX9GT0dgogEBStecCXMMQ29tWz3gBrtNB8yIromXbY/edit?gid=741673867"", ""out1g!A:B""), 2, FALSE), 0)"),1060.0)</f>
        <v>1060</v>
      </c>
      <c r="D8670" s="2" t="str">
        <f>IFERROR(__xludf.DUMMYFUNCTION("IFERROR(VLOOKUP(A8670, IMPORTRANGE(""https://docs.google.com/spreadsheets/d/1-3Vjw2Cyy-mry5gbC8ypIR3YVGFfEpyFESummAta6sg/edit"", ""Sheet1!B:D""), 2, FALSE), ""Not Found"")"),"wɔrənt")</f>
        <v>wɔrənt</v>
      </c>
      <c r="E8670" s="2" t="str">
        <f>IFERROR(__xludf.DUMMYFUNCTION("IFERROR(VLOOKUP(A8670, IMPORTRANGE(""https://docs.google.com/spreadsheets/d/1-3Vjw2Cyy-mry5gbC8ypIR3YVGFfEpyFESummAta6sg/edit"", ""Sheet1!B:D""), 3, FALSE), ""Not Found"")"),"w ɔ r ə n t ")</f>
        <v>w ɔ r ə n t </v>
      </c>
    </row>
    <row r="8671">
      <c r="A8671" s="1" t="s">
        <v>8672</v>
      </c>
      <c r="B8671" s="1" t="s">
        <v>6138</v>
      </c>
      <c r="C8671" s="2">
        <f>IFERROR(__xludf.DUMMYFUNCTION("IFERROR(VLOOKUP(A8671, IMPORTRANGE(""https://docs.google.com/spreadsheets/d/1AVX9GT0dgogEBStecCXMMQ29tWz3gBrtNB8yIromXbY/edit?gid=741673867"", ""out1g!A:B""), 2, FALSE), 0)"),310.0)</f>
        <v>310</v>
      </c>
      <c r="D8671" s="2" t="str">
        <f>IFERROR(__xludf.DUMMYFUNCTION("IFERROR(VLOOKUP(A8671, IMPORTRANGE(""https://docs.google.com/spreadsheets/d/1-3Vjw2Cyy-mry5gbC8ypIR3YVGFfEpyFESummAta6sg/edit"", ""Sheet1!B:D""), 2, FALSE), ""Not Found"")"),"bəmpt")</f>
        <v>bəmpt</v>
      </c>
      <c r="E8671" s="2" t="str">
        <f>IFERROR(__xludf.DUMMYFUNCTION("IFERROR(VLOOKUP(A8671, IMPORTRANGE(""https://docs.google.com/spreadsheets/d/1-3Vjw2Cyy-mry5gbC8ypIR3YVGFfEpyFESummAta6sg/edit"", ""Sheet1!B:D""), 3, FALSE), ""Not Found"")"),"b ə m p t ")</f>
        <v>b ə m p t </v>
      </c>
    </row>
    <row r="8672">
      <c r="A8672" s="1" t="s">
        <v>8673</v>
      </c>
      <c r="B8672" s="1" t="s">
        <v>6138</v>
      </c>
      <c r="C8672" s="2">
        <f>IFERROR(__xludf.DUMMYFUNCTION("IFERROR(VLOOKUP(A8672, IMPORTRANGE(""https://docs.google.com/spreadsheets/d/1AVX9GT0dgogEBStecCXMMQ29tWz3gBrtNB8yIromXbY/edit?gid=741673867"", ""out1g!A:B""), 2, FALSE), 0)"),175.0)</f>
        <v>175</v>
      </c>
      <c r="D8672" s="2" t="str">
        <f>IFERROR(__xludf.DUMMYFUNCTION("IFERROR(VLOOKUP(A8672, IMPORTRANGE(""https://docs.google.com/spreadsheets/d/1-3Vjw2Cyy-mry5gbC8ypIR3YVGFfEpyFESummAta6sg/edit"", ""Sheet1!B:D""), 2, FALSE), ""Not Found"")"),"səlin")</f>
        <v>səlin</v>
      </c>
      <c r="E8672" s="2" t="str">
        <f>IFERROR(__xludf.DUMMYFUNCTION("IFERROR(VLOOKUP(A8672, IMPORTRANGE(""https://docs.google.com/spreadsheets/d/1-3Vjw2Cyy-mry5gbC8ypIR3YVGFfEpyFESummAta6sg/edit"", ""Sheet1!B:D""), 3, FALSE), ""Not Found"")"),"s ə l i n ")</f>
        <v>s ə l i n </v>
      </c>
    </row>
    <row r="8673">
      <c r="A8673" s="1" t="s">
        <v>8674</v>
      </c>
      <c r="B8673" s="1" t="s">
        <v>6138</v>
      </c>
      <c r="C8673" s="2">
        <f>IFERROR(__xludf.DUMMYFUNCTION("IFERROR(VLOOKUP(A8673, IMPORTRANGE(""https://docs.google.com/spreadsheets/d/1AVX9GT0dgogEBStecCXMMQ29tWz3gBrtNB8yIromXbY/edit?gid=741673867"", ""out1g!A:B""), 2, FALSE), 0)"),187.0)</f>
        <v>187</v>
      </c>
      <c r="D8673" s="2" t="str">
        <f>IFERROR(__xludf.DUMMYFUNCTION("IFERROR(VLOOKUP(A8673, IMPORTRANGE(""https://docs.google.com/spreadsheets/d/1-3Vjw2Cyy-mry5gbC8ypIR3YVGFfEpyFESummAta6sg/edit"", ""Sheet1!B:D""), 2, FALSE), ""Not Found"")"),"ɛstər")</f>
        <v>ɛstər</v>
      </c>
      <c r="E8673" s="2" t="str">
        <f>IFERROR(__xludf.DUMMYFUNCTION("IFERROR(VLOOKUP(A8673, IMPORTRANGE(""https://docs.google.com/spreadsheets/d/1-3Vjw2Cyy-mry5gbC8ypIR3YVGFfEpyFESummAta6sg/edit"", ""Sheet1!B:D""), 3, FALSE), ""Not Found"")"),"ɛ s t ə r ")</f>
        <v>ɛ s t ə r </v>
      </c>
    </row>
    <row r="8674">
      <c r="A8674" s="1" t="s">
        <v>8675</v>
      </c>
      <c r="B8674" s="1" t="s">
        <v>6138</v>
      </c>
      <c r="C8674" s="2">
        <f>IFERROR(__xludf.DUMMYFUNCTION("IFERROR(VLOOKUP(A8674, IMPORTRANGE(""https://docs.google.com/spreadsheets/d/1AVX9GT0dgogEBStecCXMMQ29tWz3gBrtNB8yIromXbY/edit?gid=741673867"", ""out1g!A:B""), 2, FALSE), 0)"),567.0)</f>
        <v>567</v>
      </c>
      <c r="D8674" s="2" t="str">
        <f>IFERROR(__xludf.DUMMYFUNCTION("IFERROR(VLOOKUP(A8674, IMPORTRANGE(""https://docs.google.com/spreadsheets/d/1-3Vjw2Cyy-mry5gbC8ypIR3YVGFfEpyFESummAta6sg/edit"", ""Sheet1!B:D""), 2, FALSE), ""Not Found"")"),"eʤɪz")</f>
        <v>eʤɪz</v>
      </c>
      <c r="E8674" s="2" t="str">
        <f>IFERROR(__xludf.DUMMYFUNCTION("IFERROR(VLOOKUP(A8674, IMPORTRANGE(""https://docs.google.com/spreadsheets/d/1-3Vjw2Cyy-mry5gbC8ypIR3YVGFfEpyFESummAta6sg/edit"", ""Sheet1!B:D""), 3, FALSE), ""Not Found"")"),"e ʤ ɪ z ")</f>
        <v>e ʤ ɪ z </v>
      </c>
    </row>
    <row r="8675">
      <c r="A8675" s="1" t="s">
        <v>8676</v>
      </c>
      <c r="B8675" s="1" t="s">
        <v>6138</v>
      </c>
      <c r="C8675" s="2">
        <f>IFERROR(__xludf.DUMMYFUNCTION("IFERROR(VLOOKUP(A8675, IMPORTRANGE(""https://docs.google.com/spreadsheets/d/1AVX9GT0dgogEBStecCXMMQ29tWz3gBrtNB8yIromXbY/edit?gid=741673867"", ""out1g!A:B""), 2, FALSE), 0)"),267.0)</f>
        <v>267</v>
      </c>
      <c r="D8675" s="2" t="str">
        <f>IFERROR(__xludf.DUMMYFUNCTION("IFERROR(VLOOKUP(A8675, IMPORTRANGE(""https://docs.google.com/spreadsheets/d/1-3Vjw2Cyy-mry5gbC8ypIR3YVGFfEpyFESummAta6sg/edit"", ""Sheet1!B:D""), 2, FALSE), ""Not Found"")"),"ʃu")</f>
        <v>ʃu</v>
      </c>
      <c r="E8675" s="2" t="str">
        <f>IFERROR(__xludf.DUMMYFUNCTION("IFERROR(VLOOKUP(A8675, IMPORTRANGE(""https://docs.google.com/spreadsheets/d/1-3Vjw2Cyy-mry5gbC8ypIR3YVGFfEpyFESummAta6sg/edit"", ""Sheet1!B:D""), 3, FALSE), ""Not Found"")"),"ʃ u ")</f>
        <v>ʃ u </v>
      </c>
    </row>
    <row r="8676">
      <c r="A8676" s="1" t="s">
        <v>8677</v>
      </c>
      <c r="B8676" s="1" t="s">
        <v>6138</v>
      </c>
      <c r="C8676" s="2">
        <f>IFERROR(__xludf.DUMMYFUNCTION("IFERROR(VLOOKUP(A8676, IMPORTRANGE(""https://docs.google.com/spreadsheets/d/1AVX9GT0dgogEBStecCXMMQ29tWz3gBrtNB8yIromXbY/edit?gid=741673867"", ""out1g!A:B""), 2, FALSE), 0)"),1264.0)</f>
        <v>1264</v>
      </c>
      <c r="D8676" s="2" t="str">
        <f>IFERROR(__xludf.DUMMYFUNCTION("IFERROR(VLOOKUP(A8676, IMPORTRANGE(""https://docs.google.com/spreadsheets/d/1-3Vjw2Cyy-mry5gbC8ypIR3YVGFfEpyFESummAta6sg/edit"", ""Sheet1!B:D""), 2, FALSE), ""Not Found"")"),"spɛndɪŋ")</f>
        <v>spɛndɪŋ</v>
      </c>
      <c r="E8676" s="2" t="str">
        <f>IFERROR(__xludf.DUMMYFUNCTION("IFERROR(VLOOKUP(A8676, IMPORTRANGE(""https://docs.google.com/spreadsheets/d/1-3Vjw2Cyy-mry5gbC8ypIR3YVGFfEpyFESummAta6sg/edit"", ""Sheet1!B:D""), 3, FALSE), ""Not Found"")"),"s p ɛ n d ɪ ŋ ")</f>
        <v>s p ɛ n d ɪ ŋ </v>
      </c>
    </row>
    <row r="8677">
      <c r="A8677" s="1" t="s">
        <v>8678</v>
      </c>
      <c r="B8677" s="1" t="s">
        <v>6138</v>
      </c>
      <c r="C8677" s="2">
        <f>IFERROR(__xludf.DUMMYFUNCTION("IFERROR(VLOOKUP(A8677, IMPORTRANGE(""https://docs.google.com/spreadsheets/d/1AVX9GT0dgogEBStecCXMMQ29tWz3gBrtNB8yIromXbY/edit?gid=741673867"", ""out1g!A:B""), 2, FALSE), 0)"),197.0)</f>
        <v>197</v>
      </c>
      <c r="D8677" s="2" t="str">
        <f>IFERROR(__xludf.DUMMYFUNCTION("IFERROR(VLOOKUP(A8677, IMPORTRANGE(""https://docs.google.com/spreadsheets/d/1-3Vjw2Cyy-mry5gbC8ypIR3YVGFfEpyFESummAta6sg/edit"", ""Sheet1!B:D""), 2, FALSE), ""Not Found"")"),"mɪsɪz")</f>
        <v>mɪsɪz</v>
      </c>
      <c r="E8677" s="2" t="str">
        <f>IFERROR(__xludf.DUMMYFUNCTION("IFERROR(VLOOKUP(A8677, IMPORTRANGE(""https://docs.google.com/spreadsheets/d/1-3Vjw2Cyy-mry5gbC8ypIR3YVGFfEpyFESummAta6sg/edit"", ""Sheet1!B:D""), 3, FALSE), ""Not Found"")"),"m ɪ s ɪ z ")</f>
        <v>m ɪ s ɪ z </v>
      </c>
    </row>
    <row r="8678">
      <c r="A8678" s="1" t="s">
        <v>8679</v>
      </c>
      <c r="B8678" s="1" t="s">
        <v>6138</v>
      </c>
      <c r="C8678" s="2">
        <f>IFERROR(__xludf.DUMMYFUNCTION("IFERROR(VLOOKUP(A8678, IMPORTRANGE(""https://docs.google.com/spreadsheets/d/1AVX9GT0dgogEBStecCXMMQ29tWz3gBrtNB8yIromXbY/edit?gid=741673867"", ""out1g!A:B""), 2, FALSE), 0)"),278.0)</f>
        <v>278</v>
      </c>
      <c r="D8678" s="2" t="str">
        <f>IFERROR(__xludf.DUMMYFUNCTION("IFERROR(VLOOKUP(A8678, IMPORTRANGE(""https://docs.google.com/spreadsheets/d/1-3Vjw2Cyy-mry5gbC8ypIR3YVGFfEpyFESummAta6sg/edit"", ""Sheet1!B:D""), 2, FALSE), ""Not Found"")"),"ɑrʧər")</f>
        <v>ɑrʧər</v>
      </c>
      <c r="E8678" s="2" t="str">
        <f>IFERROR(__xludf.DUMMYFUNCTION("IFERROR(VLOOKUP(A8678, IMPORTRANGE(""https://docs.google.com/spreadsheets/d/1-3Vjw2Cyy-mry5gbC8ypIR3YVGFfEpyFESummAta6sg/edit"", ""Sheet1!B:D""), 3, FALSE), ""Not Found"")"),"ɑ r ʧ ə r ")</f>
        <v>ɑ r ʧ ə r </v>
      </c>
    </row>
    <row r="8679">
      <c r="A8679" s="1" t="s">
        <v>8680</v>
      </c>
      <c r="B8679" s="1" t="s">
        <v>6138</v>
      </c>
      <c r="C8679" s="2">
        <f>IFERROR(__xludf.DUMMYFUNCTION("IFERROR(VLOOKUP(A8679, IMPORTRANGE(""https://docs.google.com/spreadsheets/d/1AVX9GT0dgogEBStecCXMMQ29tWz3gBrtNB8yIromXbY/edit?gid=741673867"", ""out1g!A:B""), 2, FALSE), 0)"),596.0)</f>
        <v>596</v>
      </c>
      <c r="D8679" s="2" t="str">
        <f>IFERROR(__xludf.DUMMYFUNCTION("IFERROR(VLOOKUP(A8679, IMPORTRANGE(""https://docs.google.com/spreadsheets/d/1-3Vjw2Cyy-mry5gbC8ypIR3YVGFfEpyFESummAta6sg/edit"", ""Sheet1!B:D""), 2, FALSE), ""Not Found"")"),"sərvɪŋ")</f>
        <v>sərvɪŋ</v>
      </c>
      <c r="E8679" s="2" t="str">
        <f>IFERROR(__xludf.DUMMYFUNCTION("IFERROR(VLOOKUP(A8679, IMPORTRANGE(""https://docs.google.com/spreadsheets/d/1-3Vjw2Cyy-mry5gbC8ypIR3YVGFfEpyFESummAta6sg/edit"", ""Sheet1!B:D""), 3, FALSE), ""Not Found"")"),"s ə r v ɪ ŋ ")</f>
        <v>s ə r v ɪ ŋ </v>
      </c>
    </row>
    <row r="8680">
      <c r="A8680" s="1" t="s">
        <v>8681</v>
      </c>
      <c r="B8680" s="1" t="s">
        <v>6138</v>
      </c>
      <c r="C8680" s="2">
        <f>IFERROR(__xludf.DUMMYFUNCTION("IFERROR(VLOOKUP(A8680, IMPORTRANGE(""https://docs.google.com/spreadsheets/d/1AVX9GT0dgogEBStecCXMMQ29tWz3gBrtNB8yIromXbY/edit?gid=741673867"", ""out1g!A:B""), 2, FALSE), 0)"),2687.0)</f>
        <v>2687</v>
      </c>
      <c r="D8680" s="2" t="str">
        <f>IFERROR(__xludf.DUMMYFUNCTION("IFERROR(VLOOKUP(A8680, IMPORTRANGE(""https://docs.google.com/spreadsheets/d/1-3Vjw2Cyy-mry5gbC8ypIR3YVGFfEpyFESummAta6sg/edit"", ""Sheet1!B:D""), 2, FALSE), ""Not Found"")"),"mæʤɪk")</f>
        <v>mæʤɪk</v>
      </c>
      <c r="E8680" s="2" t="str">
        <f>IFERROR(__xludf.DUMMYFUNCTION("IFERROR(VLOOKUP(A8680, IMPORTRANGE(""https://docs.google.com/spreadsheets/d/1-3Vjw2Cyy-mry5gbC8ypIR3YVGFfEpyFESummAta6sg/edit"", ""Sheet1!B:D""), 3, FALSE), ""Not Found"")"),"m æ ʤ ɪ k ")</f>
        <v>m æ ʤ ɪ k </v>
      </c>
    </row>
    <row r="8681">
      <c r="A8681" s="1" t="s">
        <v>8682</v>
      </c>
      <c r="B8681" s="1" t="s">
        <v>6138</v>
      </c>
      <c r="C8681" s="2">
        <f>IFERROR(__xludf.DUMMYFUNCTION("IFERROR(VLOOKUP(A8681, IMPORTRANGE(""https://docs.google.com/spreadsheets/d/1AVX9GT0dgogEBStecCXMMQ29tWz3gBrtNB8yIromXbY/edit?gid=741673867"", ""out1g!A:B""), 2, FALSE), 0)"),818.0)</f>
        <v>818</v>
      </c>
      <c r="D8681" s="2" t="str">
        <f>IFERROR(__xludf.DUMMYFUNCTION("IFERROR(VLOOKUP(A8681, IMPORTRANGE(""https://docs.google.com/spreadsheets/d/1-3Vjw2Cyy-mry5gbC8ypIR3YVGFfEpyFESummAta6sg/edit"", ""Sheet1!B:D""), 2, FALSE), ""Not Found"")"),"lændɪŋ")</f>
        <v>lændɪŋ</v>
      </c>
      <c r="E8681" s="2" t="str">
        <f>IFERROR(__xludf.DUMMYFUNCTION("IFERROR(VLOOKUP(A8681, IMPORTRANGE(""https://docs.google.com/spreadsheets/d/1-3Vjw2Cyy-mry5gbC8ypIR3YVGFfEpyFESummAta6sg/edit"", ""Sheet1!B:D""), 3, FALSE), ""Not Found"")"),"l æ n d ɪ ŋ ")</f>
        <v>l æ n d ɪ ŋ </v>
      </c>
    </row>
    <row r="8682">
      <c r="A8682" s="1" t="s">
        <v>8683</v>
      </c>
      <c r="B8682" s="1" t="s">
        <v>6138</v>
      </c>
      <c r="C8682" s="2">
        <f>IFERROR(__xludf.DUMMYFUNCTION("IFERROR(VLOOKUP(A8682, IMPORTRANGE(""https://docs.google.com/spreadsheets/d/1AVX9GT0dgogEBStecCXMMQ29tWz3gBrtNB8yIromXbY/edit?gid=741673867"", ""out1g!A:B""), 2, FALSE), 0)"),2427.0)</f>
        <v>2427</v>
      </c>
      <c r="D8682" s="2" t="str">
        <f>IFERROR(__xludf.DUMMYFUNCTION("IFERROR(VLOOKUP(A8682, IMPORTRANGE(""https://docs.google.com/spreadsheets/d/1-3Vjw2Cyy-mry5gbC8ypIR3YVGFfEpyFESummAta6sg/edit"", ""Sheet1!B:D""), 2, FALSE), ""Not Found"")"),"flaʊərz")</f>
        <v>flaʊərz</v>
      </c>
      <c r="E8682" s="2" t="str">
        <f>IFERROR(__xludf.DUMMYFUNCTION("IFERROR(VLOOKUP(A8682, IMPORTRANGE(""https://docs.google.com/spreadsheets/d/1-3Vjw2Cyy-mry5gbC8ypIR3YVGFfEpyFESummAta6sg/edit"", ""Sheet1!B:D""), 3, FALSE), ""Not Found"")"),"f l a ʊ ə r z ")</f>
        <v>f l a ʊ ə r z </v>
      </c>
    </row>
    <row r="8683">
      <c r="A8683" s="1" t="s">
        <v>8684</v>
      </c>
      <c r="B8683" s="1" t="s">
        <v>6138</v>
      </c>
      <c r="C8683" s="2">
        <f>IFERROR(__xludf.DUMMYFUNCTION("IFERROR(VLOOKUP(A8683, IMPORTRANGE(""https://docs.google.com/spreadsheets/d/1AVX9GT0dgogEBStecCXMMQ29tWz3gBrtNB8yIromXbY/edit?gid=741673867"", ""out1g!A:B""), 2, FALSE), 0)"),401.0)</f>
        <v>401</v>
      </c>
      <c r="D8683" s="2" t="str">
        <f>IFERROR(__xludf.DUMMYFUNCTION("IFERROR(VLOOKUP(A8683, IMPORTRANGE(""https://docs.google.com/spreadsheets/d/1-3Vjw2Cyy-mry5gbC8ypIR3YVGFfEpyFESummAta6sg/edit"", ""Sheet1!B:D""), 2, FALSE), ""Not Found"")"),"maɪnəs")</f>
        <v>maɪnəs</v>
      </c>
      <c r="E8683" s="2" t="str">
        <f>IFERROR(__xludf.DUMMYFUNCTION("IFERROR(VLOOKUP(A8683, IMPORTRANGE(""https://docs.google.com/spreadsheets/d/1-3Vjw2Cyy-mry5gbC8ypIR3YVGFfEpyFESummAta6sg/edit"", ""Sheet1!B:D""), 3, FALSE), ""Not Found"")"),"m a ɪ n ə s ")</f>
        <v>m a ɪ n ə s </v>
      </c>
    </row>
    <row r="8684">
      <c r="A8684" s="1" t="s">
        <v>8685</v>
      </c>
      <c r="B8684" s="1" t="s">
        <v>6138</v>
      </c>
      <c r="C8684" s="2">
        <f>IFERROR(__xludf.DUMMYFUNCTION("IFERROR(VLOOKUP(A8684, IMPORTRANGE(""https://docs.google.com/spreadsheets/d/1AVX9GT0dgogEBStecCXMMQ29tWz3gBrtNB8yIromXbY/edit?gid=741673867"", ""out1g!A:B""), 2, FALSE), 0)"),73.0)</f>
        <v>73</v>
      </c>
      <c r="D8684" s="2" t="str">
        <f>IFERROR(__xludf.DUMMYFUNCTION("IFERROR(VLOOKUP(A8684, IMPORTRANGE(""https://docs.google.com/spreadsheets/d/1-3Vjw2Cyy-mry5gbC8ypIR3YVGFfEpyFESummAta6sg/edit"", ""Sheet1!B:D""), 2, FALSE), ""Not Found"")"),"tiʧɪŋz")</f>
        <v>tiʧɪŋz</v>
      </c>
      <c r="E8684" s="2" t="str">
        <f>IFERROR(__xludf.DUMMYFUNCTION("IFERROR(VLOOKUP(A8684, IMPORTRANGE(""https://docs.google.com/spreadsheets/d/1-3Vjw2Cyy-mry5gbC8ypIR3YVGFfEpyFESummAta6sg/edit"", ""Sheet1!B:D""), 3, FALSE), ""Not Found"")"),"t i ʧ ɪ ŋ z ")</f>
        <v>t i ʧ ɪ ŋ z </v>
      </c>
    </row>
    <row r="8685">
      <c r="A8685" s="1" t="s">
        <v>8686</v>
      </c>
      <c r="B8685" s="1" t="s">
        <v>6138</v>
      </c>
      <c r="C8685" s="2">
        <f>IFERROR(__xludf.DUMMYFUNCTION("IFERROR(VLOOKUP(A8685, IMPORTRANGE(""https://docs.google.com/spreadsheets/d/1AVX9GT0dgogEBStecCXMMQ29tWz3gBrtNB8yIromXbY/edit?gid=741673867"", ""out1g!A:B""), 2, FALSE), 0)"),156.0)</f>
        <v>156</v>
      </c>
      <c r="D8685" s="2" t="str">
        <f>IFERROR(__xludf.DUMMYFUNCTION("IFERROR(VLOOKUP(A8685, IMPORTRANGE(""https://docs.google.com/spreadsheets/d/1-3Vjw2Cyy-mry5gbC8ypIR3YVGFfEpyFESummAta6sg/edit"", ""Sheet1!B:D""), 2, FALSE), ""Not Found"")"),"snupɪŋ")</f>
        <v>snupɪŋ</v>
      </c>
      <c r="E8685" s="2" t="str">
        <f>IFERROR(__xludf.DUMMYFUNCTION("IFERROR(VLOOKUP(A8685, IMPORTRANGE(""https://docs.google.com/spreadsheets/d/1-3Vjw2Cyy-mry5gbC8ypIR3YVGFfEpyFESummAta6sg/edit"", ""Sheet1!B:D""), 3, FALSE), ""Not Found"")"),"s n u p ɪ ŋ ")</f>
        <v>s n u p ɪ ŋ </v>
      </c>
    </row>
    <row r="8686">
      <c r="A8686" s="1" t="s">
        <v>8687</v>
      </c>
      <c r="B8686" s="1" t="s">
        <v>6138</v>
      </c>
      <c r="C8686" s="2">
        <f>IFERROR(__xludf.DUMMYFUNCTION("IFERROR(VLOOKUP(A8686, IMPORTRANGE(""https://docs.google.com/spreadsheets/d/1AVX9GT0dgogEBStecCXMMQ29tWz3gBrtNB8yIromXbY/edit?gid=741673867"", ""out1g!A:B""), 2, FALSE), 0)"),258.0)</f>
        <v>258</v>
      </c>
      <c r="D8686" s="2" t="str">
        <f>IFERROR(__xludf.DUMMYFUNCTION("IFERROR(VLOOKUP(A8686, IMPORTRANGE(""https://docs.google.com/spreadsheets/d/1-3Vjw2Cyy-mry5gbC8ypIR3YVGFfEpyFESummAta6sg/edit"", ""Sheet1!B:D""), 2, FALSE), ""Not Found"")"),"rinoʊ")</f>
        <v>rinoʊ</v>
      </c>
      <c r="E8686" s="2" t="str">
        <f>IFERROR(__xludf.DUMMYFUNCTION("IFERROR(VLOOKUP(A8686, IMPORTRANGE(""https://docs.google.com/spreadsheets/d/1-3Vjw2Cyy-mry5gbC8ypIR3YVGFfEpyFESummAta6sg/edit"", ""Sheet1!B:D""), 3, FALSE), ""Not Found"")"),"r i n o ʊ ")</f>
        <v>r i n o ʊ </v>
      </c>
    </row>
    <row r="8687">
      <c r="A8687" s="1" t="s">
        <v>8688</v>
      </c>
      <c r="B8687" s="1" t="s">
        <v>6138</v>
      </c>
      <c r="C8687" s="2">
        <f>IFERROR(__xludf.DUMMYFUNCTION("IFERROR(VLOOKUP(A8687, IMPORTRANGE(""https://docs.google.com/spreadsheets/d/1AVX9GT0dgogEBStecCXMMQ29tWz3gBrtNB8yIromXbY/edit?gid=741673867"", ""out1g!A:B""), 2, FALSE), 0)"),228.0)</f>
        <v>228</v>
      </c>
      <c r="D8687" s="2" t="str">
        <f>IFERROR(__xludf.DUMMYFUNCTION("IFERROR(VLOOKUP(A8687, IMPORTRANGE(""https://docs.google.com/spreadsheets/d/1-3Vjw2Cyy-mry5gbC8ypIR3YVGFfEpyFESummAta6sg/edit"", ""Sheet1!B:D""), 2, FALSE), ""Not Found"")"),"skræʧt")</f>
        <v>skræʧt</v>
      </c>
      <c r="E8687" s="2" t="str">
        <f>IFERROR(__xludf.DUMMYFUNCTION("IFERROR(VLOOKUP(A8687, IMPORTRANGE(""https://docs.google.com/spreadsheets/d/1-3Vjw2Cyy-mry5gbC8ypIR3YVGFfEpyFESummAta6sg/edit"", ""Sheet1!B:D""), 3, FALSE), ""Not Found"")"),"s k r æ ʧ t ")</f>
        <v>s k r æ ʧ t </v>
      </c>
    </row>
    <row r="8688">
      <c r="A8688" s="1" t="s">
        <v>8689</v>
      </c>
      <c r="B8688" s="1" t="s">
        <v>6138</v>
      </c>
      <c r="C8688" s="2">
        <f>IFERROR(__xludf.DUMMYFUNCTION("IFERROR(VLOOKUP(A8688, IMPORTRANGE(""https://docs.google.com/spreadsheets/d/1AVX9GT0dgogEBStecCXMMQ29tWz3gBrtNB8yIromXbY/edit?gid=741673867"", ""out1g!A:B""), 2, FALSE), 0)"),57.0)</f>
        <v>57</v>
      </c>
      <c r="D8688" s="2" t="str">
        <f>IFERROR(__xludf.DUMMYFUNCTION("IFERROR(VLOOKUP(A8688, IMPORTRANGE(""https://docs.google.com/spreadsheets/d/1-3Vjw2Cyy-mry5gbC8ypIR3YVGFfEpyFESummAta6sg/edit"", ""Sheet1!B:D""), 2, FALSE), ""Not Found"")"),"mʊrz")</f>
        <v>mʊrz</v>
      </c>
      <c r="E8688" s="2" t="str">
        <f>IFERROR(__xludf.DUMMYFUNCTION("IFERROR(VLOOKUP(A8688, IMPORTRANGE(""https://docs.google.com/spreadsheets/d/1-3Vjw2Cyy-mry5gbC8ypIR3YVGFfEpyFESummAta6sg/edit"", ""Sheet1!B:D""), 3, FALSE), ""Not Found"")"),"m ʊ r z ")</f>
        <v>m ʊ r z </v>
      </c>
    </row>
    <row r="8689">
      <c r="A8689" s="1" t="s">
        <v>8690</v>
      </c>
      <c r="B8689" s="1" t="s">
        <v>6138</v>
      </c>
      <c r="C8689" s="2">
        <f>IFERROR(__xludf.DUMMYFUNCTION("IFERROR(VLOOKUP(A8689, IMPORTRANGE(""https://docs.google.com/spreadsheets/d/1AVX9GT0dgogEBStecCXMMQ29tWz3gBrtNB8yIromXbY/edit?gid=741673867"", ""out1g!A:B""), 2, FALSE), 0)"),736.0)</f>
        <v>736</v>
      </c>
      <c r="D8689" s="2" t="str">
        <f>IFERROR(__xludf.DUMMYFUNCTION("IFERROR(VLOOKUP(A8689, IMPORTRANGE(""https://docs.google.com/spreadsheets/d/1-3Vjw2Cyy-mry5gbC8ypIR3YVGFfEpyFESummAta6sg/edit"", ""Sheet1!B:D""), 2, FALSE), ""Not Found"")"),"ɔpʃən")</f>
        <v>ɔpʃən</v>
      </c>
      <c r="E8689" s="2" t="str">
        <f>IFERROR(__xludf.DUMMYFUNCTION("IFERROR(VLOOKUP(A8689, IMPORTRANGE(""https://docs.google.com/spreadsheets/d/1-3Vjw2Cyy-mry5gbC8ypIR3YVGFfEpyFESummAta6sg/edit"", ""Sheet1!B:D""), 3, FALSE), ""Not Found"")"),"ɔ p ʃ ə n ")</f>
        <v>ɔ p ʃ ə n </v>
      </c>
    </row>
    <row r="8690">
      <c r="A8690" s="1" t="s">
        <v>8691</v>
      </c>
      <c r="B8690" s="1" t="s">
        <v>6138</v>
      </c>
      <c r="C8690" s="2">
        <f>IFERROR(__xludf.DUMMYFUNCTION("IFERROR(VLOOKUP(A8690, IMPORTRANGE(""https://docs.google.com/spreadsheets/d/1AVX9GT0dgogEBStecCXMMQ29tWz3gBrtNB8yIromXbY/edit?gid=741673867"", ""out1g!A:B""), 2, FALSE), 0)"),57.0)</f>
        <v>57</v>
      </c>
      <c r="D8690" s="2" t="str">
        <f>IFERROR(__xludf.DUMMYFUNCTION("IFERROR(VLOOKUP(A8690, IMPORTRANGE(""https://docs.google.com/spreadsheets/d/1-3Vjw2Cyy-mry5gbC8ypIR3YVGFfEpyFESummAta6sg/edit"", ""Sheet1!B:D""), 2, FALSE), ""Not Found"")"),"bætərd")</f>
        <v>bætərd</v>
      </c>
      <c r="E8690" s="2" t="str">
        <f>IFERROR(__xludf.DUMMYFUNCTION("IFERROR(VLOOKUP(A8690, IMPORTRANGE(""https://docs.google.com/spreadsheets/d/1-3Vjw2Cyy-mry5gbC8ypIR3YVGFfEpyFESummAta6sg/edit"", ""Sheet1!B:D""), 3, FALSE), ""Not Found"")"),"b æ t ə r d ")</f>
        <v>b æ t ə r d </v>
      </c>
    </row>
    <row r="8691">
      <c r="A8691" s="1" t="s">
        <v>8692</v>
      </c>
      <c r="B8691" s="1" t="s">
        <v>6138</v>
      </c>
      <c r="C8691" s="2">
        <f>IFERROR(__xludf.DUMMYFUNCTION("IFERROR(VLOOKUP(A8691, IMPORTRANGE(""https://docs.google.com/spreadsheets/d/1AVX9GT0dgogEBStecCXMMQ29tWz3gBrtNB8yIromXbY/edit?gid=741673867"", ""out1g!A:B""), 2, FALSE), 0)"),117.0)</f>
        <v>117</v>
      </c>
      <c r="D8691" s="2" t="str">
        <f>IFERROR(__xludf.DUMMYFUNCTION("IFERROR(VLOOKUP(A8691, IMPORTRANGE(""https://docs.google.com/spreadsheets/d/1-3Vjw2Cyy-mry5gbC8ypIR3YVGFfEpyFESummAta6sg/edit"", ""Sheet1!B:D""), 2, FALSE), ""Not Found"")"),"brekər")</f>
        <v>brekər</v>
      </c>
      <c r="E8691" s="2" t="str">
        <f>IFERROR(__xludf.DUMMYFUNCTION("IFERROR(VLOOKUP(A8691, IMPORTRANGE(""https://docs.google.com/spreadsheets/d/1-3Vjw2Cyy-mry5gbC8ypIR3YVGFfEpyFESummAta6sg/edit"", ""Sheet1!B:D""), 3, FALSE), ""Not Found"")"),"b r e k ə r ")</f>
        <v>b r e k ə r </v>
      </c>
    </row>
    <row r="8692">
      <c r="A8692" s="1" t="s">
        <v>8693</v>
      </c>
      <c r="B8692" s="1" t="s">
        <v>6138</v>
      </c>
      <c r="C8692" s="2">
        <f>IFERROR(__xludf.DUMMYFUNCTION("IFERROR(VLOOKUP(A8692, IMPORTRANGE(""https://docs.google.com/spreadsheets/d/1AVX9GT0dgogEBStecCXMMQ29tWz3gBrtNB8yIromXbY/edit?gid=741673867"", ""out1g!A:B""), 2, FALSE), 0)"),51.0)</f>
        <v>51</v>
      </c>
      <c r="D8692" s="2" t="str">
        <f>IFERROR(__xludf.DUMMYFUNCTION("IFERROR(VLOOKUP(A8692, IMPORTRANGE(""https://docs.google.com/spreadsheets/d/1-3Vjw2Cyy-mry5gbC8ypIR3YVGFfEpyFESummAta6sg/edit"", ""Sheet1!B:D""), 2, FALSE), ""Not Found"")"),"kændər")</f>
        <v>kændər</v>
      </c>
      <c r="E8692" s="2" t="str">
        <f>IFERROR(__xludf.DUMMYFUNCTION("IFERROR(VLOOKUP(A8692, IMPORTRANGE(""https://docs.google.com/spreadsheets/d/1-3Vjw2Cyy-mry5gbC8ypIR3YVGFfEpyFESummAta6sg/edit"", ""Sheet1!B:D""), 3, FALSE), ""Not Found"")"),"k æ n d ə r ")</f>
        <v>k æ n d ə r </v>
      </c>
    </row>
    <row r="8693">
      <c r="A8693" s="1" t="s">
        <v>8694</v>
      </c>
      <c r="B8693" s="1" t="s">
        <v>6138</v>
      </c>
      <c r="C8693" s="2">
        <f>IFERROR(__xludf.DUMMYFUNCTION("IFERROR(VLOOKUP(A8693, IMPORTRANGE(""https://docs.google.com/spreadsheets/d/1AVX9GT0dgogEBStecCXMMQ29tWz3gBrtNB8yIromXbY/edit?gid=741673867"", ""out1g!A:B""), 2, FALSE), 0)"),296.0)</f>
        <v>296</v>
      </c>
      <c r="D8693" s="2" t="str">
        <f>IFERROR(__xludf.DUMMYFUNCTION("IFERROR(VLOOKUP(A8693, IMPORTRANGE(""https://docs.google.com/spreadsheets/d/1-3Vjw2Cyy-mry5gbC8ypIR3YVGFfEpyFESummAta6sg/edit"", ""Sheet1!B:D""), 2, FALSE), ""Not Found"")"),"trup")</f>
        <v>trup</v>
      </c>
      <c r="E8693" s="2" t="str">
        <f>IFERROR(__xludf.DUMMYFUNCTION("IFERROR(VLOOKUP(A8693, IMPORTRANGE(""https://docs.google.com/spreadsheets/d/1-3Vjw2Cyy-mry5gbC8ypIR3YVGFfEpyFESummAta6sg/edit"", ""Sheet1!B:D""), 3, FALSE), ""Not Found"")"),"t r u p ")</f>
        <v>t r u p </v>
      </c>
    </row>
    <row r="8694">
      <c r="A8694" s="1" t="s">
        <v>8695</v>
      </c>
      <c r="B8694" s="1" t="s">
        <v>6138</v>
      </c>
      <c r="C8694" s="2">
        <f>IFERROR(__xludf.DUMMYFUNCTION("IFERROR(VLOOKUP(A8694, IMPORTRANGE(""https://docs.google.com/spreadsheets/d/1AVX9GT0dgogEBStecCXMMQ29tWz3gBrtNB8yIromXbY/edit?gid=741673867"", ""out1g!A:B""), 2, FALSE), 0)"),594.0)</f>
        <v>594</v>
      </c>
      <c r="D8694" s="2" t="str">
        <f>IFERROR(__xludf.DUMMYFUNCTION("IFERROR(VLOOKUP(A8694, IMPORTRANGE(""https://docs.google.com/spreadsheets/d/1-3Vjw2Cyy-mry5gbC8ypIR3YVGFfEpyFESummAta6sg/edit"", ""Sheet1!B:D""), 2, FALSE), ""Not Found"")"),"dɪvaɪn")</f>
        <v>dɪvaɪn</v>
      </c>
      <c r="E8694" s="2" t="str">
        <f>IFERROR(__xludf.DUMMYFUNCTION("IFERROR(VLOOKUP(A8694, IMPORTRANGE(""https://docs.google.com/spreadsheets/d/1-3Vjw2Cyy-mry5gbC8ypIR3YVGFfEpyFESummAta6sg/edit"", ""Sheet1!B:D""), 3, FALSE), ""Not Found"")"),"d ɪ v a ɪ n ")</f>
        <v>d ɪ v a ɪ n </v>
      </c>
    </row>
    <row r="8695">
      <c r="A8695" s="1" t="s">
        <v>8696</v>
      </c>
      <c r="B8695" s="1" t="s">
        <v>6138</v>
      </c>
      <c r="C8695" s="2">
        <f>IFERROR(__xludf.DUMMYFUNCTION("IFERROR(VLOOKUP(A8695, IMPORTRANGE(""https://docs.google.com/spreadsheets/d/1AVX9GT0dgogEBStecCXMMQ29tWz3gBrtNB8yIromXbY/edit?gid=741673867"", ""out1g!A:B""), 2, FALSE), 0)"),260.0)</f>
        <v>260</v>
      </c>
      <c r="D8695" s="2" t="str">
        <f>IFERROR(__xludf.DUMMYFUNCTION("IFERROR(VLOOKUP(A8695, IMPORTRANGE(""https://docs.google.com/spreadsheets/d/1-3Vjw2Cyy-mry5gbC8ypIR3YVGFfEpyFESummAta6sg/edit"", ""Sheet1!B:D""), 2, FALSE), ""Not Found"")"),"bætəlz")</f>
        <v>bætəlz</v>
      </c>
      <c r="E8695" s="2" t="str">
        <f>IFERROR(__xludf.DUMMYFUNCTION("IFERROR(VLOOKUP(A8695, IMPORTRANGE(""https://docs.google.com/spreadsheets/d/1-3Vjw2Cyy-mry5gbC8ypIR3YVGFfEpyFESummAta6sg/edit"", ""Sheet1!B:D""), 3, FALSE), ""Not Found"")"),"b æ t ə l z ")</f>
        <v>b æ t ə l z </v>
      </c>
    </row>
    <row r="8696">
      <c r="A8696" s="1" t="s">
        <v>8697</v>
      </c>
      <c r="B8696" s="1" t="s">
        <v>6138</v>
      </c>
      <c r="C8696" s="2">
        <f>IFERROR(__xludf.DUMMYFUNCTION("IFERROR(VLOOKUP(A8696, IMPORTRANGE(""https://docs.google.com/spreadsheets/d/1AVX9GT0dgogEBStecCXMMQ29tWz3gBrtNB8yIromXbY/edit?gid=741673867"", ""out1g!A:B""), 2, FALSE), 0)"),369.0)</f>
        <v>369</v>
      </c>
      <c r="D8696" s="2" t="str">
        <f>IFERROR(__xludf.DUMMYFUNCTION("IFERROR(VLOOKUP(A8696, IMPORTRANGE(""https://docs.google.com/spreadsheets/d/1-3Vjw2Cyy-mry5gbC8ypIR3YVGFfEpyFESummAta6sg/edit"", ""Sheet1!B:D""), 2, FALSE), ""Not Found"")"),"ʤuəl")</f>
        <v>ʤuəl</v>
      </c>
      <c r="E8696" s="2" t="str">
        <f>IFERROR(__xludf.DUMMYFUNCTION("IFERROR(VLOOKUP(A8696, IMPORTRANGE(""https://docs.google.com/spreadsheets/d/1-3Vjw2Cyy-mry5gbC8ypIR3YVGFfEpyFESummAta6sg/edit"", ""Sheet1!B:D""), 3, FALSE), ""Not Found"")"),"ʤ u ə l ")</f>
        <v>ʤ u ə l </v>
      </c>
    </row>
    <row r="8697">
      <c r="A8697" s="1" t="s">
        <v>8698</v>
      </c>
      <c r="B8697" s="1" t="s">
        <v>6138</v>
      </c>
      <c r="C8697" s="2">
        <f>IFERROR(__xludf.DUMMYFUNCTION("IFERROR(VLOOKUP(A8697, IMPORTRANGE(""https://docs.google.com/spreadsheets/d/1AVX9GT0dgogEBStecCXMMQ29tWz3gBrtNB8yIromXbY/edit?gid=741673867"", ""out1g!A:B""), 2, FALSE), 0)"),2235.0)</f>
        <v>2235</v>
      </c>
      <c r="D8697" s="2" t="str">
        <f>IFERROR(__xludf.DUMMYFUNCTION("IFERROR(VLOOKUP(A8697, IMPORTRANGE(""https://docs.google.com/spreadsheets/d/1-3Vjw2Cyy-mry5gbC8ypIR3YVGFfEpyFESummAta6sg/edit"", ""Sheet1!B:D""), 2, FALSE), ""Not Found"")"),"pæk")</f>
        <v>pæk</v>
      </c>
      <c r="E8697" s="2" t="str">
        <f>IFERROR(__xludf.DUMMYFUNCTION("IFERROR(VLOOKUP(A8697, IMPORTRANGE(""https://docs.google.com/spreadsheets/d/1-3Vjw2Cyy-mry5gbC8ypIR3YVGFfEpyFESummAta6sg/edit"", ""Sheet1!B:D""), 3, FALSE), ""Not Found"")"),"p æ k ")</f>
        <v>p æ k </v>
      </c>
    </row>
    <row r="8698">
      <c r="A8698" s="1" t="s">
        <v>8699</v>
      </c>
      <c r="B8698" s="1" t="s">
        <v>6138</v>
      </c>
      <c r="C8698" s="2">
        <f>IFERROR(__xludf.DUMMYFUNCTION("IFERROR(VLOOKUP(A8698, IMPORTRANGE(""https://docs.google.com/spreadsheets/d/1AVX9GT0dgogEBStecCXMMQ29tWz3gBrtNB8yIromXbY/edit?gid=741673867"", ""out1g!A:B""), 2, FALSE), 0)"),85.0)</f>
        <v>85</v>
      </c>
      <c r="D8698" s="2" t="str">
        <f>IFERROR(__xludf.DUMMYFUNCTION("IFERROR(VLOOKUP(A8698, IMPORTRANGE(""https://docs.google.com/spreadsheets/d/1-3Vjw2Cyy-mry5gbC8ypIR3YVGFfEpyFESummAta6sg/edit"", ""Sheet1!B:D""), 2, FALSE), ""Not Found"")"),"riʤənt")</f>
        <v>riʤənt</v>
      </c>
      <c r="E8698" s="2" t="str">
        <f>IFERROR(__xludf.DUMMYFUNCTION("IFERROR(VLOOKUP(A8698, IMPORTRANGE(""https://docs.google.com/spreadsheets/d/1-3Vjw2Cyy-mry5gbC8ypIR3YVGFfEpyFESummAta6sg/edit"", ""Sheet1!B:D""), 3, FALSE), ""Not Found"")"),"r i ʤ ə n t ")</f>
        <v>r i ʤ ə n t </v>
      </c>
    </row>
    <row r="8699">
      <c r="A8699" s="1" t="s">
        <v>8700</v>
      </c>
      <c r="B8699" s="1" t="s">
        <v>6138</v>
      </c>
      <c r="C8699" s="2">
        <f>IFERROR(__xludf.DUMMYFUNCTION("IFERROR(VLOOKUP(A8699, IMPORTRANGE(""https://docs.google.com/spreadsheets/d/1AVX9GT0dgogEBStecCXMMQ29tWz3gBrtNB8yIromXbY/edit?gid=741673867"", ""out1g!A:B""), 2, FALSE), 0)"),79.0)</f>
        <v>79</v>
      </c>
      <c r="D8699" s="2" t="str">
        <f>IFERROR(__xludf.DUMMYFUNCTION("IFERROR(VLOOKUP(A8699, IMPORTRANGE(""https://docs.google.com/spreadsheets/d/1-3Vjw2Cyy-mry5gbC8ypIR3YVGFfEpyFESummAta6sg/edit"", ""Sheet1!B:D""), 2, FALSE), ""Not Found"")"),"təmbəl")</f>
        <v>təmbəl</v>
      </c>
      <c r="E8699" s="2" t="str">
        <f>IFERROR(__xludf.DUMMYFUNCTION("IFERROR(VLOOKUP(A8699, IMPORTRANGE(""https://docs.google.com/spreadsheets/d/1-3Vjw2Cyy-mry5gbC8ypIR3YVGFfEpyFESummAta6sg/edit"", ""Sheet1!B:D""), 3, FALSE), ""Not Found"")"),"t ə m b ə l ")</f>
        <v>t ə m b ə l </v>
      </c>
    </row>
    <row r="8700">
      <c r="A8700" s="1" t="s">
        <v>8701</v>
      </c>
      <c r="B8700" s="1" t="s">
        <v>6138</v>
      </c>
      <c r="C8700" s="2">
        <f>IFERROR(__xludf.DUMMYFUNCTION("IFERROR(VLOOKUP(A8700, IMPORTRANGE(""https://docs.google.com/spreadsheets/d/1AVX9GT0dgogEBStecCXMMQ29tWz3gBrtNB8yIromXbY/edit?gid=741673867"", ""out1g!A:B""), 2, FALSE), 0)"),67.0)</f>
        <v>67</v>
      </c>
      <c r="D8700" s="2" t="str">
        <f>IFERROR(__xludf.DUMMYFUNCTION("IFERROR(VLOOKUP(A8700, IMPORTRANGE(""https://docs.google.com/spreadsheets/d/1-3Vjw2Cyy-mry5gbC8ypIR3YVGFfEpyFESummAta6sg/edit"", ""Sheet1!B:D""), 2, FALSE), ""Not Found"")"),"stræps")</f>
        <v>stræps</v>
      </c>
      <c r="E8700" s="2" t="str">
        <f>IFERROR(__xludf.DUMMYFUNCTION("IFERROR(VLOOKUP(A8700, IMPORTRANGE(""https://docs.google.com/spreadsheets/d/1-3Vjw2Cyy-mry5gbC8ypIR3YVGFfEpyFESummAta6sg/edit"", ""Sheet1!B:D""), 3, FALSE), ""Not Found"")"),"s t r æ p s ")</f>
        <v>s t r æ p s </v>
      </c>
    </row>
    <row r="8701">
      <c r="A8701" s="1" t="s">
        <v>8702</v>
      </c>
      <c r="B8701" s="1" t="s">
        <v>6138</v>
      </c>
      <c r="C8701" s="2">
        <f>IFERROR(__xludf.DUMMYFUNCTION("IFERROR(VLOOKUP(A8701, IMPORTRANGE(""https://docs.google.com/spreadsheets/d/1AVX9GT0dgogEBStecCXMMQ29tWz3gBrtNB8yIromXbY/edit?gid=741673867"", ""out1g!A:B""), 2, FALSE), 0)"),3558.0)</f>
        <v>3558</v>
      </c>
      <c r="D8701" s="2" t="str">
        <f>IFERROR(__xludf.DUMMYFUNCTION("IFERROR(VLOOKUP(A8701, IMPORTRANGE(""https://docs.google.com/spreadsheets/d/1-3Vjw2Cyy-mry5gbC8ypIR3YVGFfEpyFESummAta6sg/edit"", ""Sheet1!B:D""), 2, FALSE), ""Not Found"")"),"stɑrtɪŋ")</f>
        <v>stɑrtɪŋ</v>
      </c>
      <c r="E8701" s="2" t="str">
        <f>IFERROR(__xludf.DUMMYFUNCTION("IFERROR(VLOOKUP(A8701, IMPORTRANGE(""https://docs.google.com/spreadsheets/d/1-3Vjw2Cyy-mry5gbC8ypIR3YVGFfEpyFESummAta6sg/edit"", ""Sheet1!B:D""), 3, FALSE), ""Not Found"")"),"s t ɑ r t ɪ ŋ ")</f>
        <v>s t ɑ r t ɪ ŋ </v>
      </c>
    </row>
    <row r="8702">
      <c r="A8702" s="1" t="s">
        <v>8703</v>
      </c>
      <c r="B8702" s="1" t="s">
        <v>6138</v>
      </c>
      <c r="C8702" s="2">
        <f>IFERROR(__xludf.DUMMYFUNCTION("IFERROR(VLOOKUP(A8702, IMPORTRANGE(""https://docs.google.com/spreadsheets/d/1AVX9GT0dgogEBStecCXMMQ29tWz3gBrtNB8yIromXbY/edit?gid=741673867"", ""out1g!A:B""), 2, FALSE), 0)"),107.0)</f>
        <v>107</v>
      </c>
      <c r="D8702" s="2" t="str">
        <f>IFERROR(__xludf.DUMMYFUNCTION("IFERROR(VLOOKUP(A8702, IMPORTRANGE(""https://docs.google.com/spreadsheets/d/1-3Vjw2Cyy-mry5gbC8ypIR3YVGFfEpyFESummAta6sg/edit"", ""Sheet1!B:D""), 2, FALSE), ""Not Found"")"),"ʧɛkəp")</f>
        <v>ʧɛkəp</v>
      </c>
      <c r="E8702" s="2" t="str">
        <f>IFERROR(__xludf.DUMMYFUNCTION("IFERROR(VLOOKUP(A8702, IMPORTRANGE(""https://docs.google.com/spreadsheets/d/1-3Vjw2Cyy-mry5gbC8ypIR3YVGFfEpyFESummAta6sg/edit"", ""Sheet1!B:D""), 3, FALSE), ""Not Found"")"),"ʧ ɛ k ə p ")</f>
        <v>ʧ ɛ k ə p </v>
      </c>
    </row>
    <row r="8703">
      <c r="A8703" s="1" t="s">
        <v>8704</v>
      </c>
      <c r="B8703" s="1" t="s">
        <v>6138</v>
      </c>
      <c r="C8703" s="2">
        <f>IFERROR(__xludf.DUMMYFUNCTION("IFERROR(VLOOKUP(A8703, IMPORTRANGE(""https://docs.google.com/spreadsheets/d/1AVX9GT0dgogEBStecCXMMQ29tWz3gBrtNB8yIromXbY/edit?gid=741673867"", ""out1g!A:B""), 2, FALSE), 0)"),3130.0)</f>
        <v>3130</v>
      </c>
      <c r="D8703" s="2" t="str">
        <f>IFERROR(__xludf.DUMMYFUNCTION("IFERROR(VLOOKUP(A8703, IMPORTRANGE(""https://docs.google.com/spreadsheets/d/1-3Vjw2Cyy-mry5gbC8ypIR3YVGFfEpyFESummAta6sg/edit"", ""Sheet1!B:D""), 2, FALSE), ""Not Found"")"),"ɔrdərz")</f>
        <v>ɔrdərz</v>
      </c>
      <c r="E8703" s="2" t="str">
        <f>IFERROR(__xludf.DUMMYFUNCTION("IFERROR(VLOOKUP(A8703, IMPORTRANGE(""https://docs.google.com/spreadsheets/d/1-3Vjw2Cyy-mry5gbC8ypIR3YVGFfEpyFESummAta6sg/edit"", ""Sheet1!B:D""), 3, FALSE), ""Not Found"")"),"ɔ r d ə r z ")</f>
        <v>ɔ r d ə r z </v>
      </c>
    </row>
    <row r="8704">
      <c r="A8704" s="1" t="s">
        <v>8705</v>
      </c>
      <c r="B8704" s="1" t="s">
        <v>6138</v>
      </c>
      <c r="C8704" s="2">
        <f>IFERROR(__xludf.DUMMYFUNCTION("IFERROR(VLOOKUP(A8704, IMPORTRANGE(""https://docs.google.com/spreadsheets/d/1AVX9GT0dgogEBStecCXMMQ29tWz3gBrtNB8yIromXbY/edit?gid=741673867"", ""out1g!A:B""), 2, FALSE), 0)"),186.0)</f>
        <v>186</v>
      </c>
      <c r="D8704" s="2" t="str">
        <f>IFERROR(__xludf.DUMMYFUNCTION("IFERROR(VLOOKUP(A8704, IMPORTRANGE(""https://docs.google.com/spreadsheets/d/1-3Vjw2Cyy-mry5gbC8ypIR3YVGFfEpyFESummAta6sg/edit"", ""Sheet1!B:D""), 2, FALSE), ""Not Found"")"),"səpɔrtɪd")</f>
        <v>səpɔrtɪd</v>
      </c>
      <c r="E8704" s="2" t="str">
        <f>IFERROR(__xludf.DUMMYFUNCTION("IFERROR(VLOOKUP(A8704, IMPORTRANGE(""https://docs.google.com/spreadsheets/d/1-3Vjw2Cyy-mry5gbC8ypIR3YVGFfEpyFESummAta6sg/edit"", ""Sheet1!B:D""), 3, FALSE), ""Not Found"")"),"s ə p ɔ r t ɪ d ")</f>
        <v>s ə p ɔ r t ɪ d </v>
      </c>
    </row>
    <row r="8705">
      <c r="A8705" s="1" t="s">
        <v>8706</v>
      </c>
      <c r="B8705" s="1" t="s">
        <v>6138</v>
      </c>
      <c r="C8705" s="2">
        <f>IFERROR(__xludf.DUMMYFUNCTION("IFERROR(VLOOKUP(A8705, IMPORTRANGE(""https://docs.google.com/spreadsheets/d/1AVX9GT0dgogEBStecCXMMQ29tWz3gBrtNB8yIromXbY/edit?gid=741673867"", ""out1g!A:B""), 2, FALSE), 0)"),694.0)</f>
        <v>694</v>
      </c>
      <c r="D8705" s="2" t="str">
        <f>IFERROR(__xludf.DUMMYFUNCTION("IFERROR(VLOOKUP(A8705, IMPORTRANGE(""https://docs.google.com/spreadsheets/d/1-3Vjw2Cyy-mry5gbC8ypIR3YVGFfEpyFESummAta6sg/edit"", ""Sheet1!B:D""), 2, FALSE), ""Not Found"")"),"məsəl")</f>
        <v>məsəl</v>
      </c>
      <c r="E8705" s="2" t="str">
        <f>IFERROR(__xludf.DUMMYFUNCTION("IFERROR(VLOOKUP(A8705, IMPORTRANGE(""https://docs.google.com/spreadsheets/d/1-3Vjw2Cyy-mry5gbC8ypIR3YVGFfEpyFESummAta6sg/edit"", ""Sheet1!B:D""), 3, FALSE), ""Not Found"")"),"m ə s ə l ")</f>
        <v>m ə s ə l </v>
      </c>
    </row>
    <row r="8706">
      <c r="A8706" s="1" t="s">
        <v>8707</v>
      </c>
      <c r="B8706" s="1" t="s">
        <v>6138</v>
      </c>
      <c r="C8706" s="2">
        <f>IFERROR(__xludf.DUMMYFUNCTION("IFERROR(VLOOKUP(A8706, IMPORTRANGE(""https://docs.google.com/spreadsheets/d/1AVX9GT0dgogEBStecCXMMQ29tWz3gBrtNB8yIromXbY/edit?gid=741673867"", ""out1g!A:B""), 2, FALSE), 0)"),1096.0)</f>
        <v>1096</v>
      </c>
      <c r="D8706" s="2" t="str">
        <f>IFERROR(__xludf.DUMMYFUNCTION("IFERROR(VLOOKUP(A8706, IMPORTRANGE(""https://docs.google.com/spreadsheets/d/1-3Vjw2Cyy-mry5gbC8ypIR3YVGFfEpyFESummAta6sg/edit"", ""Sheet1!B:D""), 2, FALSE), ""Not Found"")"),"skwɑd")</f>
        <v>skwɑd</v>
      </c>
      <c r="E8706" s="2" t="str">
        <f>IFERROR(__xludf.DUMMYFUNCTION("IFERROR(VLOOKUP(A8706, IMPORTRANGE(""https://docs.google.com/spreadsheets/d/1-3Vjw2Cyy-mry5gbC8ypIR3YVGFfEpyFESummAta6sg/edit"", ""Sheet1!B:D""), 3, FALSE), ""Not Found"")"),"s k w ɑ d ")</f>
        <v>s k w ɑ d </v>
      </c>
    </row>
    <row r="8707">
      <c r="A8707" s="1" t="s">
        <v>8708</v>
      </c>
      <c r="B8707" s="1" t="s">
        <v>6138</v>
      </c>
      <c r="C8707" s="2">
        <f>IFERROR(__xludf.DUMMYFUNCTION("IFERROR(VLOOKUP(A8707, IMPORTRANGE(""https://docs.google.com/spreadsheets/d/1AVX9GT0dgogEBStecCXMMQ29tWz3gBrtNB8yIromXbY/edit?gid=741673867"", ""out1g!A:B""), 2, FALSE), 0)"),59.0)</f>
        <v>59</v>
      </c>
      <c r="D8707" s="2" t="str">
        <f>IFERROR(__xludf.DUMMYFUNCTION("IFERROR(VLOOKUP(A8707, IMPORTRANGE(""https://docs.google.com/spreadsheets/d/1-3Vjw2Cyy-mry5gbC8ypIR3YVGFfEpyFESummAta6sg/edit"", ""Sheet1!B:D""), 2, FALSE), ""Not Found"")"),"hækərz")</f>
        <v>hækərz</v>
      </c>
      <c r="E8707" s="2" t="str">
        <f>IFERROR(__xludf.DUMMYFUNCTION("IFERROR(VLOOKUP(A8707, IMPORTRANGE(""https://docs.google.com/spreadsheets/d/1-3Vjw2Cyy-mry5gbC8ypIR3YVGFfEpyFESummAta6sg/edit"", ""Sheet1!B:D""), 3, FALSE), ""Not Found"")"),"h æ k ə r z ")</f>
        <v>h æ k ə r z </v>
      </c>
    </row>
    <row r="8708">
      <c r="A8708" s="1" t="s">
        <v>8709</v>
      </c>
      <c r="B8708" s="1" t="s">
        <v>6138</v>
      </c>
      <c r="C8708" s="2">
        <f>IFERROR(__xludf.DUMMYFUNCTION("IFERROR(VLOOKUP(A8708, IMPORTRANGE(""https://docs.google.com/spreadsheets/d/1AVX9GT0dgogEBStecCXMMQ29tWz3gBrtNB8yIromXbY/edit?gid=741673867"", ""out1g!A:B""), 2, FALSE), 0)"),48.0)</f>
        <v>48</v>
      </c>
      <c r="D8708" s="2" t="str">
        <f>IFERROR(__xludf.DUMMYFUNCTION("IFERROR(VLOOKUP(A8708, IMPORTRANGE(""https://docs.google.com/spreadsheets/d/1-3Vjw2Cyy-mry5gbC8ypIR3YVGFfEpyFESummAta6sg/edit"", ""Sheet1!B:D""), 2, FALSE), ""Not Found"")"),"skɪmɪŋ")</f>
        <v>skɪmɪŋ</v>
      </c>
      <c r="E8708" s="2" t="str">
        <f>IFERROR(__xludf.DUMMYFUNCTION("IFERROR(VLOOKUP(A8708, IMPORTRANGE(""https://docs.google.com/spreadsheets/d/1-3Vjw2Cyy-mry5gbC8ypIR3YVGFfEpyFESummAta6sg/edit"", ""Sheet1!B:D""), 3, FALSE), ""Not Found"")"),"s k ɪ m ɪ ŋ ")</f>
        <v>s k ɪ m ɪ ŋ </v>
      </c>
    </row>
    <row r="8709">
      <c r="A8709" s="1" t="s">
        <v>8710</v>
      </c>
      <c r="B8709" s="1" t="s">
        <v>6138</v>
      </c>
      <c r="C8709" s="2">
        <f>IFERROR(__xludf.DUMMYFUNCTION("IFERROR(VLOOKUP(A8709, IMPORTRANGE(""https://docs.google.com/spreadsheets/d/1AVX9GT0dgogEBStecCXMMQ29tWz3gBrtNB8yIromXbY/edit?gid=741673867"", ""out1g!A:B""), 2, FALSE), 0)"),106.0)</f>
        <v>106</v>
      </c>
      <c r="D8709" s="2" t="str">
        <f>IFERROR(__xludf.DUMMYFUNCTION("IFERROR(VLOOKUP(A8709, IMPORTRANGE(""https://docs.google.com/spreadsheets/d/1-3Vjw2Cyy-mry5gbC8ypIR3YVGFfEpyFESummAta6sg/edit"", ""Sheet1!B:D""), 2, FALSE), ""Not Found"")"),"raɪnoʊ")</f>
        <v>raɪnoʊ</v>
      </c>
      <c r="E8709" s="2" t="str">
        <f>IFERROR(__xludf.DUMMYFUNCTION("IFERROR(VLOOKUP(A8709, IMPORTRANGE(""https://docs.google.com/spreadsheets/d/1-3Vjw2Cyy-mry5gbC8ypIR3YVGFfEpyFESummAta6sg/edit"", ""Sheet1!B:D""), 3, FALSE), ""Not Found"")"),"r a ɪ n o ʊ ")</f>
        <v>r a ɪ n o ʊ </v>
      </c>
    </row>
    <row r="8710">
      <c r="A8710" s="1" t="s">
        <v>8711</v>
      </c>
      <c r="B8710" s="1" t="s">
        <v>6138</v>
      </c>
      <c r="C8710" s="2">
        <f>IFERROR(__xludf.DUMMYFUNCTION("IFERROR(VLOOKUP(A8710, IMPORTRANGE(""https://docs.google.com/spreadsheets/d/1AVX9GT0dgogEBStecCXMMQ29tWz3gBrtNB8yIromXbY/edit?gid=741673867"", ""out1g!A:B""), 2, FALSE), 0)"),12.0)</f>
        <v>12</v>
      </c>
      <c r="D8710" s="2" t="str">
        <f>IFERROR(__xludf.DUMMYFUNCTION("IFERROR(VLOOKUP(A8710, IMPORTRANGE(""https://docs.google.com/spreadsheets/d/1-3Vjw2Cyy-mry5gbC8ypIR3YVGFfEpyFESummAta6sg/edit"", ""Sheet1!B:D""), 2, FALSE), ""Not Found"")"),"bænjən")</f>
        <v>bænjən</v>
      </c>
      <c r="E8710" s="2" t="str">
        <f>IFERROR(__xludf.DUMMYFUNCTION("IFERROR(VLOOKUP(A8710, IMPORTRANGE(""https://docs.google.com/spreadsheets/d/1-3Vjw2Cyy-mry5gbC8ypIR3YVGFfEpyFESummAta6sg/edit"", ""Sheet1!B:D""), 3, FALSE), ""Not Found"")"),"b æ n j ə n ")</f>
        <v>b æ n j ə n </v>
      </c>
    </row>
    <row r="8711">
      <c r="A8711" s="1" t="s">
        <v>8712</v>
      </c>
      <c r="B8711" s="1" t="s">
        <v>6138</v>
      </c>
      <c r="C8711" s="2">
        <f>IFERROR(__xludf.DUMMYFUNCTION("IFERROR(VLOOKUP(A8711, IMPORTRANGE(""https://docs.google.com/spreadsheets/d/1AVX9GT0dgogEBStecCXMMQ29tWz3gBrtNB8yIromXbY/edit?gid=741673867"", ""out1g!A:B""), 2, FALSE), 0)"),78.0)</f>
        <v>78</v>
      </c>
      <c r="D8711" s="2" t="str">
        <f>IFERROR(__xludf.DUMMYFUNCTION("IFERROR(VLOOKUP(A8711, IMPORTRANGE(""https://docs.google.com/spreadsheets/d/1-3Vjw2Cyy-mry5gbC8ypIR3YVGFfEpyFESummAta6sg/edit"", ""Sheet1!B:D""), 2, FALSE), ""Not Found"")"),"ʃətərz")</f>
        <v>ʃətərz</v>
      </c>
      <c r="E8711" s="2" t="str">
        <f>IFERROR(__xludf.DUMMYFUNCTION("IFERROR(VLOOKUP(A8711, IMPORTRANGE(""https://docs.google.com/spreadsheets/d/1-3Vjw2Cyy-mry5gbC8ypIR3YVGFfEpyFESummAta6sg/edit"", ""Sheet1!B:D""), 3, FALSE), ""Not Found"")"),"ʃ ə t ə r z ")</f>
        <v>ʃ ə t ə r z </v>
      </c>
    </row>
    <row r="8712">
      <c r="A8712" s="1" t="s">
        <v>8713</v>
      </c>
      <c r="B8712" s="1" t="s">
        <v>6138</v>
      </c>
      <c r="C8712" s="2">
        <f>IFERROR(__xludf.DUMMYFUNCTION("IFERROR(VLOOKUP(A8712, IMPORTRANGE(""https://docs.google.com/spreadsheets/d/1AVX9GT0dgogEBStecCXMMQ29tWz3gBrtNB8yIromXbY/edit?gid=741673867"", ""out1g!A:B""), 2, FALSE), 0)"),62.0)</f>
        <v>62</v>
      </c>
      <c r="D8712" s="2" t="str">
        <f>IFERROR(__xludf.DUMMYFUNCTION("IFERROR(VLOOKUP(A8712, IMPORTRANGE(""https://docs.google.com/spreadsheets/d/1-3Vjw2Cyy-mry5gbC8ypIR3YVGFfEpyFESummAta6sg/edit"", ""Sheet1!B:D""), 2, FALSE), ""Not Found"")"),"kɑŋgoʊ")</f>
        <v>kɑŋgoʊ</v>
      </c>
      <c r="E8712" s="2" t="str">
        <f>IFERROR(__xludf.DUMMYFUNCTION("IFERROR(VLOOKUP(A8712, IMPORTRANGE(""https://docs.google.com/spreadsheets/d/1-3Vjw2Cyy-mry5gbC8ypIR3YVGFfEpyFESummAta6sg/edit"", ""Sheet1!B:D""), 3, FALSE), ""Not Found"")"),"k ɑ ŋ g o ʊ ")</f>
        <v>k ɑ ŋ g o ʊ </v>
      </c>
    </row>
    <row r="8713">
      <c r="A8713" s="1" t="s">
        <v>8714</v>
      </c>
      <c r="B8713" s="1" t="s">
        <v>6138</v>
      </c>
      <c r="C8713" s="2">
        <f>IFERROR(__xludf.DUMMYFUNCTION("IFERROR(VLOOKUP(A8713, IMPORTRANGE(""https://docs.google.com/spreadsheets/d/1AVX9GT0dgogEBStecCXMMQ29tWz3gBrtNB8yIromXbY/edit?gid=741673867"", ""out1g!A:B""), 2, FALSE), 0)"),142.0)</f>
        <v>142</v>
      </c>
      <c r="D8713" s="2" t="str">
        <f>IFERROR(__xludf.DUMMYFUNCTION("IFERROR(VLOOKUP(A8713, IMPORTRANGE(""https://docs.google.com/spreadsheets/d/1-3Vjw2Cyy-mry5gbC8ypIR3YVGFfEpyFESummAta6sg/edit"", ""Sheet1!B:D""), 2, FALSE), ""Not Found"")"),"krietər")</f>
        <v>krietər</v>
      </c>
      <c r="E8713" s="2" t="str">
        <f>IFERROR(__xludf.DUMMYFUNCTION("IFERROR(VLOOKUP(A8713, IMPORTRANGE(""https://docs.google.com/spreadsheets/d/1-3Vjw2Cyy-mry5gbC8ypIR3YVGFfEpyFESummAta6sg/edit"", ""Sheet1!B:D""), 3, FALSE), ""Not Found"")"),"k r i e t ə r ")</f>
        <v>k r i e t ə r </v>
      </c>
    </row>
    <row r="8714">
      <c r="A8714" s="1" t="s">
        <v>8715</v>
      </c>
      <c r="B8714" s="1" t="s">
        <v>6138</v>
      </c>
      <c r="C8714" s="2">
        <f>IFERROR(__xludf.DUMMYFUNCTION("IFERROR(VLOOKUP(A8714, IMPORTRANGE(""https://docs.google.com/spreadsheets/d/1AVX9GT0dgogEBStecCXMMQ29tWz3gBrtNB8yIromXbY/edit?gid=741673867"", ""out1g!A:B""), 2, FALSE), 0)"),202.0)</f>
        <v>202</v>
      </c>
      <c r="D8714" s="2" t="str">
        <f>IFERROR(__xludf.DUMMYFUNCTION("IFERROR(VLOOKUP(A8714, IMPORTRANGE(""https://docs.google.com/spreadsheets/d/1-3Vjw2Cyy-mry5gbC8ypIR3YVGFfEpyFESummAta6sg/edit"", ""Sheet1!B:D""), 2, FALSE), ""Not Found"")"),"græbɪŋ")</f>
        <v>græbɪŋ</v>
      </c>
      <c r="E8714" s="2" t="str">
        <f>IFERROR(__xludf.DUMMYFUNCTION("IFERROR(VLOOKUP(A8714, IMPORTRANGE(""https://docs.google.com/spreadsheets/d/1-3Vjw2Cyy-mry5gbC8ypIR3YVGFfEpyFESummAta6sg/edit"", ""Sheet1!B:D""), 3, FALSE), ""Not Found"")"),"g r æ b ɪ ŋ ")</f>
        <v>g r æ b ɪ ŋ </v>
      </c>
    </row>
    <row r="8715">
      <c r="A8715" s="1" t="s">
        <v>8716</v>
      </c>
      <c r="B8715" s="1" t="s">
        <v>6138</v>
      </c>
      <c r="C8715" s="2">
        <f>IFERROR(__xludf.DUMMYFUNCTION("IFERROR(VLOOKUP(A8715, IMPORTRANGE(""https://docs.google.com/spreadsheets/d/1AVX9GT0dgogEBStecCXMMQ29tWz3gBrtNB8yIromXbY/edit?gid=741673867"", ""out1g!A:B""), 2, FALSE), 0)"),112.0)</f>
        <v>112</v>
      </c>
      <c r="D8715" s="2" t="str">
        <f>IFERROR(__xludf.DUMMYFUNCTION("IFERROR(VLOOKUP(A8715, IMPORTRANGE(""https://docs.google.com/spreadsheets/d/1-3Vjw2Cyy-mry5gbC8ypIR3YVGFfEpyFESummAta6sg/edit"", ""Sheet1!B:D""), 2, FALSE), ""Not Found"")"),"sɑləm")</f>
        <v>sɑləm</v>
      </c>
      <c r="E8715" s="2" t="str">
        <f>IFERROR(__xludf.DUMMYFUNCTION("IFERROR(VLOOKUP(A8715, IMPORTRANGE(""https://docs.google.com/spreadsheets/d/1-3Vjw2Cyy-mry5gbC8ypIR3YVGFfEpyFESummAta6sg/edit"", ""Sheet1!B:D""), 3, FALSE), ""Not Found"")"),"s ɑ l ə m ")</f>
        <v>s ɑ l ə m </v>
      </c>
    </row>
    <row r="8716">
      <c r="A8716" s="1" t="s">
        <v>8717</v>
      </c>
      <c r="B8716" s="1" t="s">
        <v>6138</v>
      </c>
      <c r="C8716" s="2">
        <f>IFERROR(__xludf.DUMMYFUNCTION("IFERROR(VLOOKUP(A8716, IMPORTRANGE(""https://docs.google.com/spreadsheets/d/1AVX9GT0dgogEBStecCXMMQ29tWz3gBrtNB8yIromXbY/edit?gid=741673867"", ""out1g!A:B""), 2, FALSE), 0)"),47.0)</f>
        <v>47</v>
      </c>
      <c r="D8716" s="2" t="str">
        <f>IFERROR(__xludf.DUMMYFUNCTION("IFERROR(VLOOKUP(A8716, IMPORTRANGE(""https://docs.google.com/spreadsheets/d/1-3Vjw2Cyy-mry5gbC8ypIR3YVGFfEpyFESummAta6sg/edit"", ""Sheet1!B:D""), 2, FALSE), ""Not Found"")"),"pɑpɪn")</f>
        <v>pɑpɪn</v>
      </c>
      <c r="E8716" s="2" t="str">
        <f>IFERROR(__xludf.DUMMYFUNCTION("IFERROR(VLOOKUP(A8716, IMPORTRANGE(""https://docs.google.com/spreadsheets/d/1-3Vjw2Cyy-mry5gbC8ypIR3YVGFfEpyFESummAta6sg/edit"", ""Sheet1!B:D""), 3, FALSE), ""Not Found"")"),"p ɑ p ɪ n ")</f>
        <v>p ɑ p ɪ n </v>
      </c>
    </row>
    <row r="8717">
      <c r="A8717" s="1" t="s">
        <v>8718</v>
      </c>
      <c r="B8717" s="1" t="s">
        <v>6138</v>
      </c>
      <c r="C8717" s="2">
        <f>IFERROR(__xludf.DUMMYFUNCTION("IFERROR(VLOOKUP(A8717, IMPORTRANGE(""https://docs.google.com/spreadsheets/d/1AVX9GT0dgogEBStecCXMMQ29tWz3gBrtNB8yIromXbY/edit?gid=741673867"", ""out1g!A:B""), 2, FALSE), 0)"),671.0)</f>
        <v>671</v>
      </c>
      <c r="D8717" s="2" t="str">
        <f>IFERROR(__xludf.DUMMYFUNCTION("IFERROR(VLOOKUP(A8717, IMPORTRANGE(""https://docs.google.com/spreadsheets/d/1-3Vjw2Cyy-mry5gbC8ypIR3YVGFfEpyFESummAta6sg/edit"", ""Sheet1!B:D""), 2, FALSE), ""Not Found"")"),"fəkər")</f>
        <v>fəkər</v>
      </c>
      <c r="E8717" s="2" t="str">
        <f>IFERROR(__xludf.DUMMYFUNCTION("IFERROR(VLOOKUP(A8717, IMPORTRANGE(""https://docs.google.com/spreadsheets/d/1-3Vjw2Cyy-mry5gbC8ypIR3YVGFfEpyFESummAta6sg/edit"", ""Sheet1!B:D""), 3, FALSE), ""Not Found"")"),"f ə k ə r ")</f>
        <v>f ə k ə r </v>
      </c>
    </row>
    <row r="8718">
      <c r="A8718" s="1" t="s">
        <v>8719</v>
      </c>
      <c r="B8718" s="1" t="s">
        <v>6138</v>
      </c>
      <c r="C8718" s="2">
        <f>IFERROR(__xludf.DUMMYFUNCTION("IFERROR(VLOOKUP(A8718, IMPORTRANGE(""https://docs.google.com/spreadsheets/d/1AVX9GT0dgogEBStecCXMMQ29tWz3gBrtNB8yIromXbY/edit?gid=741673867"", ""out1g!A:B""), 2, FALSE), 0)"),55.0)</f>
        <v>55</v>
      </c>
      <c r="D8718" s="2" t="str">
        <f>IFERROR(__xludf.DUMMYFUNCTION("IFERROR(VLOOKUP(A8718, IMPORTRANGE(""https://docs.google.com/spreadsheets/d/1-3Vjw2Cyy-mry5gbC8ypIR3YVGFfEpyFESummAta6sg/edit"", ""Sheet1!B:D""), 2, FALSE), ""Not Found"")"),"kəmoʊnə")</f>
        <v>kəmoʊnə</v>
      </c>
      <c r="E8718" s="2" t="str">
        <f>IFERROR(__xludf.DUMMYFUNCTION("IFERROR(VLOOKUP(A8718, IMPORTRANGE(""https://docs.google.com/spreadsheets/d/1-3Vjw2Cyy-mry5gbC8ypIR3YVGFfEpyFESummAta6sg/edit"", ""Sheet1!B:D""), 3, FALSE), ""Not Found"")"),"k ə m o ʊ n ə ")</f>
        <v>k ə m o ʊ n ə </v>
      </c>
    </row>
    <row r="8719">
      <c r="A8719" s="1" t="s">
        <v>8720</v>
      </c>
      <c r="B8719" s="1" t="s">
        <v>6138</v>
      </c>
      <c r="C8719" s="2">
        <f>IFERROR(__xludf.DUMMYFUNCTION("IFERROR(VLOOKUP(A8719, IMPORTRANGE(""https://docs.google.com/spreadsheets/d/1AVX9GT0dgogEBStecCXMMQ29tWz3gBrtNB8yIromXbY/edit?gid=741673867"", ""out1g!A:B""), 2, FALSE), 0)"),144.0)</f>
        <v>144</v>
      </c>
      <c r="D8719" s="2" t="str">
        <f>IFERROR(__xludf.DUMMYFUNCTION("IFERROR(VLOOKUP(A8719, IMPORTRANGE(""https://docs.google.com/spreadsheets/d/1-3Vjw2Cyy-mry5gbC8ypIR3YVGFfEpyFESummAta6sg/edit"", ""Sheet1!B:D""), 2, FALSE), ""Not Found"")"),"mɑrki")</f>
        <v>mɑrki</v>
      </c>
      <c r="E8719" s="2" t="str">
        <f>IFERROR(__xludf.DUMMYFUNCTION("IFERROR(VLOOKUP(A8719, IMPORTRANGE(""https://docs.google.com/spreadsheets/d/1-3Vjw2Cyy-mry5gbC8ypIR3YVGFfEpyFESummAta6sg/edit"", ""Sheet1!B:D""), 3, FALSE), ""Not Found"")"),"m ɑ r k i ")</f>
        <v>m ɑ r k i </v>
      </c>
    </row>
    <row r="8720">
      <c r="A8720" s="1" t="s">
        <v>8721</v>
      </c>
      <c r="B8720" s="1" t="s">
        <v>6138</v>
      </c>
      <c r="C8720" s="2">
        <f>IFERROR(__xludf.DUMMYFUNCTION("IFERROR(VLOOKUP(A8720, IMPORTRANGE(""https://docs.google.com/spreadsheets/d/1AVX9GT0dgogEBStecCXMMQ29tWz3gBrtNB8yIromXbY/edit?gid=741673867"", ""out1g!A:B""), 2, FALSE), 0)"),192.0)</f>
        <v>192</v>
      </c>
      <c r="D8720" s="2" t="str">
        <f>IFERROR(__xludf.DUMMYFUNCTION("IFERROR(VLOOKUP(A8720, IMPORTRANGE(""https://docs.google.com/spreadsheets/d/1-3Vjw2Cyy-mry5gbC8ypIR3YVGFfEpyFESummAta6sg/edit"", ""Sheet1!B:D""), 2, FALSE), ""Not Found"")"),"kɑrtun")</f>
        <v>kɑrtun</v>
      </c>
      <c r="E8720" s="2" t="str">
        <f>IFERROR(__xludf.DUMMYFUNCTION("IFERROR(VLOOKUP(A8720, IMPORTRANGE(""https://docs.google.com/spreadsheets/d/1-3Vjw2Cyy-mry5gbC8ypIR3YVGFfEpyFESummAta6sg/edit"", ""Sheet1!B:D""), 3, FALSE), ""Not Found"")"),"k ɑ r t u n ")</f>
        <v>k ɑ r t u n </v>
      </c>
    </row>
    <row r="8721">
      <c r="A8721" s="1" t="s">
        <v>8722</v>
      </c>
      <c r="B8721" s="1" t="s">
        <v>6138</v>
      </c>
      <c r="C8721" s="2">
        <f>IFERROR(__xludf.DUMMYFUNCTION("IFERROR(VLOOKUP(A8721, IMPORTRANGE(""https://docs.google.com/spreadsheets/d/1AVX9GT0dgogEBStecCXMMQ29tWz3gBrtNB8yIromXbY/edit?gid=741673867"", ""out1g!A:B""), 2, FALSE), 0)"),81.0)</f>
        <v>81</v>
      </c>
      <c r="D8721" s="2" t="str">
        <f>IFERROR(__xludf.DUMMYFUNCTION("IFERROR(VLOOKUP(A8721, IMPORTRANGE(""https://docs.google.com/spreadsheets/d/1-3Vjw2Cyy-mry5gbC8ypIR3YVGFfEpyFESummAta6sg/edit"", ""Sheet1!B:D""), 2, FALSE), ""Not Found"")"),"dɪsks")</f>
        <v>dɪsks</v>
      </c>
      <c r="E8721" s="2" t="str">
        <f>IFERROR(__xludf.DUMMYFUNCTION("IFERROR(VLOOKUP(A8721, IMPORTRANGE(""https://docs.google.com/spreadsheets/d/1-3Vjw2Cyy-mry5gbC8ypIR3YVGFfEpyFESummAta6sg/edit"", ""Sheet1!B:D""), 3, FALSE), ""Not Found"")"),"d ɪ s k s ")</f>
        <v>d ɪ s k s </v>
      </c>
    </row>
    <row r="8722">
      <c r="A8722" s="1" t="s">
        <v>8723</v>
      </c>
      <c r="B8722" s="1" t="s">
        <v>6138</v>
      </c>
      <c r="C8722" s="2">
        <f>IFERROR(__xludf.DUMMYFUNCTION("IFERROR(VLOOKUP(A8722, IMPORTRANGE(""https://docs.google.com/spreadsheets/d/1AVX9GT0dgogEBStecCXMMQ29tWz3gBrtNB8yIromXbY/edit?gid=741673867"", ""out1g!A:B""), 2, FALSE), 0)"),99.0)</f>
        <v>99</v>
      </c>
      <c r="D8722" s="2" t="str">
        <f>IFERROR(__xludf.DUMMYFUNCTION("IFERROR(VLOOKUP(A8722, IMPORTRANGE(""https://docs.google.com/spreadsheets/d/1-3Vjw2Cyy-mry5gbC8ypIR3YVGFfEpyFESummAta6sg/edit"", ""Sheet1!B:D""), 2, FALSE), ""Not Found"")"),"hɔrərz")</f>
        <v>hɔrərz</v>
      </c>
      <c r="E8722" s="2" t="str">
        <f>IFERROR(__xludf.DUMMYFUNCTION("IFERROR(VLOOKUP(A8722, IMPORTRANGE(""https://docs.google.com/spreadsheets/d/1-3Vjw2Cyy-mry5gbC8ypIR3YVGFfEpyFESummAta6sg/edit"", ""Sheet1!B:D""), 3, FALSE), ""Not Found"")"),"h ɔ r ə r z ")</f>
        <v>h ɔ r ə r z </v>
      </c>
    </row>
    <row r="8723">
      <c r="A8723" s="1" t="s">
        <v>8724</v>
      </c>
      <c r="B8723" s="1" t="s">
        <v>6138</v>
      </c>
      <c r="C8723" s="2">
        <f>IFERROR(__xludf.DUMMYFUNCTION("IFERROR(VLOOKUP(A8723, IMPORTRANGE(""https://docs.google.com/spreadsheets/d/1AVX9GT0dgogEBStecCXMMQ29tWz3gBrtNB8yIromXbY/edit?gid=741673867"", ""out1g!A:B""), 2, FALSE), 0)"),104.0)</f>
        <v>104</v>
      </c>
      <c r="D8723" s="2" t="str">
        <f>IFERROR(__xludf.DUMMYFUNCTION("IFERROR(VLOOKUP(A8723, IMPORTRANGE(""https://docs.google.com/spreadsheets/d/1-3Vjw2Cyy-mry5gbC8ypIR3YVGFfEpyFESummAta6sg/edit"", ""Sheet1!B:D""), 2, FALSE), ""Not Found"")"),"θæʧər")</f>
        <v>θæʧər</v>
      </c>
      <c r="E8723" s="2" t="str">
        <f>IFERROR(__xludf.DUMMYFUNCTION("IFERROR(VLOOKUP(A8723, IMPORTRANGE(""https://docs.google.com/spreadsheets/d/1-3Vjw2Cyy-mry5gbC8ypIR3YVGFfEpyFESummAta6sg/edit"", ""Sheet1!B:D""), 3, FALSE), ""Not Found"")"),"θ æ ʧ ə r ")</f>
        <v>θ æ ʧ ə r </v>
      </c>
    </row>
    <row r="8724">
      <c r="A8724" s="1" t="s">
        <v>8725</v>
      </c>
      <c r="B8724" s="1" t="s">
        <v>6138</v>
      </c>
      <c r="C8724" s="2">
        <f>IFERROR(__xludf.DUMMYFUNCTION("IFERROR(VLOOKUP(A8724, IMPORTRANGE(""https://docs.google.com/spreadsheets/d/1AVX9GT0dgogEBStecCXMMQ29tWz3gBrtNB8yIromXbY/edit?gid=741673867"", ""out1g!A:B""), 2, FALSE), 0)"),233.0)</f>
        <v>233</v>
      </c>
      <c r="D8724" s="2" t="str">
        <f>IFERROR(__xludf.DUMMYFUNCTION("IFERROR(VLOOKUP(A8724, IMPORTRANGE(""https://docs.google.com/spreadsheets/d/1-3Vjw2Cyy-mry5gbC8ypIR3YVGFfEpyFESummAta6sg/edit"", ""Sheet1!B:D""), 2, FALSE), ""Not Found"")"),"ʤoʊkər")</f>
        <v>ʤoʊkər</v>
      </c>
      <c r="E8724" s="2" t="str">
        <f>IFERROR(__xludf.DUMMYFUNCTION("IFERROR(VLOOKUP(A8724, IMPORTRANGE(""https://docs.google.com/spreadsheets/d/1-3Vjw2Cyy-mry5gbC8ypIR3YVGFfEpyFESummAta6sg/edit"", ""Sheet1!B:D""), 3, FALSE), ""Not Found"")"),"ʤ o ʊ k ə r ")</f>
        <v>ʤ o ʊ k ə r </v>
      </c>
    </row>
    <row r="8725">
      <c r="A8725" s="1" t="s">
        <v>8726</v>
      </c>
      <c r="B8725" s="1" t="s">
        <v>6138</v>
      </c>
      <c r="C8725" s="2">
        <f>IFERROR(__xludf.DUMMYFUNCTION("IFERROR(VLOOKUP(A8725, IMPORTRANGE(""https://docs.google.com/spreadsheets/d/1AVX9GT0dgogEBStecCXMMQ29tWz3gBrtNB8yIromXbY/edit?gid=741673867"", ""out1g!A:B""), 2, FALSE), 0)"),75.0)</f>
        <v>75</v>
      </c>
      <c r="D8725" s="2" t="str">
        <f>IFERROR(__xludf.DUMMYFUNCTION("IFERROR(VLOOKUP(A8725, IMPORTRANGE(""https://docs.google.com/spreadsheets/d/1-3Vjw2Cyy-mry5gbC8ypIR3YVGFfEpyFESummAta6sg/edit"", ""Sheet1!B:D""), 2, FALSE), ""Not Found"")"),"ʤəmbə")</f>
        <v>ʤəmbə</v>
      </c>
      <c r="E8725" s="2" t="str">
        <f>IFERROR(__xludf.DUMMYFUNCTION("IFERROR(VLOOKUP(A8725, IMPORTRANGE(""https://docs.google.com/spreadsheets/d/1-3Vjw2Cyy-mry5gbC8ypIR3YVGFfEpyFESummAta6sg/edit"", ""Sheet1!B:D""), 3, FALSE), ""Not Found"")"),"ʤ ə m b ə ")</f>
        <v>ʤ ə m b ə </v>
      </c>
    </row>
    <row r="8726">
      <c r="A8726" s="1" t="s">
        <v>8727</v>
      </c>
      <c r="B8726" s="1" t="s">
        <v>6138</v>
      </c>
      <c r="C8726" s="2">
        <f>IFERROR(__xludf.DUMMYFUNCTION("IFERROR(VLOOKUP(A8726, IMPORTRANGE(""https://docs.google.com/spreadsheets/d/1AVX9GT0dgogEBStecCXMMQ29tWz3gBrtNB8yIromXbY/edit?gid=741673867"", ""out1g!A:B""), 2, FALSE), 0)"),612.0)</f>
        <v>612</v>
      </c>
      <c r="D8726" s="2" t="str">
        <f>IFERROR(__xludf.DUMMYFUNCTION("IFERROR(VLOOKUP(A8726, IMPORTRANGE(""https://docs.google.com/spreadsheets/d/1-3Vjw2Cyy-mry5gbC8ypIR3YVGFfEpyFESummAta6sg/edit"", ""Sheet1!B:D""), 2, FALSE), ""Not Found"")"),"tel")</f>
        <v>tel</v>
      </c>
      <c r="E8726" s="2" t="str">
        <f>IFERROR(__xludf.DUMMYFUNCTION("IFERROR(VLOOKUP(A8726, IMPORTRANGE(""https://docs.google.com/spreadsheets/d/1-3Vjw2Cyy-mry5gbC8ypIR3YVGFfEpyFESummAta6sg/edit"", ""Sheet1!B:D""), 3, FALSE), ""Not Found"")"),"t e l ")</f>
        <v>t e l </v>
      </c>
    </row>
    <row r="8727">
      <c r="A8727" s="1" t="s">
        <v>8728</v>
      </c>
      <c r="B8727" s="1" t="s">
        <v>6138</v>
      </c>
      <c r="C8727" s="2">
        <f>IFERROR(__xludf.DUMMYFUNCTION("IFERROR(VLOOKUP(A8727, IMPORTRANGE(""https://docs.google.com/spreadsheets/d/1AVX9GT0dgogEBStecCXMMQ29tWz3gBrtNB8yIromXbY/edit?gid=741673867"", ""out1g!A:B""), 2, FALSE), 0)"),224.0)</f>
        <v>224</v>
      </c>
      <c r="D8727" s="2" t="str">
        <f>IFERROR(__xludf.DUMMYFUNCTION("IFERROR(VLOOKUP(A8727, IMPORTRANGE(""https://docs.google.com/spreadsheets/d/1-3Vjw2Cyy-mry5gbC8ypIR3YVGFfEpyFESummAta6sg/edit"", ""Sheet1!B:D""), 2, FALSE), ""Not Found"")"),"dændi")</f>
        <v>dændi</v>
      </c>
      <c r="E8727" s="2" t="str">
        <f>IFERROR(__xludf.DUMMYFUNCTION("IFERROR(VLOOKUP(A8727, IMPORTRANGE(""https://docs.google.com/spreadsheets/d/1-3Vjw2Cyy-mry5gbC8ypIR3YVGFfEpyFESummAta6sg/edit"", ""Sheet1!B:D""), 3, FALSE), ""Not Found"")"),"d æ n d i ")</f>
        <v>d æ n d i </v>
      </c>
    </row>
    <row r="8728">
      <c r="A8728" s="1" t="s">
        <v>8729</v>
      </c>
      <c r="B8728" s="1" t="s">
        <v>6138</v>
      </c>
      <c r="C8728" s="2">
        <f>IFERROR(__xludf.DUMMYFUNCTION("IFERROR(VLOOKUP(A8728, IMPORTRANGE(""https://docs.google.com/spreadsheets/d/1AVX9GT0dgogEBStecCXMMQ29tWz3gBrtNB8yIromXbY/edit?gid=741673867"", ""out1g!A:B""), 2, FALSE), 0)"),162.0)</f>
        <v>162</v>
      </c>
      <c r="D8728" s="2" t="str">
        <f>IFERROR(__xludf.DUMMYFUNCTION("IFERROR(VLOOKUP(A8728, IMPORTRANGE(""https://docs.google.com/spreadsheets/d/1-3Vjw2Cyy-mry5gbC8ypIR3YVGFfEpyFESummAta6sg/edit"", ""Sheet1!B:D""), 2, FALSE), ""Not Found"")"),"ædrɛsɪz")</f>
        <v>ædrɛsɪz</v>
      </c>
      <c r="E8728" s="2" t="str">
        <f>IFERROR(__xludf.DUMMYFUNCTION("IFERROR(VLOOKUP(A8728, IMPORTRANGE(""https://docs.google.com/spreadsheets/d/1-3Vjw2Cyy-mry5gbC8ypIR3YVGFfEpyFESummAta6sg/edit"", ""Sheet1!B:D""), 3, FALSE), ""Not Found"")"),"æ d r ɛ s ɪ z ")</f>
        <v>æ d r ɛ s ɪ z </v>
      </c>
    </row>
    <row r="8729">
      <c r="A8729" s="1" t="s">
        <v>8730</v>
      </c>
      <c r="B8729" s="1" t="s">
        <v>6138</v>
      </c>
      <c r="C8729" s="2">
        <f>IFERROR(__xludf.DUMMYFUNCTION("IFERROR(VLOOKUP(A8729, IMPORTRANGE(""https://docs.google.com/spreadsheets/d/1AVX9GT0dgogEBStecCXMMQ29tWz3gBrtNB8yIromXbY/edit?gid=741673867"", ""out1g!A:B""), 2, FALSE), 0)"),533.0)</f>
        <v>533</v>
      </c>
      <c r="D8729" s="2" t="str">
        <f>IFERROR(__xludf.DUMMYFUNCTION("IFERROR(VLOOKUP(A8729, IMPORTRANGE(""https://docs.google.com/spreadsheets/d/1-3Vjw2Cyy-mry5gbC8ypIR3YVGFfEpyFESummAta6sg/edit"", ""Sheet1!B:D""), 2, FALSE), ""Not Found"")"),"graʊnz")</f>
        <v>graʊnz</v>
      </c>
      <c r="E8729" s="2" t="str">
        <f>IFERROR(__xludf.DUMMYFUNCTION("IFERROR(VLOOKUP(A8729, IMPORTRANGE(""https://docs.google.com/spreadsheets/d/1-3Vjw2Cyy-mry5gbC8ypIR3YVGFfEpyFESummAta6sg/edit"", ""Sheet1!B:D""), 3, FALSE), ""Not Found"")"),"g r a ʊ n z ")</f>
        <v>g r a ʊ n z </v>
      </c>
    </row>
    <row r="8730">
      <c r="A8730" s="1" t="s">
        <v>8731</v>
      </c>
      <c r="B8730" s="1" t="s">
        <v>6138</v>
      </c>
      <c r="C8730" s="2">
        <f>IFERROR(__xludf.DUMMYFUNCTION("IFERROR(VLOOKUP(A8730, IMPORTRANGE(""https://docs.google.com/spreadsheets/d/1AVX9GT0dgogEBStecCXMMQ29tWz3gBrtNB8yIromXbY/edit?gid=741673867"", ""out1g!A:B""), 2, FALSE), 0)"),362.0)</f>
        <v>362</v>
      </c>
      <c r="D8730" s="2" t="str">
        <f>IFERROR(__xludf.DUMMYFUNCTION("IFERROR(VLOOKUP(A8730, IMPORTRANGE(""https://docs.google.com/spreadsheets/d/1-3Vjw2Cyy-mry5gbC8ypIR3YVGFfEpyFESummAta6sg/edit"", ""Sheet1!B:D""), 2, FALSE), ""Not Found"")"),"faɪtərz")</f>
        <v>faɪtərz</v>
      </c>
      <c r="E8730" s="2" t="str">
        <f>IFERROR(__xludf.DUMMYFUNCTION("IFERROR(VLOOKUP(A8730, IMPORTRANGE(""https://docs.google.com/spreadsheets/d/1-3Vjw2Cyy-mry5gbC8ypIR3YVGFfEpyFESummAta6sg/edit"", ""Sheet1!B:D""), 3, FALSE), ""Not Found"")"),"f a ɪ t ə r z ")</f>
        <v>f a ɪ t ə r z </v>
      </c>
    </row>
    <row r="8731">
      <c r="A8731" s="1" t="s">
        <v>8732</v>
      </c>
      <c r="B8731" s="1" t="s">
        <v>6138</v>
      </c>
      <c r="C8731" s="2">
        <f>IFERROR(__xludf.DUMMYFUNCTION("IFERROR(VLOOKUP(A8731, IMPORTRANGE(""https://docs.google.com/spreadsheets/d/1AVX9GT0dgogEBStecCXMMQ29tWz3gBrtNB8yIromXbY/edit?gid=741673867"", ""out1g!A:B""), 2, FALSE), 0)"),230.0)</f>
        <v>230</v>
      </c>
      <c r="D8731" s="2" t="str">
        <f>IFERROR(__xludf.DUMMYFUNCTION("IFERROR(VLOOKUP(A8731, IMPORTRANGE(""https://docs.google.com/spreadsheets/d/1-3Vjw2Cyy-mry5gbC8ypIR3YVGFfEpyFESummAta6sg/edit"", ""Sheet1!B:D""), 2, FALSE), ""Not Found"")"),"groʊlɪŋ")</f>
        <v>groʊlɪŋ</v>
      </c>
      <c r="E8731" s="2" t="str">
        <f>IFERROR(__xludf.DUMMYFUNCTION("IFERROR(VLOOKUP(A8731, IMPORTRANGE(""https://docs.google.com/spreadsheets/d/1-3Vjw2Cyy-mry5gbC8ypIR3YVGFfEpyFESummAta6sg/edit"", ""Sheet1!B:D""), 3, FALSE), ""Not Found"")"),"g r o ʊ l ɪ ŋ ")</f>
        <v>g r o ʊ l ɪ ŋ </v>
      </c>
    </row>
    <row r="8732">
      <c r="A8732" s="1" t="s">
        <v>8733</v>
      </c>
      <c r="B8732" s="1" t="s">
        <v>6138</v>
      </c>
      <c r="C8732" s="2">
        <f>IFERROR(__xludf.DUMMYFUNCTION("IFERROR(VLOOKUP(A8732, IMPORTRANGE(""https://docs.google.com/spreadsheets/d/1AVX9GT0dgogEBStecCXMMQ29tWz3gBrtNB8yIromXbY/edit?gid=741673867"", ""out1g!A:B""), 2, FALSE), 0)"),95.0)</f>
        <v>95</v>
      </c>
      <c r="D8732" s="2" t="str">
        <f>IFERROR(__xludf.DUMMYFUNCTION("IFERROR(VLOOKUP(A8732, IMPORTRANGE(""https://docs.google.com/spreadsheets/d/1-3Vjw2Cyy-mry5gbC8ypIR3YVGFfEpyFESummAta6sg/edit"", ""Sheet1!B:D""), 2, FALSE), ""Not Found"")"),"dɪsit")</f>
        <v>dɪsit</v>
      </c>
      <c r="E8732" s="2" t="str">
        <f>IFERROR(__xludf.DUMMYFUNCTION("IFERROR(VLOOKUP(A8732, IMPORTRANGE(""https://docs.google.com/spreadsheets/d/1-3Vjw2Cyy-mry5gbC8ypIR3YVGFfEpyFESummAta6sg/edit"", ""Sheet1!B:D""), 3, FALSE), ""Not Found"")"),"d ɪ s i t ")</f>
        <v>d ɪ s i t </v>
      </c>
    </row>
    <row r="8733">
      <c r="A8733" s="1" t="s">
        <v>8734</v>
      </c>
      <c r="B8733" s="1" t="s">
        <v>6138</v>
      </c>
      <c r="C8733" s="2">
        <f>IFERROR(__xludf.DUMMYFUNCTION("IFERROR(VLOOKUP(A8733, IMPORTRANGE(""https://docs.google.com/spreadsheets/d/1AVX9GT0dgogEBStecCXMMQ29tWz3gBrtNB8yIromXbY/edit?gid=741673867"", ""out1g!A:B""), 2, FALSE), 0)"),52.0)</f>
        <v>52</v>
      </c>
      <c r="D8733" s="2" t="str">
        <f>IFERROR(__xludf.DUMMYFUNCTION("IFERROR(VLOOKUP(A8733, IMPORTRANGE(""https://docs.google.com/spreadsheets/d/1-3Vjw2Cyy-mry5gbC8ypIR3YVGFfEpyFESummAta6sg/edit"", ""Sheet1!B:D""), 2, FALSE), ""Not Found"")"),"snupi")</f>
        <v>snupi</v>
      </c>
      <c r="E8733" s="2" t="str">
        <f>IFERROR(__xludf.DUMMYFUNCTION("IFERROR(VLOOKUP(A8733, IMPORTRANGE(""https://docs.google.com/spreadsheets/d/1-3Vjw2Cyy-mry5gbC8ypIR3YVGFfEpyFESummAta6sg/edit"", ""Sheet1!B:D""), 3, FALSE), ""Not Found"")"),"s n u p i ")</f>
        <v>s n u p i </v>
      </c>
    </row>
    <row r="8734">
      <c r="A8734" s="1" t="s">
        <v>8735</v>
      </c>
      <c r="B8734" s="1" t="s">
        <v>6138</v>
      </c>
      <c r="C8734" s="2">
        <f>IFERROR(__xludf.DUMMYFUNCTION("IFERROR(VLOOKUP(A8734, IMPORTRANGE(""https://docs.google.com/spreadsheets/d/1AVX9GT0dgogEBStecCXMMQ29tWz3gBrtNB8yIromXbY/edit?gid=741673867"", ""out1g!A:B""), 2, FALSE), 0)"),258.0)</f>
        <v>258</v>
      </c>
      <c r="D8734" s="2" t="str">
        <f>IFERROR(__xludf.DUMMYFUNCTION("IFERROR(VLOOKUP(A8734, IMPORTRANGE(""https://docs.google.com/spreadsheets/d/1-3Vjw2Cyy-mry5gbC8ypIR3YVGFfEpyFESummAta6sg/edit"", ""Sheet1!B:D""), 2, FALSE), ""Not Found"")"),"roʊzə")</f>
        <v>roʊzə</v>
      </c>
      <c r="E8734" s="2" t="str">
        <f>IFERROR(__xludf.DUMMYFUNCTION("IFERROR(VLOOKUP(A8734, IMPORTRANGE(""https://docs.google.com/spreadsheets/d/1-3Vjw2Cyy-mry5gbC8ypIR3YVGFfEpyFESummAta6sg/edit"", ""Sheet1!B:D""), 3, FALSE), ""Not Found"")"),"r o ʊ z ə ")</f>
        <v>r o ʊ z ə </v>
      </c>
    </row>
    <row r="8735">
      <c r="A8735" s="1" t="s">
        <v>8736</v>
      </c>
      <c r="B8735" s="1" t="s">
        <v>6138</v>
      </c>
      <c r="C8735" s="2">
        <f>IFERROR(__xludf.DUMMYFUNCTION("IFERROR(VLOOKUP(A8735, IMPORTRANGE(""https://docs.google.com/spreadsheets/d/1AVX9GT0dgogEBStecCXMMQ29tWz3gBrtNB8yIromXbY/edit?gid=741673867"", ""out1g!A:B""), 2, FALSE), 0)"),47.0)</f>
        <v>47</v>
      </c>
      <c r="D8735" s="2" t="str">
        <f>IFERROR(__xludf.DUMMYFUNCTION("IFERROR(VLOOKUP(A8735, IMPORTRANGE(""https://docs.google.com/spreadsheets/d/1-3Vjw2Cyy-mry5gbC8ypIR3YVGFfEpyFESummAta6sg/edit"", ""Sheet1!B:D""), 2, FALSE), ""Not Found"")"),"bʊkiz")</f>
        <v>bʊkiz</v>
      </c>
      <c r="E8735" s="2" t="str">
        <f>IFERROR(__xludf.DUMMYFUNCTION("IFERROR(VLOOKUP(A8735, IMPORTRANGE(""https://docs.google.com/spreadsheets/d/1-3Vjw2Cyy-mry5gbC8ypIR3YVGFfEpyFESummAta6sg/edit"", ""Sheet1!B:D""), 3, FALSE), ""Not Found"")"),"b ʊ k i z ")</f>
        <v>b ʊ k i z </v>
      </c>
    </row>
    <row r="8736">
      <c r="A8736" s="1" t="s">
        <v>8737</v>
      </c>
      <c r="B8736" s="1" t="s">
        <v>6138</v>
      </c>
      <c r="C8736" s="2">
        <f>IFERROR(__xludf.DUMMYFUNCTION("IFERROR(VLOOKUP(A8736, IMPORTRANGE(""https://docs.google.com/spreadsheets/d/1AVX9GT0dgogEBStecCXMMQ29tWz3gBrtNB8yIromXbY/edit?gid=741673867"", ""out1g!A:B""), 2, FALSE), 0)"),143.0)</f>
        <v>143</v>
      </c>
      <c r="D8736" s="2" t="str">
        <f>IFERROR(__xludf.DUMMYFUNCTION("IFERROR(VLOOKUP(A8736, IMPORTRANGE(""https://docs.google.com/spreadsheets/d/1-3Vjw2Cyy-mry5gbC8ypIR3YVGFfEpyFESummAta6sg/edit"", ""Sheet1!B:D""), 2, FALSE), ""Not Found"")"),"graʊlz")</f>
        <v>graʊlz</v>
      </c>
      <c r="E8736" s="2" t="str">
        <f>IFERROR(__xludf.DUMMYFUNCTION("IFERROR(VLOOKUP(A8736, IMPORTRANGE(""https://docs.google.com/spreadsheets/d/1-3Vjw2Cyy-mry5gbC8ypIR3YVGFfEpyFESummAta6sg/edit"", ""Sheet1!B:D""), 3, FALSE), ""Not Found"")"),"g r a ʊ l z ")</f>
        <v>g r a ʊ l z </v>
      </c>
    </row>
    <row r="8737">
      <c r="A8737" s="1" t="s">
        <v>8738</v>
      </c>
      <c r="B8737" s="1" t="s">
        <v>6138</v>
      </c>
      <c r="C8737" s="2">
        <f>IFERROR(__xludf.DUMMYFUNCTION("IFERROR(VLOOKUP(A8737, IMPORTRANGE(""https://docs.google.com/spreadsheets/d/1AVX9GT0dgogEBStecCXMMQ29tWz3gBrtNB8yIromXbY/edit?gid=741673867"", ""out1g!A:B""), 2, FALSE), 0)"),244.0)</f>
        <v>244</v>
      </c>
      <c r="D8737" s="2" t="str">
        <f>IFERROR(__xludf.DUMMYFUNCTION("IFERROR(VLOOKUP(A8737, IMPORTRANGE(""https://docs.google.com/spreadsheets/d/1-3Vjw2Cyy-mry5gbC8ypIR3YVGFfEpyFESummAta6sg/edit"", ""Sheet1!B:D""), 2, FALSE), ""Not Found"")"),"ʃaʊərz")</f>
        <v>ʃaʊərz</v>
      </c>
      <c r="E8737" s="2" t="str">
        <f>IFERROR(__xludf.DUMMYFUNCTION("IFERROR(VLOOKUP(A8737, IMPORTRANGE(""https://docs.google.com/spreadsheets/d/1-3Vjw2Cyy-mry5gbC8ypIR3YVGFfEpyFESummAta6sg/edit"", ""Sheet1!B:D""), 3, FALSE), ""Not Found"")"),"ʃ a ʊ ə r z ")</f>
        <v>ʃ a ʊ ə r z </v>
      </c>
    </row>
    <row r="8738">
      <c r="A8738" s="1" t="s">
        <v>8739</v>
      </c>
      <c r="B8738" s="1" t="s">
        <v>6138</v>
      </c>
      <c r="C8738" s="2">
        <f>IFERROR(__xludf.DUMMYFUNCTION("IFERROR(VLOOKUP(A8738, IMPORTRANGE(""https://docs.google.com/spreadsheets/d/1AVX9GT0dgogEBStecCXMMQ29tWz3gBrtNB8yIromXbY/edit?gid=741673867"", ""out1g!A:B""), 2, FALSE), 0)"),186.0)</f>
        <v>186</v>
      </c>
      <c r="D8738" s="2" t="str">
        <f>IFERROR(__xludf.DUMMYFUNCTION("IFERROR(VLOOKUP(A8738, IMPORTRANGE(""https://docs.google.com/spreadsheets/d/1-3Vjw2Cyy-mry5gbC8ypIR3YVGFfEpyFESummAta6sg/edit"", ""Sheet1!B:D""), 2, FALSE), ""Not Found"")"),"bridɪŋ")</f>
        <v>bridɪŋ</v>
      </c>
      <c r="E8738" s="2" t="str">
        <f>IFERROR(__xludf.DUMMYFUNCTION("IFERROR(VLOOKUP(A8738, IMPORTRANGE(""https://docs.google.com/spreadsheets/d/1-3Vjw2Cyy-mry5gbC8ypIR3YVGFfEpyFESummAta6sg/edit"", ""Sheet1!B:D""), 3, FALSE), ""Not Found"")"),"b r i d ɪ ŋ ")</f>
        <v>b r i d ɪ ŋ </v>
      </c>
    </row>
    <row r="8739">
      <c r="A8739" s="1" t="s">
        <v>8740</v>
      </c>
      <c r="B8739" s="1" t="s">
        <v>6138</v>
      </c>
      <c r="C8739" s="2">
        <f>IFERROR(__xludf.DUMMYFUNCTION("IFERROR(VLOOKUP(A8739, IMPORTRANGE(""https://docs.google.com/spreadsheets/d/1AVX9GT0dgogEBStecCXMMQ29tWz3gBrtNB8yIromXbY/edit?gid=741673867"", ""out1g!A:B""), 2, FALSE), 0)"),134.0)</f>
        <v>134</v>
      </c>
      <c r="D8739" s="2" t="str">
        <f>IFERROR(__xludf.DUMMYFUNCTION("IFERROR(VLOOKUP(A8739, IMPORTRANGE(""https://docs.google.com/spreadsheets/d/1-3Vjw2Cyy-mry5gbC8ypIR3YVGFfEpyFESummAta6sg/edit"", ""Sheet1!B:D""), 2, FALSE), ""Not Found"")"),"səmərz")</f>
        <v>səmərz</v>
      </c>
      <c r="E8739" s="2" t="str">
        <f>IFERROR(__xludf.DUMMYFUNCTION("IFERROR(VLOOKUP(A8739, IMPORTRANGE(""https://docs.google.com/spreadsheets/d/1-3Vjw2Cyy-mry5gbC8ypIR3YVGFfEpyFESummAta6sg/edit"", ""Sheet1!B:D""), 3, FALSE), ""Not Found"")"),"s ə m ə r z ")</f>
        <v>s ə m ə r z </v>
      </c>
    </row>
    <row r="8740">
      <c r="A8740" s="1" t="s">
        <v>8741</v>
      </c>
      <c r="B8740" s="1" t="s">
        <v>6138</v>
      </c>
      <c r="C8740" s="2">
        <f>IFERROR(__xludf.DUMMYFUNCTION("IFERROR(VLOOKUP(A8740, IMPORTRANGE(""https://docs.google.com/spreadsheets/d/1AVX9GT0dgogEBStecCXMMQ29tWz3gBrtNB8yIromXbY/edit?gid=741673867"", ""out1g!A:B""), 2, FALSE), 0)"),86.0)</f>
        <v>86</v>
      </c>
      <c r="D8740" s="2" t="str">
        <f>IFERROR(__xludf.DUMMYFUNCTION("IFERROR(VLOOKUP(A8740, IMPORTRANGE(""https://docs.google.com/spreadsheets/d/1-3Vjw2Cyy-mry5gbC8ypIR3YVGFfEpyFESummAta6sg/edit"", ""Sheet1!B:D""), 2, FALSE), ""Not Found"")"),"flitɪŋ")</f>
        <v>flitɪŋ</v>
      </c>
      <c r="E8740" s="2" t="str">
        <f>IFERROR(__xludf.DUMMYFUNCTION("IFERROR(VLOOKUP(A8740, IMPORTRANGE(""https://docs.google.com/spreadsheets/d/1-3Vjw2Cyy-mry5gbC8ypIR3YVGFfEpyFESummAta6sg/edit"", ""Sheet1!B:D""), 3, FALSE), ""Not Found"")"),"f l i t ɪ ŋ ")</f>
        <v>f l i t ɪ ŋ </v>
      </c>
    </row>
    <row r="8741">
      <c r="A8741" s="1" t="s">
        <v>8742</v>
      </c>
      <c r="B8741" s="1" t="s">
        <v>6138</v>
      </c>
      <c r="C8741" s="2">
        <f>IFERROR(__xludf.DUMMYFUNCTION("IFERROR(VLOOKUP(A8741, IMPORTRANGE(""https://docs.google.com/spreadsheets/d/1AVX9GT0dgogEBStecCXMMQ29tWz3gBrtNB8yIromXbY/edit?gid=741673867"", ""out1g!A:B""), 2, FALSE), 0)"),1472.0)</f>
        <v>1472</v>
      </c>
      <c r="D8741" s="2" t="str">
        <f>IFERROR(__xludf.DUMMYFUNCTION("IFERROR(VLOOKUP(A8741, IMPORTRANGE(""https://docs.google.com/spreadsheets/d/1-3Vjw2Cyy-mry5gbC8ypIR3YVGFfEpyFESummAta6sg/edit"", ""Sheet1!B:D""), 2, FALSE), ""Not Found"")"),"ʧænsɪz")</f>
        <v>ʧænsɪz</v>
      </c>
      <c r="E8741" s="2" t="str">
        <f>IFERROR(__xludf.DUMMYFUNCTION("IFERROR(VLOOKUP(A8741, IMPORTRANGE(""https://docs.google.com/spreadsheets/d/1-3Vjw2Cyy-mry5gbC8ypIR3YVGFfEpyFESummAta6sg/edit"", ""Sheet1!B:D""), 3, FALSE), ""Not Found"")"),"ʧ æ n s ɪ z ")</f>
        <v>ʧ æ n s ɪ z </v>
      </c>
    </row>
    <row r="8742">
      <c r="A8742" s="1" t="s">
        <v>8743</v>
      </c>
      <c r="B8742" s="1" t="s">
        <v>6138</v>
      </c>
      <c r="C8742" s="2">
        <f>IFERROR(__xludf.DUMMYFUNCTION("IFERROR(VLOOKUP(A8742, IMPORTRANGE(""https://docs.google.com/spreadsheets/d/1AVX9GT0dgogEBStecCXMMQ29tWz3gBrtNB8yIromXbY/edit?gid=741673867"", ""out1g!A:B""), 2, FALSE), 0)"),95.0)</f>
        <v>95</v>
      </c>
      <c r="D8742" s="2" t="str">
        <f>IFERROR(__xludf.DUMMYFUNCTION("IFERROR(VLOOKUP(A8742, IMPORTRANGE(""https://docs.google.com/spreadsheets/d/1-3Vjw2Cyy-mry5gbC8ypIR3YVGFfEpyFESummAta6sg/edit"", ""Sheet1!B:D""), 2, FALSE), ""Not Found"")"),"kjubz")</f>
        <v>kjubz</v>
      </c>
      <c r="E8742" s="2" t="str">
        <f>IFERROR(__xludf.DUMMYFUNCTION("IFERROR(VLOOKUP(A8742, IMPORTRANGE(""https://docs.google.com/spreadsheets/d/1-3Vjw2Cyy-mry5gbC8ypIR3YVGFfEpyFESummAta6sg/edit"", ""Sheet1!B:D""), 3, FALSE), ""Not Found"")"),"k j u b z ")</f>
        <v>k j u b z </v>
      </c>
    </row>
    <row r="8743">
      <c r="A8743" s="1" t="s">
        <v>8744</v>
      </c>
      <c r="B8743" s="1" t="s">
        <v>6138</v>
      </c>
      <c r="C8743" s="2">
        <f>IFERROR(__xludf.DUMMYFUNCTION("IFERROR(VLOOKUP(A8743, IMPORTRANGE(""https://docs.google.com/spreadsheets/d/1AVX9GT0dgogEBStecCXMMQ29tWz3gBrtNB8yIromXbY/edit?gid=741673867"", ""out1g!A:B""), 2, FALSE), 0)"),13.0)</f>
        <v>13</v>
      </c>
      <c r="D8743" s="2" t="str">
        <f>IFERROR(__xludf.DUMMYFUNCTION("IFERROR(VLOOKUP(A8743, IMPORTRANGE(""https://docs.google.com/spreadsheets/d/1-3Vjw2Cyy-mry5gbC8ypIR3YVGFfEpyFESummAta6sg/edit"", ""Sheet1!B:D""), 2, FALSE), ""Not Found"")"),"flɪtɪŋ")</f>
        <v>flɪtɪŋ</v>
      </c>
      <c r="E8743" s="2" t="str">
        <f>IFERROR(__xludf.DUMMYFUNCTION("IFERROR(VLOOKUP(A8743, IMPORTRANGE(""https://docs.google.com/spreadsheets/d/1-3Vjw2Cyy-mry5gbC8ypIR3YVGFfEpyFESummAta6sg/edit"", ""Sheet1!B:D""), 3, FALSE), ""Not Found"")"),"f l ɪ t ɪ ŋ ")</f>
        <v>f l ɪ t ɪ ŋ </v>
      </c>
    </row>
    <row r="8744">
      <c r="A8744" s="1" t="s">
        <v>8745</v>
      </c>
      <c r="B8744" s="1" t="s">
        <v>6138</v>
      </c>
      <c r="C8744" s="2">
        <f>IFERROR(__xludf.DUMMYFUNCTION("IFERROR(VLOOKUP(A8744, IMPORTRANGE(""https://docs.google.com/spreadsheets/d/1AVX9GT0dgogEBStecCXMMQ29tWz3gBrtNB8yIromXbY/edit?gid=741673867"", ""out1g!A:B""), 2, FALSE), 0)"),59.0)</f>
        <v>59</v>
      </c>
      <c r="D8744" s="2" t="str">
        <f>IFERROR(__xludf.DUMMYFUNCTION("IFERROR(VLOOKUP(A8744, IMPORTRANGE(""https://docs.google.com/spreadsheets/d/1-3Vjw2Cyy-mry5gbC8ypIR3YVGFfEpyFESummAta6sg/edit"", ""Sheet1!B:D""), 2, FALSE), ""Not Found"")"),"əfɑr")</f>
        <v>əfɑr</v>
      </c>
      <c r="E8744" s="2" t="str">
        <f>IFERROR(__xludf.DUMMYFUNCTION("IFERROR(VLOOKUP(A8744, IMPORTRANGE(""https://docs.google.com/spreadsheets/d/1-3Vjw2Cyy-mry5gbC8ypIR3YVGFfEpyFESummAta6sg/edit"", ""Sheet1!B:D""), 3, FALSE), ""Not Found"")"),"ə f ɑ r ")</f>
        <v>ə f ɑ r </v>
      </c>
    </row>
    <row r="8745">
      <c r="A8745" s="1" t="s">
        <v>8746</v>
      </c>
      <c r="B8745" s="1" t="s">
        <v>6138</v>
      </c>
      <c r="C8745" s="2">
        <f>IFERROR(__xludf.DUMMYFUNCTION("IFERROR(VLOOKUP(A8745, IMPORTRANGE(""https://docs.google.com/spreadsheets/d/1AVX9GT0dgogEBStecCXMMQ29tWz3gBrtNB8yIromXbY/edit?gid=741673867"", ""out1g!A:B""), 2, FALSE), 0)"),79.0)</f>
        <v>79</v>
      </c>
      <c r="D8745" s="2" t="str">
        <f>IFERROR(__xludf.DUMMYFUNCTION("IFERROR(VLOOKUP(A8745, IMPORTRANGE(""https://docs.google.com/spreadsheets/d/1-3Vjw2Cyy-mry5gbC8ypIR3YVGFfEpyFESummAta6sg/edit"", ""Sheet1!B:D""), 2, FALSE), ""Not Found"")"),"frizɪz")</f>
        <v>frizɪz</v>
      </c>
      <c r="E8745" s="2" t="str">
        <f>IFERROR(__xludf.DUMMYFUNCTION("IFERROR(VLOOKUP(A8745, IMPORTRANGE(""https://docs.google.com/spreadsheets/d/1-3Vjw2Cyy-mry5gbC8ypIR3YVGFfEpyFESummAta6sg/edit"", ""Sheet1!B:D""), 3, FALSE), ""Not Found"")"),"f r i z ɪ z ")</f>
        <v>f r i z ɪ z </v>
      </c>
    </row>
    <row r="8746">
      <c r="A8746" s="1" t="s">
        <v>8747</v>
      </c>
      <c r="B8746" s="1" t="s">
        <v>6138</v>
      </c>
      <c r="C8746" s="2">
        <f>IFERROR(__xludf.DUMMYFUNCTION("IFERROR(VLOOKUP(A8746, IMPORTRANGE(""https://docs.google.com/spreadsheets/d/1AVX9GT0dgogEBStecCXMMQ29tWz3gBrtNB8yIromXbY/edit?gid=741673867"", ""out1g!A:B""), 2, FALSE), 0)"),65.0)</f>
        <v>65</v>
      </c>
      <c r="D8746" s="2" t="str">
        <f>IFERROR(__xludf.DUMMYFUNCTION("IFERROR(VLOOKUP(A8746, IMPORTRANGE(""https://docs.google.com/spreadsheets/d/1-3Vjw2Cyy-mry5gbC8ypIR3YVGFfEpyFESummAta6sg/edit"", ""Sheet1!B:D""), 2, FALSE), ""Not Found"")"),"flaɪərz")</f>
        <v>flaɪərz</v>
      </c>
      <c r="E8746" s="2" t="str">
        <f>IFERROR(__xludf.DUMMYFUNCTION("IFERROR(VLOOKUP(A8746, IMPORTRANGE(""https://docs.google.com/spreadsheets/d/1-3Vjw2Cyy-mry5gbC8ypIR3YVGFfEpyFESummAta6sg/edit"", ""Sheet1!B:D""), 3, FALSE), ""Not Found"")"),"f l a ɪ ə r z ")</f>
        <v>f l a ɪ ə r z </v>
      </c>
    </row>
    <row r="8747">
      <c r="A8747" s="1" t="s">
        <v>8748</v>
      </c>
      <c r="B8747" s="1" t="s">
        <v>6138</v>
      </c>
      <c r="C8747" s="2">
        <f>IFERROR(__xludf.DUMMYFUNCTION("IFERROR(VLOOKUP(A8747, IMPORTRANGE(""https://docs.google.com/spreadsheets/d/1AVX9GT0dgogEBStecCXMMQ29tWz3gBrtNB8yIromXbY/edit?gid=741673867"", ""out1g!A:B""), 2, FALSE), 0)"),58.0)</f>
        <v>58</v>
      </c>
      <c r="D8747" s="2" t="str">
        <f>IFERROR(__xludf.DUMMYFUNCTION("IFERROR(VLOOKUP(A8747, IMPORTRANGE(""https://docs.google.com/spreadsheets/d/1-3Vjw2Cyy-mry5gbC8ypIR3YVGFfEpyFESummAta6sg/edit"", ""Sheet1!B:D""), 2, FALSE), ""Not Found"")"),"lɔmən")</f>
        <v>lɔmən</v>
      </c>
      <c r="E8747" s="2" t="str">
        <f>IFERROR(__xludf.DUMMYFUNCTION("IFERROR(VLOOKUP(A8747, IMPORTRANGE(""https://docs.google.com/spreadsheets/d/1-3Vjw2Cyy-mry5gbC8ypIR3YVGFfEpyFESummAta6sg/edit"", ""Sheet1!B:D""), 3, FALSE), ""Not Found"")"),"l ɔ m ə n ")</f>
        <v>l ɔ m ə n </v>
      </c>
    </row>
    <row r="8748">
      <c r="A8748" s="1" t="s">
        <v>8749</v>
      </c>
      <c r="B8748" s="1" t="s">
        <v>6138</v>
      </c>
      <c r="C8748" s="2">
        <f>IFERROR(__xludf.DUMMYFUNCTION("IFERROR(VLOOKUP(A8748, IMPORTRANGE(""https://docs.google.com/spreadsheets/d/1AVX9GT0dgogEBStecCXMMQ29tWz3gBrtNB8yIromXbY/edit?gid=741673867"", ""out1g!A:B""), 2, FALSE), 0)"),318.0)</f>
        <v>318</v>
      </c>
      <c r="D8748" s="2" t="str">
        <f>IFERROR(__xludf.DUMMYFUNCTION("IFERROR(VLOOKUP(A8748, IMPORTRANGE(""https://docs.google.com/spreadsheets/d/1-3Vjw2Cyy-mry5gbC8ypIR3YVGFfEpyFESummAta6sg/edit"", ""Sheet1!B:D""), 2, FALSE), ""Not Found"")"),"skriʧ")</f>
        <v>skriʧ</v>
      </c>
      <c r="E8748" s="2" t="str">
        <f>IFERROR(__xludf.DUMMYFUNCTION("IFERROR(VLOOKUP(A8748, IMPORTRANGE(""https://docs.google.com/spreadsheets/d/1-3Vjw2Cyy-mry5gbC8ypIR3YVGFfEpyFESummAta6sg/edit"", ""Sheet1!B:D""), 3, FALSE), ""Not Found"")"),"s k r i ʧ ")</f>
        <v>s k r i ʧ </v>
      </c>
    </row>
    <row r="8749">
      <c r="A8749" s="1" t="s">
        <v>8750</v>
      </c>
      <c r="B8749" s="1" t="s">
        <v>6138</v>
      </c>
      <c r="C8749" s="2">
        <f>IFERROR(__xludf.DUMMYFUNCTION("IFERROR(VLOOKUP(A8749, IMPORTRANGE(""https://docs.google.com/spreadsheets/d/1AVX9GT0dgogEBStecCXMMQ29tWz3gBrtNB8yIromXbY/edit?gid=741673867"", ""out1g!A:B""), 2, FALSE), 0)"),240.0)</f>
        <v>240</v>
      </c>
      <c r="D8749" s="2" t="str">
        <f>IFERROR(__xludf.DUMMYFUNCTION("IFERROR(VLOOKUP(A8749, IMPORTRANGE(""https://docs.google.com/spreadsheets/d/1-3Vjw2Cyy-mry5gbC8ypIR3YVGFfEpyFESummAta6sg/edit"", ""Sheet1!B:D""), 2, FALSE), ""Not Found"")"),"mərinə")</f>
        <v>mərinə</v>
      </c>
      <c r="E8749" s="2" t="str">
        <f>IFERROR(__xludf.DUMMYFUNCTION("IFERROR(VLOOKUP(A8749, IMPORTRANGE(""https://docs.google.com/spreadsheets/d/1-3Vjw2Cyy-mry5gbC8ypIR3YVGFfEpyFESummAta6sg/edit"", ""Sheet1!B:D""), 3, FALSE), ""Not Found"")"),"m ə r i n ə ")</f>
        <v>m ə r i n ə </v>
      </c>
    </row>
    <row r="8750">
      <c r="A8750" s="1" t="s">
        <v>8751</v>
      </c>
      <c r="B8750" s="1" t="s">
        <v>6138</v>
      </c>
      <c r="C8750" s="2">
        <f>IFERROR(__xludf.DUMMYFUNCTION("IFERROR(VLOOKUP(A8750, IMPORTRANGE(""https://docs.google.com/spreadsheets/d/1AVX9GT0dgogEBStecCXMMQ29tWz3gBrtNB8yIromXbY/edit?gid=741673867"", ""out1g!A:B""), 2, FALSE), 0)"),381.0)</f>
        <v>381</v>
      </c>
      <c r="D8750" s="2" t="str">
        <f>IFERROR(__xludf.DUMMYFUNCTION("IFERROR(VLOOKUP(A8750, IMPORTRANGE(""https://docs.google.com/spreadsheets/d/1-3Vjw2Cyy-mry5gbC8ypIR3YVGFfEpyFESummAta6sg/edit"", ""Sheet1!B:D""), 2, FALSE), ""Not Found"")"),"dæmɪt")</f>
        <v>dæmɪt</v>
      </c>
      <c r="E8750" s="2" t="str">
        <f>IFERROR(__xludf.DUMMYFUNCTION("IFERROR(VLOOKUP(A8750, IMPORTRANGE(""https://docs.google.com/spreadsheets/d/1-3Vjw2Cyy-mry5gbC8ypIR3YVGFfEpyFESummAta6sg/edit"", ""Sheet1!B:D""), 3, FALSE), ""Not Found"")"),"d æ m ɪ t ")</f>
        <v>d æ m ɪ t </v>
      </c>
    </row>
    <row r="8751">
      <c r="A8751" s="1" t="s">
        <v>8752</v>
      </c>
      <c r="B8751" s="1" t="s">
        <v>6138</v>
      </c>
      <c r="C8751" s="2">
        <f>IFERROR(__xludf.DUMMYFUNCTION("IFERROR(VLOOKUP(A8751, IMPORTRANGE(""https://docs.google.com/spreadsheets/d/1AVX9GT0dgogEBStecCXMMQ29tWz3gBrtNB8yIromXbY/edit?gid=741673867"", ""out1g!A:B""), 2, FALSE), 0)"),76.0)</f>
        <v>76</v>
      </c>
      <c r="D8751" s="2" t="str">
        <f>IFERROR(__xludf.DUMMYFUNCTION("IFERROR(VLOOKUP(A8751, IMPORTRANGE(""https://docs.google.com/spreadsheets/d/1-3Vjw2Cyy-mry5gbC8ypIR3YVGFfEpyFESummAta6sg/edit"", ""Sheet1!B:D""), 2, FALSE), ""Not Found"")"),"sɔfən")</f>
        <v>sɔfən</v>
      </c>
      <c r="E8751" s="2" t="str">
        <f>IFERROR(__xludf.DUMMYFUNCTION("IFERROR(VLOOKUP(A8751, IMPORTRANGE(""https://docs.google.com/spreadsheets/d/1-3Vjw2Cyy-mry5gbC8ypIR3YVGFfEpyFESummAta6sg/edit"", ""Sheet1!B:D""), 3, FALSE), ""Not Found"")"),"s ɔ f ə n ")</f>
        <v>s ɔ f ə n </v>
      </c>
    </row>
    <row r="8752">
      <c r="A8752" s="1" t="s">
        <v>8753</v>
      </c>
      <c r="B8752" s="1" t="s">
        <v>6138</v>
      </c>
      <c r="C8752" s="2">
        <f>IFERROR(__xludf.DUMMYFUNCTION("IFERROR(VLOOKUP(A8752, IMPORTRANGE(""https://docs.google.com/spreadsheets/d/1AVX9GT0dgogEBStecCXMMQ29tWz3gBrtNB8yIromXbY/edit?gid=741673867"", ""out1g!A:B""), 2, FALSE), 0)"),459.0)</f>
        <v>459</v>
      </c>
      <c r="D8752" s="2" t="str">
        <f>IFERROR(__xludf.DUMMYFUNCTION("IFERROR(VLOOKUP(A8752, IMPORTRANGE(""https://docs.google.com/spreadsheets/d/1-3Vjw2Cyy-mry5gbC8ypIR3YVGFfEpyFESummAta6sg/edit"", ""Sheet1!B:D""), 2, FALSE), ""Not Found"")"),"jæŋki")</f>
        <v>jæŋki</v>
      </c>
      <c r="E8752" s="2" t="str">
        <f>IFERROR(__xludf.DUMMYFUNCTION("IFERROR(VLOOKUP(A8752, IMPORTRANGE(""https://docs.google.com/spreadsheets/d/1-3Vjw2Cyy-mry5gbC8ypIR3YVGFfEpyFESummAta6sg/edit"", ""Sheet1!B:D""), 3, FALSE), ""Not Found"")"),"j æ ŋ k i ")</f>
        <v>j æ ŋ k i </v>
      </c>
    </row>
    <row r="8753">
      <c r="A8753" s="1" t="s">
        <v>8754</v>
      </c>
      <c r="B8753" s="1" t="s">
        <v>6138</v>
      </c>
      <c r="C8753" s="2">
        <f>IFERROR(__xludf.DUMMYFUNCTION("IFERROR(VLOOKUP(A8753, IMPORTRANGE(""https://docs.google.com/spreadsheets/d/1AVX9GT0dgogEBStecCXMMQ29tWz3gBrtNB8yIromXbY/edit?gid=741673867"", ""out1g!A:B""), 2, FALSE), 0)"),83.0)</f>
        <v>83</v>
      </c>
      <c r="D8753" s="2" t="str">
        <f>IFERROR(__xludf.DUMMYFUNCTION("IFERROR(VLOOKUP(A8753, IMPORTRANGE(""https://docs.google.com/spreadsheets/d/1-3Vjw2Cyy-mry5gbC8ypIR3YVGFfEpyFESummAta6sg/edit"", ""Sheet1!B:D""), 2, FALSE), ""Not Found"")"),"ledən")</f>
        <v>ledən</v>
      </c>
      <c r="E8753" s="2" t="str">
        <f>IFERROR(__xludf.DUMMYFUNCTION("IFERROR(VLOOKUP(A8753, IMPORTRANGE(""https://docs.google.com/spreadsheets/d/1-3Vjw2Cyy-mry5gbC8ypIR3YVGFfEpyFESummAta6sg/edit"", ""Sheet1!B:D""), 3, FALSE), ""Not Found"")"),"l e d ə n ")</f>
        <v>l e d ə n </v>
      </c>
    </row>
    <row r="8754">
      <c r="A8754" s="1" t="s">
        <v>8755</v>
      </c>
      <c r="B8754" s="1" t="s">
        <v>6138</v>
      </c>
      <c r="C8754" s="2">
        <f>IFERROR(__xludf.DUMMYFUNCTION("IFERROR(VLOOKUP(A8754, IMPORTRANGE(""https://docs.google.com/spreadsheets/d/1AVX9GT0dgogEBStecCXMMQ29tWz3gBrtNB8yIromXbY/edit?gid=741673867"", ""out1g!A:B""), 2, FALSE), 0)"),165.0)</f>
        <v>165</v>
      </c>
      <c r="D8754" s="2" t="str">
        <f>IFERROR(__xludf.DUMMYFUNCTION("IFERROR(VLOOKUP(A8754, IMPORTRANGE(""https://docs.google.com/spreadsheets/d/1-3Vjw2Cyy-mry5gbC8ypIR3YVGFfEpyFESummAta6sg/edit"", ""Sheet1!B:D""), 2, FALSE), ""Not Found"")"),"pɪʧər")</f>
        <v>pɪʧər</v>
      </c>
      <c r="E8754" s="2" t="str">
        <f>IFERROR(__xludf.DUMMYFUNCTION("IFERROR(VLOOKUP(A8754, IMPORTRANGE(""https://docs.google.com/spreadsheets/d/1-3Vjw2Cyy-mry5gbC8ypIR3YVGFfEpyFESummAta6sg/edit"", ""Sheet1!B:D""), 3, FALSE), ""Not Found"")"),"p ɪ ʧ ə r ")</f>
        <v>p ɪ ʧ ə r </v>
      </c>
    </row>
    <row r="8755">
      <c r="A8755" s="1" t="s">
        <v>8756</v>
      </c>
      <c r="B8755" s="1" t="s">
        <v>6138</v>
      </c>
      <c r="C8755" s="2">
        <f>IFERROR(__xludf.DUMMYFUNCTION("IFERROR(VLOOKUP(A8755, IMPORTRANGE(""https://docs.google.com/spreadsheets/d/1AVX9GT0dgogEBStecCXMMQ29tWz3gBrtNB8yIromXbY/edit?gid=741673867"", ""out1g!A:B""), 2, FALSE), 0)"),154.0)</f>
        <v>154</v>
      </c>
      <c r="D8755" s="2" t="str">
        <f>IFERROR(__xludf.DUMMYFUNCTION("IFERROR(VLOOKUP(A8755, IMPORTRANGE(""https://docs.google.com/spreadsheets/d/1-3Vjw2Cyy-mry5gbC8ypIR3YVGFfEpyFESummAta6sg/edit"", ""Sheet1!B:D""), 2, FALSE), ""Not Found"")"),"tɛmp")</f>
        <v>tɛmp</v>
      </c>
      <c r="E8755" s="2" t="str">
        <f>IFERROR(__xludf.DUMMYFUNCTION("IFERROR(VLOOKUP(A8755, IMPORTRANGE(""https://docs.google.com/spreadsheets/d/1-3Vjw2Cyy-mry5gbC8ypIR3YVGFfEpyFESummAta6sg/edit"", ""Sheet1!B:D""), 3, FALSE), ""Not Found"")"),"t ɛ m p ")</f>
        <v>t ɛ m p </v>
      </c>
    </row>
    <row r="8756">
      <c r="A8756" s="1" t="s">
        <v>8757</v>
      </c>
      <c r="B8756" s="1" t="s">
        <v>6138</v>
      </c>
      <c r="C8756" s="2">
        <f>IFERROR(__xludf.DUMMYFUNCTION("IFERROR(VLOOKUP(A8756, IMPORTRANGE(""https://docs.google.com/spreadsheets/d/1AVX9GT0dgogEBStecCXMMQ29tWz3gBrtNB8yIromXbY/edit?gid=741673867"", ""out1g!A:B""), 2, FALSE), 0)"),167.0)</f>
        <v>167</v>
      </c>
      <c r="D8756" s="2" t="str">
        <f>IFERROR(__xludf.DUMMYFUNCTION("IFERROR(VLOOKUP(A8756, IMPORTRANGE(""https://docs.google.com/spreadsheets/d/1-3Vjw2Cyy-mry5gbC8ypIR3YVGFfEpyFESummAta6sg/edit"", ""Sheet1!B:D""), 2, FALSE), ""Not Found"")"),"kæʃɪr")</f>
        <v>kæʃɪr</v>
      </c>
      <c r="E8756" s="2" t="str">
        <f>IFERROR(__xludf.DUMMYFUNCTION("IFERROR(VLOOKUP(A8756, IMPORTRANGE(""https://docs.google.com/spreadsheets/d/1-3Vjw2Cyy-mry5gbC8ypIR3YVGFfEpyFESummAta6sg/edit"", ""Sheet1!B:D""), 3, FALSE), ""Not Found"")"),"k æ ʃ ɪ r ")</f>
        <v>k æ ʃ ɪ r </v>
      </c>
    </row>
    <row r="8757">
      <c r="A8757" s="1" t="s">
        <v>8758</v>
      </c>
      <c r="B8757" s="1" t="s">
        <v>6138</v>
      </c>
      <c r="C8757" s="2">
        <f>IFERROR(__xludf.DUMMYFUNCTION("IFERROR(VLOOKUP(A8757, IMPORTRANGE(""https://docs.google.com/spreadsheets/d/1AVX9GT0dgogEBStecCXMMQ29tWz3gBrtNB8yIromXbY/edit?gid=741673867"", ""out1g!A:B""), 2, FALSE), 0)"),95.0)</f>
        <v>95</v>
      </c>
      <c r="D8757" s="2" t="str">
        <f>IFERROR(__xludf.DUMMYFUNCTION("IFERROR(VLOOKUP(A8757, IMPORTRANGE(""https://docs.google.com/spreadsheets/d/1-3Vjw2Cyy-mry5gbC8ypIR3YVGFfEpyFESummAta6sg/edit"", ""Sheet1!B:D""), 2, FALSE), ""Not Found"")"),"ɛmtid")</f>
        <v>ɛmtid</v>
      </c>
      <c r="E8757" s="2" t="str">
        <f>IFERROR(__xludf.DUMMYFUNCTION("IFERROR(VLOOKUP(A8757, IMPORTRANGE(""https://docs.google.com/spreadsheets/d/1-3Vjw2Cyy-mry5gbC8ypIR3YVGFfEpyFESummAta6sg/edit"", ""Sheet1!B:D""), 3, FALSE), ""Not Found"")"),"ɛ m t i d ")</f>
        <v>ɛ m t i d </v>
      </c>
    </row>
    <row r="8758">
      <c r="A8758" s="1" t="s">
        <v>8759</v>
      </c>
      <c r="B8758" s="1" t="s">
        <v>6138</v>
      </c>
      <c r="C8758" s="2">
        <f>IFERROR(__xludf.DUMMYFUNCTION("IFERROR(VLOOKUP(A8758, IMPORTRANGE(""https://docs.google.com/spreadsheets/d/1AVX9GT0dgogEBStecCXMMQ29tWz3gBrtNB8yIromXbY/edit?gid=741673867"", ""out1g!A:B""), 2, FALSE), 0)"),60.0)</f>
        <v>60</v>
      </c>
      <c r="D8758" s="2" t="str">
        <f>IFERROR(__xludf.DUMMYFUNCTION("IFERROR(VLOOKUP(A8758, IMPORTRANGE(""https://docs.google.com/spreadsheets/d/1-3Vjw2Cyy-mry5gbC8ypIR3YVGFfEpyFESummAta6sg/edit"", ""Sheet1!B:D""), 2, FALSE), ""Not Found"")"),"trænz")</f>
        <v>trænz</v>
      </c>
      <c r="E8758" s="2" t="str">
        <f>IFERROR(__xludf.DUMMYFUNCTION("IFERROR(VLOOKUP(A8758, IMPORTRANGE(""https://docs.google.com/spreadsheets/d/1-3Vjw2Cyy-mry5gbC8ypIR3YVGFfEpyFESummAta6sg/edit"", ""Sheet1!B:D""), 3, FALSE), ""Not Found"")"),"t r æ n z ")</f>
        <v>t r æ n z </v>
      </c>
    </row>
    <row r="8759">
      <c r="A8759" s="1" t="s">
        <v>8760</v>
      </c>
      <c r="B8759" s="1" t="s">
        <v>6138</v>
      </c>
      <c r="C8759" s="2">
        <f>IFERROR(__xludf.DUMMYFUNCTION("IFERROR(VLOOKUP(A8759, IMPORTRANGE(""https://docs.google.com/spreadsheets/d/1AVX9GT0dgogEBStecCXMMQ29tWz3gBrtNB8yIromXbY/edit?gid=741673867"", ""out1g!A:B""), 2, FALSE), 0)"),75.0)</f>
        <v>75</v>
      </c>
      <c r="D8759" s="2" t="str">
        <f>IFERROR(__xludf.DUMMYFUNCTION("IFERROR(VLOOKUP(A8759, IMPORTRANGE(""https://docs.google.com/spreadsheets/d/1-3Vjw2Cyy-mry5gbC8ypIR3YVGFfEpyFESummAta6sg/edit"", ""Sheet1!B:D""), 2, FALSE), ""Not Found"")"),"dɪvaɪzd")</f>
        <v>dɪvaɪzd</v>
      </c>
      <c r="E8759" s="2" t="str">
        <f>IFERROR(__xludf.DUMMYFUNCTION("IFERROR(VLOOKUP(A8759, IMPORTRANGE(""https://docs.google.com/spreadsheets/d/1-3Vjw2Cyy-mry5gbC8ypIR3YVGFfEpyFESummAta6sg/edit"", ""Sheet1!B:D""), 3, FALSE), ""Not Found"")"),"d ɪ v a ɪ z d ")</f>
        <v>d ɪ v a ɪ z d </v>
      </c>
    </row>
    <row r="8760">
      <c r="A8760" s="1" t="s">
        <v>8761</v>
      </c>
      <c r="B8760" s="1" t="s">
        <v>6138</v>
      </c>
      <c r="C8760" s="2">
        <f>IFERROR(__xludf.DUMMYFUNCTION("IFERROR(VLOOKUP(A8760, IMPORTRANGE(""https://docs.google.com/spreadsheets/d/1AVX9GT0dgogEBStecCXMMQ29tWz3gBrtNB8yIromXbY/edit?gid=741673867"", ""out1g!A:B""), 2, FALSE), 0)"),4667.0)</f>
        <v>4667</v>
      </c>
      <c r="D8760" s="2" t="str">
        <f>IFERROR(__xludf.DUMMYFUNCTION("IFERROR(VLOOKUP(A8760, IMPORTRANGE(""https://docs.google.com/spreadsheets/d/1-3Vjw2Cyy-mry5gbC8ypIR3YVGFfEpyFESummAta6sg/edit"", ""Sheet1!B:D""), 2, FALSE), ""Not Found"")"),"mɛsɪʤ")</f>
        <v>mɛsɪʤ</v>
      </c>
      <c r="E8760" s="2" t="str">
        <f>IFERROR(__xludf.DUMMYFUNCTION("IFERROR(VLOOKUP(A8760, IMPORTRANGE(""https://docs.google.com/spreadsheets/d/1-3Vjw2Cyy-mry5gbC8ypIR3YVGFfEpyFESummAta6sg/edit"", ""Sheet1!B:D""), 3, FALSE), ""Not Found"")"),"m ɛ s ɪ ʤ ")</f>
        <v>m ɛ s ɪ ʤ </v>
      </c>
    </row>
    <row r="8761">
      <c r="A8761" s="1" t="s">
        <v>8762</v>
      </c>
      <c r="B8761" s="1" t="s">
        <v>6138</v>
      </c>
      <c r="C8761" s="2">
        <f>IFERROR(__xludf.DUMMYFUNCTION("IFERROR(VLOOKUP(A8761, IMPORTRANGE(""https://docs.google.com/spreadsheets/d/1AVX9GT0dgogEBStecCXMMQ29tWz3gBrtNB8yIromXbY/edit?gid=741673867"", ""out1g!A:B""), 2, FALSE), 0)"),56.0)</f>
        <v>56</v>
      </c>
      <c r="D8761" s="2" t="str">
        <f>IFERROR(__xludf.DUMMYFUNCTION("IFERROR(VLOOKUP(A8761, IMPORTRANGE(""https://docs.google.com/spreadsheets/d/1-3Vjw2Cyy-mry5gbC8ypIR3YVGFfEpyFESummAta6sg/edit"", ""Sheet1!B:D""), 2, FALSE), ""Not Found"")"),"tɪŋgəl")</f>
        <v>tɪŋgəl</v>
      </c>
      <c r="E8761" s="2" t="str">
        <f>IFERROR(__xludf.DUMMYFUNCTION("IFERROR(VLOOKUP(A8761, IMPORTRANGE(""https://docs.google.com/spreadsheets/d/1-3Vjw2Cyy-mry5gbC8ypIR3YVGFfEpyFESummAta6sg/edit"", ""Sheet1!B:D""), 3, FALSE), ""Not Found"")"),"t ɪ ŋ g ə l ")</f>
        <v>t ɪ ŋ g ə l </v>
      </c>
    </row>
    <row r="8762">
      <c r="A8762" s="1" t="s">
        <v>8763</v>
      </c>
      <c r="B8762" s="1" t="s">
        <v>6138</v>
      </c>
      <c r="C8762" s="2">
        <f>IFERROR(__xludf.DUMMYFUNCTION("IFERROR(VLOOKUP(A8762, IMPORTRANGE(""https://docs.google.com/spreadsheets/d/1AVX9GT0dgogEBStecCXMMQ29tWz3gBrtNB8yIromXbY/edit?gid=741673867"", ""out1g!A:B""), 2, FALSE), 0)"),221.0)</f>
        <v>221</v>
      </c>
      <c r="D8762" s="2" t="str">
        <f>IFERROR(__xludf.DUMMYFUNCTION("IFERROR(VLOOKUP(A8762, IMPORTRANGE(""https://docs.google.com/spreadsheets/d/1-3Vjw2Cyy-mry5gbC8ypIR3YVGFfEpyFESummAta6sg/edit"", ""Sheet1!B:D""), 2, FALSE), ""Not Found"")"),"gæŋz")</f>
        <v>gæŋz</v>
      </c>
      <c r="E8762" s="2" t="str">
        <f>IFERROR(__xludf.DUMMYFUNCTION("IFERROR(VLOOKUP(A8762, IMPORTRANGE(""https://docs.google.com/spreadsheets/d/1-3Vjw2Cyy-mry5gbC8ypIR3YVGFfEpyFESummAta6sg/edit"", ""Sheet1!B:D""), 3, FALSE), ""Not Found"")"),"g æ ŋ z ")</f>
        <v>g æ ŋ z </v>
      </c>
    </row>
    <row r="8763">
      <c r="A8763" s="1" t="s">
        <v>8764</v>
      </c>
      <c r="B8763" s="1" t="s">
        <v>6138</v>
      </c>
      <c r="C8763" s="2">
        <f>IFERROR(__xludf.DUMMYFUNCTION("IFERROR(VLOOKUP(A8763, IMPORTRANGE(""https://docs.google.com/spreadsheets/d/1AVX9GT0dgogEBStecCXMMQ29tWz3gBrtNB8yIromXbY/edit?gid=741673867"", ""out1g!A:B""), 2, FALSE), 0)"),18.0)</f>
        <v>18</v>
      </c>
      <c r="D8763" s="2" t="str">
        <f>IFERROR(__xludf.DUMMYFUNCTION("IFERROR(VLOOKUP(A8763, IMPORTRANGE(""https://docs.google.com/spreadsheets/d/1-3Vjw2Cyy-mry5gbC8ypIR3YVGFfEpyFESummAta6sg/edit"", ""Sheet1!B:D""), 2, FALSE), ""Not Found"")"),"kroʊkər")</f>
        <v>kroʊkər</v>
      </c>
      <c r="E8763" s="2" t="str">
        <f>IFERROR(__xludf.DUMMYFUNCTION("IFERROR(VLOOKUP(A8763, IMPORTRANGE(""https://docs.google.com/spreadsheets/d/1-3Vjw2Cyy-mry5gbC8ypIR3YVGFfEpyFESummAta6sg/edit"", ""Sheet1!B:D""), 3, FALSE), ""Not Found"")"),"k r o ʊ k ə r ")</f>
        <v>k r o ʊ k ə r </v>
      </c>
    </row>
    <row r="8764">
      <c r="A8764" s="1" t="s">
        <v>8765</v>
      </c>
      <c r="B8764" s="1" t="s">
        <v>6138</v>
      </c>
      <c r="C8764" s="2">
        <f>IFERROR(__xludf.DUMMYFUNCTION("IFERROR(VLOOKUP(A8764, IMPORTRANGE(""https://docs.google.com/spreadsheets/d/1AVX9GT0dgogEBStecCXMMQ29tWz3gBrtNB8yIromXbY/edit?gid=741673867"", ""out1g!A:B""), 2, FALSE), 0)"),97.0)</f>
        <v>97</v>
      </c>
      <c r="D8764" s="2" t="str">
        <f>IFERROR(__xludf.DUMMYFUNCTION("IFERROR(VLOOKUP(A8764, IMPORTRANGE(""https://docs.google.com/spreadsheets/d/1-3Vjw2Cyy-mry5gbC8ypIR3YVGFfEpyFESummAta6sg/edit"", ""Sheet1!B:D""), 2, FALSE), ""Not Found"")"),"bəlk")</f>
        <v>bəlk</v>
      </c>
      <c r="E8764" s="2" t="str">
        <f>IFERROR(__xludf.DUMMYFUNCTION("IFERROR(VLOOKUP(A8764, IMPORTRANGE(""https://docs.google.com/spreadsheets/d/1-3Vjw2Cyy-mry5gbC8ypIR3YVGFfEpyFESummAta6sg/edit"", ""Sheet1!B:D""), 3, FALSE), ""Not Found"")"),"b ə l k ")</f>
        <v>b ə l k </v>
      </c>
    </row>
    <row r="8765">
      <c r="A8765" s="1" t="s">
        <v>8766</v>
      </c>
      <c r="B8765" s="1" t="s">
        <v>6138</v>
      </c>
      <c r="C8765" s="2">
        <f>IFERROR(__xludf.DUMMYFUNCTION("IFERROR(VLOOKUP(A8765, IMPORTRANGE(""https://docs.google.com/spreadsheets/d/1AVX9GT0dgogEBStecCXMMQ29tWz3gBrtNB8yIromXbY/edit?gid=741673867"", ""out1g!A:B""), 2, FALSE), 0)"),263.0)</f>
        <v>263</v>
      </c>
      <c r="D8765" s="2" t="str">
        <f>IFERROR(__xludf.DUMMYFUNCTION("IFERROR(VLOOKUP(A8765, IMPORTRANGE(""https://docs.google.com/spreadsheets/d/1-3Vjw2Cyy-mry5gbC8ypIR3YVGFfEpyFESummAta6sg/edit"", ""Sheet1!B:D""), 2, FALSE), ""Not Found"")"),"tumər")</f>
        <v>tumər</v>
      </c>
      <c r="E8765" s="2" t="str">
        <f>IFERROR(__xludf.DUMMYFUNCTION("IFERROR(VLOOKUP(A8765, IMPORTRANGE(""https://docs.google.com/spreadsheets/d/1-3Vjw2Cyy-mry5gbC8ypIR3YVGFfEpyFESummAta6sg/edit"", ""Sheet1!B:D""), 3, FALSE), ""Not Found"")"),"t u m ə r ")</f>
        <v>t u m ə r </v>
      </c>
    </row>
    <row r="8766">
      <c r="A8766" s="1" t="s">
        <v>8767</v>
      </c>
      <c r="B8766" s="1" t="s">
        <v>6138</v>
      </c>
      <c r="C8766" s="2">
        <f>IFERROR(__xludf.DUMMYFUNCTION("IFERROR(VLOOKUP(A8766, IMPORTRANGE(""https://docs.google.com/spreadsheets/d/1AVX9GT0dgogEBStecCXMMQ29tWz3gBrtNB8yIromXbY/edit?gid=741673867"", ""out1g!A:B""), 2, FALSE), 0)"),85.0)</f>
        <v>85</v>
      </c>
      <c r="D8766" s="2" t="str">
        <f>IFERROR(__xludf.DUMMYFUNCTION("IFERROR(VLOOKUP(A8766, IMPORTRANGE(""https://docs.google.com/spreadsheets/d/1-3Vjw2Cyy-mry5gbC8ypIR3YVGFfEpyFESummAta6sg/edit"", ""Sheet1!B:D""), 2, FALSE), ""Not Found"")"),"pɪmpəl")</f>
        <v>pɪmpəl</v>
      </c>
      <c r="E8766" s="2" t="str">
        <f>IFERROR(__xludf.DUMMYFUNCTION("IFERROR(VLOOKUP(A8766, IMPORTRANGE(""https://docs.google.com/spreadsheets/d/1-3Vjw2Cyy-mry5gbC8ypIR3YVGFfEpyFESummAta6sg/edit"", ""Sheet1!B:D""), 3, FALSE), ""Not Found"")"),"p ɪ m p ə l ")</f>
        <v>p ɪ m p ə l </v>
      </c>
    </row>
    <row r="8767">
      <c r="A8767" s="1" t="s">
        <v>8768</v>
      </c>
      <c r="B8767" s="1" t="s">
        <v>6138</v>
      </c>
      <c r="C8767" s="2">
        <f>IFERROR(__xludf.DUMMYFUNCTION("IFERROR(VLOOKUP(A8767, IMPORTRANGE(""https://docs.google.com/spreadsheets/d/1AVX9GT0dgogEBStecCXMMQ29tWz3gBrtNB8yIromXbY/edit?gid=741673867"", ""out1g!A:B""), 2, FALSE), 0)"),69.0)</f>
        <v>69</v>
      </c>
      <c r="D8767" s="2" t="str">
        <f>IFERROR(__xludf.DUMMYFUNCTION("IFERROR(VLOOKUP(A8767, IMPORTRANGE(""https://docs.google.com/spreadsheets/d/1-3Vjw2Cyy-mry5gbC8ypIR3YVGFfEpyFESummAta6sg/edit"", ""Sheet1!B:D""), 2, FALSE), ""Not Found"")"),"hæmərz")</f>
        <v>hæmərz</v>
      </c>
      <c r="E8767" s="2" t="str">
        <f>IFERROR(__xludf.DUMMYFUNCTION("IFERROR(VLOOKUP(A8767, IMPORTRANGE(""https://docs.google.com/spreadsheets/d/1-3Vjw2Cyy-mry5gbC8ypIR3YVGFfEpyFESummAta6sg/edit"", ""Sheet1!B:D""), 3, FALSE), ""Not Found"")"),"h æ m ə r z ")</f>
        <v>h æ m ə r z </v>
      </c>
    </row>
    <row r="8768">
      <c r="A8768" s="1" t="s">
        <v>8769</v>
      </c>
      <c r="B8768" s="1" t="s">
        <v>6138</v>
      </c>
      <c r="C8768" s="2">
        <f>IFERROR(__xludf.DUMMYFUNCTION("IFERROR(VLOOKUP(A8768, IMPORTRANGE(""https://docs.google.com/spreadsheets/d/1AVX9GT0dgogEBStecCXMMQ29tWz3gBrtNB8yIromXbY/edit?gid=741673867"", ""out1g!A:B""), 2, FALSE), 0)"),84.0)</f>
        <v>84</v>
      </c>
      <c r="D8768" s="2" t="str">
        <f>IFERROR(__xludf.DUMMYFUNCTION("IFERROR(VLOOKUP(A8768, IMPORTRANGE(""https://docs.google.com/spreadsheets/d/1-3Vjw2Cyy-mry5gbC8ypIR3YVGFfEpyFESummAta6sg/edit"", ""Sheet1!B:D""), 2, FALSE), ""Not Found"")"),"kænənz")</f>
        <v>kænənz</v>
      </c>
      <c r="E8768" s="2" t="str">
        <f>IFERROR(__xludf.DUMMYFUNCTION("IFERROR(VLOOKUP(A8768, IMPORTRANGE(""https://docs.google.com/spreadsheets/d/1-3Vjw2Cyy-mry5gbC8ypIR3YVGFfEpyFESummAta6sg/edit"", ""Sheet1!B:D""), 3, FALSE), ""Not Found"")"),"k æ n ə n z ")</f>
        <v>k æ n ə n z </v>
      </c>
    </row>
    <row r="8769">
      <c r="A8769" s="1" t="s">
        <v>8770</v>
      </c>
      <c r="B8769" s="1" t="s">
        <v>6138</v>
      </c>
      <c r="C8769" s="2">
        <f>IFERROR(__xludf.DUMMYFUNCTION("IFERROR(VLOOKUP(A8769, IMPORTRANGE(""https://docs.google.com/spreadsheets/d/1AVX9GT0dgogEBStecCXMMQ29tWz3gBrtNB8yIromXbY/edit?gid=741673867"", ""out1g!A:B""), 2, FALSE), 0)"),882.0)</f>
        <v>882</v>
      </c>
      <c r="D8769" s="2" t="str">
        <f>IFERROR(__xludf.DUMMYFUNCTION("IFERROR(VLOOKUP(A8769, IMPORTRANGE(""https://docs.google.com/spreadsheets/d/1-3Vjw2Cyy-mry5gbC8ypIR3YVGFfEpyFESummAta6sg/edit"", ""Sheet1!B:D""), 2, FALSE), ""Not Found"")"),"lɪkər")</f>
        <v>lɪkər</v>
      </c>
      <c r="E8769" s="2" t="str">
        <f>IFERROR(__xludf.DUMMYFUNCTION("IFERROR(VLOOKUP(A8769, IMPORTRANGE(""https://docs.google.com/spreadsheets/d/1-3Vjw2Cyy-mry5gbC8ypIR3YVGFfEpyFESummAta6sg/edit"", ""Sheet1!B:D""), 3, FALSE), ""Not Found"")"),"l ɪ k ə r ")</f>
        <v>l ɪ k ə r </v>
      </c>
    </row>
    <row r="8770">
      <c r="A8770" s="1" t="s">
        <v>8771</v>
      </c>
      <c r="B8770" s="1" t="s">
        <v>6138</v>
      </c>
      <c r="C8770" s="2">
        <f>IFERROR(__xludf.DUMMYFUNCTION("IFERROR(VLOOKUP(A8770, IMPORTRANGE(""https://docs.google.com/spreadsheets/d/1AVX9GT0dgogEBStecCXMMQ29tWz3gBrtNB8yIromXbY/edit?gid=741673867"", ""out1g!A:B""), 2, FALSE), 0)"),149.0)</f>
        <v>149</v>
      </c>
      <c r="D8770" s="2" t="str">
        <f>IFERROR(__xludf.DUMMYFUNCTION("IFERROR(VLOOKUP(A8770, IMPORTRANGE(""https://docs.google.com/spreadsheets/d/1-3Vjw2Cyy-mry5gbC8ypIR3YVGFfEpyFESummAta6sg/edit"", ""Sheet1!B:D""), 2, FALSE), ""Not Found"")"),"brekəp")</f>
        <v>brekəp</v>
      </c>
      <c r="E8770" s="2" t="str">
        <f>IFERROR(__xludf.DUMMYFUNCTION("IFERROR(VLOOKUP(A8770, IMPORTRANGE(""https://docs.google.com/spreadsheets/d/1-3Vjw2Cyy-mry5gbC8ypIR3YVGFfEpyFESummAta6sg/edit"", ""Sheet1!B:D""), 3, FALSE), ""Not Found"")"),"b r e k ə p ")</f>
        <v>b r e k ə p </v>
      </c>
    </row>
    <row r="8771">
      <c r="A8771" s="1" t="s">
        <v>8772</v>
      </c>
      <c r="B8771" s="1" t="s">
        <v>6138</v>
      </c>
      <c r="C8771" s="2">
        <f>IFERROR(__xludf.DUMMYFUNCTION("IFERROR(VLOOKUP(A8771, IMPORTRANGE(""https://docs.google.com/spreadsheets/d/1AVX9GT0dgogEBStecCXMMQ29tWz3gBrtNB8yIromXbY/edit?gid=741673867"", ""out1g!A:B""), 2, FALSE), 0)"),951.0)</f>
        <v>951</v>
      </c>
      <c r="D8771" s="2" t="str">
        <f>IFERROR(__xludf.DUMMYFUNCTION("IFERROR(VLOOKUP(A8771, IMPORTRANGE(""https://docs.google.com/spreadsheets/d/1-3Vjw2Cyy-mry5gbC8ypIR3YVGFfEpyFESummAta6sg/edit"", ""Sheet1!B:D""), 2, FALSE), ""Not Found"")"),"nel")</f>
        <v>nel</v>
      </c>
      <c r="E8771" s="2" t="str">
        <f>IFERROR(__xludf.DUMMYFUNCTION("IFERROR(VLOOKUP(A8771, IMPORTRANGE(""https://docs.google.com/spreadsheets/d/1-3Vjw2Cyy-mry5gbC8ypIR3YVGFfEpyFESummAta6sg/edit"", ""Sheet1!B:D""), 3, FALSE), ""Not Found"")"),"n e l ")</f>
        <v>n e l </v>
      </c>
    </row>
    <row r="8772">
      <c r="A8772" s="1" t="s">
        <v>8773</v>
      </c>
      <c r="B8772" s="1" t="s">
        <v>6138</v>
      </c>
      <c r="C8772" s="2">
        <f>IFERROR(__xludf.DUMMYFUNCTION("IFERROR(VLOOKUP(A8772, IMPORTRANGE(""https://docs.google.com/spreadsheets/d/1AVX9GT0dgogEBStecCXMMQ29tWz3gBrtNB8yIromXbY/edit?gid=741673867"", ""out1g!A:B""), 2, FALSE), 0)"),60.0)</f>
        <v>60</v>
      </c>
      <c r="D8772" s="2" t="str">
        <f>IFERROR(__xludf.DUMMYFUNCTION("IFERROR(VLOOKUP(A8772, IMPORTRANGE(""https://docs.google.com/spreadsheets/d/1-3Vjw2Cyy-mry5gbC8ypIR3YVGFfEpyFESummAta6sg/edit"", ""Sheet1!B:D""), 2, FALSE), ""Not Found"")"),"emz")</f>
        <v>emz</v>
      </c>
      <c r="E8772" s="2" t="str">
        <f>IFERROR(__xludf.DUMMYFUNCTION("IFERROR(VLOOKUP(A8772, IMPORTRANGE(""https://docs.google.com/spreadsheets/d/1-3Vjw2Cyy-mry5gbC8ypIR3YVGFfEpyFESummAta6sg/edit"", ""Sheet1!B:D""), 3, FALSE), ""Not Found"")"),"e m z ")</f>
        <v>e m z </v>
      </c>
    </row>
    <row r="8773">
      <c r="A8773" s="1" t="s">
        <v>8774</v>
      </c>
      <c r="B8773" s="1" t="s">
        <v>6138</v>
      </c>
      <c r="C8773" s="2">
        <f>IFERROR(__xludf.DUMMYFUNCTION("IFERROR(VLOOKUP(A8773, IMPORTRANGE(""https://docs.google.com/spreadsheets/d/1AVX9GT0dgogEBStecCXMMQ29tWz3gBrtNB8yIromXbY/edit?gid=741673867"", ""out1g!A:B""), 2, FALSE), 0)"),10399.0)</f>
        <v>10399</v>
      </c>
      <c r="D8773" s="2" t="str">
        <f>IFERROR(__xludf.DUMMYFUNCTION("IFERROR(VLOOKUP(A8773, IMPORTRANGE(""https://docs.google.com/spreadsheets/d/1-3Vjw2Cyy-mry5gbC8ypIR3YVGFfEpyFESummAta6sg/edit"", ""Sheet1!B:D""), 2, FALSE), ""Not Found"")"),"ɔfəs")</f>
        <v>ɔfəs</v>
      </c>
      <c r="E8773" s="2" t="str">
        <f>IFERROR(__xludf.DUMMYFUNCTION("IFERROR(VLOOKUP(A8773, IMPORTRANGE(""https://docs.google.com/spreadsheets/d/1-3Vjw2Cyy-mry5gbC8ypIR3YVGFfEpyFESummAta6sg/edit"", ""Sheet1!B:D""), 3, FALSE), ""Not Found"")"),"ɔ f ə s ")</f>
        <v>ɔ f ə s </v>
      </c>
    </row>
    <row r="8774">
      <c r="A8774" s="1" t="s">
        <v>8775</v>
      </c>
      <c r="B8774" s="1" t="s">
        <v>6138</v>
      </c>
      <c r="C8774" s="2">
        <f>IFERROR(__xludf.DUMMYFUNCTION("IFERROR(VLOOKUP(A8774, IMPORTRANGE(""https://docs.google.com/spreadsheets/d/1AVX9GT0dgogEBStecCXMMQ29tWz3gBrtNB8yIromXbY/edit?gid=741673867"", ""out1g!A:B""), 2, FALSE), 0)"),5158.0)</f>
        <v>5158</v>
      </c>
      <c r="D8774" s="2" t="str">
        <f>IFERROR(__xludf.DUMMYFUNCTION("IFERROR(VLOOKUP(A8774, IMPORTRANGE(""https://docs.google.com/spreadsheets/d/1-3Vjw2Cyy-mry5gbC8ypIR3YVGFfEpyFESummAta6sg/edit"", ""Sheet1!B:D""), 2, FALSE), ""Not Found"")"),"kloʊðz")</f>
        <v>kloʊðz</v>
      </c>
      <c r="E8774" s="2" t="str">
        <f>IFERROR(__xludf.DUMMYFUNCTION("IFERROR(VLOOKUP(A8774, IMPORTRANGE(""https://docs.google.com/spreadsheets/d/1-3Vjw2Cyy-mry5gbC8ypIR3YVGFfEpyFESummAta6sg/edit"", ""Sheet1!B:D""), 3, FALSE), ""Not Found"")"),"k l o ʊ ð z ")</f>
        <v>k l o ʊ ð z </v>
      </c>
    </row>
    <row r="8775">
      <c r="A8775" s="1" t="s">
        <v>8776</v>
      </c>
      <c r="B8775" s="1" t="s">
        <v>6138</v>
      </c>
      <c r="C8775" s="2">
        <f>IFERROR(__xludf.DUMMYFUNCTION("IFERROR(VLOOKUP(A8775, IMPORTRANGE(""https://docs.google.com/spreadsheets/d/1AVX9GT0dgogEBStecCXMMQ29tWz3gBrtNB8yIromXbY/edit?gid=741673867"", ""out1g!A:B""), 2, FALSE), 0)"),14.0)</f>
        <v>14</v>
      </c>
      <c r="D8775" s="2" t="str">
        <f>IFERROR(__xludf.DUMMYFUNCTION("IFERROR(VLOOKUP(A8775, IMPORTRANGE(""https://docs.google.com/spreadsheets/d/1-3Vjw2Cyy-mry5gbC8ypIR3YVGFfEpyFESummAta6sg/edit"", ""Sheet1!B:D""), 2, FALSE), ""Not Found"")"),"ʃæŋkt")</f>
        <v>ʃæŋkt</v>
      </c>
      <c r="E8775" s="2" t="str">
        <f>IFERROR(__xludf.DUMMYFUNCTION("IFERROR(VLOOKUP(A8775, IMPORTRANGE(""https://docs.google.com/spreadsheets/d/1-3Vjw2Cyy-mry5gbC8ypIR3YVGFfEpyFESummAta6sg/edit"", ""Sheet1!B:D""), 3, FALSE), ""Not Found"")"),"ʃ æ ŋ k t ")</f>
        <v>ʃ æ ŋ k t </v>
      </c>
    </row>
    <row r="8776">
      <c r="A8776" s="1" t="s">
        <v>8777</v>
      </c>
      <c r="B8776" s="1" t="s">
        <v>6138</v>
      </c>
      <c r="C8776" s="2">
        <f>IFERROR(__xludf.DUMMYFUNCTION("IFERROR(VLOOKUP(A8776, IMPORTRANGE(""https://docs.google.com/spreadsheets/d/1AVX9GT0dgogEBStecCXMMQ29tWz3gBrtNB8yIromXbY/edit?gid=741673867"", ""out1g!A:B""), 2, FALSE), 0)"),25852.0)</f>
        <v>25852</v>
      </c>
      <c r="D8776" s="2" t="str">
        <f>IFERROR(__xludf.DUMMYFUNCTION("IFERROR(VLOOKUP(A8776, IMPORTRANGE(""https://docs.google.com/spreadsheets/d/1-3Vjw2Cyy-mry5gbC8ypIR3YVGFfEpyFESummAta6sg/edit"", ""Sheet1!B:D""), 2, FALSE), ""Not Found"")"),"gɑtə")</f>
        <v>gɑtə</v>
      </c>
      <c r="E8776" s="2" t="str">
        <f>IFERROR(__xludf.DUMMYFUNCTION("IFERROR(VLOOKUP(A8776, IMPORTRANGE(""https://docs.google.com/spreadsheets/d/1-3Vjw2Cyy-mry5gbC8ypIR3YVGFfEpyFESummAta6sg/edit"", ""Sheet1!B:D""), 3, FALSE), ""Not Found"")"),"g ɑ t ə ")</f>
        <v>g ɑ t ə </v>
      </c>
    </row>
    <row r="8777">
      <c r="A8777" s="1" t="s">
        <v>8778</v>
      </c>
      <c r="B8777" s="1" t="s">
        <v>6138</v>
      </c>
      <c r="C8777" s="2">
        <f>IFERROR(__xludf.DUMMYFUNCTION("IFERROR(VLOOKUP(A8777, IMPORTRANGE(""https://docs.google.com/spreadsheets/d/1AVX9GT0dgogEBStecCXMMQ29tWz3gBrtNB8yIromXbY/edit?gid=741673867"", ""out1g!A:B""), 2, FALSE), 0)"),66.0)</f>
        <v>66</v>
      </c>
      <c r="D8777" s="2" t="str">
        <f>IFERROR(__xludf.DUMMYFUNCTION("IFERROR(VLOOKUP(A8777, IMPORTRANGE(""https://docs.google.com/spreadsheets/d/1-3Vjw2Cyy-mry5gbC8ypIR3YVGFfEpyFESummAta6sg/edit"", ""Sheet1!B:D""), 2, FALSE), ""Not Found"")"),"dɪŋgoʊ")</f>
        <v>dɪŋgoʊ</v>
      </c>
      <c r="E8777" s="2" t="str">
        <f>IFERROR(__xludf.DUMMYFUNCTION("IFERROR(VLOOKUP(A8777, IMPORTRANGE(""https://docs.google.com/spreadsheets/d/1-3Vjw2Cyy-mry5gbC8ypIR3YVGFfEpyFESummAta6sg/edit"", ""Sheet1!B:D""), 3, FALSE), ""Not Found"")"),"d ɪ ŋ g o ʊ ")</f>
        <v>d ɪ ŋ g o ʊ </v>
      </c>
    </row>
    <row r="8778">
      <c r="A8778" s="1" t="s">
        <v>8779</v>
      </c>
      <c r="B8778" s="1" t="s">
        <v>6138</v>
      </c>
      <c r="C8778" s="2">
        <f>IFERROR(__xludf.DUMMYFUNCTION("IFERROR(VLOOKUP(A8778, IMPORTRANGE(""https://docs.google.com/spreadsheets/d/1AVX9GT0dgogEBStecCXMMQ29tWz3gBrtNB8yIromXbY/edit?gid=741673867"", ""out1g!A:B""), 2, FALSE), 0)"),1398.0)</f>
        <v>1398</v>
      </c>
      <c r="D8778" s="2" t="str">
        <f>IFERROR(__xludf.DUMMYFUNCTION("IFERROR(VLOOKUP(A8778, IMPORTRANGE(""https://docs.google.com/spreadsheets/d/1-3Vjw2Cyy-mry5gbC8ypIR3YVGFfEpyFESummAta6sg/edit"", ""Sheet1!B:D""), 2, FALSE), ""Not Found"")"),"bɔrɪŋ")</f>
        <v>bɔrɪŋ</v>
      </c>
      <c r="E8778" s="2" t="str">
        <f>IFERROR(__xludf.DUMMYFUNCTION("IFERROR(VLOOKUP(A8778, IMPORTRANGE(""https://docs.google.com/spreadsheets/d/1-3Vjw2Cyy-mry5gbC8ypIR3YVGFfEpyFESummAta6sg/edit"", ""Sheet1!B:D""), 3, FALSE), ""Not Found"")"),"b ɔ r ɪ ŋ ")</f>
        <v>b ɔ r ɪ ŋ </v>
      </c>
    </row>
    <row r="8779">
      <c r="A8779" s="1" t="s">
        <v>8780</v>
      </c>
      <c r="B8779" s="1" t="s">
        <v>6138</v>
      </c>
      <c r="C8779" s="2">
        <f>IFERROR(__xludf.DUMMYFUNCTION("IFERROR(VLOOKUP(A8779, IMPORTRANGE(""https://docs.google.com/spreadsheets/d/1AVX9GT0dgogEBStecCXMMQ29tWz3gBrtNB8yIromXbY/edit?gid=741673867"", ""out1g!A:B""), 2, FALSE), 0)"),220.0)</f>
        <v>220</v>
      </c>
      <c r="D8779" s="2" t="str">
        <f>IFERROR(__xludf.DUMMYFUNCTION("IFERROR(VLOOKUP(A8779, IMPORTRANGE(""https://docs.google.com/spreadsheets/d/1-3Vjw2Cyy-mry5gbC8ypIR3YVGFfEpyFESummAta6sg/edit"", ""Sheet1!B:D""), 2, FALSE), ""Not Found"")"),"sɔrdz")</f>
        <v>sɔrdz</v>
      </c>
      <c r="E8779" s="2" t="str">
        <f>IFERROR(__xludf.DUMMYFUNCTION("IFERROR(VLOOKUP(A8779, IMPORTRANGE(""https://docs.google.com/spreadsheets/d/1-3Vjw2Cyy-mry5gbC8ypIR3YVGFfEpyFESummAta6sg/edit"", ""Sheet1!B:D""), 3, FALSE), ""Not Found"")"),"s ɔ r d z ")</f>
        <v>s ɔ r d z </v>
      </c>
    </row>
    <row r="8780">
      <c r="A8780" s="1" t="s">
        <v>8781</v>
      </c>
      <c r="B8780" s="1" t="s">
        <v>6138</v>
      </c>
      <c r="C8780" s="2">
        <f>IFERROR(__xludf.DUMMYFUNCTION("IFERROR(VLOOKUP(A8780, IMPORTRANGE(""https://docs.google.com/spreadsheets/d/1AVX9GT0dgogEBStecCXMMQ29tWz3gBrtNB8yIromXbY/edit?gid=741673867"", ""out1g!A:B""), 2, FALSE), 0)"),279.0)</f>
        <v>279</v>
      </c>
      <c r="D8780" s="2" t="str">
        <f>IFERROR(__xludf.DUMMYFUNCTION("IFERROR(VLOOKUP(A8780, IMPORTRANGE(""https://docs.google.com/spreadsheets/d/1-3Vjw2Cyy-mry5gbC8ypIR3YVGFfEpyFESummAta6sg/edit"", ""Sheet1!B:D""), 2, FALSE), ""Not Found"")"),"haɪrɪŋ")</f>
        <v>haɪrɪŋ</v>
      </c>
      <c r="E8780" s="2" t="str">
        <f>IFERROR(__xludf.DUMMYFUNCTION("IFERROR(VLOOKUP(A8780, IMPORTRANGE(""https://docs.google.com/spreadsheets/d/1-3Vjw2Cyy-mry5gbC8ypIR3YVGFfEpyFESummAta6sg/edit"", ""Sheet1!B:D""), 3, FALSE), ""Not Found"")"),"h a ɪ r ɪ ŋ ")</f>
        <v>h a ɪ r ɪ ŋ </v>
      </c>
    </row>
    <row r="8781">
      <c r="A8781" s="1" t="s">
        <v>8782</v>
      </c>
      <c r="B8781" s="1" t="s">
        <v>6138</v>
      </c>
      <c r="C8781" s="2">
        <f>IFERROR(__xludf.DUMMYFUNCTION("IFERROR(VLOOKUP(A8781, IMPORTRANGE(""https://docs.google.com/spreadsheets/d/1AVX9GT0dgogEBStecCXMMQ29tWz3gBrtNB8yIromXbY/edit?gid=741673867"", ""out1g!A:B""), 2, FALSE), 0)"),726.0)</f>
        <v>726</v>
      </c>
      <c r="D8781" s="2" t="str">
        <f>IFERROR(__xludf.DUMMYFUNCTION("IFERROR(VLOOKUP(A8781, IMPORTRANGE(""https://docs.google.com/spreadsheets/d/1-3Vjw2Cyy-mry5gbC8ypIR3YVGFfEpyFESummAta6sg/edit"", ""Sheet1!B:D""), 2, FALSE), ""Not Found"")"),"kaʊnsəl")</f>
        <v>kaʊnsəl</v>
      </c>
      <c r="E8781" s="2" t="str">
        <f>IFERROR(__xludf.DUMMYFUNCTION("IFERROR(VLOOKUP(A8781, IMPORTRANGE(""https://docs.google.com/spreadsheets/d/1-3Vjw2Cyy-mry5gbC8ypIR3YVGFfEpyFESummAta6sg/edit"", ""Sheet1!B:D""), 3, FALSE), ""Not Found"")"),"k a ʊ n s ə l ")</f>
        <v>k a ʊ n s ə l </v>
      </c>
    </row>
    <row r="8782">
      <c r="A8782" s="1" t="s">
        <v>8783</v>
      </c>
      <c r="B8782" s="1" t="s">
        <v>6138</v>
      </c>
      <c r="C8782" s="2">
        <f>IFERROR(__xludf.DUMMYFUNCTION("IFERROR(VLOOKUP(A8782, IMPORTRANGE(""https://docs.google.com/spreadsheets/d/1AVX9GT0dgogEBStecCXMMQ29tWz3gBrtNB8yIromXbY/edit?gid=741673867"", ""out1g!A:B""), 2, FALSE), 0)"),142.0)</f>
        <v>142</v>
      </c>
      <c r="D8782" s="2" t="str">
        <f>IFERROR(__xludf.DUMMYFUNCTION("IFERROR(VLOOKUP(A8782, IMPORTRANGE(""https://docs.google.com/spreadsheets/d/1-3Vjw2Cyy-mry5gbC8ypIR3YVGFfEpyFESummAta6sg/edit"", ""Sheet1!B:D""), 2, FALSE), ""Not Found"")"),"stɪkər")</f>
        <v>stɪkər</v>
      </c>
      <c r="E8782" s="2" t="str">
        <f>IFERROR(__xludf.DUMMYFUNCTION("IFERROR(VLOOKUP(A8782, IMPORTRANGE(""https://docs.google.com/spreadsheets/d/1-3Vjw2Cyy-mry5gbC8ypIR3YVGFfEpyFESummAta6sg/edit"", ""Sheet1!B:D""), 3, FALSE), ""Not Found"")"),"s t ɪ k ə r ")</f>
        <v>s t ɪ k ə r </v>
      </c>
    </row>
    <row r="8783">
      <c r="A8783" s="1" t="s">
        <v>8784</v>
      </c>
      <c r="B8783" s="1" t="s">
        <v>6138</v>
      </c>
      <c r="C8783" s="2">
        <f>IFERROR(__xludf.DUMMYFUNCTION("IFERROR(VLOOKUP(A8783, IMPORTRANGE(""https://docs.google.com/spreadsheets/d/1AVX9GT0dgogEBStecCXMMQ29tWz3gBrtNB8yIromXbY/edit?gid=741673867"", ""out1g!A:B""), 2, FALSE), 0)"),64.0)</f>
        <v>64</v>
      </c>
      <c r="D8783" s="2" t="str">
        <f>IFERROR(__xludf.DUMMYFUNCTION("IFERROR(VLOOKUP(A8783, IMPORTRANGE(""https://docs.google.com/spreadsheets/d/1-3Vjw2Cyy-mry5gbC8ypIR3YVGFfEpyFESummAta6sg/edit"", ""Sheet1!B:D""), 2, FALSE), ""Not Found"")"),"paɪnts")</f>
        <v>paɪnts</v>
      </c>
      <c r="E8783" s="2" t="str">
        <f>IFERROR(__xludf.DUMMYFUNCTION("IFERROR(VLOOKUP(A8783, IMPORTRANGE(""https://docs.google.com/spreadsheets/d/1-3Vjw2Cyy-mry5gbC8ypIR3YVGFfEpyFESummAta6sg/edit"", ""Sheet1!B:D""), 3, FALSE), ""Not Found"")"),"p a ɪ n t s ")</f>
        <v>p a ɪ n t s </v>
      </c>
    </row>
    <row r="8784">
      <c r="A8784" s="1" t="s">
        <v>8785</v>
      </c>
      <c r="B8784" s="1" t="s">
        <v>6138</v>
      </c>
      <c r="C8784" s="2">
        <f>IFERROR(__xludf.DUMMYFUNCTION("IFERROR(VLOOKUP(A8784, IMPORTRANGE(""https://docs.google.com/spreadsheets/d/1AVX9GT0dgogEBStecCXMMQ29tWz3gBrtNB8yIromXbY/edit?gid=741673867"", ""out1g!A:B""), 2, FALSE), 0)"),268.0)</f>
        <v>268</v>
      </c>
      <c r="D8784" s="2" t="str">
        <f>IFERROR(__xludf.DUMMYFUNCTION("IFERROR(VLOOKUP(A8784, IMPORTRANGE(""https://docs.google.com/spreadsheets/d/1-3Vjw2Cyy-mry5gbC8ypIR3YVGFfEpyFESummAta6sg/edit"", ""Sheet1!B:D""), 2, FALSE), ""Not Found"")"),"træns")</f>
        <v>træns</v>
      </c>
      <c r="E8784" s="2" t="str">
        <f>IFERROR(__xludf.DUMMYFUNCTION("IFERROR(VLOOKUP(A8784, IMPORTRANGE(""https://docs.google.com/spreadsheets/d/1-3Vjw2Cyy-mry5gbC8ypIR3YVGFfEpyFESummAta6sg/edit"", ""Sheet1!B:D""), 3, FALSE), ""Not Found"")"),"t r æ n s ")</f>
        <v>t r æ n s </v>
      </c>
    </row>
    <row r="8785">
      <c r="A8785" s="1" t="s">
        <v>8786</v>
      </c>
      <c r="B8785" s="1" t="s">
        <v>6138</v>
      </c>
      <c r="C8785" s="2">
        <f>IFERROR(__xludf.DUMMYFUNCTION("IFERROR(VLOOKUP(A8785, IMPORTRANGE(""https://docs.google.com/spreadsheets/d/1AVX9GT0dgogEBStecCXMMQ29tWz3gBrtNB8yIromXbY/edit?gid=741673867"", ""out1g!A:B""), 2, FALSE), 0)"),168.0)</f>
        <v>168</v>
      </c>
      <c r="D8785" s="2" t="str">
        <f>IFERROR(__xludf.DUMMYFUNCTION("IFERROR(VLOOKUP(A8785, IMPORTRANGE(""https://docs.google.com/spreadsheets/d/1-3Vjw2Cyy-mry5gbC8ypIR3YVGFfEpyFESummAta6sg/edit"", ""Sheet1!B:D""), 2, FALSE), ""Not Found"")"),"mɔrnɪŋz")</f>
        <v>mɔrnɪŋz</v>
      </c>
      <c r="E8785" s="2" t="str">
        <f>IFERROR(__xludf.DUMMYFUNCTION("IFERROR(VLOOKUP(A8785, IMPORTRANGE(""https://docs.google.com/spreadsheets/d/1-3Vjw2Cyy-mry5gbC8ypIR3YVGFfEpyFESummAta6sg/edit"", ""Sheet1!B:D""), 3, FALSE), ""Not Found"")"),"m ɔ r n ɪ ŋ z ")</f>
        <v>m ɔ r n ɪ ŋ z </v>
      </c>
    </row>
    <row r="8786">
      <c r="A8786" s="1" t="s">
        <v>8787</v>
      </c>
      <c r="B8786" s="1" t="s">
        <v>6138</v>
      </c>
      <c r="C8786" s="2">
        <f>IFERROR(__xludf.DUMMYFUNCTION("IFERROR(VLOOKUP(A8786, IMPORTRANGE(""https://docs.google.com/spreadsheets/d/1AVX9GT0dgogEBStecCXMMQ29tWz3gBrtNB8yIromXbY/edit?gid=741673867"", ""out1g!A:B""), 2, FALSE), 0)"),868.0)</f>
        <v>868</v>
      </c>
      <c r="D8786" s="2" t="str">
        <f>IFERROR(__xludf.DUMMYFUNCTION("IFERROR(VLOOKUP(A8786, IMPORTRANGE(""https://docs.google.com/spreadsheets/d/1-3Vjw2Cyy-mry5gbC8ypIR3YVGFfEpyFESummAta6sg/edit"", ""Sheet1!B:D""), 2, FALSE), ""Not Found"")"),"sæləd")</f>
        <v>sæləd</v>
      </c>
      <c r="E8786" s="2" t="str">
        <f>IFERROR(__xludf.DUMMYFUNCTION("IFERROR(VLOOKUP(A8786, IMPORTRANGE(""https://docs.google.com/spreadsheets/d/1-3Vjw2Cyy-mry5gbC8ypIR3YVGFfEpyFESummAta6sg/edit"", ""Sheet1!B:D""), 3, FALSE), ""Not Found"")"),"s æ l ə d ")</f>
        <v>s æ l ə d </v>
      </c>
    </row>
    <row r="8787">
      <c r="A8787" s="1" t="s">
        <v>8788</v>
      </c>
      <c r="B8787" s="1" t="s">
        <v>6138</v>
      </c>
      <c r="C8787" s="2">
        <f>IFERROR(__xludf.DUMMYFUNCTION("IFERROR(VLOOKUP(A8787, IMPORTRANGE(""https://docs.google.com/spreadsheets/d/1AVX9GT0dgogEBStecCXMMQ29tWz3gBrtNB8yIromXbY/edit?gid=741673867"", ""out1g!A:B""), 2, FALSE), 0)"),424.0)</f>
        <v>424</v>
      </c>
      <c r="D8787" s="2" t="str">
        <f>IFERROR(__xludf.DUMMYFUNCTION("IFERROR(VLOOKUP(A8787, IMPORTRANGE(""https://docs.google.com/spreadsheets/d/1-3Vjw2Cyy-mry5gbC8ypIR3YVGFfEpyFESummAta6sg/edit"", ""Sheet1!B:D""), 2, FALSE), ""Not Found"")"),"fɔrməl")</f>
        <v>fɔrməl</v>
      </c>
      <c r="E8787" s="2" t="str">
        <f>IFERROR(__xludf.DUMMYFUNCTION("IFERROR(VLOOKUP(A8787, IMPORTRANGE(""https://docs.google.com/spreadsheets/d/1-3Vjw2Cyy-mry5gbC8ypIR3YVGFfEpyFESummAta6sg/edit"", ""Sheet1!B:D""), 3, FALSE), ""Not Found"")"),"f ɔ r m ə l ")</f>
        <v>f ɔ r m ə l </v>
      </c>
    </row>
    <row r="8788">
      <c r="A8788" s="1" t="s">
        <v>8789</v>
      </c>
      <c r="B8788" s="1" t="s">
        <v>6138</v>
      </c>
      <c r="C8788" s="2">
        <f>IFERROR(__xludf.DUMMYFUNCTION("IFERROR(VLOOKUP(A8788, IMPORTRANGE(""https://docs.google.com/spreadsheets/d/1AVX9GT0dgogEBStecCXMMQ29tWz3gBrtNB8yIromXbY/edit?gid=741673867"", ""out1g!A:B""), 2, FALSE), 0)"),71.0)</f>
        <v>71</v>
      </c>
      <c r="D8788" s="2" t="str">
        <f>IFERROR(__xludf.DUMMYFUNCTION("IFERROR(VLOOKUP(A8788, IMPORTRANGE(""https://docs.google.com/spreadsheets/d/1-3Vjw2Cyy-mry5gbC8ypIR3YVGFfEpyFESummAta6sg/edit"", ""Sheet1!B:D""), 2, FALSE), ""Not Found"")"),"ræŋkɪŋ")</f>
        <v>ræŋkɪŋ</v>
      </c>
      <c r="E8788" s="2" t="str">
        <f>IFERROR(__xludf.DUMMYFUNCTION("IFERROR(VLOOKUP(A8788, IMPORTRANGE(""https://docs.google.com/spreadsheets/d/1-3Vjw2Cyy-mry5gbC8ypIR3YVGFfEpyFESummAta6sg/edit"", ""Sheet1!B:D""), 3, FALSE), ""Not Found"")"),"r æ ŋ k ɪ ŋ ")</f>
        <v>r æ ŋ k ɪ ŋ </v>
      </c>
    </row>
    <row r="8789">
      <c r="A8789" s="1" t="s">
        <v>8790</v>
      </c>
      <c r="B8789" s="1" t="s">
        <v>6138</v>
      </c>
      <c r="C8789" s="2">
        <f>IFERROR(__xludf.DUMMYFUNCTION("IFERROR(VLOOKUP(A8789, IMPORTRANGE(""https://docs.google.com/spreadsheets/d/1AVX9GT0dgogEBStecCXMMQ29tWz3gBrtNB8yIromXbY/edit?gid=741673867"", ""out1g!A:B""), 2, FALSE), 0)"),59.0)</f>
        <v>59</v>
      </c>
      <c r="D8789" s="2" t="str">
        <f>IFERROR(__xludf.DUMMYFUNCTION("IFERROR(VLOOKUP(A8789, IMPORTRANGE(""https://docs.google.com/spreadsheets/d/1-3Vjw2Cyy-mry5gbC8ypIR3YVGFfEpyFESummAta6sg/edit"", ""Sheet1!B:D""), 2, FALSE), ""Not Found"")"),"fɑrtɪŋ")</f>
        <v>fɑrtɪŋ</v>
      </c>
      <c r="E8789" s="2" t="str">
        <f>IFERROR(__xludf.DUMMYFUNCTION("IFERROR(VLOOKUP(A8789, IMPORTRANGE(""https://docs.google.com/spreadsheets/d/1-3Vjw2Cyy-mry5gbC8ypIR3YVGFfEpyFESummAta6sg/edit"", ""Sheet1!B:D""), 3, FALSE), ""Not Found"")"),"f ɑ r t ɪ ŋ ")</f>
        <v>f ɑ r t ɪ ŋ </v>
      </c>
    </row>
    <row r="8790">
      <c r="A8790" s="1" t="s">
        <v>8791</v>
      </c>
      <c r="B8790" s="1" t="s">
        <v>6138</v>
      </c>
      <c r="C8790" s="2">
        <f>IFERROR(__xludf.DUMMYFUNCTION("IFERROR(VLOOKUP(A8790, IMPORTRANGE(""https://docs.google.com/spreadsheets/d/1AVX9GT0dgogEBStecCXMMQ29tWz3gBrtNB8yIromXbY/edit?gid=741673867"", ""out1g!A:B""), 2, FALSE), 0)"),371.0)</f>
        <v>371</v>
      </c>
      <c r="D8790" s="2" t="str">
        <f>IFERROR(__xludf.DUMMYFUNCTION("IFERROR(VLOOKUP(A8790, IMPORTRANGE(""https://docs.google.com/spreadsheets/d/1-3Vjw2Cyy-mry5gbC8ypIR3YVGFfEpyFESummAta6sg/edit"", ""Sheet1!B:D""), 2, FALSE), ""Not Found"")"),"fu")</f>
        <v>fu</v>
      </c>
      <c r="E8790" s="2" t="str">
        <f>IFERROR(__xludf.DUMMYFUNCTION("IFERROR(VLOOKUP(A8790, IMPORTRANGE(""https://docs.google.com/spreadsheets/d/1-3Vjw2Cyy-mry5gbC8ypIR3YVGFfEpyFESummAta6sg/edit"", ""Sheet1!B:D""), 3, FALSE), ""Not Found"")"),"f u ")</f>
        <v>f u </v>
      </c>
    </row>
    <row r="8791">
      <c r="A8791" s="1" t="s">
        <v>8792</v>
      </c>
      <c r="B8791" s="1" t="s">
        <v>6138</v>
      </c>
      <c r="C8791" s="2">
        <f>IFERROR(__xludf.DUMMYFUNCTION("IFERROR(VLOOKUP(A8791, IMPORTRANGE(""https://docs.google.com/spreadsheets/d/1AVX9GT0dgogEBStecCXMMQ29tWz3gBrtNB8yIromXbY/edit?gid=741673867"", ""out1g!A:B""), 2, FALSE), 0)"),58.0)</f>
        <v>58</v>
      </c>
      <c r="D8791" s="2" t="str">
        <f>IFERROR(__xludf.DUMMYFUNCTION("IFERROR(VLOOKUP(A8791, IMPORTRANGE(""https://docs.google.com/spreadsheets/d/1-3Vjw2Cyy-mry5gbC8ypIR3YVGFfEpyFESummAta6sg/edit"", ""Sheet1!B:D""), 2, FALSE), ""Not Found"")"),"tɑrdi")</f>
        <v>tɑrdi</v>
      </c>
      <c r="E8791" s="2" t="str">
        <f>IFERROR(__xludf.DUMMYFUNCTION("IFERROR(VLOOKUP(A8791, IMPORTRANGE(""https://docs.google.com/spreadsheets/d/1-3Vjw2Cyy-mry5gbC8ypIR3YVGFfEpyFESummAta6sg/edit"", ""Sheet1!B:D""), 3, FALSE), ""Not Found"")"),"t ɑ r d i ")</f>
        <v>t ɑ r d i </v>
      </c>
    </row>
    <row r="8792">
      <c r="A8792" s="1" t="s">
        <v>8793</v>
      </c>
      <c r="B8792" s="1" t="s">
        <v>6138</v>
      </c>
      <c r="C8792" s="2">
        <f>IFERROR(__xludf.DUMMYFUNCTION("IFERROR(VLOOKUP(A8792, IMPORTRANGE(""https://docs.google.com/spreadsheets/d/1AVX9GT0dgogEBStecCXMMQ29tWz3gBrtNB8yIromXbY/edit?gid=741673867"", ""out1g!A:B""), 2, FALSE), 0)"),63.0)</f>
        <v>63</v>
      </c>
      <c r="D8792" s="2" t="str">
        <f>IFERROR(__xludf.DUMMYFUNCTION("IFERROR(VLOOKUP(A8792, IMPORTRANGE(""https://docs.google.com/spreadsheets/d/1-3Vjw2Cyy-mry5gbC8ypIR3YVGFfEpyFESummAta6sg/edit"", ""Sheet1!B:D""), 2, FALSE), ""Not Found"")"),"mɛdəl")</f>
        <v>mɛdəl</v>
      </c>
      <c r="E8792" s="2" t="str">
        <f>IFERROR(__xludf.DUMMYFUNCTION("IFERROR(VLOOKUP(A8792, IMPORTRANGE(""https://docs.google.com/spreadsheets/d/1-3Vjw2Cyy-mry5gbC8ypIR3YVGFfEpyFESummAta6sg/edit"", ""Sheet1!B:D""), 3, FALSE), ""Not Found"")"),"m ɛ d ə l ")</f>
        <v>m ɛ d ə l </v>
      </c>
    </row>
    <row r="8793">
      <c r="A8793" s="1" t="s">
        <v>8794</v>
      </c>
      <c r="B8793" s="1" t="s">
        <v>6138</v>
      </c>
      <c r="C8793" s="2">
        <f>IFERROR(__xludf.DUMMYFUNCTION("IFERROR(VLOOKUP(A8793, IMPORTRANGE(""https://docs.google.com/spreadsheets/d/1AVX9GT0dgogEBStecCXMMQ29tWz3gBrtNB8yIromXbY/edit?gid=741673867"", ""out1g!A:B""), 2, FALSE), 0)"),97.0)</f>
        <v>97</v>
      </c>
      <c r="D8793" s="2" t="str">
        <f>IFERROR(__xludf.DUMMYFUNCTION("IFERROR(VLOOKUP(A8793, IMPORTRANGE(""https://docs.google.com/spreadsheets/d/1-3Vjw2Cyy-mry5gbC8ypIR3YVGFfEpyFESummAta6sg/edit"", ""Sheet1!B:D""), 2, FALSE), ""Not Found"")"),"slaɪsɪz")</f>
        <v>slaɪsɪz</v>
      </c>
      <c r="E8793" s="2" t="str">
        <f>IFERROR(__xludf.DUMMYFUNCTION("IFERROR(VLOOKUP(A8793, IMPORTRANGE(""https://docs.google.com/spreadsheets/d/1-3Vjw2Cyy-mry5gbC8ypIR3YVGFfEpyFESummAta6sg/edit"", ""Sheet1!B:D""), 3, FALSE), ""Not Found"")"),"s l a ɪ s ɪ z ")</f>
        <v>s l a ɪ s ɪ z </v>
      </c>
    </row>
    <row r="8794">
      <c r="A8794" s="1" t="s">
        <v>8795</v>
      </c>
      <c r="B8794" s="1" t="s">
        <v>6138</v>
      </c>
      <c r="C8794" s="2">
        <f>IFERROR(__xludf.DUMMYFUNCTION("IFERROR(VLOOKUP(A8794, IMPORTRANGE(""https://docs.google.com/spreadsheets/d/1AVX9GT0dgogEBStecCXMMQ29tWz3gBrtNB8yIromXbY/edit?gid=741673867"", ""out1g!A:B""), 2, FALSE), 0)"),241.0)</f>
        <v>241</v>
      </c>
      <c r="D8794" s="2" t="str">
        <f>IFERROR(__xludf.DUMMYFUNCTION("IFERROR(VLOOKUP(A8794, IMPORTRANGE(""https://docs.google.com/spreadsheets/d/1-3Vjw2Cyy-mry5gbC8ypIR3YVGFfEpyFESummAta6sg/edit"", ""Sheet1!B:D""), 2, FALSE), ""Not Found"")"),"kɪtən")</f>
        <v>kɪtən</v>
      </c>
      <c r="E8794" s="2" t="str">
        <f>IFERROR(__xludf.DUMMYFUNCTION("IFERROR(VLOOKUP(A8794, IMPORTRANGE(""https://docs.google.com/spreadsheets/d/1-3Vjw2Cyy-mry5gbC8ypIR3YVGFfEpyFESummAta6sg/edit"", ""Sheet1!B:D""), 3, FALSE), ""Not Found"")"),"k ɪ t ə n ")</f>
        <v>k ɪ t ə n </v>
      </c>
    </row>
    <row r="8795">
      <c r="A8795" s="1" t="s">
        <v>8796</v>
      </c>
      <c r="B8795" s="1" t="s">
        <v>6138</v>
      </c>
      <c r="C8795" s="2">
        <f>IFERROR(__xludf.DUMMYFUNCTION("IFERROR(VLOOKUP(A8795, IMPORTRANGE(""https://docs.google.com/spreadsheets/d/1AVX9GT0dgogEBStecCXMMQ29tWz3gBrtNB8yIromXbY/edit?gid=741673867"", ""out1g!A:B""), 2, FALSE), 0)"),32.0)</f>
        <v>32</v>
      </c>
      <c r="D8795" s="2" t="str">
        <f>IFERROR(__xludf.DUMMYFUNCTION("IFERROR(VLOOKUP(A8795, IMPORTRANGE(""https://docs.google.com/spreadsheets/d/1-3Vjw2Cyy-mry5gbC8ypIR3YVGFfEpyFESummAta6sg/edit"", ""Sheet1!B:D""), 2, FALSE), ""Not Found"")"),"hɛrts")</f>
        <v>hɛrts</v>
      </c>
      <c r="E8795" s="2" t="str">
        <f>IFERROR(__xludf.DUMMYFUNCTION("IFERROR(VLOOKUP(A8795, IMPORTRANGE(""https://docs.google.com/spreadsheets/d/1-3Vjw2Cyy-mry5gbC8ypIR3YVGFfEpyFESummAta6sg/edit"", ""Sheet1!B:D""), 3, FALSE), ""Not Found"")"),"h ɛ r t s ")</f>
        <v>h ɛ r t s </v>
      </c>
    </row>
    <row r="8796">
      <c r="A8796" s="1" t="s">
        <v>8797</v>
      </c>
      <c r="B8796" s="1" t="s">
        <v>6138</v>
      </c>
      <c r="C8796" s="2">
        <f>IFERROR(__xludf.DUMMYFUNCTION("IFERROR(VLOOKUP(A8796, IMPORTRANGE(""https://docs.google.com/spreadsheets/d/1AVX9GT0dgogEBStecCXMMQ29tWz3gBrtNB8yIromXbY/edit?gid=741673867"", ""out1g!A:B""), 2, FALSE), 0)"),59.0)</f>
        <v>59</v>
      </c>
      <c r="D8796" s="2" t="str">
        <f>IFERROR(__xludf.DUMMYFUNCTION("IFERROR(VLOOKUP(A8796, IMPORTRANGE(""https://docs.google.com/spreadsheets/d/1-3Vjw2Cyy-mry5gbC8ypIR3YVGFfEpyFESummAta6sg/edit"", ""Sheet1!B:D""), 2, FALSE), ""Not Found"")"),"paʊndz")</f>
        <v>paʊndz</v>
      </c>
      <c r="E8796" s="2" t="str">
        <f>IFERROR(__xludf.DUMMYFUNCTION("IFERROR(VLOOKUP(A8796, IMPORTRANGE(""https://docs.google.com/spreadsheets/d/1-3Vjw2Cyy-mry5gbC8ypIR3YVGFfEpyFESummAta6sg/edit"", ""Sheet1!B:D""), 3, FALSE), ""Not Found"")"),"p a ʊ n d z ")</f>
        <v>p a ʊ n d z </v>
      </c>
    </row>
    <row r="8797">
      <c r="A8797" s="1" t="s">
        <v>8798</v>
      </c>
      <c r="B8797" s="1" t="s">
        <v>6138</v>
      </c>
      <c r="C8797" s="2">
        <f>IFERROR(__xludf.DUMMYFUNCTION("IFERROR(VLOOKUP(A8797, IMPORTRANGE(""https://docs.google.com/spreadsheets/d/1AVX9GT0dgogEBStecCXMMQ29tWz3gBrtNB8yIromXbY/edit?gid=741673867"", ""out1g!A:B""), 2, FALSE), 0)"),112.0)</f>
        <v>112</v>
      </c>
      <c r="D8797" s="2" t="str">
        <f>IFERROR(__xludf.DUMMYFUNCTION("IFERROR(VLOOKUP(A8797, IMPORTRANGE(""https://docs.google.com/spreadsheets/d/1-3Vjw2Cyy-mry5gbC8ypIR3YVGFfEpyFESummAta6sg/edit"", ""Sheet1!B:D""), 2, FALSE), ""Not Found"")"),"fliɪŋ")</f>
        <v>fliɪŋ</v>
      </c>
      <c r="E8797" s="2" t="str">
        <f>IFERROR(__xludf.DUMMYFUNCTION("IFERROR(VLOOKUP(A8797, IMPORTRANGE(""https://docs.google.com/spreadsheets/d/1-3Vjw2Cyy-mry5gbC8ypIR3YVGFfEpyFESummAta6sg/edit"", ""Sheet1!B:D""), 3, FALSE), ""Not Found"")"),"f l i ɪ ŋ ")</f>
        <v>f l i ɪ ŋ </v>
      </c>
    </row>
    <row r="8798">
      <c r="A8798" s="1" t="s">
        <v>8799</v>
      </c>
      <c r="B8798" s="1" t="s">
        <v>6138</v>
      </c>
      <c r="C8798" s="2">
        <f>IFERROR(__xludf.DUMMYFUNCTION("IFERROR(VLOOKUP(A8798, IMPORTRANGE(""https://docs.google.com/spreadsheets/d/1AVX9GT0dgogEBStecCXMMQ29tWz3gBrtNB8yIromXbY/edit?gid=741673867"", ""out1g!A:B""), 2, FALSE), 0)"),76.0)</f>
        <v>76</v>
      </c>
      <c r="D8798" s="2" t="str">
        <f>IFERROR(__xludf.DUMMYFUNCTION("IFERROR(VLOOKUP(A8798, IMPORTRANGE(""https://docs.google.com/spreadsheets/d/1-3Vjw2Cyy-mry5gbC8ypIR3YVGFfEpyFESummAta6sg/edit"", ""Sheet1!B:D""), 2, FALSE), ""Not Found"")"),"woʊkən")</f>
        <v>woʊkən</v>
      </c>
      <c r="E8798" s="2" t="str">
        <f>IFERROR(__xludf.DUMMYFUNCTION("IFERROR(VLOOKUP(A8798, IMPORTRANGE(""https://docs.google.com/spreadsheets/d/1-3Vjw2Cyy-mry5gbC8ypIR3YVGFfEpyFESummAta6sg/edit"", ""Sheet1!B:D""), 3, FALSE), ""Not Found"")"),"w o ʊ k ə n ")</f>
        <v>w o ʊ k ə n </v>
      </c>
    </row>
    <row r="8799">
      <c r="A8799" s="1" t="s">
        <v>8800</v>
      </c>
      <c r="B8799" s="1" t="s">
        <v>6138</v>
      </c>
      <c r="C8799" s="2">
        <f>IFERROR(__xludf.DUMMYFUNCTION("IFERROR(VLOOKUP(A8799, IMPORTRANGE(""https://docs.google.com/spreadsheets/d/1AVX9GT0dgogEBStecCXMMQ29tWz3gBrtNB8yIromXbY/edit?gid=741673867"", ""out1g!A:B""), 2, FALSE), 0)"),183.0)</f>
        <v>183</v>
      </c>
      <c r="D8799" s="2" t="str">
        <f>IFERROR(__xludf.DUMMYFUNCTION("IFERROR(VLOOKUP(A8799, IMPORTRANGE(""https://docs.google.com/spreadsheets/d/1-3Vjw2Cyy-mry5gbC8ypIR3YVGFfEpyFESummAta6sg/edit"", ""Sheet1!B:D""), 2, FALSE), ""Not Found"")"),"bɑtəmz")</f>
        <v>bɑtəmz</v>
      </c>
      <c r="E8799" s="2" t="str">
        <f>IFERROR(__xludf.DUMMYFUNCTION("IFERROR(VLOOKUP(A8799, IMPORTRANGE(""https://docs.google.com/spreadsheets/d/1-3Vjw2Cyy-mry5gbC8ypIR3YVGFfEpyFESummAta6sg/edit"", ""Sheet1!B:D""), 3, FALSE), ""Not Found"")"),"b ɑ t ə m z ")</f>
        <v>b ɑ t ə m z </v>
      </c>
    </row>
    <row r="8800">
      <c r="A8800" s="1" t="s">
        <v>8801</v>
      </c>
      <c r="B8800" s="1" t="s">
        <v>6138</v>
      </c>
      <c r="C8800" s="2">
        <f>IFERROR(__xludf.DUMMYFUNCTION("IFERROR(VLOOKUP(A8800, IMPORTRANGE(""https://docs.google.com/spreadsheets/d/1AVX9GT0dgogEBStecCXMMQ29tWz3gBrtNB8yIromXbY/edit?gid=741673867"", ""out1g!A:B""), 2, FALSE), 0)"),199.0)</f>
        <v>199</v>
      </c>
      <c r="D8800" s="2" t="str">
        <f>IFERROR(__xludf.DUMMYFUNCTION("IFERROR(VLOOKUP(A8800, IMPORTRANGE(""https://docs.google.com/spreadsheets/d/1-3Vjw2Cyy-mry5gbC8ypIR3YVGFfEpyFESummAta6sg/edit"", ""Sheet1!B:D""), 2, FALSE), ""Not Found"")"),"ræŋks")</f>
        <v>ræŋks</v>
      </c>
      <c r="E8800" s="2" t="str">
        <f>IFERROR(__xludf.DUMMYFUNCTION("IFERROR(VLOOKUP(A8800, IMPORTRANGE(""https://docs.google.com/spreadsheets/d/1-3Vjw2Cyy-mry5gbC8ypIR3YVGFfEpyFESummAta6sg/edit"", ""Sheet1!B:D""), 3, FALSE), ""Not Found"")"),"r æ ŋ k s ")</f>
        <v>r æ ŋ k s </v>
      </c>
    </row>
    <row r="8801">
      <c r="A8801" s="1" t="s">
        <v>8802</v>
      </c>
      <c r="B8801" s="1" t="s">
        <v>6138</v>
      </c>
      <c r="C8801" s="2">
        <f>IFERROR(__xludf.DUMMYFUNCTION("IFERROR(VLOOKUP(A8801, IMPORTRANGE(""https://docs.google.com/spreadsheets/d/1AVX9GT0dgogEBStecCXMMQ29tWz3gBrtNB8yIromXbY/edit?gid=741673867"", ""out1g!A:B""), 2, FALSE), 0)"),509.0)</f>
        <v>509</v>
      </c>
      <c r="D8801" s="2" t="str">
        <f>IFERROR(__xludf.DUMMYFUNCTION("IFERROR(VLOOKUP(A8801, IMPORTRANGE(""https://docs.google.com/spreadsheets/d/1-3Vjw2Cyy-mry5gbC8ypIR3YVGFfEpyFESummAta6sg/edit"", ""Sheet1!B:D""), 2, FALSE), ""Not Found"")"),"dɔtərz")</f>
        <v>dɔtərz</v>
      </c>
      <c r="E8801" s="2" t="str">
        <f>IFERROR(__xludf.DUMMYFUNCTION("IFERROR(VLOOKUP(A8801, IMPORTRANGE(""https://docs.google.com/spreadsheets/d/1-3Vjw2Cyy-mry5gbC8ypIR3YVGFfEpyFESummAta6sg/edit"", ""Sheet1!B:D""), 3, FALSE), ""Not Found"")"),"d ɔ t ə r z ")</f>
        <v>d ɔ t ə r z </v>
      </c>
    </row>
    <row r="8802">
      <c r="A8802" s="1" t="s">
        <v>8803</v>
      </c>
      <c r="B8802" s="1" t="s">
        <v>6138</v>
      </c>
      <c r="C8802" s="2">
        <f>IFERROR(__xludf.DUMMYFUNCTION("IFERROR(VLOOKUP(A8802, IMPORTRANGE(""https://docs.google.com/spreadsheets/d/1AVX9GT0dgogEBStecCXMMQ29tWz3gBrtNB8yIromXbY/edit?gid=741673867"", ""out1g!A:B""), 2, FALSE), 0)"),66.0)</f>
        <v>66</v>
      </c>
      <c r="D8802" s="2" t="str">
        <f>IFERROR(__xludf.DUMMYFUNCTION("IFERROR(VLOOKUP(A8802, IMPORTRANGE(""https://docs.google.com/spreadsheets/d/1-3Vjw2Cyy-mry5gbC8ypIR3YVGFfEpyFESummAta6sg/edit"", ""Sheet1!B:D""), 2, FALSE), ""Not Found"")"),"vaɪəl")</f>
        <v>vaɪəl</v>
      </c>
      <c r="E8802" s="2" t="str">
        <f>IFERROR(__xludf.DUMMYFUNCTION("IFERROR(VLOOKUP(A8802, IMPORTRANGE(""https://docs.google.com/spreadsheets/d/1-3Vjw2Cyy-mry5gbC8ypIR3YVGFfEpyFESummAta6sg/edit"", ""Sheet1!B:D""), 3, FALSE), ""Not Found"")"),"v a ɪ ə l ")</f>
        <v>v a ɪ ə l </v>
      </c>
    </row>
    <row r="8803">
      <c r="A8803" s="1" t="s">
        <v>8804</v>
      </c>
      <c r="B8803" s="1" t="s">
        <v>6138</v>
      </c>
      <c r="C8803" s="2">
        <f>IFERROR(__xludf.DUMMYFUNCTION("IFERROR(VLOOKUP(A8803, IMPORTRANGE(""https://docs.google.com/spreadsheets/d/1AVX9GT0dgogEBStecCXMMQ29tWz3gBrtNB8yIromXbY/edit?gid=741673867"", ""out1g!A:B""), 2, FALSE), 0)"),525.0)</f>
        <v>525</v>
      </c>
      <c r="D8803" s="2" t="str">
        <f>IFERROR(__xludf.DUMMYFUNCTION("IFERROR(VLOOKUP(A8803, IMPORTRANGE(""https://docs.google.com/spreadsheets/d/1-3Vjw2Cyy-mry5gbC8ypIR3YVGFfEpyFESummAta6sg/edit"", ""Sheet1!B:D""), 2, FALSE), ""Not Found"")"),"kərtən")</f>
        <v>kərtən</v>
      </c>
      <c r="E8803" s="2" t="str">
        <f>IFERROR(__xludf.DUMMYFUNCTION("IFERROR(VLOOKUP(A8803, IMPORTRANGE(""https://docs.google.com/spreadsheets/d/1-3Vjw2Cyy-mry5gbC8ypIR3YVGFfEpyFESummAta6sg/edit"", ""Sheet1!B:D""), 3, FALSE), ""Not Found"")"),"k ə r t ə n ")</f>
        <v>k ə r t ə n </v>
      </c>
    </row>
    <row r="8804">
      <c r="A8804" s="1" t="s">
        <v>8805</v>
      </c>
      <c r="B8804" s="1" t="s">
        <v>6138</v>
      </c>
      <c r="C8804" s="2">
        <f>IFERROR(__xludf.DUMMYFUNCTION("IFERROR(VLOOKUP(A8804, IMPORTRANGE(""https://docs.google.com/spreadsheets/d/1AVX9GT0dgogEBStecCXMMQ29tWz3gBrtNB8yIromXbY/edit?gid=741673867"", ""out1g!A:B""), 2, FALSE), 0)"),376.0)</f>
        <v>376</v>
      </c>
      <c r="D8804" s="2" t="str">
        <f>IFERROR(__xludf.DUMMYFUNCTION("IFERROR(VLOOKUP(A8804, IMPORTRANGE(""https://docs.google.com/spreadsheets/d/1-3Vjw2Cyy-mry5gbC8ypIR3YVGFfEpyFESummAta6sg/edit"", ""Sheet1!B:D""), 2, FALSE), ""Not Found"")"),"məŋk")</f>
        <v>məŋk</v>
      </c>
      <c r="E8804" s="2" t="str">
        <f>IFERROR(__xludf.DUMMYFUNCTION("IFERROR(VLOOKUP(A8804, IMPORTRANGE(""https://docs.google.com/spreadsheets/d/1-3Vjw2Cyy-mry5gbC8ypIR3YVGFfEpyFESummAta6sg/edit"", ""Sheet1!B:D""), 3, FALSE), ""Not Found"")"),"m ə ŋ k ")</f>
        <v>m ə ŋ k </v>
      </c>
    </row>
    <row r="8805">
      <c r="A8805" s="1" t="s">
        <v>8806</v>
      </c>
      <c r="B8805" s="1" t="s">
        <v>6138</v>
      </c>
      <c r="C8805" s="2">
        <f>IFERROR(__xludf.DUMMYFUNCTION("IFERROR(VLOOKUP(A8805, IMPORTRANGE(""https://docs.google.com/spreadsheets/d/1AVX9GT0dgogEBStecCXMMQ29tWz3gBrtNB8yIromXbY/edit?gid=741673867"", ""out1g!A:B""), 2, FALSE), 0)"),68.0)</f>
        <v>68</v>
      </c>
      <c r="D8805" s="2" t="str">
        <f>IFERROR(__xludf.DUMMYFUNCTION("IFERROR(VLOOKUP(A8805, IMPORTRANGE(""https://docs.google.com/spreadsheets/d/1-3Vjw2Cyy-mry5gbC8ypIR3YVGFfEpyFESummAta6sg/edit"", ""Sheet1!B:D""), 2, FALSE), ""Not Found"")"),"kwel")</f>
        <v>kwel</v>
      </c>
      <c r="E8805" s="2" t="str">
        <f>IFERROR(__xludf.DUMMYFUNCTION("IFERROR(VLOOKUP(A8805, IMPORTRANGE(""https://docs.google.com/spreadsheets/d/1-3Vjw2Cyy-mry5gbC8ypIR3YVGFfEpyFESummAta6sg/edit"", ""Sheet1!B:D""), 3, FALSE), ""Not Found"")"),"k w e l ")</f>
        <v>k w e l </v>
      </c>
    </row>
    <row r="8806">
      <c r="A8806" s="1" t="s">
        <v>8807</v>
      </c>
      <c r="B8806" s="1" t="s">
        <v>6138</v>
      </c>
      <c r="C8806" s="2">
        <f>IFERROR(__xludf.DUMMYFUNCTION("IFERROR(VLOOKUP(A8806, IMPORTRANGE(""https://docs.google.com/spreadsheets/d/1AVX9GT0dgogEBStecCXMMQ29tWz3gBrtNB8yIromXbY/edit?gid=741673867"", ""out1g!A:B""), 2, FALSE), 0)"),68.0)</f>
        <v>68</v>
      </c>
      <c r="D8806" s="2" t="str">
        <f>IFERROR(__xludf.DUMMYFUNCTION("IFERROR(VLOOKUP(A8806, IMPORTRANGE(""https://docs.google.com/spreadsheets/d/1-3Vjw2Cyy-mry5gbC8ypIR3YVGFfEpyFESummAta6sg/edit"", ""Sheet1!B:D""), 2, FALSE), ""Not Found"")"),"əvərʒən")</f>
        <v>əvərʒən</v>
      </c>
      <c r="E8806" s="2" t="str">
        <f>IFERROR(__xludf.DUMMYFUNCTION("IFERROR(VLOOKUP(A8806, IMPORTRANGE(""https://docs.google.com/spreadsheets/d/1-3Vjw2Cyy-mry5gbC8ypIR3YVGFfEpyFESummAta6sg/edit"", ""Sheet1!B:D""), 3, FALSE), ""Not Found"")"),"ə v ə r ʒ ə n ")</f>
        <v>ə v ə r ʒ ə n </v>
      </c>
    </row>
    <row r="8807">
      <c r="A8807" s="1" t="s">
        <v>8808</v>
      </c>
      <c r="B8807" s="1" t="s">
        <v>6138</v>
      </c>
      <c r="C8807" s="2">
        <f>IFERROR(__xludf.DUMMYFUNCTION("IFERROR(VLOOKUP(A8807, IMPORTRANGE(""https://docs.google.com/spreadsheets/d/1AVX9GT0dgogEBStecCXMMQ29tWz3gBrtNB8yIromXbY/edit?gid=741673867"", ""out1g!A:B""), 2, FALSE), 0)"),151.0)</f>
        <v>151</v>
      </c>
      <c r="D8807" s="2" t="str">
        <f>IFERROR(__xludf.DUMMYFUNCTION("IFERROR(VLOOKUP(A8807, IMPORTRANGE(""https://docs.google.com/spreadsheets/d/1-3Vjw2Cyy-mry5gbC8ypIR3YVGFfEpyFESummAta6sg/edit"", ""Sheet1!B:D""), 2, FALSE), ""Not Found"")"),"skərts")</f>
        <v>skərts</v>
      </c>
      <c r="E8807" s="2" t="str">
        <f>IFERROR(__xludf.DUMMYFUNCTION("IFERROR(VLOOKUP(A8807, IMPORTRANGE(""https://docs.google.com/spreadsheets/d/1-3Vjw2Cyy-mry5gbC8ypIR3YVGFfEpyFESummAta6sg/edit"", ""Sheet1!B:D""), 3, FALSE), ""Not Found"")"),"s k ə r t s ")</f>
        <v>s k ə r t s </v>
      </c>
    </row>
    <row r="8808">
      <c r="A8808" s="1" t="s">
        <v>8809</v>
      </c>
      <c r="B8808" s="1" t="s">
        <v>6138</v>
      </c>
      <c r="C8808" s="2">
        <f>IFERROR(__xludf.DUMMYFUNCTION("IFERROR(VLOOKUP(A8808, IMPORTRANGE(""https://docs.google.com/spreadsheets/d/1AVX9GT0dgogEBStecCXMMQ29tWz3gBrtNB8yIromXbY/edit?gid=741673867"", ""out1g!A:B""), 2, FALSE), 0)"),1394.0)</f>
        <v>1394</v>
      </c>
      <c r="D8808" s="2" t="str">
        <f>IFERROR(__xludf.DUMMYFUNCTION("IFERROR(VLOOKUP(A8808, IMPORTRANGE(""https://docs.google.com/spreadsheets/d/1-3Vjw2Cyy-mry5gbC8ypIR3YVGFfEpyFESummAta6sg/edit"", ""Sheet1!B:D""), 2, FALSE), ""Not Found"")"),"sɛkʃən")</f>
        <v>sɛkʃən</v>
      </c>
      <c r="E8808" s="2" t="str">
        <f>IFERROR(__xludf.DUMMYFUNCTION("IFERROR(VLOOKUP(A8808, IMPORTRANGE(""https://docs.google.com/spreadsheets/d/1-3Vjw2Cyy-mry5gbC8ypIR3YVGFfEpyFESummAta6sg/edit"", ""Sheet1!B:D""), 3, FALSE), ""Not Found"")"),"s ɛ k ʃ ə n ")</f>
        <v>s ɛ k ʃ ə n </v>
      </c>
    </row>
    <row r="8809">
      <c r="A8809" s="1" t="s">
        <v>8810</v>
      </c>
      <c r="B8809" s="1" t="s">
        <v>6138</v>
      </c>
      <c r="C8809" s="2">
        <f>IFERROR(__xludf.DUMMYFUNCTION("IFERROR(VLOOKUP(A8809, IMPORTRANGE(""https://docs.google.com/spreadsheets/d/1AVX9GT0dgogEBStecCXMMQ29tWz3gBrtNB8yIromXbY/edit?gid=741673867"", ""out1g!A:B""), 2, FALSE), 0)"),138.0)</f>
        <v>138</v>
      </c>
      <c r="D8809" s="2" t="str">
        <f>IFERROR(__xludf.DUMMYFUNCTION("IFERROR(VLOOKUP(A8809, IMPORTRANGE(""https://docs.google.com/spreadsheets/d/1-3Vjw2Cyy-mry5gbC8ypIR3YVGFfEpyFESummAta6sg/edit"", ""Sheet1!B:D""), 2, FALSE), ""Not Found"")"),"mæsɪz")</f>
        <v>mæsɪz</v>
      </c>
      <c r="E8809" s="2" t="str">
        <f>IFERROR(__xludf.DUMMYFUNCTION("IFERROR(VLOOKUP(A8809, IMPORTRANGE(""https://docs.google.com/spreadsheets/d/1-3Vjw2Cyy-mry5gbC8ypIR3YVGFfEpyFESummAta6sg/edit"", ""Sheet1!B:D""), 3, FALSE), ""Not Found"")"),"m æ s ɪ z ")</f>
        <v>m æ s ɪ z </v>
      </c>
    </row>
    <row r="8810">
      <c r="A8810" s="1" t="s">
        <v>8811</v>
      </c>
      <c r="B8810" s="1" t="s">
        <v>6138</v>
      </c>
      <c r="C8810" s="2">
        <f>IFERROR(__xludf.DUMMYFUNCTION("IFERROR(VLOOKUP(A8810, IMPORTRANGE(""https://docs.google.com/spreadsheets/d/1AVX9GT0dgogEBStecCXMMQ29tWz3gBrtNB8yIromXbY/edit?gid=741673867"", ""out1g!A:B""), 2, FALSE), 0)"),282.0)</f>
        <v>282</v>
      </c>
      <c r="D8810" s="2" t="str">
        <f>IFERROR(__xludf.DUMMYFUNCTION("IFERROR(VLOOKUP(A8810, IMPORTRANGE(""https://docs.google.com/spreadsheets/d/1-3Vjw2Cyy-mry5gbC8ypIR3YVGFfEpyFESummAta6sg/edit"", ""Sheet1!B:D""), 2, FALSE), ""Not Found"")"),"lusən")</f>
        <v>lusən</v>
      </c>
      <c r="E8810" s="2" t="str">
        <f>IFERROR(__xludf.DUMMYFUNCTION("IFERROR(VLOOKUP(A8810, IMPORTRANGE(""https://docs.google.com/spreadsheets/d/1-3Vjw2Cyy-mry5gbC8ypIR3YVGFfEpyFESummAta6sg/edit"", ""Sheet1!B:D""), 3, FALSE), ""Not Found"")"),"l u s ə n ")</f>
        <v>l u s ə n </v>
      </c>
    </row>
    <row r="8811">
      <c r="A8811" s="1" t="s">
        <v>8812</v>
      </c>
      <c r="B8811" s="1" t="s">
        <v>6138</v>
      </c>
      <c r="C8811" s="2">
        <f>IFERROR(__xludf.DUMMYFUNCTION("IFERROR(VLOOKUP(A8811, IMPORTRANGE(""https://docs.google.com/spreadsheets/d/1AVX9GT0dgogEBStecCXMMQ29tWz3gBrtNB8yIromXbY/edit?gid=741673867"", ""out1g!A:B""), 2, FALSE), 0)"),110.0)</f>
        <v>110</v>
      </c>
      <c r="D8811" s="2" t="str">
        <f>IFERROR(__xludf.DUMMYFUNCTION("IFERROR(VLOOKUP(A8811, IMPORTRANGE(""https://docs.google.com/spreadsheets/d/1-3Vjw2Cyy-mry5gbC8ypIR3YVGFfEpyFESummAta6sg/edit"", ""Sheet1!B:D""), 2, FALSE), ""Not Found"")"),"kədəl")</f>
        <v>kədəl</v>
      </c>
      <c r="E8811" s="2" t="str">
        <f>IFERROR(__xludf.DUMMYFUNCTION("IFERROR(VLOOKUP(A8811, IMPORTRANGE(""https://docs.google.com/spreadsheets/d/1-3Vjw2Cyy-mry5gbC8ypIR3YVGFfEpyFESummAta6sg/edit"", ""Sheet1!B:D""), 3, FALSE), ""Not Found"")"),"k ə d ə l ")</f>
        <v>k ə d ə l </v>
      </c>
    </row>
    <row r="8812">
      <c r="A8812" s="1" t="s">
        <v>8813</v>
      </c>
      <c r="B8812" s="1" t="s">
        <v>6138</v>
      </c>
      <c r="C8812" s="2">
        <f>IFERROR(__xludf.DUMMYFUNCTION("IFERROR(VLOOKUP(A8812, IMPORTRANGE(""https://docs.google.com/spreadsheets/d/1AVX9GT0dgogEBStecCXMMQ29tWz3gBrtNB8yIromXbY/edit?gid=741673867"", ""out1g!A:B""), 2, FALSE), 0)"),72.0)</f>
        <v>72</v>
      </c>
      <c r="D8812" s="2" t="str">
        <f>IFERROR(__xludf.DUMMYFUNCTION("IFERROR(VLOOKUP(A8812, IMPORTRANGE(""https://docs.google.com/spreadsheets/d/1-3Vjw2Cyy-mry5gbC8ypIR3YVGFfEpyFESummAta6sg/edit"", ""Sheet1!B:D""), 2, FALSE), ""Not Found"")"),"bəsts")</f>
        <v>bəsts</v>
      </c>
      <c r="E8812" s="2" t="str">
        <f>IFERROR(__xludf.DUMMYFUNCTION("IFERROR(VLOOKUP(A8812, IMPORTRANGE(""https://docs.google.com/spreadsheets/d/1-3Vjw2Cyy-mry5gbC8ypIR3YVGFfEpyFESummAta6sg/edit"", ""Sheet1!B:D""), 3, FALSE), ""Not Found"")"),"b ə s t s ")</f>
        <v>b ə s t s </v>
      </c>
    </row>
    <row r="8813">
      <c r="A8813" s="1" t="s">
        <v>8814</v>
      </c>
      <c r="B8813" s="1" t="s">
        <v>6138</v>
      </c>
      <c r="C8813" s="2">
        <f>IFERROR(__xludf.DUMMYFUNCTION("IFERROR(VLOOKUP(A8813, IMPORTRANGE(""https://docs.google.com/spreadsheets/d/1AVX9GT0dgogEBStecCXMMQ29tWz3gBrtNB8yIromXbY/edit?gid=741673867"", ""out1g!A:B""), 2, FALSE), 0)"),156.0)</f>
        <v>156</v>
      </c>
      <c r="D8813" s="2" t="str">
        <f>IFERROR(__xludf.DUMMYFUNCTION("IFERROR(VLOOKUP(A8813, IMPORTRANGE(""https://docs.google.com/spreadsheets/d/1-3Vjw2Cyy-mry5gbC8ypIR3YVGFfEpyFESummAta6sg/edit"", ""Sheet1!B:D""), 2, FALSE), ""Not Found"")"),"ɔɪstər")</f>
        <v>ɔɪstər</v>
      </c>
      <c r="E8813" s="2" t="str">
        <f>IFERROR(__xludf.DUMMYFUNCTION("IFERROR(VLOOKUP(A8813, IMPORTRANGE(""https://docs.google.com/spreadsheets/d/1-3Vjw2Cyy-mry5gbC8ypIR3YVGFfEpyFESummAta6sg/edit"", ""Sheet1!B:D""), 3, FALSE), ""Not Found"")"),"ɔ ɪ s t ə r ")</f>
        <v>ɔ ɪ s t ə r </v>
      </c>
    </row>
    <row r="8814">
      <c r="A8814" s="1" t="s">
        <v>8815</v>
      </c>
      <c r="B8814" s="1" t="s">
        <v>6138</v>
      </c>
      <c r="C8814" s="2">
        <f>IFERROR(__xludf.DUMMYFUNCTION("IFERROR(VLOOKUP(A8814, IMPORTRANGE(""https://docs.google.com/spreadsheets/d/1AVX9GT0dgogEBStecCXMMQ29tWz3gBrtNB8yIromXbY/edit?gid=741673867"", ""out1g!A:B""), 2, FALSE), 0)"),155.0)</f>
        <v>155</v>
      </c>
      <c r="D8814" s="2" t="str">
        <f>IFERROR(__xludf.DUMMYFUNCTION("IFERROR(VLOOKUP(A8814, IMPORTRANGE(""https://docs.google.com/spreadsheets/d/1-3Vjw2Cyy-mry5gbC8ypIR3YVGFfEpyFESummAta6sg/edit"", ""Sheet1!B:D""), 2, FALSE), ""Not Found"")"),"bɑndɪŋ")</f>
        <v>bɑndɪŋ</v>
      </c>
      <c r="E8814" s="2" t="str">
        <f>IFERROR(__xludf.DUMMYFUNCTION("IFERROR(VLOOKUP(A8814, IMPORTRANGE(""https://docs.google.com/spreadsheets/d/1-3Vjw2Cyy-mry5gbC8ypIR3YVGFfEpyFESummAta6sg/edit"", ""Sheet1!B:D""), 3, FALSE), ""Not Found"")"),"b ɑ n d ɪ ŋ ")</f>
        <v>b ɑ n d ɪ ŋ </v>
      </c>
    </row>
    <row r="8815">
      <c r="A8815" s="1" t="s">
        <v>8816</v>
      </c>
      <c r="B8815" s="1" t="s">
        <v>6138</v>
      </c>
      <c r="C8815" s="2">
        <f>IFERROR(__xludf.DUMMYFUNCTION("IFERROR(VLOOKUP(A8815, IMPORTRANGE(""https://docs.google.com/spreadsheets/d/1AVX9GT0dgogEBStecCXMMQ29tWz3gBrtNB8yIromXbY/edit?gid=741673867"", ""out1g!A:B""), 2, FALSE), 0)"),53.0)</f>
        <v>53</v>
      </c>
      <c r="D8815" s="2" t="str">
        <f>IFERROR(__xludf.DUMMYFUNCTION("IFERROR(VLOOKUP(A8815, IMPORTRANGE(""https://docs.google.com/spreadsheets/d/1-3Vjw2Cyy-mry5gbC8ypIR3YVGFfEpyFESummAta6sg/edit"", ""Sheet1!B:D""), 2, FALSE), ""Not Found"")"),"əraɪzɪz")</f>
        <v>əraɪzɪz</v>
      </c>
      <c r="E8815" s="2" t="str">
        <f>IFERROR(__xludf.DUMMYFUNCTION("IFERROR(VLOOKUP(A8815, IMPORTRANGE(""https://docs.google.com/spreadsheets/d/1-3Vjw2Cyy-mry5gbC8ypIR3YVGFfEpyFESummAta6sg/edit"", ""Sheet1!B:D""), 3, FALSE), ""Not Found"")"),"ə r a ɪ z ɪ z ")</f>
        <v>ə r a ɪ z ɪ z </v>
      </c>
    </row>
    <row r="8816">
      <c r="A8816" s="1" t="s">
        <v>8817</v>
      </c>
      <c r="B8816" s="1" t="s">
        <v>6138</v>
      </c>
      <c r="C8816" s="2">
        <f>IFERROR(__xludf.DUMMYFUNCTION("IFERROR(VLOOKUP(A8816, IMPORTRANGE(""https://docs.google.com/spreadsheets/d/1AVX9GT0dgogEBStecCXMMQ29tWz3gBrtNB8yIromXbY/edit?gid=741673867"", ""out1g!A:B""), 2, FALSE), 0)"),1595.0)</f>
        <v>1595</v>
      </c>
      <c r="D8816" s="2" t="str">
        <f>IFERROR(__xludf.DUMMYFUNCTION("IFERROR(VLOOKUP(A8816, IMPORTRANGE(""https://docs.google.com/spreadsheets/d/1-3Vjw2Cyy-mry5gbC8ypIR3YVGFfEpyFESummAta6sg/edit"", ""Sheet1!B:D""), 2, FALSE), ""Not Found"")"),"meər")</f>
        <v>meər</v>
      </c>
      <c r="E8816" s="2" t="str">
        <f>IFERROR(__xludf.DUMMYFUNCTION("IFERROR(VLOOKUP(A8816, IMPORTRANGE(""https://docs.google.com/spreadsheets/d/1-3Vjw2Cyy-mry5gbC8ypIR3YVGFfEpyFESummAta6sg/edit"", ""Sheet1!B:D""), 3, FALSE), ""Not Found"")"),"m e ə r ")</f>
        <v>m e ə r </v>
      </c>
    </row>
    <row r="8817">
      <c r="A8817" s="1" t="s">
        <v>8818</v>
      </c>
      <c r="B8817" s="1" t="s">
        <v>6138</v>
      </c>
      <c r="C8817" s="2">
        <f>IFERROR(__xludf.DUMMYFUNCTION("IFERROR(VLOOKUP(A8817, IMPORTRANGE(""https://docs.google.com/spreadsheets/d/1AVX9GT0dgogEBStecCXMMQ29tWz3gBrtNB8yIromXbY/edit?gid=741673867"", ""out1g!A:B""), 2, FALSE), 0)"),93.0)</f>
        <v>93</v>
      </c>
      <c r="D8817" s="2" t="str">
        <f>IFERROR(__xludf.DUMMYFUNCTION("IFERROR(VLOOKUP(A8817, IMPORTRANGE(""https://docs.google.com/spreadsheets/d/1-3Vjw2Cyy-mry5gbC8ypIR3YVGFfEpyFESummAta6sg/edit"", ""Sheet1!B:D""), 2, FALSE), ""Not Found"")"),"dilɪŋz")</f>
        <v>dilɪŋz</v>
      </c>
      <c r="E8817" s="2" t="str">
        <f>IFERROR(__xludf.DUMMYFUNCTION("IFERROR(VLOOKUP(A8817, IMPORTRANGE(""https://docs.google.com/spreadsheets/d/1-3Vjw2Cyy-mry5gbC8ypIR3YVGFfEpyFESummAta6sg/edit"", ""Sheet1!B:D""), 3, FALSE), ""Not Found"")"),"d i l ɪ ŋ z ")</f>
        <v>d i l ɪ ŋ z </v>
      </c>
    </row>
    <row r="8818">
      <c r="A8818" s="1" t="s">
        <v>8819</v>
      </c>
      <c r="B8818" s="1" t="s">
        <v>6138</v>
      </c>
      <c r="C8818" s="2">
        <f>IFERROR(__xludf.DUMMYFUNCTION("IFERROR(VLOOKUP(A8818, IMPORTRANGE(""https://docs.google.com/spreadsheets/d/1AVX9GT0dgogEBStecCXMMQ29tWz3gBrtNB8yIromXbY/edit?gid=741673867"", ""out1g!A:B""), 2, FALSE), 0)"),304.0)</f>
        <v>304</v>
      </c>
      <c r="D8818" s="2" t="str">
        <f>IFERROR(__xludf.DUMMYFUNCTION("IFERROR(VLOOKUP(A8818, IMPORTRANGE(""https://docs.google.com/spreadsheets/d/1-3Vjw2Cyy-mry5gbC8ypIR3YVGFfEpyFESummAta6sg/edit"", ""Sheet1!B:D""), 2, FALSE), ""Not Found"")"),"grevz")</f>
        <v>grevz</v>
      </c>
      <c r="E8818" s="2" t="str">
        <f>IFERROR(__xludf.DUMMYFUNCTION("IFERROR(VLOOKUP(A8818, IMPORTRANGE(""https://docs.google.com/spreadsheets/d/1-3Vjw2Cyy-mry5gbC8ypIR3YVGFfEpyFESummAta6sg/edit"", ""Sheet1!B:D""), 3, FALSE), ""Not Found"")"),"g r e v z ")</f>
        <v>g r e v z </v>
      </c>
    </row>
    <row r="8819">
      <c r="A8819" s="1" t="s">
        <v>8820</v>
      </c>
      <c r="B8819" s="1" t="s">
        <v>6138</v>
      </c>
      <c r="C8819" s="2">
        <f>IFERROR(__xludf.DUMMYFUNCTION("IFERROR(VLOOKUP(A8819, IMPORTRANGE(""https://docs.google.com/spreadsheets/d/1AVX9GT0dgogEBStecCXMMQ29tWz3gBrtNB8yIromXbY/edit?gid=741673867"", ""out1g!A:B""), 2, FALSE), 0)"),59.0)</f>
        <v>59</v>
      </c>
      <c r="D8819" s="2" t="str">
        <f>IFERROR(__xludf.DUMMYFUNCTION("IFERROR(VLOOKUP(A8819, IMPORTRANGE(""https://docs.google.com/spreadsheets/d/1-3Vjw2Cyy-mry5gbC8ypIR3YVGFfEpyFESummAta6sg/edit"", ""Sheet1!B:D""), 2, FALSE), ""Not Found"")"),"vaɪkɪŋz")</f>
        <v>vaɪkɪŋz</v>
      </c>
      <c r="E8819" s="2" t="str">
        <f>IFERROR(__xludf.DUMMYFUNCTION("IFERROR(VLOOKUP(A8819, IMPORTRANGE(""https://docs.google.com/spreadsheets/d/1-3Vjw2Cyy-mry5gbC8ypIR3YVGFfEpyFESummAta6sg/edit"", ""Sheet1!B:D""), 3, FALSE), ""Not Found"")"),"v a ɪ k ɪ ŋ z ")</f>
        <v>v a ɪ k ɪ ŋ z </v>
      </c>
    </row>
    <row r="8820">
      <c r="A8820" s="1" t="s">
        <v>8821</v>
      </c>
      <c r="B8820" s="1" t="s">
        <v>6138</v>
      </c>
      <c r="C8820" s="2">
        <f>IFERROR(__xludf.DUMMYFUNCTION("IFERROR(VLOOKUP(A8820, IMPORTRANGE(""https://docs.google.com/spreadsheets/d/1AVX9GT0dgogEBStecCXMMQ29tWz3gBrtNB8yIromXbY/edit?gid=741673867"", ""out1g!A:B""), 2, FALSE), 0)"),157.0)</f>
        <v>157</v>
      </c>
      <c r="D8820" s="2" t="str">
        <f>IFERROR(__xludf.DUMMYFUNCTION("IFERROR(VLOOKUP(A8820, IMPORTRANGE(""https://docs.google.com/spreadsheets/d/1-3Vjw2Cyy-mry5gbC8ypIR3YVGFfEpyFESummAta6sg/edit"", ""Sheet1!B:D""), 2, FALSE), ""Not Found"")"),"trɛnʧ")</f>
        <v>trɛnʧ</v>
      </c>
      <c r="E8820" s="2" t="str">
        <f>IFERROR(__xludf.DUMMYFUNCTION("IFERROR(VLOOKUP(A8820, IMPORTRANGE(""https://docs.google.com/spreadsheets/d/1-3Vjw2Cyy-mry5gbC8ypIR3YVGFfEpyFESummAta6sg/edit"", ""Sheet1!B:D""), 3, FALSE), ""Not Found"")"),"t r ɛ n ʧ ")</f>
        <v>t r ɛ n ʧ </v>
      </c>
    </row>
    <row r="8821">
      <c r="A8821" s="1" t="s">
        <v>8822</v>
      </c>
      <c r="B8821" s="1" t="s">
        <v>6138</v>
      </c>
      <c r="C8821" s="2">
        <f>IFERROR(__xludf.DUMMYFUNCTION("IFERROR(VLOOKUP(A8821, IMPORTRANGE(""https://docs.google.com/spreadsheets/d/1AVX9GT0dgogEBStecCXMMQ29tWz3gBrtNB8yIromXbY/edit?gid=741673867"", ""out1g!A:B""), 2, FALSE), 0)"),78.0)</f>
        <v>78</v>
      </c>
      <c r="D8821" s="2" t="str">
        <f>IFERROR(__xludf.DUMMYFUNCTION("IFERROR(VLOOKUP(A8821, IMPORTRANGE(""https://docs.google.com/spreadsheets/d/1-3Vjw2Cyy-mry5gbC8ypIR3YVGFfEpyFESummAta6sg/edit"", ""Sheet1!B:D""), 2, FALSE), ""Not Found"")"),"fægz")</f>
        <v>fægz</v>
      </c>
      <c r="E8821" s="2" t="str">
        <f>IFERROR(__xludf.DUMMYFUNCTION("IFERROR(VLOOKUP(A8821, IMPORTRANGE(""https://docs.google.com/spreadsheets/d/1-3Vjw2Cyy-mry5gbC8ypIR3YVGFfEpyFESummAta6sg/edit"", ""Sheet1!B:D""), 3, FALSE), ""Not Found"")"),"f æ g z ")</f>
        <v>f æ g z </v>
      </c>
    </row>
    <row r="8822">
      <c r="A8822" s="1" t="s">
        <v>8823</v>
      </c>
      <c r="B8822" s="1" t="s">
        <v>6138</v>
      </c>
      <c r="C8822" s="2">
        <f>IFERROR(__xludf.DUMMYFUNCTION("IFERROR(VLOOKUP(A8822, IMPORTRANGE(""https://docs.google.com/spreadsheets/d/1AVX9GT0dgogEBStecCXMMQ29tWz3gBrtNB8yIromXbY/edit?gid=741673867"", ""out1g!A:B""), 2, FALSE), 0)"),1076.0)</f>
        <v>1076</v>
      </c>
      <c r="D8822" s="2" t="str">
        <f>IFERROR(__xludf.DUMMYFUNCTION("IFERROR(VLOOKUP(A8822, IMPORTRANGE(""https://docs.google.com/spreadsheets/d/1-3Vjw2Cyy-mry5gbC8ypIR3YVGFfEpyFESummAta6sg/edit"", ""Sheet1!B:D""), 2, FALSE), ""Not Found"")"),"hɔr")</f>
        <v>hɔr</v>
      </c>
      <c r="E8822" s="2" t="str">
        <f>IFERROR(__xludf.DUMMYFUNCTION("IFERROR(VLOOKUP(A8822, IMPORTRANGE(""https://docs.google.com/spreadsheets/d/1-3Vjw2Cyy-mry5gbC8ypIR3YVGFfEpyFESummAta6sg/edit"", ""Sheet1!B:D""), 3, FALSE), ""Not Found"")"),"h ɔ r ")</f>
        <v>h ɔ r </v>
      </c>
    </row>
    <row r="8823">
      <c r="A8823" s="1" t="s">
        <v>8824</v>
      </c>
      <c r="B8823" s="1" t="s">
        <v>6138</v>
      </c>
      <c r="C8823" s="2">
        <f>IFERROR(__xludf.DUMMYFUNCTION("IFERROR(VLOOKUP(A8823, IMPORTRANGE(""https://docs.google.com/spreadsheets/d/1AVX9GT0dgogEBStecCXMMQ29tWz3gBrtNB8yIromXbY/edit?gid=741673867"", ""out1g!A:B""), 2, FALSE), 0)"),78.0)</f>
        <v>78</v>
      </c>
      <c r="D8823" s="2" t="str">
        <f>IFERROR(__xludf.DUMMYFUNCTION("IFERROR(VLOOKUP(A8823, IMPORTRANGE(""https://docs.google.com/spreadsheets/d/1-3Vjw2Cyy-mry5gbC8ypIR3YVGFfEpyFESummAta6sg/edit"", ""Sheet1!B:D""), 2, FALSE), ""Not Found"")"),"hoʊldɪŋz")</f>
        <v>hoʊldɪŋz</v>
      </c>
      <c r="E8823" s="2" t="str">
        <f>IFERROR(__xludf.DUMMYFUNCTION("IFERROR(VLOOKUP(A8823, IMPORTRANGE(""https://docs.google.com/spreadsheets/d/1-3Vjw2Cyy-mry5gbC8ypIR3YVGFfEpyFESummAta6sg/edit"", ""Sheet1!B:D""), 3, FALSE), ""Not Found"")"),"h o ʊ l d ɪ ŋ z ")</f>
        <v>h o ʊ l d ɪ ŋ z </v>
      </c>
    </row>
    <row r="8824">
      <c r="A8824" s="1" t="s">
        <v>8825</v>
      </c>
      <c r="B8824" s="1" t="s">
        <v>6138</v>
      </c>
      <c r="C8824" s="2">
        <f>IFERROR(__xludf.DUMMYFUNCTION("IFERROR(VLOOKUP(A8824, IMPORTRANGE(""https://docs.google.com/spreadsheets/d/1AVX9GT0dgogEBStecCXMMQ29tWz3gBrtNB8yIromXbY/edit?gid=741673867"", ""out1g!A:B""), 2, FALSE), 0)"),1544.0)</f>
        <v>1544</v>
      </c>
      <c r="D8824" s="2" t="str">
        <f>IFERROR(__xludf.DUMMYFUNCTION("IFERROR(VLOOKUP(A8824, IMPORTRANGE(""https://docs.google.com/spreadsheets/d/1-3Vjw2Cyy-mry5gbC8ypIR3YVGFfEpyFESummAta6sg/edit"", ""Sheet1!B:D""), 2, FALSE), ""Not Found"")"),"hɑrdər")</f>
        <v>hɑrdər</v>
      </c>
      <c r="E8824" s="2" t="str">
        <f>IFERROR(__xludf.DUMMYFUNCTION("IFERROR(VLOOKUP(A8824, IMPORTRANGE(""https://docs.google.com/spreadsheets/d/1-3Vjw2Cyy-mry5gbC8ypIR3YVGFfEpyFESummAta6sg/edit"", ""Sheet1!B:D""), 3, FALSE), ""Not Found"")"),"h ɑ r d ə r ")</f>
        <v>h ɑ r d ə r </v>
      </c>
    </row>
    <row r="8825">
      <c r="A8825" s="1" t="s">
        <v>8826</v>
      </c>
      <c r="B8825" s="1" t="s">
        <v>6138</v>
      </c>
      <c r="C8825" s="2">
        <f>IFERROR(__xludf.DUMMYFUNCTION("IFERROR(VLOOKUP(A8825, IMPORTRANGE(""https://docs.google.com/spreadsheets/d/1AVX9GT0dgogEBStecCXMMQ29tWz3gBrtNB8yIromXbY/edit?gid=741673867"", ""out1g!A:B""), 2, FALSE), 0)"),64.0)</f>
        <v>64</v>
      </c>
      <c r="D8825" s="2" t="str">
        <f>IFERROR(__xludf.DUMMYFUNCTION("IFERROR(VLOOKUP(A8825, IMPORTRANGE(""https://docs.google.com/spreadsheets/d/1-3Vjw2Cyy-mry5gbC8ypIR3YVGFfEpyFESummAta6sg/edit"", ""Sheet1!B:D""), 2, FALSE), ""Not Found"")"),"rɪktər")</f>
        <v>rɪktər</v>
      </c>
      <c r="E8825" s="2" t="str">
        <f>IFERROR(__xludf.DUMMYFUNCTION("IFERROR(VLOOKUP(A8825, IMPORTRANGE(""https://docs.google.com/spreadsheets/d/1-3Vjw2Cyy-mry5gbC8ypIR3YVGFfEpyFESummAta6sg/edit"", ""Sheet1!B:D""), 3, FALSE), ""Not Found"")"),"r ɪ k t ə r ")</f>
        <v>r ɪ k t ə r </v>
      </c>
    </row>
    <row r="8826">
      <c r="A8826" s="1" t="s">
        <v>8827</v>
      </c>
      <c r="B8826" s="1" t="s">
        <v>6138</v>
      </c>
      <c r="C8826" s="2">
        <f>IFERROR(__xludf.DUMMYFUNCTION("IFERROR(VLOOKUP(A8826, IMPORTRANGE(""https://docs.google.com/spreadsheets/d/1AVX9GT0dgogEBStecCXMMQ29tWz3gBrtNB8yIromXbY/edit?gid=741673867"", ""out1g!A:B""), 2, FALSE), 0)"),53.0)</f>
        <v>53</v>
      </c>
      <c r="D8826" s="2" t="str">
        <f>IFERROR(__xludf.DUMMYFUNCTION("IFERROR(VLOOKUP(A8826, IMPORTRANGE(""https://docs.google.com/spreadsheets/d/1-3Vjw2Cyy-mry5gbC8ypIR3YVGFfEpyFESummAta6sg/edit"", ""Sheet1!B:D""), 2, FALSE), ""Not Found"")"),"tæŋgəl")</f>
        <v>tæŋgəl</v>
      </c>
      <c r="E8826" s="2" t="str">
        <f>IFERROR(__xludf.DUMMYFUNCTION("IFERROR(VLOOKUP(A8826, IMPORTRANGE(""https://docs.google.com/spreadsheets/d/1-3Vjw2Cyy-mry5gbC8ypIR3YVGFfEpyFESummAta6sg/edit"", ""Sheet1!B:D""), 3, FALSE), ""Not Found"")"),"t æ ŋ g ə l ")</f>
        <v>t æ ŋ g ə l </v>
      </c>
    </row>
    <row r="8827">
      <c r="A8827" s="1" t="s">
        <v>8828</v>
      </c>
      <c r="B8827" s="1" t="s">
        <v>6138</v>
      </c>
      <c r="C8827" s="2">
        <f>IFERROR(__xludf.DUMMYFUNCTION("IFERROR(VLOOKUP(A8827, IMPORTRANGE(""https://docs.google.com/spreadsheets/d/1AVX9GT0dgogEBStecCXMMQ29tWz3gBrtNB8yIromXbY/edit?gid=741673867"", ""out1g!A:B""), 2, FALSE), 0)"),302.0)</f>
        <v>302</v>
      </c>
      <c r="D8827" s="2" t="str">
        <f>IFERROR(__xludf.DUMMYFUNCTION("IFERROR(VLOOKUP(A8827, IMPORTRANGE(""https://docs.google.com/spreadsheets/d/1-3Vjw2Cyy-mry5gbC8ypIR3YVGFfEpyFESummAta6sg/edit"", ""Sheet1!B:D""), 2, FALSE), ""Not Found"")"),"pɔrɪŋ")</f>
        <v>pɔrɪŋ</v>
      </c>
      <c r="E8827" s="2" t="str">
        <f>IFERROR(__xludf.DUMMYFUNCTION("IFERROR(VLOOKUP(A8827, IMPORTRANGE(""https://docs.google.com/spreadsheets/d/1-3Vjw2Cyy-mry5gbC8ypIR3YVGFfEpyFESummAta6sg/edit"", ""Sheet1!B:D""), 3, FALSE), ""Not Found"")"),"p ɔ r ɪ ŋ ")</f>
        <v>p ɔ r ɪ ŋ </v>
      </c>
    </row>
    <row r="8828">
      <c r="A8828" s="1" t="s">
        <v>8829</v>
      </c>
      <c r="B8828" s="1" t="s">
        <v>6138</v>
      </c>
      <c r="C8828" s="2">
        <f>IFERROR(__xludf.DUMMYFUNCTION("IFERROR(VLOOKUP(A8828, IMPORTRANGE(""https://docs.google.com/spreadsheets/d/1AVX9GT0dgogEBStecCXMMQ29tWz3gBrtNB8yIromXbY/edit?gid=741673867"", ""out1g!A:B""), 2, FALSE), 0)"),696.0)</f>
        <v>696</v>
      </c>
      <c r="D8828" s="2" t="str">
        <f>IFERROR(__xludf.DUMMYFUNCTION("IFERROR(VLOOKUP(A8828, IMPORTRANGE(""https://docs.google.com/spreadsheets/d/1-3Vjw2Cyy-mry5gbC8ypIR3YVGFfEpyFESummAta6sg/edit"", ""Sheet1!B:D""), 2, FALSE), ""Not Found"")"),"lɔrəns")</f>
        <v>lɔrəns</v>
      </c>
      <c r="E8828" s="2" t="str">
        <f>IFERROR(__xludf.DUMMYFUNCTION("IFERROR(VLOOKUP(A8828, IMPORTRANGE(""https://docs.google.com/spreadsheets/d/1-3Vjw2Cyy-mry5gbC8ypIR3YVGFfEpyFESummAta6sg/edit"", ""Sheet1!B:D""), 3, FALSE), ""Not Found"")"),"l ɔ r ə n s ")</f>
        <v>l ɔ r ə n s </v>
      </c>
    </row>
    <row r="8829">
      <c r="A8829" s="1" t="s">
        <v>8830</v>
      </c>
      <c r="B8829" s="1" t="s">
        <v>6138</v>
      </c>
      <c r="C8829" s="2">
        <f>IFERROR(__xludf.DUMMYFUNCTION("IFERROR(VLOOKUP(A8829, IMPORTRANGE(""https://docs.google.com/spreadsheets/d/1AVX9GT0dgogEBStecCXMMQ29tWz3gBrtNB8yIromXbY/edit?gid=741673867"", ""out1g!A:B""), 2, FALSE), 0)"),51.0)</f>
        <v>51</v>
      </c>
      <c r="D8829" s="2" t="str">
        <f>IFERROR(__xludf.DUMMYFUNCTION("IFERROR(VLOOKUP(A8829, IMPORTRANGE(""https://docs.google.com/spreadsheets/d/1-3Vjw2Cyy-mry5gbC8ypIR3YVGFfEpyFESummAta6sg/edit"", ""Sheet1!B:D""), 2, FALSE), ""Not Found"")"),"silɪŋz")</f>
        <v>silɪŋz</v>
      </c>
      <c r="E8829" s="2" t="str">
        <f>IFERROR(__xludf.DUMMYFUNCTION("IFERROR(VLOOKUP(A8829, IMPORTRANGE(""https://docs.google.com/spreadsheets/d/1-3Vjw2Cyy-mry5gbC8ypIR3YVGFfEpyFESummAta6sg/edit"", ""Sheet1!B:D""), 3, FALSE), ""Not Found"")"),"s i l ɪ ŋ z ")</f>
        <v>s i l ɪ ŋ z </v>
      </c>
    </row>
    <row r="8830">
      <c r="A8830" s="1" t="s">
        <v>8831</v>
      </c>
      <c r="B8830" s="1" t="s">
        <v>6138</v>
      </c>
      <c r="C8830" s="2">
        <f>IFERROR(__xludf.DUMMYFUNCTION("IFERROR(VLOOKUP(A8830, IMPORTRANGE(""https://docs.google.com/spreadsheets/d/1AVX9GT0dgogEBStecCXMMQ29tWz3gBrtNB8yIromXbY/edit?gid=741673867"", ""out1g!A:B""), 2, FALSE), 0)"),183.0)</f>
        <v>183</v>
      </c>
      <c r="D8830" s="2" t="str">
        <f>IFERROR(__xludf.DUMMYFUNCTION("IFERROR(VLOOKUP(A8830, IMPORTRANGE(""https://docs.google.com/spreadsheets/d/1-3Vjw2Cyy-mry5gbC8ypIR3YVGFfEpyFESummAta6sg/edit"", ""Sheet1!B:D""), 2, FALSE), ""Not Found"")"),"vərnən")</f>
        <v>vərnən</v>
      </c>
      <c r="E8830" s="2" t="str">
        <f>IFERROR(__xludf.DUMMYFUNCTION("IFERROR(VLOOKUP(A8830, IMPORTRANGE(""https://docs.google.com/spreadsheets/d/1-3Vjw2Cyy-mry5gbC8ypIR3YVGFfEpyFESummAta6sg/edit"", ""Sheet1!B:D""), 3, FALSE), ""Not Found"")"),"v ə r n ə n ")</f>
        <v>v ə r n ə n </v>
      </c>
    </row>
    <row r="8831">
      <c r="A8831" s="1" t="s">
        <v>8832</v>
      </c>
      <c r="B8831" s="1" t="s">
        <v>6138</v>
      </c>
      <c r="C8831" s="2">
        <f>IFERROR(__xludf.DUMMYFUNCTION("IFERROR(VLOOKUP(A8831, IMPORTRANGE(""https://docs.google.com/spreadsheets/d/1AVX9GT0dgogEBStecCXMMQ29tWz3gBrtNB8yIromXbY/edit?gid=741673867"", ""out1g!A:B""), 2, FALSE), 0)"),54.0)</f>
        <v>54</v>
      </c>
      <c r="D8831" s="2" t="str">
        <f>IFERROR(__xludf.DUMMYFUNCTION("IFERROR(VLOOKUP(A8831, IMPORTRANGE(""https://docs.google.com/spreadsheets/d/1-3Vjw2Cyy-mry5gbC8ypIR3YVGFfEpyFESummAta6sg/edit"", ""Sheet1!B:D""), 2, FALSE), ""Not Found"")"),"bækər")</f>
        <v>bækər</v>
      </c>
      <c r="E8831" s="2" t="str">
        <f>IFERROR(__xludf.DUMMYFUNCTION("IFERROR(VLOOKUP(A8831, IMPORTRANGE(""https://docs.google.com/spreadsheets/d/1-3Vjw2Cyy-mry5gbC8ypIR3YVGFfEpyFESummAta6sg/edit"", ""Sheet1!B:D""), 3, FALSE), ""Not Found"")"),"b æ k ə r ")</f>
        <v>b æ k ə r </v>
      </c>
    </row>
    <row r="8832">
      <c r="A8832" s="1" t="s">
        <v>8833</v>
      </c>
      <c r="B8832" s="1" t="s">
        <v>6138</v>
      </c>
      <c r="C8832" s="2">
        <f>IFERROR(__xludf.DUMMYFUNCTION("IFERROR(VLOOKUP(A8832, IMPORTRANGE(""https://docs.google.com/spreadsheets/d/1AVX9GT0dgogEBStecCXMMQ29tWz3gBrtNB8yIromXbY/edit?gid=741673867"", ""out1g!A:B""), 2, FALSE), 0)"),61.0)</f>
        <v>61</v>
      </c>
      <c r="D8832" s="2" t="str">
        <f>IFERROR(__xludf.DUMMYFUNCTION("IFERROR(VLOOKUP(A8832, IMPORTRANGE(""https://docs.google.com/spreadsheets/d/1-3Vjw2Cyy-mry5gbC8ypIR3YVGFfEpyFESummAta6sg/edit"", ""Sheet1!B:D""), 2, FALSE), ""Not Found"")"),"fɪdɛl")</f>
        <v>fɪdɛl</v>
      </c>
      <c r="E8832" s="2" t="str">
        <f>IFERROR(__xludf.DUMMYFUNCTION("IFERROR(VLOOKUP(A8832, IMPORTRANGE(""https://docs.google.com/spreadsheets/d/1-3Vjw2Cyy-mry5gbC8ypIR3YVGFfEpyFESummAta6sg/edit"", ""Sheet1!B:D""), 3, FALSE), ""Not Found"")"),"f ɪ d ɛ l ")</f>
        <v>f ɪ d ɛ l </v>
      </c>
    </row>
    <row r="8833">
      <c r="A8833" s="1" t="s">
        <v>8834</v>
      </c>
      <c r="B8833" s="1" t="s">
        <v>6138</v>
      </c>
      <c r="C8833" s="2">
        <f>IFERROR(__xludf.DUMMYFUNCTION("IFERROR(VLOOKUP(A8833, IMPORTRANGE(""https://docs.google.com/spreadsheets/d/1AVX9GT0dgogEBStecCXMMQ29tWz3gBrtNB8yIromXbY/edit?gid=741673867"", ""out1g!A:B""), 2, FALSE), 0)"),89.0)</f>
        <v>89</v>
      </c>
      <c r="D8833" s="2" t="str">
        <f>IFERROR(__xludf.DUMMYFUNCTION("IFERROR(VLOOKUP(A8833, IMPORTRANGE(""https://docs.google.com/spreadsheets/d/1-3Vjw2Cyy-mry5gbC8ypIR3YVGFfEpyFESummAta6sg/edit"", ""Sheet1!B:D""), 2, FALSE), ""Not Found"")"),"θraɪv")</f>
        <v>θraɪv</v>
      </c>
      <c r="E8833" s="2" t="str">
        <f>IFERROR(__xludf.DUMMYFUNCTION("IFERROR(VLOOKUP(A8833, IMPORTRANGE(""https://docs.google.com/spreadsheets/d/1-3Vjw2Cyy-mry5gbC8ypIR3YVGFfEpyFESummAta6sg/edit"", ""Sheet1!B:D""), 3, FALSE), ""Not Found"")"),"θ r a ɪ v ")</f>
        <v>θ r a ɪ v </v>
      </c>
    </row>
    <row r="8834">
      <c r="A8834" s="1" t="s">
        <v>8835</v>
      </c>
      <c r="B8834" s="1" t="s">
        <v>6138</v>
      </c>
      <c r="C8834" s="2">
        <f>IFERROR(__xludf.DUMMYFUNCTION("IFERROR(VLOOKUP(A8834, IMPORTRANGE(""https://docs.google.com/spreadsheets/d/1AVX9GT0dgogEBStecCXMMQ29tWz3gBrtNB8yIromXbY/edit?gid=741673867"", ""out1g!A:B""), 2, FALSE), 0)"),22389.0)</f>
        <v>22389</v>
      </c>
      <c r="D8834" s="2" t="str">
        <f>IFERROR(__xludf.DUMMYFUNCTION("IFERROR(VLOOKUP(A8834, IMPORTRANGE(""https://docs.google.com/spreadsheets/d/1-3Vjw2Cyy-mry5gbC8ypIR3YVGFfEpyFESummAta6sg/edit"", ""Sheet1!B:D""), 2, FALSE), ""Not Found"")"),"mɔrnɪŋ")</f>
        <v>mɔrnɪŋ</v>
      </c>
      <c r="E8834" s="2" t="str">
        <f>IFERROR(__xludf.DUMMYFUNCTION("IFERROR(VLOOKUP(A8834, IMPORTRANGE(""https://docs.google.com/spreadsheets/d/1-3Vjw2Cyy-mry5gbC8ypIR3YVGFfEpyFESummAta6sg/edit"", ""Sheet1!B:D""), 3, FALSE), ""Not Found"")"),"m ɔ r n ɪ ŋ ")</f>
        <v>m ɔ r n ɪ ŋ </v>
      </c>
    </row>
    <row r="8835">
      <c r="A8835" s="1" t="s">
        <v>8836</v>
      </c>
      <c r="B8835" s="1" t="s">
        <v>6138</v>
      </c>
      <c r="C8835" s="2">
        <f>IFERROR(__xludf.DUMMYFUNCTION("IFERROR(VLOOKUP(A8835, IMPORTRANGE(""https://docs.google.com/spreadsheets/d/1AVX9GT0dgogEBStecCXMMQ29tWz3gBrtNB8yIromXbY/edit?gid=741673867"", ""out1g!A:B""), 2, FALSE), 0)"),106.0)</f>
        <v>106</v>
      </c>
      <c r="D8835" s="2" t="str">
        <f>IFERROR(__xludf.DUMMYFUNCTION("IFERROR(VLOOKUP(A8835, IMPORTRANGE(""https://docs.google.com/spreadsheets/d/1-3Vjw2Cyy-mry5gbC8ypIR3YVGFfEpyFESummAta6sg/edit"", ""Sheet1!B:D""), 2, FALSE), ""Not Found"")"),"fɔrməli")</f>
        <v>fɔrməli</v>
      </c>
      <c r="E8835" s="2" t="str">
        <f>IFERROR(__xludf.DUMMYFUNCTION("IFERROR(VLOOKUP(A8835, IMPORTRANGE(""https://docs.google.com/spreadsheets/d/1-3Vjw2Cyy-mry5gbC8ypIR3YVGFfEpyFESummAta6sg/edit"", ""Sheet1!B:D""), 3, FALSE), ""Not Found"")"),"f ɔ r m ə l i ")</f>
        <v>f ɔ r m ə l i </v>
      </c>
    </row>
    <row r="8836">
      <c r="A8836" s="1" t="s">
        <v>8837</v>
      </c>
      <c r="B8836" s="1" t="s">
        <v>6138</v>
      </c>
      <c r="C8836" s="2">
        <f>IFERROR(__xludf.DUMMYFUNCTION("IFERROR(VLOOKUP(A8836, IMPORTRANGE(""https://docs.google.com/spreadsheets/d/1AVX9GT0dgogEBStecCXMMQ29tWz3gBrtNB8yIromXbY/edit?gid=741673867"", ""out1g!A:B""), 2, FALSE), 0)"),64.0)</f>
        <v>64</v>
      </c>
      <c r="D8836" s="2" t="str">
        <f>IFERROR(__xludf.DUMMYFUNCTION("IFERROR(VLOOKUP(A8836, IMPORTRANGE(""https://docs.google.com/spreadsheets/d/1-3Vjw2Cyy-mry5gbC8ypIR3YVGFfEpyFESummAta6sg/edit"", ""Sheet1!B:D""), 2, FALSE), ""Not Found"")"),"næpɪŋ")</f>
        <v>næpɪŋ</v>
      </c>
      <c r="E8836" s="2" t="str">
        <f>IFERROR(__xludf.DUMMYFUNCTION("IFERROR(VLOOKUP(A8836, IMPORTRANGE(""https://docs.google.com/spreadsheets/d/1-3Vjw2Cyy-mry5gbC8ypIR3YVGFfEpyFESummAta6sg/edit"", ""Sheet1!B:D""), 3, FALSE), ""Not Found"")"),"n æ p ɪ ŋ ")</f>
        <v>n æ p ɪ ŋ </v>
      </c>
    </row>
    <row r="8837">
      <c r="A8837" s="1" t="s">
        <v>8838</v>
      </c>
      <c r="B8837" s="1" t="s">
        <v>6138</v>
      </c>
      <c r="C8837" s="2">
        <f>IFERROR(__xludf.DUMMYFUNCTION("IFERROR(VLOOKUP(A8837, IMPORTRANGE(""https://docs.google.com/spreadsheets/d/1AVX9GT0dgogEBStecCXMMQ29tWz3gBrtNB8yIromXbY/edit?gid=741673867"", ""out1g!A:B""), 2, FALSE), 0)"),114.0)</f>
        <v>114</v>
      </c>
      <c r="D8837" s="2" t="str">
        <f>IFERROR(__xludf.DUMMYFUNCTION("IFERROR(VLOOKUP(A8837, IMPORTRANGE(""https://docs.google.com/spreadsheets/d/1-3Vjw2Cyy-mry5gbC8ypIR3YVGFfEpyFESummAta6sg/edit"", ""Sheet1!B:D""), 2, FALSE), ""Not Found"")"),"wetərz")</f>
        <v>wetərz</v>
      </c>
      <c r="E8837" s="2" t="str">
        <f>IFERROR(__xludf.DUMMYFUNCTION("IFERROR(VLOOKUP(A8837, IMPORTRANGE(""https://docs.google.com/spreadsheets/d/1-3Vjw2Cyy-mry5gbC8ypIR3YVGFfEpyFESummAta6sg/edit"", ""Sheet1!B:D""), 3, FALSE), ""Not Found"")"),"w e t ə r z ")</f>
        <v>w e t ə r z </v>
      </c>
    </row>
    <row r="8838">
      <c r="A8838" s="1" t="s">
        <v>8839</v>
      </c>
      <c r="B8838" s="1" t="s">
        <v>6138</v>
      </c>
      <c r="C8838" s="2">
        <f>IFERROR(__xludf.DUMMYFUNCTION("IFERROR(VLOOKUP(A8838, IMPORTRANGE(""https://docs.google.com/spreadsheets/d/1AVX9GT0dgogEBStecCXMMQ29tWz3gBrtNB8yIromXbY/edit?gid=741673867"", ""out1g!A:B""), 2, FALSE), 0)"),56091.0)</f>
        <v>56091</v>
      </c>
      <c r="D8838" s="2" t="str">
        <f>IFERROR(__xludf.DUMMYFUNCTION("IFERROR(VLOOKUP(A8838, IMPORTRANGE(""https://docs.google.com/spreadsheets/d/1-3Vjw2Cyy-mry5gbC8ypIR3YVGFfEpyFESummAta6sg/edit"", ""Sheet1!B:D""), 2, FALSE), ""Not Found"")"),"ʃʊr")</f>
        <v>ʃʊr</v>
      </c>
      <c r="E8838" s="2" t="str">
        <f>IFERROR(__xludf.DUMMYFUNCTION("IFERROR(VLOOKUP(A8838, IMPORTRANGE(""https://docs.google.com/spreadsheets/d/1-3Vjw2Cyy-mry5gbC8ypIR3YVGFfEpyFESummAta6sg/edit"", ""Sheet1!B:D""), 3, FALSE), ""Not Found"")"),"ʃ ʊ r ")</f>
        <v>ʃ ʊ r </v>
      </c>
    </row>
    <row r="8839">
      <c r="A8839" s="1" t="s">
        <v>8840</v>
      </c>
      <c r="B8839" s="1" t="s">
        <v>6138</v>
      </c>
      <c r="C8839" s="2">
        <f>IFERROR(__xludf.DUMMYFUNCTION("IFERROR(VLOOKUP(A8839, IMPORTRANGE(""https://docs.google.com/spreadsheets/d/1AVX9GT0dgogEBStecCXMMQ29tWz3gBrtNB8yIromXbY/edit?gid=741673867"", ""out1g!A:B""), 2, FALSE), 0)"),220.0)</f>
        <v>220</v>
      </c>
      <c r="D8839" s="2" t="str">
        <f>IFERROR(__xludf.DUMMYFUNCTION("IFERROR(VLOOKUP(A8839, IMPORTRANGE(""https://docs.google.com/spreadsheets/d/1-3Vjw2Cyy-mry5gbC8ypIR3YVGFfEpyFESummAta6sg/edit"", ""Sheet1!B:D""), 2, FALSE), ""Not Found"")"),"sændərz")</f>
        <v>sændərz</v>
      </c>
      <c r="E8839" s="2" t="str">
        <f>IFERROR(__xludf.DUMMYFUNCTION("IFERROR(VLOOKUP(A8839, IMPORTRANGE(""https://docs.google.com/spreadsheets/d/1-3Vjw2Cyy-mry5gbC8ypIR3YVGFfEpyFESummAta6sg/edit"", ""Sheet1!B:D""), 3, FALSE), ""Not Found"")"),"s æ n d ə r z ")</f>
        <v>s æ n d ə r z </v>
      </c>
    </row>
    <row r="8840">
      <c r="A8840" s="1" t="s">
        <v>8841</v>
      </c>
      <c r="B8840" s="1" t="s">
        <v>6138</v>
      </c>
      <c r="C8840" s="2">
        <f>IFERROR(__xludf.DUMMYFUNCTION("IFERROR(VLOOKUP(A8840, IMPORTRANGE(""https://docs.google.com/spreadsheets/d/1AVX9GT0dgogEBStecCXMMQ29tWz3gBrtNB8yIromXbY/edit?gid=741673867"", ""out1g!A:B""), 2, FALSE), 0)"),738.0)</f>
        <v>738</v>
      </c>
      <c r="D8840" s="2" t="str">
        <f>IFERROR(__xludf.DUMMYFUNCTION("IFERROR(VLOOKUP(A8840, IMPORTRANGE(""https://docs.google.com/spreadsheets/d/1-3Vjw2Cyy-mry5gbC8ypIR3YVGFfEpyFESummAta6sg/edit"", ""Sheet1!B:D""), 2, FALSE), ""Not Found"")"),"hæbət")</f>
        <v>hæbət</v>
      </c>
      <c r="E8840" s="2" t="str">
        <f>IFERROR(__xludf.DUMMYFUNCTION("IFERROR(VLOOKUP(A8840, IMPORTRANGE(""https://docs.google.com/spreadsheets/d/1-3Vjw2Cyy-mry5gbC8ypIR3YVGFfEpyFESummAta6sg/edit"", ""Sheet1!B:D""), 3, FALSE), ""Not Found"")"),"h æ b ə t ")</f>
        <v>h æ b ə t </v>
      </c>
    </row>
    <row r="8841">
      <c r="A8841" s="1" t="s">
        <v>8842</v>
      </c>
      <c r="B8841" s="1" t="s">
        <v>6138</v>
      </c>
      <c r="C8841" s="2">
        <f>IFERROR(__xludf.DUMMYFUNCTION("IFERROR(VLOOKUP(A8841, IMPORTRANGE(""https://docs.google.com/spreadsheets/d/1AVX9GT0dgogEBStecCXMMQ29tWz3gBrtNB8yIromXbY/edit?gid=741673867"", ""out1g!A:B""), 2, FALSE), 0)"),636.0)</f>
        <v>636</v>
      </c>
      <c r="D8841" s="2" t="str">
        <f>IFERROR(__xludf.DUMMYFUNCTION("IFERROR(VLOOKUP(A8841, IMPORTRANGE(""https://docs.google.com/spreadsheets/d/1-3Vjw2Cyy-mry5gbC8ypIR3YVGFfEpyFESummAta6sg/edit"", ""Sheet1!B:D""), 2, FALSE), ""Not Found"")"),"koʊlɪn")</f>
        <v>koʊlɪn</v>
      </c>
      <c r="E8841" s="2" t="str">
        <f>IFERROR(__xludf.DUMMYFUNCTION("IFERROR(VLOOKUP(A8841, IMPORTRANGE(""https://docs.google.com/spreadsheets/d/1-3Vjw2Cyy-mry5gbC8ypIR3YVGFfEpyFESummAta6sg/edit"", ""Sheet1!B:D""), 3, FALSE), ""Not Found"")"),"k o ʊ l ɪ n ")</f>
        <v>k o ʊ l ɪ n </v>
      </c>
    </row>
    <row r="8842">
      <c r="A8842" s="1" t="s">
        <v>8843</v>
      </c>
      <c r="B8842" s="1" t="s">
        <v>6138</v>
      </c>
      <c r="C8842" s="2">
        <f>IFERROR(__xludf.DUMMYFUNCTION("IFERROR(VLOOKUP(A8842, IMPORTRANGE(""https://docs.google.com/spreadsheets/d/1AVX9GT0dgogEBStecCXMMQ29tWz3gBrtNB8yIromXbY/edit?gid=741673867"", ""out1g!A:B""), 2, FALSE), 0)"),2613.0)</f>
        <v>2613</v>
      </c>
      <c r="D8842" s="2" t="str">
        <f>IFERROR(__xludf.DUMMYFUNCTION("IFERROR(VLOOKUP(A8842, IMPORTRANGE(""https://docs.google.com/spreadsheets/d/1-3Vjw2Cyy-mry5gbC8ypIR3YVGFfEpyFESummAta6sg/edit"", ""Sheet1!B:D""), 2, FALSE), ""Not Found"")"),"hɑrdli")</f>
        <v>hɑrdli</v>
      </c>
      <c r="E8842" s="2" t="str">
        <f>IFERROR(__xludf.DUMMYFUNCTION("IFERROR(VLOOKUP(A8842, IMPORTRANGE(""https://docs.google.com/spreadsheets/d/1-3Vjw2Cyy-mry5gbC8ypIR3YVGFfEpyFESummAta6sg/edit"", ""Sheet1!B:D""), 3, FALSE), ""Not Found"")"),"h ɑ r d l i ")</f>
        <v>h ɑ r d l i </v>
      </c>
    </row>
    <row r="8843">
      <c r="A8843" s="1" t="s">
        <v>8844</v>
      </c>
      <c r="B8843" s="1" t="s">
        <v>6138</v>
      </c>
      <c r="C8843" s="2">
        <f>IFERROR(__xludf.DUMMYFUNCTION("IFERROR(VLOOKUP(A8843, IMPORTRANGE(""https://docs.google.com/spreadsheets/d/1AVX9GT0dgogEBStecCXMMQ29tWz3gBrtNB8yIromXbY/edit?gid=741673867"", ""out1g!A:B""), 2, FALSE), 0)"),96.0)</f>
        <v>96</v>
      </c>
      <c r="D8843" s="2" t="str">
        <f>IFERROR(__xludf.DUMMYFUNCTION("IFERROR(VLOOKUP(A8843, IMPORTRANGE(""https://docs.google.com/spreadsheets/d/1-3Vjw2Cyy-mry5gbC8ypIR3YVGFfEpyFESummAta6sg/edit"", ""Sheet1!B:D""), 2, FALSE), ""Not Found"")"),"trækʃən")</f>
        <v>trækʃən</v>
      </c>
      <c r="E8843" s="2" t="str">
        <f>IFERROR(__xludf.DUMMYFUNCTION("IFERROR(VLOOKUP(A8843, IMPORTRANGE(""https://docs.google.com/spreadsheets/d/1-3Vjw2Cyy-mry5gbC8ypIR3YVGFfEpyFESummAta6sg/edit"", ""Sheet1!B:D""), 3, FALSE), ""Not Found"")"),"t r æ k ʃ ə n ")</f>
        <v>t r æ k ʃ ə n </v>
      </c>
    </row>
    <row r="8844">
      <c r="A8844" s="1" t="s">
        <v>8845</v>
      </c>
      <c r="B8844" s="1" t="s">
        <v>6138</v>
      </c>
      <c r="C8844" s="2">
        <f>IFERROR(__xludf.DUMMYFUNCTION("IFERROR(VLOOKUP(A8844, IMPORTRANGE(""https://docs.google.com/spreadsheets/d/1AVX9GT0dgogEBStecCXMMQ29tWz3gBrtNB8yIromXbY/edit?gid=741673867"", ""out1g!A:B""), 2, FALSE), 0)"),185.0)</f>
        <v>185</v>
      </c>
      <c r="D8844" s="2" t="str">
        <f>IFERROR(__xludf.DUMMYFUNCTION("IFERROR(VLOOKUP(A8844, IMPORTRANGE(""https://docs.google.com/spreadsheets/d/1-3Vjw2Cyy-mry5gbC8ypIR3YVGFfEpyFESummAta6sg/edit"", ""Sheet1!B:D""), 2, FALSE), ""Not Found"")"),"fɪdəl")</f>
        <v>fɪdəl</v>
      </c>
      <c r="E8844" s="2" t="str">
        <f>IFERROR(__xludf.DUMMYFUNCTION("IFERROR(VLOOKUP(A8844, IMPORTRANGE(""https://docs.google.com/spreadsheets/d/1-3Vjw2Cyy-mry5gbC8ypIR3YVGFfEpyFESummAta6sg/edit"", ""Sheet1!B:D""), 3, FALSE), ""Not Found"")"),"f ɪ d ə l ")</f>
        <v>f ɪ d ə l </v>
      </c>
    </row>
    <row r="8845">
      <c r="A8845" s="1" t="s">
        <v>8846</v>
      </c>
      <c r="B8845" s="1" t="s">
        <v>6138</v>
      </c>
      <c r="C8845" s="2">
        <f>IFERROR(__xludf.DUMMYFUNCTION("IFERROR(VLOOKUP(A8845, IMPORTRANGE(""https://docs.google.com/spreadsheets/d/1AVX9GT0dgogEBStecCXMMQ29tWz3gBrtNB8yIromXbY/edit?gid=741673867"", ""out1g!A:B""), 2, FALSE), 0)"),114.0)</f>
        <v>114</v>
      </c>
      <c r="D8845" s="2" t="str">
        <f>IFERROR(__xludf.DUMMYFUNCTION("IFERROR(VLOOKUP(A8845, IMPORTRANGE(""https://docs.google.com/spreadsheets/d/1-3Vjw2Cyy-mry5gbC8ypIR3YVGFfEpyFESummAta6sg/edit"", ""Sheet1!B:D""), 2, FALSE), ""Not Found"")"),"besɪks")</f>
        <v>besɪks</v>
      </c>
      <c r="E8845" s="2" t="str">
        <f>IFERROR(__xludf.DUMMYFUNCTION("IFERROR(VLOOKUP(A8845, IMPORTRANGE(""https://docs.google.com/spreadsheets/d/1-3Vjw2Cyy-mry5gbC8ypIR3YVGFfEpyFESummAta6sg/edit"", ""Sheet1!B:D""), 3, FALSE), ""Not Found"")"),"b e s ɪ k s ")</f>
        <v>b e s ɪ k s </v>
      </c>
    </row>
    <row r="8846">
      <c r="A8846" s="1" t="s">
        <v>8847</v>
      </c>
      <c r="B8846" s="1" t="s">
        <v>6138</v>
      </c>
      <c r="C8846" s="2">
        <f>IFERROR(__xludf.DUMMYFUNCTION("IFERROR(VLOOKUP(A8846, IMPORTRANGE(""https://docs.google.com/spreadsheets/d/1AVX9GT0dgogEBStecCXMMQ29tWz3gBrtNB8yIromXbY/edit?gid=741673867"", ""out1g!A:B""), 2, FALSE), 0)"),51.0)</f>
        <v>51</v>
      </c>
      <c r="D8846" s="2" t="str">
        <f>IFERROR(__xludf.DUMMYFUNCTION("IFERROR(VLOOKUP(A8846, IMPORTRANGE(""https://docs.google.com/spreadsheets/d/1-3Vjw2Cyy-mry5gbC8ypIR3YVGFfEpyFESummAta6sg/edit"", ""Sheet1!B:D""), 2, FALSE), ""Not Found"")"),"simɪŋ")</f>
        <v>simɪŋ</v>
      </c>
      <c r="E8846" s="2" t="str">
        <f>IFERROR(__xludf.DUMMYFUNCTION("IFERROR(VLOOKUP(A8846, IMPORTRANGE(""https://docs.google.com/spreadsheets/d/1-3Vjw2Cyy-mry5gbC8ypIR3YVGFfEpyFESummAta6sg/edit"", ""Sheet1!B:D""), 3, FALSE), ""Not Found"")"),"s i m ɪ ŋ ")</f>
        <v>s i m ɪ ŋ </v>
      </c>
    </row>
    <row r="8847">
      <c r="A8847" s="1" t="s">
        <v>8848</v>
      </c>
      <c r="B8847" s="1" t="s">
        <v>6138</v>
      </c>
      <c r="C8847" s="2">
        <f>IFERROR(__xludf.DUMMYFUNCTION("IFERROR(VLOOKUP(A8847, IMPORTRANGE(""https://docs.google.com/spreadsheets/d/1AVX9GT0dgogEBStecCXMMQ29tWz3gBrtNB8yIromXbY/edit?gid=741673867"", ""out1g!A:B""), 2, FALSE), 0)"),48.0)</f>
        <v>48</v>
      </c>
      <c r="D8847" s="2" t="str">
        <f>IFERROR(__xludf.DUMMYFUNCTION("IFERROR(VLOOKUP(A8847, IMPORTRANGE(""https://docs.google.com/spreadsheets/d/1-3Vjw2Cyy-mry5gbC8ypIR3YVGFfEpyFESummAta6sg/edit"", ""Sheet1!B:D""), 2, FALSE), ""Not Found"")"),"ræpɪŋ")</f>
        <v>ræpɪŋ</v>
      </c>
      <c r="E8847" s="2" t="str">
        <f>IFERROR(__xludf.DUMMYFUNCTION("IFERROR(VLOOKUP(A8847, IMPORTRANGE(""https://docs.google.com/spreadsheets/d/1-3Vjw2Cyy-mry5gbC8ypIR3YVGFfEpyFESummAta6sg/edit"", ""Sheet1!B:D""), 3, FALSE), ""Not Found"")"),"r æ p ɪ ŋ ")</f>
        <v>r æ p ɪ ŋ </v>
      </c>
    </row>
    <row r="8848">
      <c r="A8848" s="1" t="s">
        <v>8849</v>
      </c>
      <c r="B8848" s="1" t="s">
        <v>6138</v>
      </c>
      <c r="C8848" s="2">
        <f>IFERROR(__xludf.DUMMYFUNCTION("IFERROR(VLOOKUP(A8848, IMPORTRANGE(""https://docs.google.com/spreadsheets/d/1AVX9GT0dgogEBStecCXMMQ29tWz3gBrtNB8yIromXbY/edit?gid=741673867"", ""out1g!A:B""), 2, FALSE), 0)"),47.0)</f>
        <v>47</v>
      </c>
      <c r="D8848" s="2" t="str">
        <f>IFERROR(__xludf.DUMMYFUNCTION("IFERROR(VLOOKUP(A8848, IMPORTRANGE(""https://docs.google.com/spreadsheets/d/1-3Vjw2Cyy-mry5gbC8ypIR3YVGFfEpyFESummAta6sg/edit"", ""Sheet1!B:D""), 2, FALSE), ""Not Found"")"),"duəbəl")</f>
        <v>duəbəl</v>
      </c>
      <c r="E8848" s="2" t="str">
        <f>IFERROR(__xludf.DUMMYFUNCTION("IFERROR(VLOOKUP(A8848, IMPORTRANGE(""https://docs.google.com/spreadsheets/d/1-3Vjw2Cyy-mry5gbC8ypIR3YVGFfEpyFESummAta6sg/edit"", ""Sheet1!B:D""), 3, FALSE), ""Not Found"")"),"d u ə b ə l ")</f>
        <v>d u ə b ə l </v>
      </c>
    </row>
    <row r="8849">
      <c r="A8849" s="1" t="s">
        <v>8850</v>
      </c>
      <c r="B8849" s="1" t="s">
        <v>6138</v>
      </c>
      <c r="C8849" s="2">
        <f>IFERROR(__xludf.DUMMYFUNCTION("IFERROR(VLOOKUP(A8849, IMPORTRANGE(""https://docs.google.com/spreadsheets/d/1AVX9GT0dgogEBStecCXMMQ29tWz3gBrtNB8yIromXbY/edit?gid=741673867"", ""out1g!A:B""), 2, FALSE), 0)"),89.0)</f>
        <v>89</v>
      </c>
      <c r="D8849" s="2" t="str">
        <f>IFERROR(__xludf.DUMMYFUNCTION("IFERROR(VLOOKUP(A8849, IMPORTRANGE(""https://docs.google.com/spreadsheets/d/1-3Vjw2Cyy-mry5gbC8ypIR3YVGFfEpyFESummAta6sg/edit"", ""Sheet1!B:D""), 2, FALSE), ""Not Found"")"),"skɔrɪŋ")</f>
        <v>skɔrɪŋ</v>
      </c>
      <c r="E8849" s="2" t="str">
        <f>IFERROR(__xludf.DUMMYFUNCTION("IFERROR(VLOOKUP(A8849, IMPORTRANGE(""https://docs.google.com/spreadsheets/d/1-3Vjw2Cyy-mry5gbC8ypIR3YVGFfEpyFESummAta6sg/edit"", ""Sheet1!B:D""), 3, FALSE), ""Not Found"")"),"s k ɔ r ɪ ŋ ")</f>
        <v>s k ɔ r ɪ ŋ </v>
      </c>
    </row>
    <row r="8850">
      <c r="A8850" s="1" t="s">
        <v>8851</v>
      </c>
      <c r="B8850" s="1" t="s">
        <v>6138</v>
      </c>
      <c r="C8850" s="2">
        <f>IFERROR(__xludf.DUMMYFUNCTION("IFERROR(VLOOKUP(A8850, IMPORTRANGE(""https://docs.google.com/spreadsheets/d/1AVX9GT0dgogEBStecCXMMQ29tWz3gBrtNB8yIromXbY/edit?gid=741673867"", ""out1g!A:B""), 2, FALSE), 0)"),2227.0)</f>
        <v>2227</v>
      </c>
      <c r="D8850" s="2" t="str">
        <f>IFERROR(__xludf.DUMMYFUNCTION("IFERROR(VLOOKUP(A8850, IMPORTRANGE(""https://docs.google.com/spreadsheets/d/1-3Vjw2Cyy-mry5gbC8ypIR3YVGFfEpyFESummAta6sg/edit"", ""Sheet1!B:D""), 2, FALSE), ""Not Found"")"),"denʤər")</f>
        <v>denʤər</v>
      </c>
      <c r="E8850" s="2" t="str">
        <f>IFERROR(__xludf.DUMMYFUNCTION("IFERROR(VLOOKUP(A8850, IMPORTRANGE(""https://docs.google.com/spreadsheets/d/1-3Vjw2Cyy-mry5gbC8ypIR3YVGFfEpyFESummAta6sg/edit"", ""Sheet1!B:D""), 3, FALSE), ""Not Found"")"),"d e n ʤ ə r ")</f>
        <v>d e n ʤ ə r </v>
      </c>
    </row>
    <row r="8851">
      <c r="A8851" s="1" t="s">
        <v>8852</v>
      </c>
      <c r="B8851" s="1" t="s">
        <v>6138</v>
      </c>
      <c r="C8851" s="2">
        <f>IFERROR(__xludf.DUMMYFUNCTION("IFERROR(VLOOKUP(A8851, IMPORTRANGE(""https://docs.google.com/spreadsheets/d/1AVX9GT0dgogEBStecCXMMQ29tWz3gBrtNB8yIromXbY/edit?gid=741673867"", ""out1g!A:B""), 2, FALSE), 0)"),438.0)</f>
        <v>438</v>
      </c>
      <c r="D8851" s="2" t="str">
        <f>IFERROR(__xludf.DUMMYFUNCTION("IFERROR(VLOOKUP(A8851, IMPORTRANGE(""https://docs.google.com/spreadsheets/d/1-3Vjw2Cyy-mry5gbC8ypIR3YVGFfEpyFESummAta6sg/edit"", ""Sheet1!B:D""), 2, FALSE), ""Not Found"")"),"sɪmbəl")</f>
        <v>sɪmbəl</v>
      </c>
      <c r="E8851" s="2" t="str">
        <f>IFERROR(__xludf.DUMMYFUNCTION("IFERROR(VLOOKUP(A8851, IMPORTRANGE(""https://docs.google.com/spreadsheets/d/1-3Vjw2Cyy-mry5gbC8ypIR3YVGFfEpyFESummAta6sg/edit"", ""Sheet1!B:D""), 3, FALSE), ""Not Found"")"),"s ɪ m b ə l ")</f>
        <v>s ɪ m b ə l </v>
      </c>
    </row>
    <row r="8852">
      <c r="A8852" s="1" t="s">
        <v>8853</v>
      </c>
      <c r="B8852" s="1" t="s">
        <v>6138</v>
      </c>
      <c r="C8852" s="2">
        <f>IFERROR(__xludf.DUMMYFUNCTION("IFERROR(VLOOKUP(A8852, IMPORTRANGE(""https://docs.google.com/spreadsheets/d/1AVX9GT0dgogEBStecCXMMQ29tWz3gBrtNB8yIromXbY/edit?gid=741673867"", ""out1g!A:B""), 2, FALSE), 0)"),12617.0)</f>
        <v>12617</v>
      </c>
      <c r="D8852" s="2" t="str">
        <f>IFERROR(__xludf.DUMMYFUNCTION("IFERROR(VLOOKUP(A8852, IMPORTRANGE(""https://docs.google.com/spreadsheets/d/1-3Vjw2Cyy-mry5gbC8ypIR3YVGFfEpyFESummAta6sg/edit"", ""Sheet1!B:D""), 2, FALSE), ""Not Found"")"),"drɪŋk")</f>
        <v>drɪŋk</v>
      </c>
      <c r="E8852" s="2" t="str">
        <f>IFERROR(__xludf.DUMMYFUNCTION("IFERROR(VLOOKUP(A8852, IMPORTRANGE(""https://docs.google.com/spreadsheets/d/1-3Vjw2Cyy-mry5gbC8ypIR3YVGFfEpyFESummAta6sg/edit"", ""Sheet1!B:D""), 3, FALSE), ""Not Found"")"),"d r ɪ ŋ k ")</f>
        <v>d r ɪ ŋ k </v>
      </c>
    </row>
    <row r="8853">
      <c r="A8853" s="1" t="s">
        <v>8854</v>
      </c>
      <c r="B8853" s="1" t="s">
        <v>6138</v>
      </c>
      <c r="C8853" s="2">
        <f>IFERROR(__xludf.DUMMYFUNCTION("IFERROR(VLOOKUP(A8853, IMPORTRANGE(""https://docs.google.com/spreadsheets/d/1AVX9GT0dgogEBStecCXMMQ29tWz3gBrtNB8yIromXbY/edit?gid=741673867"", ""out1g!A:B""), 2, FALSE), 0)"),497.0)</f>
        <v>497</v>
      </c>
      <c r="D8853" s="2" t="str">
        <f>IFERROR(__xludf.DUMMYFUNCTION("IFERROR(VLOOKUP(A8853, IMPORTRANGE(""https://docs.google.com/spreadsheets/d/1-3Vjw2Cyy-mry5gbC8ypIR3YVGFfEpyFESummAta6sg/edit"", ""Sheet1!B:D""), 2, FALSE), ""Not Found"")"),"drɛsɪz")</f>
        <v>drɛsɪz</v>
      </c>
      <c r="E8853" s="2" t="str">
        <f>IFERROR(__xludf.DUMMYFUNCTION("IFERROR(VLOOKUP(A8853, IMPORTRANGE(""https://docs.google.com/spreadsheets/d/1-3Vjw2Cyy-mry5gbC8ypIR3YVGFfEpyFESummAta6sg/edit"", ""Sheet1!B:D""), 3, FALSE), ""Not Found"")"),"d r ɛ s ɪ z ")</f>
        <v>d r ɛ s ɪ z </v>
      </c>
    </row>
    <row r="8854">
      <c r="A8854" s="1" t="s">
        <v>8855</v>
      </c>
      <c r="B8854" s="1" t="s">
        <v>6138</v>
      </c>
      <c r="C8854" s="2">
        <f>IFERROR(__xludf.DUMMYFUNCTION("IFERROR(VLOOKUP(A8854, IMPORTRANGE(""https://docs.google.com/spreadsheets/d/1AVX9GT0dgogEBStecCXMMQ29tWz3gBrtNB8yIromXbY/edit?gid=741673867"", ""out1g!A:B""), 2, FALSE), 0)"),151.0)</f>
        <v>151</v>
      </c>
      <c r="D8854" s="2" t="str">
        <f>IFERROR(__xludf.DUMMYFUNCTION("IFERROR(VLOOKUP(A8854, IMPORTRANGE(""https://docs.google.com/spreadsheets/d/1-3Vjw2Cyy-mry5gbC8ypIR3YVGFfEpyFESummAta6sg/edit"", ""Sheet1!B:D""), 2, FALSE), ""Not Found"")"),"vel")</f>
        <v>vel</v>
      </c>
      <c r="E8854" s="2" t="str">
        <f>IFERROR(__xludf.DUMMYFUNCTION("IFERROR(VLOOKUP(A8854, IMPORTRANGE(""https://docs.google.com/spreadsheets/d/1-3Vjw2Cyy-mry5gbC8ypIR3YVGFfEpyFESummAta6sg/edit"", ""Sheet1!B:D""), 3, FALSE), ""Not Found"")"),"v e l ")</f>
        <v>v e l </v>
      </c>
    </row>
    <row r="8855">
      <c r="A8855" s="1" t="s">
        <v>8856</v>
      </c>
      <c r="B8855" s="1" t="s">
        <v>6138</v>
      </c>
      <c r="C8855" s="2">
        <f>IFERROR(__xludf.DUMMYFUNCTION("IFERROR(VLOOKUP(A8855, IMPORTRANGE(""https://docs.google.com/spreadsheets/d/1AVX9GT0dgogEBStecCXMMQ29tWz3gBrtNB8yIromXbY/edit?gid=741673867"", ""out1g!A:B""), 2, FALSE), 0)"),53.0)</f>
        <v>53</v>
      </c>
      <c r="D8855" s="2" t="str">
        <f>IFERROR(__xludf.DUMMYFUNCTION("IFERROR(VLOOKUP(A8855, IMPORTRANGE(""https://docs.google.com/spreadsheets/d/1-3Vjw2Cyy-mry5gbC8ypIR3YVGFfEpyFESummAta6sg/edit"", ""Sheet1!B:D""), 2, FALSE), ""Not Found"")"),"fləks")</f>
        <v>fləks</v>
      </c>
      <c r="E8855" s="2" t="str">
        <f>IFERROR(__xludf.DUMMYFUNCTION("IFERROR(VLOOKUP(A8855, IMPORTRANGE(""https://docs.google.com/spreadsheets/d/1-3Vjw2Cyy-mry5gbC8ypIR3YVGFfEpyFESummAta6sg/edit"", ""Sheet1!B:D""), 3, FALSE), ""Not Found"")"),"f l ə k s ")</f>
        <v>f l ə k s </v>
      </c>
    </row>
    <row r="8856">
      <c r="A8856" s="1" t="s">
        <v>8857</v>
      </c>
      <c r="B8856" s="1" t="s">
        <v>6138</v>
      </c>
      <c r="C8856" s="2">
        <f>IFERROR(__xludf.DUMMYFUNCTION("IFERROR(VLOOKUP(A8856, IMPORTRANGE(""https://docs.google.com/spreadsheets/d/1AVX9GT0dgogEBStecCXMMQ29tWz3gBrtNB8yIromXbY/edit?gid=741673867"", ""out1g!A:B""), 2, FALSE), 0)"),1072.0)</f>
        <v>1072</v>
      </c>
      <c r="D8856" s="2" t="str">
        <f>IFERROR(__xludf.DUMMYFUNCTION("IFERROR(VLOOKUP(A8856, IMPORTRANGE(""https://docs.google.com/spreadsheets/d/1-3Vjw2Cyy-mry5gbC8ypIR3YVGFfEpyFESummAta6sg/edit"", ""Sheet1!B:D""), 2, FALSE), ""Not Found"")"),"plɛzənt")</f>
        <v>plɛzənt</v>
      </c>
      <c r="E8856" s="2" t="str">
        <f>IFERROR(__xludf.DUMMYFUNCTION("IFERROR(VLOOKUP(A8856, IMPORTRANGE(""https://docs.google.com/spreadsheets/d/1-3Vjw2Cyy-mry5gbC8ypIR3YVGFfEpyFESummAta6sg/edit"", ""Sheet1!B:D""), 3, FALSE), ""Not Found"")"),"p l ɛ z ə n t ")</f>
        <v>p l ɛ z ə n t </v>
      </c>
    </row>
    <row r="8857">
      <c r="A8857" s="1" t="s">
        <v>8858</v>
      </c>
      <c r="B8857" s="1" t="s">
        <v>6138</v>
      </c>
      <c r="C8857" s="2">
        <f>IFERROR(__xludf.DUMMYFUNCTION("IFERROR(VLOOKUP(A8857, IMPORTRANGE(""https://docs.google.com/spreadsheets/d/1AVX9GT0dgogEBStecCXMMQ29tWz3gBrtNB8yIromXbY/edit?gid=741673867"", ""out1g!A:B""), 2, FALSE), 0)"),252.0)</f>
        <v>252</v>
      </c>
      <c r="D8857" s="2" t="str">
        <f>IFERROR(__xludf.DUMMYFUNCTION("IFERROR(VLOOKUP(A8857, IMPORTRANGE(""https://docs.google.com/spreadsheets/d/1-3Vjw2Cyy-mry5gbC8ypIR3YVGFfEpyFESummAta6sg/edit"", ""Sheet1!B:D""), 2, FALSE), ""Not Found"")"),"læsts")</f>
        <v>læsts</v>
      </c>
      <c r="E8857" s="2" t="str">
        <f>IFERROR(__xludf.DUMMYFUNCTION("IFERROR(VLOOKUP(A8857, IMPORTRANGE(""https://docs.google.com/spreadsheets/d/1-3Vjw2Cyy-mry5gbC8ypIR3YVGFfEpyFESummAta6sg/edit"", ""Sheet1!B:D""), 3, FALSE), ""Not Found"")"),"l æ s t s ")</f>
        <v>l æ s t s </v>
      </c>
    </row>
    <row r="8858">
      <c r="A8858" s="1" t="s">
        <v>8859</v>
      </c>
      <c r="B8858" s="1" t="s">
        <v>6138</v>
      </c>
      <c r="C8858" s="2">
        <f>IFERROR(__xludf.DUMMYFUNCTION("IFERROR(VLOOKUP(A8858, IMPORTRANGE(""https://docs.google.com/spreadsheets/d/1AVX9GT0dgogEBStecCXMMQ29tWz3gBrtNB8yIromXbY/edit?gid=741673867"", ""out1g!A:B""), 2, FALSE), 0)"),158.0)</f>
        <v>158</v>
      </c>
      <c r="D8858" s="2" t="str">
        <f>IFERROR(__xludf.DUMMYFUNCTION("IFERROR(VLOOKUP(A8858, IMPORTRANGE(""https://docs.google.com/spreadsheets/d/1-3Vjw2Cyy-mry5gbC8ypIR3YVGFfEpyFESummAta6sg/edit"", ""Sheet1!B:D""), 2, FALSE), ""Not Found"")"),"kloʊʒər")</f>
        <v>kloʊʒər</v>
      </c>
      <c r="E8858" s="2" t="str">
        <f>IFERROR(__xludf.DUMMYFUNCTION("IFERROR(VLOOKUP(A8858, IMPORTRANGE(""https://docs.google.com/spreadsheets/d/1-3Vjw2Cyy-mry5gbC8ypIR3YVGFfEpyFESummAta6sg/edit"", ""Sheet1!B:D""), 3, FALSE), ""Not Found"")"),"k l o ʊ ʒ ə r ")</f>
        <v>k l o ʊ ʒ ə r </v>
      </c>
    </row>
    <row r="8859">
      <c r="A8859" s="1" t="s">
        <v>8860</v>
      </c>
      <c r="B8859" s="1" t="s">
        <v>6138</v>
      </c>
      <c r="C8859" s="2">
        <f>IFERROR(__xludf.DUMMYFUNCTION("IFERROR(VLOOKUP(A8859, IMPORTRANGE(""https://docs.google.com/spreadsheets/d/1AVX9GT0dgogEBStecCXMMQ29tWz3gBrtNB8yIromXbY/edit?gid=741673867"", ""out1g!A:B""), 2, FALSE), 0)"),109.0)</f>
        <v>109</v>
      </c>
      <c r="D8859" s="2" t="str">
        <f>IFERROR(__xludf.DUMMYFUNCTION("IFERROR(VLOOKUP(A8859, IMPORTRANGE(""https://docs.google.com/spreadsheets/d/1-3Vjw2Cyy-mry5gbC8ypIR3YVGFfEpyFESummAta6sg/edit"", ""Sheet1!B:D""), 2, FALSE), ""Not Found"")"),"əplɔd")</f>
        <v>əplɔd</v>
      </c>
      <c r="E8859" s="2" t="str">
        <f>IFERROR(__xludf.DUMMYFUNCTION("IFERROR(VLOOKUP(A8859, IMPORTRANGE(""https://docs.google.com/spreadsheets/d/1-3Vjw2Cyy-mry5gbC8ypIR3YVGFfEpyFESummAta6sg/edit"", ""Sheet1!B:D""), 3, FALSE), ""Not Found"")"),"ə p l ɔ d ")</f>
        <v>ə p l ɔ d </v>
      </c>
    </row>
    <row r="8860">
      <c r="A8860" s="1" t="s">
        <v>8861</v>
      </c>
      <c r="B8860" s="1" t="s">
        <v>6138</v>
      </c>
      <c r="C8860" s="2">
        <f>IFERROR(__xludf.DUMMYFUNCTION("IFERROR(VLOOKUP(A8860, IMPORTRANGE(""https://docs.google.com/spreadsheets/d/1AVX9GT0dgogEBStecCXMMQ29tWz3gBrtNB8yIromXbY/edit?gid=741673867"", ""out1g!A:B""), 2, FALSE), 0)"),60.0)</f>
        <v>60</v>
      </c>
      <c r="D8860" s="2" t="str">
        <f>IFERROR(__xludf.DUMMYFUNCTION("IFERROR(VLOOKUP(A8860, IMPORTRANGE(""https://docs.google.com/spreadsheets/d/1-3Vjw2Cyy-mry5gbC8ypIR3YVGFfEpyFESummAta6sg/edit"", ""Sheet1!B:D""), 2, FALSE), ""Not Found"")"),"baɪbəlz")</f>
        <v>baɪbəlz</v>
      </c>
      <c r="E8860" s="2" t="str">
        <f>IFERROR(__xludf.DUMMYFUNCTION("IFERROR(VLOOKUP(A8860, IMPORTRANGE(""https://docs.google.com/spreadsheets/d/1-3Vjw2Cyy-mry5gbC8ypIR3YVGFfEpyFESummAta6sg/edit"", ""Sheet1!B:D""), 3, FALSE), ""Not Found"")"),"b a ɪ b ə l z ")</f>
        <v>b a ɪ b ə l z </v>
      </c>
    </row>
    <row r="8861">
      <c r="A8861" s="1" t="s">
        <v>8862</v>
      </c>
      <c r="B8861" s="1" t="s">
        <v>6138</v>
      </c>
      <c r="C8861" s="2">
        <f>IFERROR(__xludf.DUMMYFUNCTION("IFERROR(VLOOKUP(A8861, IMPORTRANGE(""https://docs.google.com/spreadsheets/d/1AVX9GT0dgogEBStecCXMMQ29tWz3gBrtNB8yIromXbY/edit?gid=741673867"", ""out1g!A:B""), 2, FALSE), 0)"),65.0)</f>
        <v>65</v>
      </c>
      <c r="D8861" s="2" t="str">
        <f>IFERROR(__xludf.DUMMYFUNCTION("IFERROR(VLOOKUP(A8861, IMPORTRANGE(""https://docs.google.com/spreadsheets/d/1-3Vjw2Cyy-mry5gbC8ypIR3YVGFfEpyFESummAta6sg/edit"", ""Sheet1!B:D""), 2, FALSE), ""Not Found"")"),"ʧesɪz")</f>
        <v>ʧesɪz</v>
      </c>
      <c r="E8861" s="2" t="str">
        <f>IFERROR(__xludf.DUMMYFUNCTION("IFERROR(VLOOKUP(A8861, IMPORTRANGE(""https://docs.google.com/spreadsheets/d/1-3Vjw2Cyy-mry5gbC8ypIR3YVGFfEpyFESummAta6sg/edit"", ""Sheet1!B:D""), 3, FALSE), ""Not Found"")"),"ʧ e s ɪ z ")</f>
        <v>ʧ e s ɪ z </v>
      </c>
    </row>
    <row r="8862">
      <c r="A8862" s="1" t="s">
        <v>8863</v>
      </c>
      <c r="B8862" s="1" t="s">
        <v>6138</v>
      </c>
      <c r="C8862" s="2">
        <f>IFERROR(__xludf.DUMMYFUNCTION("IFERROR(VLOOKUP(A8862, IMPORTRANGE(""https://docs.google.com/spreadsheets/d/1AVX9GT0dgogEBStecCXMMQ29tWz3gBrtNB8yIromXbY/edit?gid=741673867"", ""out1g!A:B""), 2, FALSE), 0)"),122.0)</f>
        <v>122</v>
      </c>
      <c r="D8862" s="2" t="str">
        <f>IFERROR(__xludf.DUMMYFUNCTION("IFERROR(VLOOKUP(A8862, IMPORTRANGE(""https://docs.google.com/spreadsheets/d/1-3Vjw2Cyy-mry5gbC8ypIR3YVGFfEpyFESummAta6sg/edit"", ""Sheet1!B:D""), 2, FALSE), ""Not Found"")"),"klinz")</f>
        <v>klinz</v>
      </c>
      <c r="E8862" s="2" t="str">
        <f>IFERROR(__xludf.DUMMYFUNCTION("IFERROR(VLOOKUP(A8862, IMPORTRANGE(""https://docs.google.com/spreadsheets/d/1-3Vjw2Cyy-mry5gbC8ypIR3YVGFfEpyFESummAta6sg/edit"", ""Sheet1!B:D""), 3, FALSE), ""Not Found"")"),"k l i n z ")</f>
        <v>k l i n z </v>
      </c>
    </row>
    <row r="8863">
      <c r="A8863" s="1" t="s">
        <v>8864</v>
      </c>
      <c r="B8863" s="1" t="s">
        <v>6138</v>
      </c>
      <c r="C8863" s="2">
        <f>IFERROR(__xludf.DUMMYFUNCTION("IFERROR(VLOOKUP(A8863, IMPORTRANGE(""https://docs.google.com/spreadsheets/d/1AVX9GT0dgogEBStecCXMMQ29tWz3gBrtNB8yIromXbY/edit?gid=741673867"", ""out1g!A:B""), 2, FALSE), 0)"),83.0)</f>
        <v>83</v>
      </c>
      <c r="D8863" s="2" t="str">
        <f>IFERROR(__xludf.DUMMYFUNCTION("IFERROR(VLOOKUP(A8863, IMPORTRANGE(""https://docs.google.com/spreadsheets/d/1-3Vjw2Cyy-mry5gbC8ypIR3YVGFfEpyFESummAta6sg/edit"", ""Sheet1!B:D""), 2, FALSE), ""Not Found"")"),"foʊldər")</f>
        <v>foʊldər</v>
      </c>
      <c r="E8863" s="2" t="str">
        <f>IFERROR(__xludf.DUMMYFUNCTION("IFERROR(VLOOKUP(A8863, IMPORTRANGE(""https://docs.google.com/spreadsheets/d/1-3Vjw2Cyy-mry5gbC8ypIR3YVGFfEpyFESummAta6sg/edit"", ""Sheet1!B:D""), 3, FALSE), ""Not Found"")"),"f o ʊ l d ə r ")</f>
        <v>f o ʊ l d ə r </v>
      </c>
    </row>
    <row r="8864">
      <c r="A8864" s="1" t="s">
        <v>8865</v>
      </c>
      <c r="B8864" s="1" t="s">
        <v>6138</v>
      </c>
      <c r="C8864" s="2">
        <f>IFERROR(__xludf.DUMMYFUNCTION("IFERROR(VLOOKUP(A8864, IMPORTRANGE(""https://docs.google.com/spreadsheets/d/1AVX9GT0dgogEBStecCXMMQ29tWz3gBrtNB8yIromXbY/edit?gid=741673867"", ""out1g!A:B""), 2, FALSE), 0)"),76.0)</f>
        <v>76</v>
      </c>
      <c r="D8864" s="2" t="str">
        <f>IFERROR(__xludf.DUMMYFUNCTION("IFERROR(VLOOKUP(A8864, IMPORTRANGE(""https://docs.google.com/spreadsheets/d/1-3Vjw2Cyy-mry5gbC8ypIR3YVGFfEpyFESummAta6sg/edit"", ""Sheet1!B:D""), 2, FALSE), ""Not Found"")"),"klaʊnɪŋ")</f>
        <v>klaʊnɪŋ</v>
      </c>
      <c r="E8864" s="2" t="str">
        <f>IFERROR(__xludf.DUMMYFUNCTION("IFERROR(VLOOKUP(A8864, IMPORTRANGE(""https://docs.google.com/spreadsheets/d/1-3Vjw2Cyy-mry5gbC8ypIR3YVGFfEpyFESummAta6sg/edit"", ""Sheet1!B:D""), 3, FALSE), ""Not Found"")"),"k l a ʊ n ɪ ŋ ")</f>
        <v>k l a ʊ n ɪ ŋ </v>
      </c>
    </row>
    <row r="8865">
      <c r="A8865" s="1" t="s">
        <v>8866</v>
      </c>
      <c r="B8865" s="1" t="s">
        <v>6138</v>
      </c>
      <c r="C8865" s="2">
        <f>IFERROR(__xludf.DUMMYFUNCTION("IFERROR(VLOOKUP(A8865, IMPORTRANGE(""https://docs.google.com/spreadsheets/d/1AVX9GT0dgogEBStecCXMMQ29tWz3gBrtNB8yIromXbY/edit?gid=741673867"", ""out1g!A:B""), 2, FALSE), 0)"),85.0)</f>
        <v>85</v>
      </c>
      <c r="D8865" s="2" t="str">
        <f>IFERROR(__xludf.DUMMYFUNCTION("IFERROR(VLOOKUP(A8865, IMPORTRANGE(""https://docs.google.com/spreadsheets/d/1-3Vjw2Cyy-mry5gbC8ypIR3YVGFfEpyFESummAta6sg/edit"", ""Sheet1!B:D""), 2, FALSE), ""Not Found"")"),"θivɪŋ")</f>
        <v>θivɪŋ</v>
      </c>
      <c r="E8865" s="2" t="str">
        <f>IFERROR(__xludf.DUMMYFUNCTION("IFERROR(VLOOKUP(A8865, IMPORTRANGE(""https://docs.google.com/spreadsheets/d/1-3Vjw2Cyy-mry5gbC8ypIR3YVGFfEpyFESummAta6sg/edit"", ""Sheet1!B:D""), 3, FALSE), ""Not Found"")"),"θ i v ɪ ŋ ")</f>
        <v>θ i v ɪ ŋ </v>
      </c>
    </row>
    <row r="8866">
      <c r="A8866" s="1" t="s">
        <v>8867</v>
      </c>
      <c r="B8866" s="1" t="s">
        <v>6138</v>
      </c>
      <c r="C8866" s="2">
        <f>IFERROR(__xludf.DUMMYFUNCTION("IFERROR(VLOOKUP(A8866, IMPORTRANGE(""https://docs.google.com/spreadsheets/d/1AVX9GT0dgogEBStecCXMMQ29tWz3gBrtNB8yIromXbY/edit?gid=741673867"", ""out1g!A:B""), 2, FALSE), 0)"),454.0)</f>
        <v>454</v>
      </c>
      <c r="D8866" s="2" t="str">
        <f>IFERROR(__xludf.DUMMYFUNCTION("IFERROR(VLOOKUP(A8866, IMPORTRANGE(""https://docs.google.com/spreadsheets/d/1-3Vjw2Cyy-mry5gbC8ypIR3YVGFfEpyFESummAta6sg/edit"", ""Sheet1!B:D""), 2, FALSE), ""Not Found"")"),"ɔkʃən")</f>
        <v>ɔkʃən</v>
      </c>
      <c r="E8866" s="2" t="str">
        <f>IFERROR(__xludf.DUMMYFUNCTION("IFERROR(VLOOKUP(A8866, IMPORTRANGE(""https://docs.google.com/spreadsheets/d/1-3Vjw2Cyy-mry5gbC8ypIR3YVGFfEpyFESummAta6sg/edit"", ""Sheet1!B:D""), 3, FALSE), ""Not Found"")"),"ɔ k ʃ ə n ")</f>
        <v>ɔ k ʃ ə n </v>
      </c>
    </row>
    <row r="8867">
      <c r="A8867" s="1" t="s">
        <v>8868</v>
      </c>
      <c r="B8867" s="1" t="s">
        <v>6138</v>
      </c>
      <c r="C8867" s="2">
        <f>IFERROR(__xludf.DUMMYFUNCTION("IFERROR(VLOOKUP(A8867, IMPORTRANGE(""https://docs.google.com/spreadsheets/d/1AVX9GT0dgogEBStecCXMMQ29tWz3gBrtNB8yIromXbY/edit?gid=741673867"", ""out1g!A:B""), 2, FALSE), 0)"),95.0)</f>
        <v>95</v>
      </c>
      <c r="D8867" s="2" t="str">
        <f>IFERROR(__xludf.DUMMYFUNCTION("IFERROR(VLOOKUP(A8867, IMPORTRANGE(""https://docs.google.com/spreadsheets/d/1-3Vjw2Cyy-mry5gbC8ypIR3YVGFfEpyFESummAta6sg/edit"", ""Sheet1!B:D""), 2, FALSE), ""Not Found"")"),"rɪʤɪd")</f>
        <v>rɪʤɪd</v>
      </c>
      <c r="E8867" s="2" t="str">
        <f>IFERROR(__xludf.DUMMYFUNCTION("IFERROR(VLOOKUP(A8867, IMPORTRANGE(""https://docs.google.com/spreadsheets/d/1-3Vjw2Cyy-mry5gbC8ypIR3YVGFfEpyFESummAta6sg/edit"", ""Sheet1!B:D""), 3, FALSE), ""Not Found"")"),"r ɪ ʤ ɪ d ")</f>
        <v>r ɪ ʤ ɪ d </v>
      </c>
    </row>
    <row r="8868">
      <c r="A8868" s="1" t="s">
        <v>8869</v>
      </c>
      <c r="B8868" s="1" t="s">
        <v>6138</v>
      </c>
      <c r="C8868" s="2">
        <f>IFERROR(__xludf.DUMMYFUNCTION("IFERROR(VLOOKUP(A8868, IMPORTRANGE(""https://docs.google.com/spreadsheets/d/1AVX9GT0dgogEBStecCXMMQ29tWz3gBrtNB8yIromXbY/edit?gid=741673867"", ""out1g!A:B""), 2, FALSE), 0)"),121.0)</f>
        <v>121</v>
      </c>
      <c r="D8868" s="2" t="str">
        <f>IFERROR(__xludf.DUMMYFUNCTION("IFERROR(VLOOKUP(A8868, IMPORTRANGE(""https://docs.google.com/spreadsheets/d/1-3Vjw2Cyy-mry5gbC8ypIR3YVGFfEpyFESummAta6sg/edit"", ""Sheet1!B:D""), 2, FALSE), ""Not Found"")"),"əʃər")</f>
        <v>əʃər</v>
      </c>
      <c r="E8868" s="2" t="str">
        <f>IFERROR(__xludf.DUMMYFUNCTION("IFERROR(VLOOKUP(A8868, IMPORTRANGE(""https://docs.google.com/spreadsheets/d/1-3Vjw2Cyy-mry5gbC8ypIR3YVGFfEpyFESummAta6sg/edit"", ""Sheet1!B:D""), 3, FALSE), ""Not Found"")"),"ə ʃ ə r ")</f>
        <v>ə ʃ ə r </v>
      </c>
    </row>
    <row r="8869">
      <c r="A8869" s="1" t="s">
        <v>8870</v>
      </c>
      <c r="B8869" s="1" t="s">
        <v>6138</v>
      </c>
      <c r="C8869" s="2">
        <f>IFERROR(__xludf.DUMMYFUNCTION("IFERROR(VLOOKUP(A8869, IMPORTRANGE(""https://docs.google.com/spreadsheets/d/1AVX9GT0dgogEBStecCXMMQ29tWz3gBrtNB8yIromXbY/edit?gid=741673867"", ""out1g!A:B""), 2, FALSE), 0)"),101.0)</f>
        <v>101</v>
      </c>
      <c r="D8869" s="2" t="str">
        <f>IFERROR(__xludf.DUMMYFUNCTION("IFERROR(VLOOKUP(A8869, IMPORTRANGE(""https://docs.google.com/spreadsheets/d/1-3Vjw2Cyy-mry5gbC8ypIR3YVGFfEpyFESummAta6sg/edit"", ""Sheet1!B:D""), 2, FALSE), ""Not Found"")"),"mʊr")</f>
        <v>mʊr</v>
      </c>
      <c r="E8869" s="2" t="str">
        <f>IFERROR(__xludf.DUMMYFUNCTION("IFERROR(VLOOKUP(A8869, IMPORTRANGE(""https://docs.google.com/spreadsheets/d/1-3Vjw2Cyy-mry5gbC8ypIR3YVGFfEpyFESummAta6sg/edit"", ""Sheet1!B:D""), 3, FALSE), ""Not Found"")"),"m ʊ r ")</f>
        <v>m ʊ r </v>
      </c>
    </row>
    <row r="8870">
      <c r="A8870" s="1" t="s">
        <v>8871</v>
      </c>
      <c r="B8870" s="1" t="s">
        <v>6138</v>
      </c>
      <c r="C8870" s="2">
        <f>IFERROR(__xludf.DUMMYFUNCTION("IFERROR(VLOOKUP(A8870, IMPORTRANGE(""https://docs.google.com/spreadsheets/d/1AVX9GT0dgogEBStecCXMMQ29tWz3gBrtNB8yIromXbY/edit?gid=741673867"", ""out1g!A:B""), 2, FALSE), 0)"),89.0)</f>
        <v>89</v>
      </c>
      <c r="D8870" s="2" t="str">
        <f>IFERROR(__xludf.DUMMYFUNCTION("IFERROR(VLOOKUP(A8870, IMPORTRANGE(""https://docs.google.com/spreadsheets/d/1-3Vjw2Cyy-mry5gbC8ypIR3YVGFfEpyFESummAta6sg/edit"", ""Sheet1!B:D""), 2, FALSE), ""Not Found"")"),"ʃrɛdz")</f>
        <v>ʃrɛdz</v>
      </c>
      <c r="E8870" s="2" t="str">
        <f>IFERROR(__xludf.DUMMYFUNCTION("IFERROR(VLOOKUP(A8870, IMPORTRANGE(""https://docs.google.com/spreadsheets/d/1-3Vjw2Cyy-mry5gbC8ypIR3YVGFfEpyFESummAta6sg/edit"", ""Sheet1!B:D""), 3, FALSE), ""Not Found"")"),"ʃ r ɛ d z ")</f>
        <v>ʃ r ɛ d z </v>
      </c>
    </row>
    <row r="8871">
      <c r="A8871" s="1" t="s">
        <v>8872</v>
      </c>
      <c r="B8871" s="1" t="s">
        <v>6138</v>
      </c>
      <c r="C8871" s="2">
        <f>IFERROR(__xludf.DUMMYFUNCTION("IFERROR(VLOOKUP(A8871, IMPORTRANGE(""https://docs.google.com/spreadsheets/d/1AVX9GT0dgogEBStecCXMMQ29tWz3gBrtNB8yIromXbY/edit?gid=741673867"", ""out1g!A:B""), 2, FALSE), 0)"),18844.0)</f>
        <v>18844</v>
      </c>
      <c r="D8871" s="2" t="str">
        <f>IFERROR(__xludf.DUMMYFUNCTION("IFERROR(VLOOKUP(A8871, IMPORTRANGE(""https://docs.google.com/spreadsheets/d/1-3Vjw2Cyy-mry5gbC8ypIR3YVGFfEpyFESummAta6sg/edit"", ""Sheet1!B:D""), 2, FALSE), ""Not Found"")"),"hevən")</f>
        <v>hevən</v>
      </c>
      <c r="E8871" s="2" t="str">
        <f>IFERROR(__xludf.DUMMYFUNCTION("IFERROR(VLOOKUP(A8871, IMPORTRANGE(""https://docs.google.com/spreadsheets/d/1-3Vjw2Cyy-mry5gbC8ypIR3YVGFfEpyFESummAta6sg/edit"", ""Sheet1!B:D""), 3, FALSE), ""Not Found"")"),"h e v ə n ")</f>
        <v>h e v ə n </v>
      </c>
    </row>
    <row r="8872">
      <c r="A8872" s="1" t="s">
        <v>8873</v>
      </c>
      <c r="B8872" s="1" t="s">
        <v>6138</v>
      </c>
      <c r="C8872" s="2">
        <f>IFERROR(__xludf.DUMMYFUNCTION("IFERROR(VLOOKUP(A8872, IMPORTRANGE(""https://docs.google.com/spreadsheets/d/1AVX9GT0dgogEBStecCXMMQ29tWz3gBrtNB8yIromXbY/edit?gid=741673867"", ""out1g!A:B""), 2, FALSE), 0)"),215.0)</f>
        <v>215</v>
      </c>
      <c r="D8872" s="2" t="str">
        <f>IFERROR(__xludf.DUMMYFUNCTION("IFERROR(VLOOKUP(A8872, IMPORTRANGE(""https://docs.google.com/spreadsheets/d/1-3Vjw2Cyy-mry5gbC8ypIR3YVGFfEpyFESummAta6sg/edit"", ""Sheet1!B:D""), 2, FALSE), ""Not Found"")"),"kɑndoʊ")</f>
        <v>kɑndoʊ</v>
      </c>
      <c r="E8872" s="2" t="str">
        <f>IFERROR(__xludf.DUMMYFUNCTION("IFERROR(VLOOKUP(A8872, IMPORTRANGE(""https://docs.google.com/spreadsheets/d/1-3Vjw2Cyy-mry5gbC8ypIR3YVGFfEpyFESummAta6sg/edit"", ""Sheet1!B:D""), 3, FALSE), ""Not Found"")"),"k ɑ n d o ʊ ")</f>
        <v>k ɑ n d o ʊ </v>
      </c>
    </row>
    <row r="8873">
      <c r="A8873" s="1" t="s">
        <v>8874</v>
      </c>
      <c r="B8873" s="1" t="s">
        <v>6138</v>
      </c>
      <c r="C8873" s="2">
        <f>IFERROR(__xludf.DUMMYFUNCTION("IFERROR(VLOOKUP(A8873, IMPORTRANGE(""https://docs.google.com/spreadsheets/d/1AVX9GT0dgogEBStecCXMMQ29tWz3gBrtNB8yIromXbY/edit?gid=741673867"", ""out1g!A:B""), 2, FALSE), 0)"),152.0)</f>
        <v>152</v>
      </c>
      <c r="D8873" s="2" t="str">
        <f>IFERROR(__xludf.DUMMYFUNCTION("IFERROR(VLOOKUP(A8873, IMPORTRANGE(""https://docs.google.com/spreadsheets/d/1-3Vjw2Cyy-mry5gbC8ypIR3YVGFfEpyFESummAta6sg/edit"", ""Sheet1!B:D""), 2, FALSE), ""Not Found"")"),"rile")</f>
        <v>rile</v>
      </c>
      <c r="E8873" s="2" t="str">
        <f>IFERROR(__xludf.DUMMYFUNCTION("IFERROR(VLOOKUP(A8873, IMPORTRANGE(""https://docs.google.com/spreadsheets/d/1-3Vjw2Cyy-mry5gbC8ypIR3YVGFfEpyFESummAta6sg/edit"", ""Sheet1!B:D""), 3, FALSE), ""Not Found"")"),"r i l e ")</f>
        <v>r i l e </v>
      </c>
    </row>
    <row r="8874">
      <c r="A8874" s="1" t="s">
        <v>8875</v>
      </c>
      <c r="B8874" s="1" t="s">
        <v>6138</v>
      </c>
      <c r="C8874" s="2">
        <f>IFERROR(__xludf.DUMMYFUNCTION("IFERROR(VLOOKUP(A8874, IMPORTRANGE(""https://docs.google.com/spreadsheets/d/1AVX9GT0dgogEBStecCXMMQ29tWz3gBrtNB8yIromXbY/edit?gid=741673867"", ""out1g!A:B""), 2, FALSE), 0)"),812.0)</f>
        <v>812</v>
      </c>
      <c r="D8874" s="2" t="str">
        <f>IFERROR(__xludf.DUMMYFUNCTION("IFERROR(VLOOKUP(A8874, IMPORTRANGE(""https://docs.google.com/spreadsheets/d/1-3Vjw2Cyy-mry5gbC8ypIR3YVGFfEpyFESummAta6sg/edit"", ""Sheet1!B:D""), 2, FALSE), ""Not Found"")"),"mɛriɪŋ")</f>
        <v>mɛriɪŋ</v>
      </c>
      <c r="E8874" s="2" t="str">
        <f>IFERROR(__xludf.DUMMYFUNCTION("IFERROR(VLOOKUP(A8874, IMPORTRANGE(""https://docs.google.com/spreadsheets/d/1-3Vjw2Cyy-mry5gbC8ypIR3YVGFfEpyFESummAta6sg/edit"", ""Sheet1!B:D""), 3, FALSE), ""Not Found"")"),"m ɛ r i ɪ ŋ ")</f>
        <v>m ɛ r i ɪ ŋ </v>
      </c>
    </row>
    <row r="8875">
      <c r="A8875" s="1" t="s">
        <v>8876</v>
      </c>
      <c r="B8875" s="1" t="s">
        <v>6138</v>
      </c>
      <c r="C8875" s="2">
        <f>IFERROR(__xludf.DUMMYFUNCTION("IFERROR(VLOOKUP(A8875, IMPORTRANGE(""https://docs.google.com/spreadsheets/d/1AVX9GT0dgogEBStecCXMMQ29tWz3gBrtNB8yIromXbY/edit?gid=741673867"", ""out1g!A:B""), 2, FALSE), 0)"),1642.0)</f>
        <v>1642</v>
      </c>
      <c r="D8875" s="2" t="str">
        <f>IFERROR(__xludf.DUMMYFUNCTION("IFERROR(VLOOKUP(A8875, IMPORTRANGE(""https://docs.google.com/spreadsheets/d/1-3Vjw2Cyy-mry5gbC8ypIR3YVGFfEpyFESummAta6sg/edit"", ""Sheet1!B:D""), 2, FALSE), ""Not Found"")"),"pɔɪnts")</f>
        <v>pɔɪnts</v>
      </c>
      <c r="E8875" s="2" t="str">
        <f>IFERROR(__xludf.DUMMYFUNCTION("IFERROR(VLOOKUP(A8875, IMPORTRANGE(""https://docs.google.com/spreadsheets/d/1-3Vjw2Cyy-mry5gbC8ypIR3YVGFfEpyFESummAta6sg/edit"", ""Sheet1!B:D""), 3, FALSE), ""Not Found"")"),"p ɔ ɪ n t s ")</f>
        <v>p ɔ ɪ n t s </v>
      </c>
    </row>
    <row r="8876">
      <c r="A8876" s="1" t="s">
        <v>8877</v>
      </c>
      <c r="B8876" s="1" t="s">
        <v>6138</v>
      </c>
      <c r="C8876" s="2">
        <f>IFERROR(__xludf.DUMMYFUNCTION("IFERROR(VLOOKUP(A8876, IMPORTRANGE(""https://docs.google.com/spreadsheets/d/1AVX9GT0dgogEBStecCXMMQ29tWz3gBrtNB8yIromXbY/edit?gid=741673867"", ""out1g!A:B""), 2, FALSE), 0)"),8083.0)</f>
        <v>8083</v>
      </c>
      <c r="D8876" s="2" t="str">
        <f>IFERROR(__xludf.DUMMYFUNCTION("IFERROR(VLOOKUP(A8876, IMPORTRANGE(""https://docs.google.com/spreadsheets/d/1-3Vjw2Cyy-mry5gbC8ypIR3YVGFfEpyFESummAta6sg/edit"", ""Sheet1!B:D""), 2, FALSE), ""Not Found"")"),"ʃoʊldn")</f>
        <v>ʃoʊldn</v>
      </c>
      <c r="E8876" s="2" t="str">
        <f>IFERROR(__xludf.DUMMYFUNCTION("IFERROR(VLOOKUP(A8876, IMPORTRANGE(""https://docs.google.com/spreadsheets/d/1-3Vjw2Cyy-mry5gbC8ypIR3YVGFfEpyFESummAta6sg/edit"", ""Sheet1!B:D""), 3, FALSE), ""Not Found"")"),"ʃ o ʊ l d n ")</f>
        <v>ʃ o ʊ l d n </v>
      </c>
    </row>
    <row r="8877">
      <c r="A8877" s="1" t="s">
        <v>8878</v>
      </c>
      <c r="B8877" s="1" t="s">
        <v>6138</v>
      </c>
      <c r="C8877" s="2">
        <f>IFERROR(__xludf.DUMMYFUNCTION("IFERROR(VLOOKUP(A8877, IMPORTRANGE(""https://docs.google.com/spreadsheets/d/1AVX9GT0dgogEBStecCXMMQ29tWz3gBrtNB8yIromXbY/edit?gid=741673867"", ""out1g!A:B""), 2, FALSE), 0)"),118.0)</f>
        <v>118</v>
      </c>
      <c r="D8877" s="2" t="str">
        <f>IFERROR(__xludf.DUMMYFUNCTION("IFERROR(VLOOKUP(A8877, IMPORTRANGE(""https://docs.google.com/spreadsheets/d/1-3Vjw2Cyy-mry5gbC8ypIR3YVGFfEpyFESummAta6sg/edit"", ""Sheet1!B:D""), 2, FALSE), ""Not Found"")"),"hutərz")</f>
        <v>hutərz</v>
      </c>
      <c r="E8877" s="2" t="str">
        <f>IFERROR(__xludf.DUMMYFUNCTION("IFERROR(VLOOKUP(A8877, IMPORTRANGE(""https://docs.google.com/spreadsheets/d/1-3Vjw2Cyy-mry5gbC8ypIR3YVGFfEpyFESummAta6sg/edit"", ""Sheet1!B:D""), 3, FALSE), ""Not Found"")"),"h u t ə r z ")</f>
        <v>h u t ə r z </v>
      </c>
    </row>
    <row r="8878">
      <c r="A8878" s="1" t="s">
        <v>8879</v>
      </c>
      <c r="B8878" s="1" t="s">
        <v>6138</v>
      </c>
      <c r="C8878" s="2">
        <f>IFERROR(__xludf.DUMMYFUNCTION("IFERROR(VLOOKUP(A8878, IMPORTRANGE(""https://docs.google.com/spreadsheets/d/1AVX9GT0dgogEBStecCXMMQ29tWz3gBrtNB8yIromXbY/edit?gid=741673867"", ""out1g!A:B""), 2, FALSE), 0)"),756.0)</f>
        <v>756</v>
      </c>
      <c r="D8878" s="2" t="str">
        <f>IFERROR(__xludf.DUMMYFUNCTION("IFERROR(VLOOKUP(A8878, IMPORTRANGE(""https://docs.google.com/spreadsheets/d/1-3Vjw2Cyy-mry5gbC8ypIR3YVGFfEpyFESummAta6sg/edit"", ""Sheet1!B:D""), 2, FALSE), ""Not Found"")"),"mɔrɪs")</f>
        <v>mɔrɪs</v>
      </c>
      <c r="E8878" s="2" t="str">
        <f>IFERROR(__xludf.DUMMYFUNCTION("IFERROR(VLOOKUP(A8878, IMPORTRANGE(""https://docs.google.com/spreadsheets/d/1-3Vjw2Cyy-mry5gbC8ypIR3YVGFfEpyFESummAta6sg/edit"", ""Sheet1!B:D""), 3, FALSE), ""Not Found"")"),"m ɔ r ɪ s ")</f>
        <v>m ɔ r ɪ s </v>
      </c>
    </row>
    <row r="8879">
      <c r="A8879" s="1" t="s">
        <v>8880</v>
      </c>
      <c r="B8879" s="1" t="s">
        <v>6138</v>
      </c>
      <c r="C8879" s="2">
        <f>IFERROR(__xludf.DUMMYFUNCTION("IFERROR(VLOOKUP(A8879, IMPORTRANGE(""https://docs.google.com/spreadsheets/d/1AVX9GT0dgogEBStecCXMMQ29tWz3gBrtNB8yIromXbY/edit?gid=741673867"", ""out1g!A:B""), 2, FALSE), 0)"),1002.0)</f>
        <v>1002</v>
      </c>
      <c r="D8879" s="2" t="str">
        <f>IFERROR(__xludf.DUMMYFUNCTION("IFERROR(VLOOKUP(A8879, IMPORTRANGE(""https://docs.google.com/spreadsheets/d/1-3Vjw2Cyy-mry5gbC8ypIR3YVGFfEpyFESummAta6sg/edit"", ""Sheet1!B:D""), 2, FALSE), ""Not Found"")"),"mɛntəl")</f>
        <v>mɛntəl</v>
      </c>
      <c r="E8879" s="2" t="str">
        <f>IFERROR(__xludf.DUMMYFUNCTION("IFERROR(VLOOKUP(A8879, IMPORTRANGE(""https://docs.google.com/spreadsheets/d/1-3Vjw2Cyy-mry5gbC8ypIR3YVGFfEpyFESummAta6sg/edit"", ""Sheet1!B:D""), 3, FALSE), ""Not Found"")"),"m ɛ n t ə l ")</f>
        <v>m ɛ n t ə l </v>
      </c>
    </row>
    <row r="8880">
      <c r="A8880" s="1" t="s">
        <v>8881</v>
      </c>
      <c r="B8880" s="1" t="s">
        <v>6138</v>
      </c>
      <c r="C8880" s="2">
        <f>IFERROR(__xludf.DUMMYFUNCTION("IFERROR(VLOOKUP(A8880, IMPORTRANGE(""https://docs.google.com/spreadsheets/d/1AVX9GT0dgogEBStecCXMMQ29tWz3gBrtNB8yIromXbY/edit?gid=741673867"", ""out1g!A:B""), 2, FALSE), 0)"),132.0)</f>
        <v>132</v>
      </c>
      <c r="D8880" s="2" t="str">
        <f>IFERROR(__xludf.DUMMYFUNCTION("IFERROR(VLOOKUP(A8880, IMPORTRANGE(""https://docs.google.com/spreadsheets/d/1-3Vjw2Cyy-mry5gbC8ypIR3YVGFfEpyFESummAta6sg/edit"", ""Sheet1!B:D""), 2, FALSE), ""Not Found"")"),"mɑrtər")</f>
        <v>mɑrtər</v>
      </c>
      <c r="E8880" s="2" t="str">
        <f>IFERROR(__xludf.DUMMYFUNCTION("IFERROR(VLOOKUP(A8880, IMPORTRANGE(""https://docs.google.com/spreadsheets/d/1-3Vjw2Cyy-mry5gbC8ypIR3YVGFfEpyFESummAta6sg/edit"", ""Sheet1!B:D""), 3, FALSE), ""Not Found"")"),"m ɑ r t ə r ")</f>
        <v>m ɑ r t ə r </v>
      </c>
    </row>
    <row r="8881">
      <c r="A8881" s="1" t="s">
        <v>8882</v>
      </c>
      <c r="B8881" s="1" t="s">
        <v>6138</v>
      </c>
      <c r="C8881" s="2">
        <f>IFERROR(__xludf.DUMMYFUNCTION("IFERROR(VLOOKUP(A8881, IMPORTRANGE(""https://docs.google.com/spreadsheets/d/1AVX9GT0dgogEBStecCXMMQ29tWz3gBrtNB8yIromXbY/edit?gid=741673867"", ""out1g!A:B""), 2, FALSE), 0)"),326.0)</f>
        <v>326</v>
      </c>
      <c r="D8881" s="2" t="str">
        <f>IFERROR(__xludf.DUMMYFUNCTION("IFERROR(VLOOKUP(A8881, IMPORTRANGE(""https://docs.google.com/spreadsheets/d/1-3Vjw2Cyy-mry5gbC8ypIR3YVGFfEpyFESummAta6sg/edit"", ""Sheet1!B:D""), 2, FALSE), ""Not Found"")"),"bʊlək")</f>
        <v>bʊlək</v>
      </c>
      <c r="E8881" s="2" t="str">
        <f>IFERROR(__xludf.DUMMYFUNCTION("IFERROR(VLOOKUP(A8881, IMPORTRANGE(""https://docs.google.com/spreadsheets/d/1-3Vjw2Cyy-mry5gbC8ypIR3YVGFfEpyFESummAta6sg/edit"", ""Sheet1!B:D""), 3, FALSE), ""Not Found"")"),"b ʊ l ə k ")</f>
        <v>b ʊ l ə k </v>
      </c>
    </row>
    <row r="8882">
      <c r="A8882" s="1" t="s">
        <v>8883</v>
      </c>
      <c r="B8882" s="1" t="s">
        <v>6138</v>
      </c>
      <c r="C8882" s="2">
        <f>IFERROR(__xludf.DUMMYFUNCTION("IFERROR(VLOOKUP(A8882, IMPORTRANGE(""https://docs.google.com/spreadsheets/d/1AVX9GT0dgogEBStecCXMMQ29tWz3gBrtNB8yIromXbY/edit?gid=741673867"", ""out1g!A:B""), 2, FALSE), 0)"),36.0)</f>
        <v>36</v>
      </c>
      <c r="D8882" s="2" t="str">
        <f>IFERROR(__xludf.DUMMYFUNCTION("IFERROR(VLOOKUP(A8882, IMPORTRANGE(""https://docs.google.com/spreadsheets/d/1-3Vjw2Cyy-mry5gbC8ypIR3YVGFfEpyFESummAta6sg/edit"", ""Sheet1!B:D""), 2, FALSE), ""Not Found"")"),"rɪʤɪz")</f>
        <v>rɪʤɪz</v>
      </c>
      <c r="E8882" s="2" t="str">
        <f>IFERROR(__xludf.DUMMYFUNCTION("IFERROR(VLOOKUP(A8882, IMPORTRANGE(""https://docs.google.com/spreadsheets/d/1-3Vjw2Cyy-mry5gbC8ypIR3YVGFfEpyFESummAta6sg/edit"", ""Sheet1!B:D""), 3, FALSE), ""Not Found"")"),"r ɪ ʤ ɪ z ")</f>
        <v>r ɪ ʤ ɪ z </v>
      </c>
    </row>
    <row r="8883">
      <c r="A8883" s="1" t="s">
        <v>8884</v>
      </c>
      <c r="B8883" s="1" t="s">
        <v>6138</v>
      </c>
      <c r="C8883" s="2">
        <f>IFERROR(__xludf.DUMMYFUNCTION("IFERROR(VLOOKUP(A8883, IMPORTRANGE(""https://docs.google.com/spreadsheets/d/1AVX9GT0dgogEBStecCXMMQ29tWz3gBrtNB8yIromXbY/edit?gid=741673867"", ""out1g!A:B""), 2, FALSE), 0)"),409.0)</f>
        <v>409</v>
      </c>
      <c r="D8883" s="2" t="str">
        <f>IFERROR(__xludf.DUMMYFUNCTION("IFERROR(VLOOKUP(A8883, IMPORTRANGE(""https://docs.google.com/spreadsheets/d/1-3Vjw2Cyy-mry5gbC8ypIR3YVGFfEpyFESummAta6sg/edit"", ""Sheet1!B:D""), 2, FALSE), ""Not Found"")"),"kændəl")</f>
        <v>kændəl</v>
      </c>
      <c r="E8883" s="2" t="str">
        <f>IFERROR(__xludf.DUMMYFUNCTION("IFERROR(VLOOKUP(A8883, IMPORTRANGE(""https://docs.google.com/spreadsheets/d/1-3Vjw2Cyy-mry5gbC8ypIR3YVGFfEpyFESummAta6sg/edit"", ""Sheet1!B:D""), 3, FALSE), ""Not Found"")"),"k æ n d ə l ")</f>
        <v>k æ n d ə l </v>
      </c>
    </row>
    <row r="8884">
      <c r="A8884" s="1" t="s">
        <v>8885</v>
      </c>
      <c r="B8884" s="1" t="s">
        <v>6138</v>
      </c>
      <c r="C8884" s="2">
        <f>IFERROR(__xludf.DUMMYFUNCTION("IFERROR(VLOOKUP(A8884, IMPORTRANGE(""https://docs.google.com/spreadsheets/d/1AVX9GT0dgogEBStecCXMMQ29tWz3gBrtNB8yIromXbY/edit?gid=741673867"", ""out1g!A:B""), 2, FALSE), 0)"),90.0)</f>
        <v>90</v>
      </c>
      <c r="D8884" s="2" t="str">
        <f>IFERROR(__xludf.DUMMYFUNCTION("IFERROR(VLOOKUP(A8884, IMPORTRANGE(""https://docs.google.com/spreadsheets/d/1-3Vjw2Cyy-mry5gbC8ypIR3YVGFfEpyFESummAta6sg/edit"", ""Sheet1!B:D""), 2, FALSE), ""Not Found"")"),"frænz")</f>
        <v>frænz</v>
      </c>
      <c r="E8884" s="2" t="str">
        <f>IFERROR(__xludf.DUMMYFUNCTION("IFERROR(VLOOKUP(A8884, IMPORTRANGE(""https://docs.google.com/spreadsheets/d/1-3Vjw2Cyy-mry5gbC8ypIR3YVGFfEpyFESummAta6sg/edit"", ""Sheet1!B:D""), 3, FALSE), ""Not Found"")"),"f r æ n z ")</f>
        <v>f r æ n z </v>
      </c>
    </row>
    <row r="8885">
      <c r="A8885" s="1" t="s">
        <v>8886</v>
      </c>
      <c r="B8885" s="1" t="s">
        <v>6138</v>
      </c>
      <c r="C8885" s="2">
        <f>IFERROR(__xludf.DUMMYFUNCTION("IFERROR(VLOOKUP(A8885, IMPORTRANGE(""https://docs.google.com/spreadsheets/d/1AVX9GT0dgogEBStecCXMMQ29tWz3gBrtNB8yIromXbY/edit?gid=741673867"", ""out1g!A:B""), 2, FALSE), 0)"),133.0)</f>
        <v>133</v>
      </c>
      <c r="D8885" s="2" t="str">
        <f>IFERROR(__xludf.DUMMYFUNCTION("IFERROR(VLOOKUP(A8885, IMPORTRANGE(""https://docs.google.com/spreadsheets/d/1-3Vjw2Cyy-mry5gbC8ypIR3YVGFfEpyFESummAta6sg/edit"", ""Sheet1!B:D""), 2, FALSE), ""Not Found"")"),"hæsəl")</f>
        <v>hæsəl</v>
      </c>
      <c r="E8885" s="2" t="str">
        <f>IFERROR(__xludf.DUMMYFUNCTION("IFERROR(VLOOKUP(A8885, IMPORTRANGE(""https://docs.google.com/spreadsheets/d/1-3Vjw2Cyy-mry5gbC8ypIR3YVGFfEpyFESummAta6sg/edit"", ""Sheet1!B:D""), 3, FALSE), ""Not Found"")"),"h æ s ə l ")</f>
        <v>h æ s ə l </v>
      </c>
    </row>
    <row r="8886">
      <c r="A8886" s="1" t="s">
        <v>8887</v>
      </c>
      <c r="B8886" s="1" t="s">
        <v>6138</v>
      </c>
      <c r="C8886" s="2">
        <f>IFERROR(__xludf.DUMMYFUNCTION("IFERROR(VLOOKUP(A8886, IMPORTRANGE(""https://docs.google.com/spreadsheets/d/1AVX9GT0dgogEBStecCXMMQ29tWz3gBrtNB8yIromXbY/edit?gid=741673867"", ""out1g!A:B""), 2, FALSE), 0)"),283.0)</f>
        <v>283</v>
      </c>
      <c r="D8886" s="2" t="str">
        <f>IFERROR(__xludf.DUMMYFUNCTION("IFERROR(VLOOKUP(A8886, IMPORTRANGE(""https://docs.google.com/spreadsheets/d/1-3Vjw2Cyy-mry5gbC8ypIR3YVGFfEpyFESummAta6sg/edit"", ""Sheet1!B:D""), 2, FALSE), ""Not Found"")"),"dəsti")</f>
        <v>dəsti</v>
      </c>
      <c r="E8886" s="2" t="str">
        <f>IFERROR(__xludf.DUMMYFUNCTION("IFERROR(VLOOKUP(A8886, IMPORTRANGE(""https://docs.google.com/spreadsheets/d/1-3Vjw2Cyy-mry5gbC8ypIR3YVGFfEpyFESummAta6sg/edit"", ""Sheet1!B:D""), 3, FALSE), ""Not Found"")"),"d ə s t i ")</f>
        <v>d ə s t i </v>
      </c>
    </row>
    <row r="8887">
      <c r="A8887" s="1" t="s">
        <v>8888</v>
      </c>
      <c r="B8887" s="1" t="s">
        <v>6138</v>
      </c>
      <c r="C8887" s="2">
        <f>IFERROR(__xludf.DUMMYFUNCTION("IFERROR(VLOOKUP(A8887, IMPORTRANGE(""https://docs.google.com/spreadsheets/d/1AVX9GT0dgogEBStecCXMMQ29tWz3gBrtNB8yIromXbY/edit?gid=741673867"", ""out1g!A:B""), 2, FALSE), 0)"),120.0)</f>
        <v>120</v>
      </c>
      <c r="D8887" s="2" t="str">
        <f>IFERROR(__xludf.DUMMYFUNCTION("IFERROR(VLOOKUP(A8887, IMPORTRANGE(""https://docs.google.com/spreadsheets/d/1-3Vjw2Cyy-mry5gbC8ypIR3YVGFfEpyFESummAta6sg/edit"", ""Sheet1!B:D""), 2, FALSE), ""Not Found"")"),"mɔrtəlz")</f>
        <v>mɔrtəlz</v>
      </c>
      <c r="E8887" s="2" t="str">
        <f>IFERROR(__xludf.DUMMYFUNCTION("IFERROR(VLOOKUP(A8887, IMPORTRANGE(""https://docs.google.com/spreadsheets/d/1-3Vjw2Cyy-mry5gbC8ypIR3YVGFfEpyFESummAta6sg/edit"", ""Sheet1!B:D""), 3, FALSE), ""Not Found"")"),"m ɔ r t ə l z ")</f>
        <v>m ɔ r t ə l z </v>
      </c>
    </row>
    <row r="8888">
      <c r="A8888" s="1" t="s">
        <v>8889</v>
      </c>
      <c r="B8888" s="1" t="s">
        <v>6138</v>
      </c>
      <c r="C8888" s="2">
        <f>IFERROR(__xludf.DUMMYFUNCTION("IFERROR(VLOOKUP(A8888, IMPORTRANGE(""https://docs.google.com/spreadsheets/d/1AVX9GT0dgogEBStecCXMMQ29tWz3gBrtNB8yIromXbY/edit?gid=741673867"", ""out1g!A:B""), 2, FALSE), 0)"),59.0)</f>
        <v>59</v>
      </c>
      <c r="D8888" s="2" t="str">
        <f>IFERROR(__xludf.DUMMYFUNCTION("IFERROR(VLOOKUP(A8888, IMPORTRANGE(""https://docs.google.com/spreadsheets/d/1-3Vjw2Cyy-mry5gbC8ypIR3YVGFfEpyFESummAta6sg/edit"", ""Sheet1!B:D""), 2, FALSE), ""Not Found"")"),"plaɪərz")</f>
        <v>plaɪərz</v>
      </c>
      <c r="E8888" s="2" t="str">
        <f>IFERROR(__xludf.DUMMYFUNCTION("IFERROR(VLOOKUP(A8888, IMPORTRANGE(""https://docs.google.com/spreadsheets/d/1-3Vjw2Cyy-mry5gbC8ypIR3YVGFfEpyFESummAta6sg/edit"", ""Sheet1!B:D""), 3, FALSE), ""Not Found"")"),"p l a ɪ ə r z ")</f>
        <v>p l a ɪ ə r z </v>
      </c>
    </row>
    <row r="8889">
      <c r="A8889" s="1" t="s">
        <v>8890</v>
      </c>
      <c r="B8889" s="1" t="s">
        <v>6138</v>
      </c>
      <c r="C8889" s="2">
        <f>IFERROR(__xludf.DUMMYFUNCTION("IFERROR(VLOOKUP(A8889, IMPORTRANGE(""https://docs.google.com/spreadsheets/d/1AVX9GT0dgogEBStecCXMMQ29tWz3gBrtNB8yIromXbY/edit?gid=741673867"", ""out1g!A:B""), 2, FALSE), 0)"),7177.0)</f>
        <v>7177</v>
      </c>
      <c r="D8889" s="2" t="str">
        <f>IFERROR(__xludf.DUMMYFUNCTION("IFERROR(VLOOKUP(A8889, IMPORTRANGE(""https://docs.google.com/spreadsheets/d/1-3Vjw2Cyy-mry5gbC8ypIR3YVGFfEpyFESummAta6sg/edit"", ""Sheet1!B:D""), 2, FALSE), ""Not Found"")"),"pɛrənts")</f>
        <v>pɛrənts</v>
      </c>
      <c r="E8889" s="2" t="str">
        <f>IFERROR(__xludf.DUMMYFUNCTION("IFERROR(VLOOKUP(A8889, IMPORTRANGE(""https://docs.google.com/spreadsheets/d/1-3Vjw2Cyy-mry5gbC8ypIR3YVGFfEpyFESummAta6sg/edit"", ""Sheet1!B:D""), 3, FALSE), ""Not Found"")"),"p ɛ r ə n t s ")</f>
        <v>p ɛ r ə n t s </v>
      </c>
    </row>
    <row r="8890">
      <c r="A8890" s="1" t="s">
        <v>8891</v>
      </c>
      <c r="B8890" s="1" t="s">
        <v>6138</v>
      </c>
      <c r="C8890" s="2">
        <f>IFERROR(__xludf.DUMMYFUNCTION("IFERROR(VLOOKUP(A8890, IMPORTRANGE(""https://docs.google.com/spreadsheets/d/1AVX9GT0dgogEBStecCXMMQ29tWz3gBrtNB8yIromXbY/edit?gid=741673867"", ""out1g!A:B""), 2, FALSE), 0)"),68.0)</f>
        <v>68</v>
      </c>
      <c r="D8890" s="2" t="str">
        <f>IFERROR(__xludf.DUMMYFUNCTION("IFERROR(VLOOKUP(A8890, IMPORTRANGE(""https://docs.google.com/spreadsheets/d/1-3Vjw2Cyy-mry5gbC8ypIR3YVGFfEpyFESummAta6sg/edit"", ""Sheet1!B:D""), 2, FALSE), ""Not Found"")"),"saɪdɪŋ")</f>
        <v>saɪdɪŋ</v>
      </c>
      <c r="E8890" s="2" t="str">
        <f>IFERROR(__xludf.DUMMYFUNCTION("IFERROR(VLOOKUP(A8890, IMPORTRANGE(""https://docs.google.com/spreadsheets/d/1-3Vjw2Cyy-mry5gbC8ypIR3YVGFfEpyFESummAta6sg/edit"", ""Sheet1!B:D""), 3, FALSE), ""Not Found"")"),"s a ɪ d ɪ ŋ ")</f>
        <v>s a ɪ d ɪ ŋ </v>
      </c>
    </row>
    <row r="8891">
      <c r="A8891" s="1" t="s">
        <v>8892</v>
      </c>
      <c r="B8891" s="1" t="s">
        <v>6138</v>
      </c>
      <c r="C8891" s="2">
        <f>IFERROR(__xludf.DUMMYFUNCTION("IFERROR(VLOOKUP(A8891, IMPORTRANGE(""https://docs.google.com/spreadsheets/d/1AVX9GT0dgogEBStecCXMMQ29tWz3gBrtNB8yIromXbY/edit?gid=741673867"", ""out1g!A:B""), 2, FALSE), 0)"),1265.0)</f>
        <v>1265</v>
      </c>
      <c r="D8891" s="2" t="str">
        <f>IFERROR(__xludf.DUMMYFUNCTION("IFERROR(VLOOKUP(A8891, IMPORTRANGE(""https://docs.google.com/spreadsheets/d/1-3Vjw2Cyy-mry5gbC8ypIR3YVGFfEpyFESummAta6sg/edit"", ""Sheet1!B:D""), 2, FALSE), ""Not Found"")"),"stilɪŋ")</f>
        <v>stilɪŋ</v>
      </c>
      <c r="E8891" s="2" t="str">
        <f>IFERROR(__xludf.DUMMYFUNCTION("IFERROR(VLOOKUP(A8891, IMPORTRANGE(""https://docs.google.com/spreadsheets/d/1-3Vjw2Cyy-mry5gbC8ypIR3YVGFfEpyFESummAta6sg/edit"", ""Sheet1!B:D""), 3, FALSE), ""Not Found"")"),"s t i l ɪ ŋ ")</f>
        <v>s t i l ɪ ŋ </v>
      </c>
    </row>
    <row r="8892">
      <c r="A8892" s="1" t="s">
        <v>8893</v>
      </c>
      <c r="B8892" s="1" t="s">
        <v>6138</v>
      </c>
      <c r="C8892" s="2">
        <f>IFERROR(__xludf.DUMMYFUNCTION("IFERROR(VLOOKUP(A8892, IMPORTRANGE(""https://docs.google.com/spreadsheets/d/1AVX9GT0dgogEBStecCXMMQ29tWz3gBrtNB8yIromXbY/edit?gid=741673867"", ""out1g!A:B""), 2, FALSE), 0)"),106.0)</f>
        <v>106</v>
      </c>
      <c r="D8892" s="2" t="str">
        <f>IFERROR(__xludf.DUMMYFUNCTION("IFERROR(VLOOKUP(A8892, IMPORTRANGE(""https://docs.google.com/spreadsheets/d/1-3Vjw2Cyy-mry5gbC8ypIR3YVGFfEpyFESummAta6sg/edit"", ""Sheet1!B:D""), 2, FALSE), ""Not Found"")"),"voʊtərz")</f>
        <v>voʊtərz</v>
      </c>
      <c r="E8892" s="2" t="str">
        <f>IFERROR(__xludf.DUMMYFUNCTION("IFERROR(VLOOKUP(A8892, IMPORTRANGE(""https://docs.google.com/spreadsheets/d/1-3Vjw2Cyy-mry5gbC8ypIR3YVGFfEpyFESummAta6sg/edit"", ""Sheet1!B:D""), 3, FALSE), ""Not Found"")"),"v o ʊ t ə r z ")</f>
        <v>v o ʊ t ə r z </v>
      </c>
    </row>
    <row r="8893">
      <c r="A8893" s="1" t="s">
        <v>8894</v>
      </c>
      <c r="B8893" s="1" t="s">
        <v>6138</v>
      </c>
      <c r="C8893" s="2">
        <f>IFERROR(__xludf.DUMMYFUNCTION("IFERROR(VLOOKUP(A8893, IMPORTRANGE(""https://docs.google.com/spreadsheets/d/1AVX9GT0dgogEBStecCXMMQ29tWz3gBrtNB8yIromXbY/edit?gid=741673867"", ""out1g!A:B""), 2, FALSE), 0)"),366.0)</f>
        <v>366</v>
      </c>
      <c r="D8893" s="2" t="str">
        <f>IFERROR(__xludf.DUMMYFUNCTION("IFERROR(VLOOKUP(A8893, IMPORTRANGE(""https://docs.google.com/spreadsheets/d/1-3Vjw2Cyy-mry5gbC8ypIR3YVGFfEpyFESummAta6sg/edit"", ""Sheet1!B:D""), 2, FALSE), ""Not Found"")"),"kwɪkər")</f>
        <v>kwɪkər</v>
      </c>
      <c r="E8893" s="2" t="str">
        <f>IFERROR(__xludf.DUMMYFUNCTION("IFERROR(VLOOKUP(A8893, IMPORTRANGE(""https://docs.google.com/spreadsheets/d/1-3Vjw2Cyy-mry5gbC8ypIR3YVGFfEpyFESummAta6sg/edit"", ""Sheet1!B:D""), 3, FALSE), ""Not Found"")"),"k w ɪ k ə r ")</f>
        <v>k w ɪ k ə r </v>
      </c>
    </row>
    <row r="8894">
      <c r="A8894" s="1" t="s">
        <v>8895</v>
      </c>
      <c r="B8894" s="1" t="s">
        <v>6138</v>
      </c>
      <c r="C8894" s="2">
        <f>IFERROR(__xludf.DUMMYFUNCTION("IFERROR(VLOOKUP(A8894, IMPORTRANGE(""https://docs.google.com/spreadsheets/d/1AVX9GT0dgogEBStecCXMMQ29tWz3gBrtNB8yIromXbY/edit?gid=741673867"", ""out1g!A:B""), 2, FALSE), 0)"),3780.0)</f>
        <v>3780</v>
      </c>
      <c r="D8894" s="2" t="str">
        <f>IFERROR(__xludf.DUMMYFUNCTION("IFERROR(VLOOKUP(A8894, IMPORTRANGE(""https://docs.google.com/spreadsheets/d/1-3Vjw2Cyy-mry5gbC8ypIR3YVGFfEpyFESummAta6sg/edit"", ""Sheet1!B:D""), 2, FALSE), ""Not Found"")"),"draɪvɪŋ")</f>
        <v>draɪvɪŋ</v>
      </c>
      <c r="E8894" s="2" t="str">
        <f>IFERROR(__xludf.DUMMYFUNCTION("IFERROR(VLOOKUP(A8894, IMPORTRANGE(""https://docs.google.com/spreadsheets/d/1-3Vjw2Cyy-mry5gbC8ypIR3YVGFfEpyFESummAta6sg/edit"", ""Sheet1!B:D""), 3, FALSE), ""Not Found"")"),"d r a ɪ v ɪ ŋ ")</f>
        <v>d r a ɪ v ɪ ŋ </v>
      </c>
    </row>
    <row r="8895">
      <c r="A8895" s="1" t="s">
        <v>8896</v>
      </c>
      <c r="B8895" s="1" t="s">
        <v>6138</v>
      </c>
      <c r="C8895" s="2">
        <f>IFERROR(__xludf.DUMMYFUNCTION("IFERROR(VLOOKUP(A8895, IMPORTRANGE(""https://docs.google.com/spreadsheets/d/1AVX9GT0dgogEBStecCXMMQ29tWz3gBrtNB8yIromXbY/edit?gid=741673867"", ""out1g!A:B""), 2, FALSE), 0)"),68.0)</f>
        <v>68</v>
      </c>
      <c r="D8895" s="2" t="str">
        <f>IFERROR(__xludf.DUMMYFUNCTION("IFERROR(VLOOKUP(A8895, IMPORTRANGE(""https://docs.google.com/spreadsheets/d/1-3Vjw2Cyy-mry5gbC8ypIR3YVGFfEpyFESummAta6sg/edit"", ""Sheet1!B:D""), 2, FALSE), ""Not Found"")"),"klivər")</f>
        <v>klivər</v>
      </c>
      <c r="E8895" s="2" t="str">
        <f>IFERROR(__xludf.DUMMYFUNCTION("IFERROR(VLOOKUP(A8895, IMPORTRANGE(""https://docs.google.com/spreadsheets/d/1-3Vjw2Cyy-mry5gbC8ypIR3YVGFfEpyFESummAta6sg/edit"", ""Sheet1!B:D""), 3, FALSE), ""Not Found"")"),"k l i v ə r ")</f>
        <v>k l i v ə r </v>
      </c>
    </row>
    <row r="8896">
      <c r="A8896" s="1" t="s">
        <v>8897</v>
      </c>
      <c r="B8896" s="1" t="s">
        <v>6138</v>
      </c>
      <c r="C8896" s="2">
        <f>IFERROR(__xludf.DUMMYFUNCTION("IFERROR(VLOOKUP(A8896, IMPORTRANGE(""https://docs.google.com/spreadsheets/d/1AVX9GT0dgogEBStecCXMMQ29tWz3gBrtNB8yIromXbY/edit?gid=741673867"", ""out1g!A:B""), 2, FALSE), 0)"),88.0)</f>
        <v>88</v>
      </c>
      <c r="D8896" s="2" t="str">
        <f>IFERROR(__xludf.DUMMYFUNCTION("IFERROR(VLOOKUP(A8896, IMPORTRANGE(""https://docs.google.com/spreadsheets/d/1-3Vjw2Cyy-mry5gbC8ypIR3YVGFfEpyFESummAta6sg/edit"", ""Sheet1!B:D""), 2, FALSE), ""Not Found"")"),"ləmps")</f>
        <v>ləmps</v>
      </c>
      <c r="E8896" s="2" t="str">
        <f>IFERROR(__xludf.DUMMYFUNCTION("IFERROR(VLOOKUP(A8896, IMPORTRANGE(""https://docs.google.com/spreadsheets/d/1-3Vjw2Cyy-mry5gbC8ypIR3YVGFfEpyFESummAta6sg/edit"", ""Sheet1!B:D""), 3, FALSE), ""Not Found"")"),"l ə m p s ")</f>
        <v>l ə m p s </v>
      </c>
    </row>
    <row r="8897">
      <c r="A8897" s="1" t="s">
        <v>8898</v>
      </c>
      <c r="B8897" s="1" t="s">
        <v>6138</v>
      </c>
      <c r="C8897" s="2">
        <f>IFERROR(__xludf.DUMMYFUNCTION("IFERROR(VLOOKUP(A8897, IMPORTRANGE(""https://docs.google.com/spreadsheets/d/1AVX9GT0dgogEBStecCXMMQ29tWz3gBrtNB8yIromXbY/edit?gid=741673867"", ""out1g!A:B""), 2, FALSE), 0)"),58.0)</f>
        <v>58</v>
      </c>
      <c r="D8897" s="2" t="str">
        <f>IFERROR(__xludf.DUMMYFUNCTION("IFERROR(VLOOKUP(A8897, IMPORTRANGE(""https://docs.google.com/spreadsheets/d/1-3Vjw2Cyy-mry5gbC8ypIR3YVGFfEpyFESummAta6sg/edit"", ""Sheet1!B:D""), 2, FALSE), ""Not Found"")"),"bərsts")</f>
        <v>bərsts</v>
      </c>
      <c r="E8897" s="2" t="str">
        <f>IFERROR(__xludf.DUMMYFUNCTION("IFERROR(VLOOKUP(A8897, IMPORTRANGE(""https://docs.google.com/spreadsheets/d/1-3Vjw2Cyy-mry5gbC8ypIR3YVGFfEpyFESummAta6sg/edit"", ""Sheet1!B:D""), 3, FALSE), ""Not Found"")"),"b ə r s t s ")</f>
        <v>b ə r s t s </v>
      </c>
    </row>
    <row r="8898">
      <c r="A8898" s="1" t="s">
        <v>8899</v>
      </c>
      <c r="B8898" s="1" t="s">
        <v>6138</v>
      </c>
      <c r="C8898" s="2">
        <f>IFERROR(__xludf.DUMMYFUNCTION("IFERROR(VLOOKUP(A8898, IMPORTRANGE(""https://docs.google.com/spreadsheets/d/1AVX9GT0dgogEBStecCXMMQ29tWz3gBrtNB8yIromXbY/edit?gid=741673867"", ""out1g!A:B""), 2, FALSE), 0)"),826.0)</f>
        <v>826</v>
      </c>
      <c r="D8898" s="2" t="str">
        <f>IFERROR(__xludf.DUMMYFUNCTION("IFERROR(VLOOKUP(A8898, IMPORTRANGE(""https://docs.google.com/spreadsheets/d/1-3Vjw2Cyy-mry5gbC8ypIR3YVGFfEpyFESummAta6sg/edit"", ""Sheet1!B:D""), 2, FALSE), ""Not Found"")"),"dɪzaɪn")</f>
        <v>dɪzaɪn</v>
      </c>
      <c r="E8898" s="2" t="str">
        <f>IFERROR(__xludf.DUMMYFUNCTION("IFERROR(VLOOKUP(A8898, IMPORTRANGE(""https://docs.google.com/spreadsheets/d/1-3Vjw2Cyy-mry5gbC8ypIR3YVGFfEpyFESummAta6sg/edit"", ""Sheet1!B:D""), 3, FALSE), ""Not Found"")"),"d ɪ z a ɪ n ")</f>
        <v>d ɪ z a ɪ n </v>
      </c>
    </row>
    <row r="8899">
      <c r="A8899" s="1" t="s">
        <v>8900</v>
      </c>
      <c r="B8899" s="1" t="s">
        <v>6138</v>
      </c>
      <c r="C8899" s="2">
        <f>IFERROR(__xludf.DUMMYFUNCTION("IFERROR(VLOOKUP(A8899, IMPORTRANGE(""https://docs.google.com/spreadsheets/d/1AVX9GT0dgogEBStecCXMMQ29tWz3gBrtNB8yIromXbY/edit?gid=741673867"", ""out1g!A:B""), 2, FALSE), 0)"),1035.0)</f>
        <v>1035</v>
      </c>
      <c r="D8899" s="2" t="str">
        <f>IFERROR(__xludf.DUMMYFUNCTION("IFERROR(VLOOKUP(A8899, IMPORTRANGE(""https://docs.google.com/spreadsheets/d/1-3Vjw2Cyy-mry5gbC8ypIR3YVGFfEpyFESummAta6sg/edit"", ""Sheet1!B:D""), 2, FALSE), ""Not Found"")"),"ɔfəli")</f>
        <v>ɔfəli</v>
      </c>
      <c r="E8899" s="2" t="str">
        <f>IFERROR(__xludf.DUMMYFUNCTION("IFERROR(VLOOKUP(A8899, IMPORTRANGE(""https://docs.google.com/spreadsheets/d/1-3Vjw2Cyy-mry5gbC8ypIR3YVGFfEpyFESummAta6sg/edit"", ""Sheet1!B:D""), 3, FALSE), ""Not Found"")"),"ɔ f ə l i ")</f>
        <v>ɔ f ə l i </v>
      </c>
    </row>
    <row r="8900">
      <c r="A8900" s="1" t="s">
        <v>8901</v>
      </c>
      <c r="B8900" s="1" t="s">
        <v>6138</v>
      </c>
      <c r="C8900" s="2">
        <f>IFERROR(__xludf.DUMMYFUNCTION("IFERROR(VLOOKUP(A8900, IMPORTRANGE(""https://docs.google.com/spreadsheets/d/1AVX9GT0dgogEBStecCXMMQ29tWz3gBrtNB8yIromXbY/edit?gid=741673867"", ""out1g!A:B""), 2, FALSE), 0)"),83.0)</f>
        <v>83</v>
      </c>
      <c r="D8900" s="2" t="str">
        <f>IFERROR(__xludf.DUMMYFUNCTION("IFERROR(VLOOKUP(A8900, IMPORTRANGE(""https://docs.google.com/spreadsheets/d/1-3Vjw2Cyy-mry5gbC8ypIR3YVGFfEpyFESummAta6sg/edit"", ""Sheet1!B:D""), 2, FALSE), ""Not Found"")"),"kɔrtɪŋ")</f>
        <v>kɔrtɪŋ</v>
      </c>
      <c r="E8900" s="2" t="str">
        <f>IFERROR(__xludf.DUMMYFUNCTION("IFERROR(VLOOKUP(A8900, IMPORTRANGE(""https://docs.google.com/spreadsheets/d/1-3Vjw2Cyy-mry5gbC8ypIR3YVGFfEpyFESummAta6sg/edit"", ""Sheet1!B:D""), 3, FALSE), ""Not Found"")"),"k ɔ r t ɪ ŋ ")</f>
        <v>k ɔ r t ɪ ŋ </v>
      </c>
    </row>
    <row r="8901">
      <c r="A8901" s="1" t="s">
        <v>8902</v>
      </c>
      <c r="B8901" s="1" t="s">
        <v>6138</v>
      </c>
      <c r="C8901" s="2">
        <f>IFERROR(__xludf.DUMMYFUNCTION("IFERROR(VLOOKUP(A8901, IMPORTRANGE(""https://docs.google.com/spreadsheets/d/1AVX9GT0dgogEBStecCXMMQ29tWz3gBrtNB8yIromXbY/edit?gid=741673867"", ""out1g!A:B""), 2, FALSE), 0)"),256.0)</f>
        <v>256</v>
      </c>
      <c r="D8901" s="2" t="str">
        <f>IFERROR(__xludf.DUMMYFUNCTION("IFERROR(VLOOKUP(A8901, IMPORTRANGE(""https://docs.google.com/spreadsheets/d/1-3Vjw2Cyy-mry5gbC8ypIR3YVGFfEpyFESummAta6sg/edit"", ""Sheet1!B:D""), 2, FALSE), ""Not Found"")"),"riʤən")</f>
        <v>riʤən</v>
      </c>
      <c r="E8901" s="2" t="str">
        <f>IFERROR(__xludf.DUMMYFUNCTION("IFERROR(VLOOKUP(A8901, IMPORTRANGE(""https://docs.google.com/spreadsheets/d/1-3Vjw2Cyy-mry5gbC8ypIR3YVGFfEpyFESummAta6sg/edit"", ""Sheet1!B:D""), 3, FALSE), ""Not Found"")"),"r i ʤ ə n ")</f>
        <v>r i ʤ ə n </v>
      </c>
    </row>
    <row r="8902">
      <c r="A8902" s="1" t="s">
        <v>8903</v>
      </c>
      <c r="B8902" s="1" t="s">
        <v>6138</v>
      </c>
      <c r="C8902" s="2">
        <f>IFERROR(__xludf.DUMMYFUNCTION("IFERROR(VLOOKUP(A8902, IMPORTRANGE(""https://docs.google.com/spreadsheets/d/1AVX9GT0dgogEBStecCXMMQ29tWz3gBrtNB8yIromXbY/edit?gid=741673867"", ""out1g!A:B""), 2, FALSE), 0)"),66.0)</f>
        <v>66</v>
      </c>
      <c r="D8902" s="2" t="str">
        <f>IFERROR(__xludf.DUMMYFUNCTION("IFERROR(VLOOKUP(A8902, IMPORTRANGE(""https://docs.google.com/spreadsheets/d/1-3Vjw2Cyy-mry5gbC8ypIR3YVGFfEpyFESummAta6sg/edit"", ""Sheet1!B:D""), 2, FALSE), ""Not Found"")"),"pinəl")</f>
        <v>pinəl</v>
      </c>
      <c r="E8902" s="2" t="str">
        <f>IFERROR(__xludf.DUMMYFUNCTION("IFERROR(VLOOKUP(A8902, IMPORTRANGE(""https://docs.google.com/spreadsheets/d/1-3Vjw2Cyy-mry5gbC8ypIR3YVGFfEpyFESummAta6sg/edit"", ""Sheet1!B:D""), 3, FALSE), ""Not Found"")"),"p i n ə l ")</f>
        <v>p i n ə l </v>
      </c>
    </row>
    <row r="8903">
      <c r="A8903" s="1" t="s">
        <v>8904</v>
      </c>
      <c r="B8903" s="1" t="s">
        <v>6138</v>
      </c>
      <c r="C8903" s="2">
        <f>IFERROR(__xludf.DUMMYFUNCTION("IFERROR(VLOOKUP(A8903, IMPORTRANGE(""https://docs.google.com/spreadsheets/d/1AVX9GT0dgogEBStecCXMMQ29tWz3gBrtNB8yIromXbY/edit?gid=741673867"", ""out1g!A:B""), 2, FALSE), 0)"),337.0)</f>
        <v>337</v>
      </c>
      <c r="D8903" s="2" t="str">
        <f>IFERROR(__xludf.DUMMYFUNCTION("IFERROR(VLOOKUP(A8903, IMPORTRANGE(""https://docs.google.com/spreadsheets/d/1-3Vjw2Cyy-mry5gbC8ypIR3YVGFfEpyFESummAta6sg/edit"", ""Sheet1!B:D""), 2, FALSE), ""Not Found"")"),"fəndz")</f>
        <v>fəndz</v>
      </c>
      <c r="E8903" s="2" t="str">
        <f>IFERROR(__xludf.DUMMYFUNCTION("IFERROR(VLOOKUP(A8903, IMPORTRANGE(""https://docs.google.com/spreadsheets/d/1-3Vjw2Cyy-mry5gbC8ypIR3YVGFfEpyFESummAta6sg/edit"", ""Sheet1!B:D""), 3, FALSE), ""Not Found"")"),"f ə n d z ")</f>
        <v>f ə n d z </v>
      </c>
    </row>
    <row r="8904">
      <c r="A8904" s="1" t="s">
        <v>8905</v>
      </c>
      <c r="B8904" s="1" t="s">
        <v>6138</v>
      </c>
      <c r="C8904" s="2">
        <f>IFERROR(__xludf.DUMMYFUNCTION("IFERROR(VLOOKUP(A8904, IMPORTRANGE(""https://docs.google.com/spreadsheets/d/1AVX9GT0dgogEBStecCXMMQ29tWz3gBrtNB8yIromXbY/edit?gid=741673867"", ""out1g!A:B""), 2, FALSE), 0)"),1826.0)</f>
        <v>1826</v>
      </c>
      <c r="D8904" s="2" t="str">
        <f>IFERROR(__xludf.DUMMYFUNCTION("IFERROR(VLOOKUP(A8904, IMPORTRANGE(""https://docs.google.com/spreadsheets/d/1-3Vjw2Cyy-mry5gbC8ypIR3YVGFfEpyFESummAta6sg/edit"", ""Sheet1!B:D""), 2, FALSE), ""Not Found"")"),"paʊərz")</f>
        <v>paʊərz</v>
      </c>
      <c r="E8904" s="2" t="str">
        <f>IFERROR(__xludf.DUMMYFUNCTION("IFERROR(VLOOKUP(A8904, IMPORTRANGE(""https://docs.google.com/spreadsheets/d/1-3Vjw2Cyy-mry5gbC8ypIR3YVGFfEpyFESummAta6sg/edit"", ""Sheet1!B:D""), 3, FALSE), ""Not Found"")"),"p a ʊ ə r z ")</f>
        <v>p a ʊ ə r z </v>
      </c>
    </row>
    <row r="8905">
      <c r="A8905" s="1" t="s">
        <v>8906</v>
      </c>
      <c r="B8905" s="1" t="s">
        <v>6138</v>
      </c>
      <c r="C8905" s="2">
        <f>IFERROR(__xludf.DUMMYFUNCTION("IFERROR(VLOOKUP(A8905, IMPORTRANGE(""https://docs.google.com/spreadsheets/d/1AVX9GT0dgogEBStecCXMMQ29tWz3gBrtNB8yIromXbY/edit?gid=741673867"", ""out1g!A:B""), 2, FALSE), 0)"),111.0)</f>
        <v>111</v>
      </c>
      <c r="D8905" s="2" t="str">
        <f>IFERROR(__xludf.DUMMYFUNCTION("IFERROR(VLOOKUP(A8905, IMPORTRANGE(""https://docs.google.com/spreadsheets/d/1-3Vjw2Cyy-mry5gbC8ypIR3YVGFfEpyFESummAta6sg/edit"", ""Sheet1!B:D""), 2, FALSE), ""Not Found"")"),"lɔfəl")</f>
        <v>lɔfəl</v>
      </c>
      <c r="E8905" s="2" t="str">
        <f>IFERROR(__xludf.DUMMYFUNCTION("IFERROR(VLOOKUP(A8905, IMPORTRANGE(""https://docs.google.com/spreadsheets/d/1-3Vjw2Cyy-mry5gbC8ypIR3YVGFfEpyFESummAta6sg/edit"", ""Sheet1!B:D""), 3, FALSE), ""Not Found"")"),"l ɔ f ə l ")</f>
        <v>l ɔ f ə l </v>
      </c>
    </row>
    <row r="8906">
      <c r="A8906" s="1" t="s">
        <v>8907</v>
      </c>
      <c r="B8906" s="1" t="s">
        <v>6138</v>
      </c>
      <c r="C8906" s="2">
        <f>IFERROR(__xludf.DUMMYFUNCTION("IFERROR(VLOOKUP(A8906, IMPORTRANGE(""https://docs.google.com/spreadsheets/d/1AVX9GT0dgogEBStecCXMMQ29tWz3gBrtNB8yIromXbY/edit?gid=741673867"", ""out1g!A:B""), 2, FALSE), 0)"),149.0)</f>
        <v>149</v>
      </c>
      <c r="D8906" s="2" t="str">
        <f>IFERROR(__xludf.DUMMYFUNCTION("IFERROR(VLOOKUP(A8906, IMPORTRANGE(""https://docs.google.com/spreadsheets/d/1-3Vjw2Cyy-mry5gbC8ypIR3YVGFfEpyFESummAta6sg/edit"", ""Sheet1!B:D""), 2, FALSE), ""Not Found"")"),"lɪnən")</f>
        <v>lɪnən</v>
      </c>
      <c r="E8906" s="2" t="str">
        <f>IFERROR(__xludf.DUMMYFUNCTION("IFERROR(VLOOKUP(A8906, IMPORTRANGE(""https://docs.google.com/spreadsheets/d/1-3Vjw2Cyy-mry5gbC8ypIR3YVGFfEpyFESummAta6sg/edit"", ""Sheet1!B:D""), 3, FALSE), ""Not Found"")"),"l ɪ n ə n ")</f>
        <v>l ɪ n ə n </v>
      </c>
    </row>
    <row r="8907">
      <c r="A8907" s="1" t="s">
        <v>8908</v>
      </c>
      <c r="B8907" s="1" t="s">
        <v>6138</v>
      </c>
      <c r="C8907" s="2">
        <f>IFERROR(__xludf.DUMMYFUNCTION("IFERROR(VLOOKUP(A8907, IMPORTRANGE(""https://docs.google.com/spreadsheets/d/1AVX9GT0dgogEBStecCXMMQ29tWz3gBrtNB8yIromXbY/edit?gid=741673867"", ""out1g!A:B""), 2, FALSE), 0)"),135.0)</f>
        <v>135</v>
      </c>
      <c r="D8907" s="2" t="str">
        <f>IFERROR(__xludf.DUMMYFUNCTION("IFERROR(VLOOKUP(A8907, IMPORTRANGE(""https://docs.google.com/spreadsheets/d/1-3Vjw2Cyy-mry5gbC8ypIR3YVGFfEpyFESummAta6sg/edit"", ""Sheet1!B:D""), 2, FALSE), ""Not Found"")"),"bustər")</f>
        <v>bustər</v>
      </c>
      <c r="E8907" s="2" t="str">
        <f>IFERROR(__xludf.DUMMYFUNCTION("IFERROR(VLOOKUP(A8907, IMPORTRANGE(""https://docs.google.com/spreadsheets/d/1-3Vjw2Cyy-mry5gbC8ypIR3YVGFfEpyFESummAta6sg/edit"", ""Sheet1!B:D""), 3, FALSE), ""Not Found"")"),"b u s t ə r ")</f>
        <v>b u s t ə r </v>
      </c>
    </row>
    <row r="8908">
      <c r="A8908" s="1" t="s">
        <v>8909</v>
      </c>
      <c r="B8908" s="1" t="s">
        <v>6138</v>
      </c>
      <c r="C8908" s="2">
        <f>IFERROR(__xludf.DUMMYFUNCTION("IFERROR(VLOOKUP(A8908, IMPORTRANGE(""https://docs.google.com/spreadsheets/d/1AVX9GT0dgogEBStecCXMMQ29tWz3gBrtNB8yIromXbY/edit?gid=741673867"", ""out1g!A:B""), 2, FALSE), 0)"),1172.0)</f>
        <v>1172</v>
      </c>
      <c r="D8908" s="2" t="str">
        <f>IFERROR(__xludf.DUMMYFUNCTION("IFERROR(VLOOKUP(A8908, IMPORTRANGE(""https://docs.google.com/spreadsheets/d/1-3Vjw2Cyy-mry5gbC8ypIR3YVGFfEpyFESummAta6sg/edit"", ""Sheet1!B:D""), 2, FALSE), ""Not Found"")"),"hɑrts")</f>
        <v>hɑrts</v>
      </c>
      <c r="E8908" s="2" t="str">
        <f>IFERROR(__xludf.DUMMYFUNCTION("IFERROR(VLOOKUP(A8908, IMPORTRANGE(""https://docs.google.com/spreadsheets/d/1-3Vjw2Cyy-mry5gbC8ypIR3YVGFfEpyFESummAta6sg/edit"", ""Sheet1!B:D""), 3, FALSE), ""Not Found"")"),"h ɑ r t s ")</f>
        <v>h ɑ r t s </v>
      </c>
    </row>
    <row r="8909">
      <c r="A8909" s="1" t="s">
        <v>8910</v>
      </c>
      <c r="B8909" s="1" t="s">
        <v>6138</v>
      </c>
      <c r="C8909" s="2">
        <f>IFERROR(__xludf.DUMMYFUNCTION("IFERROR(VLOOKUP(A8909, IMPORTRANGE(""https://docs.google.com/spreadsheets/d/1AVX9GT0dgogEBStecCXMMQ29tWz3gBrtNB8yIromXbY/edit?gid=741673867"", ""out1g!A:B""), 2, FALSE), 0)"),245.0)</f>
        <v>245</v>
      </c>
      <c r="D8909" s="2" t="str">
        <f>IFERROR(__xludf.DUMMYFUNCTION("IFERROR(VLOOKUP(A8909, IMPORTRANGE(""https://docs.google.com/spreadsheets/d/1-3Vjw2Cyy-mry5gbC8ypIR3YVGFfEpyFESummAta6sg/edit"", ""Sheet1!B:D""), 2, FALSE), ""Not Found"")"),"tɪkəl")</f>
        <v>tɪkəl</v>
      </c>
      <c r="E8909" s="2" t="str">
        <f>IFERROR(__xludf.DUMMYFUNCTION("IFERROR(VLOOKUP(A8909, IMPORTRANGE(""https://docs.google.com/spreadsheets/d/1-3Vjw2Cyy-mry5gbC8ypIR3YVGFfEpyFESummAta6sg/edit"", ""Sheet1!B:D""), 3, FALSE), ""Not Found"")"),"t ɪ k ə l ")</f>
        <v>t ɪ k ə l </v>
      </c>
    </row>
    <row r="8910">
      <c r="A8910" s="1" t="s">
        <v>8911</v>
      </c>
      <c r="B8910" s="1" t="s">
        <v>6138</v>
      </c>
      <c r="C8910" s="2">
        <f>IFERROR(__xludf.DUMMYFUNCTION("IFERROR(VLOOKUP(A8910, IMPORTRANGE(""https://docs.google.com/spreadsheets/d/1AVX9GT0dgogEBStecCXMMQ29tWz3gBrtNB8yIromXbY/edit?gid=741673867"", ""out1g!A:B""), 2, FALSE), 0)"),4500.0)</f>
        <v>4500</v>
      </c>
      <c r="D8910" s="2" t="str">
        <f>IFERROR(__xludf.DUMMYFUNCTION("IFERROR(VLOOKUP(A8910, IMPORTRANGE(""https://docs.google.com/spreadsheets/d/1-3Vjw2Cyy-mry5gbC8ypIR3YVGFfEpyFESummAta6sg/edit"", ""Sheet1!B:D""), 2, FALSE), ""Not Found"")"),"maɪəlz")</f>
        <v>maɪəlz</v>
      </c>
      <c r="E8910" s="2" t="str">
        <f>IFERROR(__xludf.DUMMYFUNCTION("IFERROR(VLOOKUP(A8910, IMPORTRANGE(""https://docs.google.com/spreadsheets/d/1-3Vjw2Cyy-mry5gbC8ypIR3YVGFfEpyFESummAta6sg/edit"", ""Sheet1!B:D""), 3, FALSE), ""Not Found"")"),"m a ɪ ə l z ")</f>
        <v>m a ɪ ə l z </v>
      </c>
    </row>
    <row r="8911">
      <c r="A8911" s="1" t="s">
        <v>8912</v>
      </c>
      <c r="B8911" s="1" t="s">
        <v>6138</v>
      </c>
      <c r="C8911" s="2">
        <f>IFERROR(__xludf.DUMMYFUNCTION("IFERROR(VLOOKUP(A8911, IMPORTRANGE(""https://docs.google.com/spreadsheets/d/1AVX9GT0dgogEBStecCXMMQ29tWz3gBrtNB8yIromXbY/edit?gid=741673867"", ""out1g!A:B""), 2, FALSE), 0)"),59.0)</f>
        <v>59</v>
      </c>
      <c r="D8911" s="2" t="str">
        <f>IFERROR(__xludf.DUMMYFUNCTION("IFERROR(VLOOKUP(A8911, IMPORTRANGE(""https://docs.google.com/spreadsheets/d/1-3Vjw2Cyy-mry5gbC8ypIR3YVGFfEpyFESummAta6sg/edit"", ""Sheet1!B:D""), 2, FALSE), ""Not Found"")"),"ʃɪmi")</f>
        <v>ʃɪmi</v>
      </c>
      <c r="E8911" s="2" t="str">
        <f>IFERROR(__xludf.DUMMYFUNCTION("IFERROR(VLOOKUP(A8911, IMPORTRANGE(""https://docs.google.com/spreadsheets/d/1-3Vjw2Cyy-mry5gbC8ypIR3YVGFfEpyFESummAta6sg/edit"", ""Sheet1!B:D""), 3, FALSE), ""Not Found"")"),"ʃ ɪ m i ")</f>
        <v>ʃ ɪ m i </v>
      </c>
    </row>
    <row r="8912">
      <c r="A8912" s="1" t="s">
        <v>8913</v>
      </c>
      <c r="B8912" s="1" t="s">
        <v>6138</v>
      </c>
      <c r="C8912" s="2">
        <f>IFERROR(__xludf.DUMMYFUNCTION("IFERROR(VLOOKUP(A8912, IMPORTRANGE(""https://docs.google.com/spreadsheets/d/1AVX9GT0dgogEBStecCXMMQ29tWz3gBrtNB8yIromXbY/edit?gid=741673867"", ""out1g!A:B""), 2, FALSE), 0)"),2996.0)</f>
        <v>2996</v>
      </c>
      <c r="D8912" s="2" t="str">
        <f>IFERROR(__xludf.DUMMYFUNCTION("IFERROR(VLOOKUP(A8912, IMPORTRANGE(""https://docs.google.com/spreadsheets/d/1-3Vjw2Cyy-mry5gbC8ypIR3YVGFfEpyFESummAta6sg/edit"", ""Sheet1!B:D""), 2, FALSE), ""Not Found"")"),"pænts")</f>
        <v>pænts</v>
      </c>
      <c r="E8912" s="2" t="str">
        <f>IFERROR(__xludf.DUMMYFUNCTION("IFERROR(VLOOKUP(A8912, IMPORTRANGE(""https://docs.google.com/spreadsheets/d/1-3Vjw2Cyy-mry5gbC8ypIR3YVGFfEpyFESummAta6sg/edit"", ""Sheet1!B:D""), 3, FALSE), ""Not Found"")"),"p æ n t s ")</f>
        <v>p æ n t s </v>
      </c>
    </row>
    <row r="8913">
      <c r="A8913" s="1" t="s">
        <v>8914</v>
      </c>
      <c r="B8913" s="1" t="s">
        <v>6138</v>
      </c>
      <c r="C8913" s="2">
        <f>IFERROR(__xludf.DUMMYFUNCTION("IFERROR(VLOOKUP(A8913, IMPORTRANGE(""https://docs.google.com/spreadsheets/d/1AVX9GT0dgogEBStecCXMMQ29tWz3gBrtNB8yIromXbY/edit?gid=741673867"", ""out1g!A:B""), 2, FALSE), 0)"),12.0)</f>
        <v>12</v>
      </c>
      <c r="D8913" s="2" t="str">
        <f>IFERROR(__xludf.DUMMYFUNCTION("IFERROR(VLOOKUP(A8913, IMPORTRANGE(""https://docs.google.com/spreadsheets/d/1-3Vjw2Cyy-mry5gbC8ypIR3YVGFfEpyFESummAta6sg/edit"", ""Sheet1!B:D""), 2, FALSE), ""Not Found"")"),"senəst")</f>
        <v>senəst</v>
      </c>
      <c r="E8913" s="2" t="str">
        <f>IFERROR(__xludf.DUMMYFUNCTION("IFERROR(VLOOKUP(A8913, IMPORTRANGE(""https://docs.google.com/spreadsheets/d/1-3Vjw2Cyy-mry5gbC8ypIR3YVGFfEpyFESummAta6sg/edit"", ""Sheet1!B:D""), 3, FALSE), ""Not Found"")"),"s e n ə s t ")</f>
        <v>s e n ə s t </v>
      </c>
    </row>
    <row r="8914">
      <c r="A8914" s="1" t="s">
        <v>8915</v>
      </c>
      <c r="B8914" s="1" t="s">
        <v>6138</v>
      </c>
      <c r="C8914" s="2">
        <f>IFERROR(__xludf.DUMMYFUNCTION("IFERROR(VLOOKUP(A8914, IMPORTRANGE(""https://docs.google.com/spreadsheets/d/1AVX9GT0dgogEBStecCXMMQ29tWz3gBrtNB8yIromXbY/edit?gid=741673867"", ""out1g!A:B""), 2, FALSE), 0)"),68.0)</f>
        <v>68</v>
      </c>
      <c r="D8914" s="2" t="str">
        <f>IFERROR(__xludf.DUMMYFUNCTION("IFERROR(VLOOKUP(A8914, IMPORTRANGE(""https://docs.google.com/spreadsheets/d/1-3Vjw2Cyy-mry5gbC8ypIR3YVGFfEpyFESummAta6sg/edit"", ""Sheet1!B:D""), 2, FALSE), ""Not Found"")"),"broʊgən")</f>
        <v>broʊgən</v>
      </c>
      <c r="E8914" s="2" t="str">
        <f>IFERROR(__xludf.DUMMYFUNCTION("IFERROR(VLOOKUP(A8914, IMPORTRANGE(""https://docs.google.com/spreadsheets/d/1-3Vjw2Cyy-mry5gbC8ypIR3YVGFfEpyFESummAta6sg/edit"", ""Sheet1!B:D""), 3, FALSE), ""Not Found"")"),"b r o ʊ g ə n ")</f>
        <v>b r o ʊ g ə n </v>
      </c>
    </row>
    <row r="8915">
      <c r="A8915" s="1" t="s">
        <v>8916</v>
      </c>
      <c r="B8915" s="1" t="s">
        <v>6138</v>
      </c>
      <c r="C8915" s="2">
        <f>IFERROR(__xludf.DUMMYFUNCTION("IFERROR(VLOOKUP(A8915, IMPORTRANGE(""https://docs.google.com/spreadsheets/d/1AVX9GT0dgogEBStecCXMMQ29tWz3gBrtNB8yIromXbY/edit?gid=741673867"", ""out1g!A:B""), 2, FALSE), 0)"),15858.0)</f>
        <v>15858</v>
      </c>
      <c r="D8915" s="2" t="str">
        <f>IFERROR(__xludf.DUMMYFUNCTION("IFERROR(VLOOKUP(A8915, IMPORTRANGE(""https://docs.google.com/spreadsheets/d/1-3Vjw2Cyy-mry5gbC8ypIR3YVGFfEpyFESummAta6sg/edit"", ""Sheet1!B:D""), 2, FALSE), ""Not Found"")"),"mɪsɪz")</f>
        <v>mɪsɪz</v>
      </c>
      <c r="E8915" s="2" t="str">
        <f>IFERROR(__xludf.DUMMYFUNCTION("IFERROR(VLOOKUP(A8915, IMPORTRANGE(""https://docs.google.com/spreadsheets/d/1-3Vjw2Cyy-mry5gbC8ypIR3YVGFfEpyFESummAta6sg/edit"", ""Sheet1!B:D""), 3, FALSE), ""Not Found"")"),"m ɪ s ɪ z ")</f>
        <v>m ɪ s ɪ z </v>
      </c>
    </row>
    <row r="8916">
      <c r="A8916" s="1" t="s">
        <v>8917</v>
      </c>
      <c r="B8916" s="1" t="s">
        <v>6138</v>
      </c>
      <c r="C8916" s="2">
        <f>IFERROR(__xludf.DUMMYFUNCTION("IFERROR(VLOOKUP(A8916, IMPORTRANGE(""https://docs.google.com/spreadsheets/d/1AVX9GT0dgogEBStecCXMMQ29tWz3gBrtNB8yIromXbY/edit?gid=741673867"", ""out1g!A:B""), 2, FALSE), 0)"),418.0)</f>
        <v>418</v>
      </c>
      <c r="D8916" s="2" t="str">
        <f>IFERROR(__xludf.DUMMYFUNCTION("IFERROR(VLOOKUP(A8916, IMPORTRANGE(""https://docs.google.com/spreadsheets/d/1-3Vjw2Cyy-mry5gbC8ypIR3YVGFfEpyFESummAta6sg/edit"", ""Sheet1!B:D""), 2, FALSE), ""Not Found"")"),"kænjən")</f>
        <v>kænjən</v>
      </c>
      <c r="E8916" s="2" t="str">
        <f>IFERROR(__xludf.DUMMYFUNCTION("IFERROR(VLOOKUP(A8916, IMPORTRANGE(""https://docs.google.com/spreadsheets/d/1-3Vjw2Cyy-mry5gbC8ypIR3YVGFfEpyFESummAta6sg/edit"", ""Sheet1!B:D""), 3, FALSE), ""Not Found"")"),"k æ n j ə n ")</f>
        <v>k æ n j ə n </v>
      </c>
    </row>
    <row r="8917">
      <c r="A8917" s="1" t="s">
        <v>8918</v>
      </c>
      <c r="B8917" s="1" t="s">
        <v>6138</v>
      </c>
      <c r="C8917" s="2">
        <f>IFERROR(__xludf.DUMMYFUNCTION("IFERROR(VLOOKUP(A8917, IMPORTRANGE(""https://docs.google.com/spreadsheets/d/1AVX9GT0dgogEBStecCXMMQ29tWz3gBrtNB8yIromXbY/edit?gid=741673867"", ""out1g!A:B""), 2, FALSE), 0)"),348.0)</f>
        <v>348</v>
      </c>
      <c r="D8917" s="2" t="str">
        <f>IFERROR(__xludf.DUMMYFUNCTION("IFERROR(VLOOKUP(A8917, IMPORTRANGE(""https://docs.google.com/spreadsheets/d/1-3Vjw2Cyy-mry5gbC8ypIR3YVGFfEpyFESummAta6sg/edit"", ""Sheet1!B:D""), 2, FALSE), ""Not Found"")"),"ətrækʃən")</f>
        <v>ətrækʃən</v>
      </c>
      <c r="E8917" s="2" t="str">
        <f>IFERROR(__xludf.DUMMYFUNCTION("IFERROR(VLOOKUP(A8917, IMPORTRANGE(""https://docs.google.com/spreadsheets/d/1-3Vjw2Cyy-mry5gbC8ypIR3YVGFfEpyFESummAta6sg/edit"", ""Sheet1!B:D""), 3, FALSE), ""Not Found"")"),"ə t r æ k ʃ ə n ")</f>
        <v>ə t r æ k ʃ ə n </v>
      </c>
    </row>
    <row r="8918">
      <c r="A8918" s="1" t="s">
        <v>8919</v>
      </c>
      <c r="B8918" s="1" t="s">
        <v>6138</v>
      </c>
      <c r="C8918" s="2">
        <f>IFERROR(__xludf.DUMMYFUNCTION("IFERROR(VLOOKUP(A8918, IMPORTRANGE(""https://docs.google.com/spreadsheets/d/1AVX9GT0dgogEBStecCXMMQ29tWz3gBrtNB8yIromXbY/edit?gid=741673867"", ""out1g!A:B""), 2, FALSE), 0)"),2925.0)</f>
        <v>2925</v>
      </c>
      <c r="D8918" s="2" t="str">
        <f>IFERROR(__xludf.DUMMYFUNCTION("IFERROR(VLOOKUP(A8918, IMPORTRANGE(""https://docs.google.com/spreadsheets/d/1-3Vjw2Cyy-mry5gbC8ypIR3YVGFfEpyFESummAta6sg/edit"", ""Sheet1!B:D""), 2, FALSE), ""Not Found"")"),"ɔfən")</f>
        <v>ɔfən</v>
      </c>
      <c r="E8918" s="2" t="str">
        <f>IFERROR(__xludf.DUMMYFUNCTION("IFERROR(VLOOKUP(A8918, IMPORTRANGE(""https://docs.google.com/spreadsheets/d/1-3Vjw2Cyy-mry5gbC8ypIR3YVGFfEpyFESummAta6sg/edit"", ""Sheet1!B:D""), 3, FALSE), ""Not Found"")"),"ɔ f ə n ")</f>
        <v>ɔ f ə n </v>
      </c>
    </row>
    <row r="8919">
      <c r="A8919" s="1" t="s">
        <v>8920</v>
      </c>
      <c r="B8919" s="1" t="s">
        <v>6138</v>
      </c>
      <c r="C8919" s="2">
        <f>IFERROR(__xludf.DUMMYFUNCTION("IFERROR(VLOOKUP(A8919, IMPORTRANGE(""https://docs.google.com/spreadsheets/d/1AVX9GT0dgogEBStecCXMMQ29tWz3gBrtNB8yIromXbY/edit?gid=741673867"", ""out1g!A:B""), 2, FALSE), 0)"),27.0)</f>
        <v>27</v>
      </c>
      <c r="D8919" s="2" t="str">
        <f>IFERROR(__xludf.DUMMYFUNCTION("IFERROR(VLOOKUP(A8919, IMPORTRANGE(""https://docs.google.com/spreadsheets/d/1-3Vjw2Cyy-mry5gbC8ypIR3YVGFfEpyFESummAta6sg/edit"", ""Sheet1!B:D""), 2, FALSE), ""Not Found"")"),"skræpt")</f>
        <v>skræpt</v>
      </c>
      <c r="E8919" s="2" t="str">
        <f>IFERROR(__xludf.DUMMYFUNCTION("IFERROR(VLOOKUP(A8919, IMPORTRANGE(""https://docs.google.com/spreadsheets/d/1-3Vjw2Cyy-mry5gbC8ypIR3YVGFfEpyFESummAta6sg/edit"", ""Sheet1!B:D""), 3, FALSE), ""Not Found"")"),"s k r æ p t ")</f>
        <v>s k r æ p t </v>
      </c>
    </row>
    <row r="8920">
      <c r="A8920" s="1" t="s">
        <v>8921</v>
      </c>
      <c r="B8920" s="1" t="s">
        <v>6138</v>
      </c>
      <c r="C8920" s="2">
        <f>IFERROR(__xludf.DUMMYFUNCTION("IFERROR(VLOOKUP(A8920, IMPORTRANGE(""https://docs.google.com/spreadsheets/d/1AVX9GT0dgogEBStecCXMMQ29tWz3gBrtNB8yIromXbY/edit?gid=741673867"", ""out1g!A:B""), 2, FALSE), 0)"),109.0)</f>
        <v>109</v>
      </c>
      <c r="D8920" s="2" t="str">
        <f>IFERROR(__xludf.DUMMYFUNCTION("IFERROR(VLOOKUP(A8920, IMPORTRANGE(""https://docs.google.com/spreadsheets/d/1-3Vjw2Cyy-mry5gbC8ypIR3YVGFfEpyFESummAta6sg/edit"", ""Sheet1!B:D""), 2, FALSE), ""Not Found"")"),"fretər")</f>
        <v>fretər</v>
      </c>
      <c r="E8920" s="2" t="str">
        <f>IFERROR(__xludf.DUMMYFUNCTION("IFERROR(VLOOKUP(A8920, IMPORTRANGE(""https://docs.google.com/spreadsheets/d/1-3Vjw2Cyy-mry5gbC8ypIR3YVGFfEpyFESummAta6sg/edit"", ""Sheet1!B:D""), 3, FALSE), ""Not Found"")"),"f r e t ə r ")</f>
        <v>f r e t ə r </v>
      </c>
    </row>
    <row r="8921">
      <c r="A8921" s="1" t="s">
        <v>8922</v>
      </c>
      <c r="B8921" s="1" t="s">
        <v>6138</v>
      </c>
      <c r="C8921" s="2">
        <f>IFERROR(__xludf.DUMMYFUNCTION("IFERROR(VLOOKUP(A8921, IMPORTRANGE(""https://docs.google.com/spreadsheets/d/1AVX9GT0dgogEBStecCXMMQ29tWz3gBrtNB8yIromXbY/edit?gid=741673867"", ""out1g!A:B""), 2, FALSE), 0)"),223.0)</f>
        <v>223</v>
      </c>
      <c r="D8921" s="2" t="str">
        <f>IFERROR(__xludf.DUMMYFUNCTION("IFERROR(VLOOKUP(A8921, IMPORTRANGE(""https://docs.google.com/spreadsheets/d/1-3Vjw2Cyy-mry5gbC8ypIR3YVGFfEpyFESummAta6sg/edit"", ""Sheet1!B:D""), 2, FALSE), ""Not Found"")"),"əndu")</f>
        <v>əndu</v>
      </c>
      <c r="E8921" s="2" t="str">
        <f>IFERROR(__xludf.DUMMYFUNCTION("IFERROR(VLOOKUP(A8921, IMPORTRANGE(""https://docs.google.com/spreadsheets/d/1-3Vjw2Cyy-mry5gbC8ypIR3YVGFfEpyFESummAta6sg/edit"", ""Sheet1!B:D""), 3, FALSE), ""Not Found"")"),"ə n d u ")</f>
        <v>ə n d u </v>
      </c>
    </row>
    <row r="8922">
      <c r="A8922" s="1" t="s">
        <v>8923</v>
      </c>
      <c r="B8922" s="1" t="s">
        <v>6138</v>
      </c>
      <c r="C8922" s="2">
        <f>IFERROR(__xludf.DUMMYFUNCTION("IFERROR(VLOOKUP(A8922, IMPORTRANGE(""https://docs.google.com/spreadsheets/d/1AVX9GT0dgogEBStecCXMMQ29tWz3gBrtNB8yIromXbY/edit?gid=741673867"", ""out1g!A:B""), 2, FALSE), 0)"),346.0)</f>
        <v>346</v>
      </c>
      <c r="D8922" s="2" t="str">
        <f>IFERROR(__xludf.DUMMYFUNCTION("IFERROR(VLOOKUP(A8922, IMPORTRANGE(""https://docs.google.com/spreadsheets/d/1-3Vjw2Cyy-mry5gbC8ypIR3YVGFfEpyFESummAta6sg/edit"", ""Sheet1!B:D""), 2, FALSE), ""Not Found"")"),"təʧɪz")</f>
        <v>təʧɪz</v>
      </c>
      <c r="E8922" s="2" t="str">
        <f>IFERROR(__xludf.DUMMYFUNCTION("IFERROR(VLOOKUP(A8922, IMPORTRANGE(""https://docs.google.com/spreadsheets/d/1-3Vjw2Cyy-mry5gbC8ypIR3YVGFfEpyFESummAta6sg/edit"", ""Sheet1!B:D""), 3, FALSE), ""Not Found"")"),"t ə ʧ ɪ z ")</f>
        <v>t ə ʧ ɪ z </v>
      </c>
    </row>
    <row r="8923">
      <c r="A8923" s="1" t="s">
        <v>8924</v>
      </c>
      <c r="B8923" s="1" t="s">
        <v>6138</v>
      </c>
      <c r="C8923" s="2">
        <f>IFERROR(__xludf.DUMMYFUNCTION("IFERROR(VLOOKUP(A8923, IMPORTRANGE(""https://docs.google.com/spreadsheets/d/1AVX9GT0dgogEBStecCXMMQ29tWz3gBrtNB8yIromXbY/edit?gid=741673867"", ""out1g!A:B""), 2, FALSE), 0)"),267.0)</f>
        <v>267</v>
      </c>
      <c r="D8923" s="2" t="str">
        <f>IFERROR(__xludf.DUMMYFUNCTION("IFERROR(VLOOKUP(A8923, IMPORTRANGE(""https://docs.google.com/spreadsheets/d/1-3Vjw2Cyy-mry5gbC8ypIR3YVGFfEpyFESummAta6sg/edit"", ""Sheet1!B:D""), 2, FALSE), ""Not Found"")"),"mɑrkər")</f>
        <v>mɑrkər</v>
      </c>
      <c r="E8923" s="2" t="str">
        <f>IFERROR(__xludf.DUMMYFUNCTION("IFERROR(VLOOKUP(A8923, IMPORTRANGE(""https://docs.google.com/spreadsheets/d/1-3Vjw2Cyy-mry5gbC8ypIR3YVGFfEpyFESummAta6sg/edit"", ""Sheet1!B:D""), 3, FALSE), ""Not Found"")"),"m ɑ r k ə r ")</f>
        <v>m ɑ r k ə r </v>
      </c>
    </row>
    <row r="8924">
      <c r="A8924" s="1" t="s">
        <v>8925</v>
      </c>
      <c r="B8924" s="1" t="s">
        <v>6138</v>
      </c>
      <c r="C8924" s="2">
        <f>IFERROR(__xludf.DUMMYFUNCTION("IFERROR(VLOOKUP(A8924, IMPORTRANGE(""https://docs.google.com/spreadsheets/d/1AVX9GT0dgogEBStecCXMMQ29tWz3gBrtNB8yIromXbY/edit?gid=741673867"", ""out1g!A:B""), 2, FALSE), 0)"),46.0)</f>
        <v>46</v>
      </c>
      <c r="D8924" s="2" t="str">
        <f>IFERROR(__xludf.DUMMYFUNCTION("IFERROR(VLOOKUP(A8924, IMPORTRANGE(""https://docs.google.com/spreadsheets/d/1-3Vjw2Cyy-mry5gbC8ypIR3YVGFfEpyFESummAta6sg/edit"", ""Sheet1!B:D""), 2, FALSE), ""Not Found"")"),"rɛktəl")</f>
        <v>rɛktəl</v>
      </c>
      <c r="E8924" s="2" t="str">
        <f>IFERROR(__xludf.DUMMYFUNCTION("IFERROR(VLOOKUP(A8924, IMPORTRANGE(""https://docs.google.com/spreadsheets/d/1-3Vjw2Cyy-mry5gbC8ypIR3YVGFfEpyFESummAta6sg/edit"", ""Sheet1!B:D""), 3, FALSE), ""Not Found"")"),"r ɛ k t ə l ")</f>
        <v>r ɛ k t ə l </v>
      </c>
    </row>
    <row r="8925">
      <c r="A8925" s="1" t="s">
        <v>8926</v>
      </c>
      <c r="B8925" s="1" t="s">
        <v>6138</v>
      </c>
      <c r="C8925" s="2">
        <f>IFERROR(__xludf.DUMMYFUNCTION("IFERROR(VLOOKUP(A8925, IMPORTRANGE(""https://docs.google.com/spreadsheets/d/1AVX9GT0dgogEBStecCXMMQ29tWz3gBrtNB8yIromXbY/edit?gid=741673867"", ""out1g!A:B""), 2, FALSE), 0)"),64.0)</f>
        <v>64</v>
      </c>
      <c r="D8925" s="2" t="str">
        <f>IFERROR(__xludf.DUMMYFUNCTION("IFERROR(VLOOKUP(A8925, IMPORTRANGE(""https://docs.google.com/spreadsheets/d/1-3Vjw2Cyy-mry5gbC8ypIR3YVGFfEpyFESummAta6sg/edit"", ""Sheet1!B:D""), 2, FALSE), ""Not Found"")"),"həbəl")</f>
        <v>həbəl</v>
      </c>
      <c r="E8925" s="2" t="str">
        <f>IFERROR(__xludf.DUMMYFUNCTION("IFERROR(VLOOKUP(A8925, IMPORTRANGE(""https://docs.google.com/spreadsheets/d/1-3Vjw2Cyy-mry5gbC8ypIR3YVGFfEpyFESummAta6sg/edit"", ""Sheet1!B:D""), 3, FALSE), ""Not Found"")"),"h ə b ə l ")</f>
        <v>h ə b ə l </v>
      </c>
    </row>
    <row r="8926">
      <c r="A8926" s="1" t="s">
        <v>8927</v>
      </c>
      <c r="B8926" s="1" t="s">
        <v>6138</v>
      </c>
      <c r="C8926" s="2">
        <f>IFERROR(__xludf.DUMMYFUNCTION("IFERROR(VLOOKUP(A8926, IMPORTRANGE(""https://docs.google.com/spreadsheets/d/1AVX9GT0dgogEBStecCXMMQ29tWz3gBrtNB8yIromXbY/edit?gid=741673867"", ""out1g!A:B""), 2, FALSE), 0)"),143.0)</f>
        <v>143</v>
      </c>
      <c r="D8926" s="2" t="str">
        <f>IFERROR(__xludf.DUMMYFUNCTION("IFERROR(VLOOKUP(A8926, IMPORTRANGE(""https://docs.google.com/spreadsheets/d/1-3Vjw2Cyy-mry5gbC8ypIR3YVGFfEpyFESummAta6sg/edit"", ""Sheet1!B:D""), 2, FALSE), ""Not Found"")"),"praɪzɪz")</f>
        <v>praɪzɪz</v>
      </c>
      <c r="E8926" s="2" t="str">
        <f>IFERROR(__xludf.DUMMYFUNCTION("IFERROR(VLOOKUP(A8926, IMPORTRANGE(""https://docs.google.com/spreadsheets/d/1-3Vjw2Cyy-mry5gbC8ypIR3YVGFfEpyFESummAta6sg/edit"", ""Sheet1!B:D""), 3, FALSE), ""Not Found"")"),"p r a ɪ z ɪ z ")</f>
        <v>p r a ɪ z ɪ z </v>
      </c>
    </row>
    <row r="8927">
      <c r="A8927" s="1" t="s">
        <v>8928</v>
      </c>
      <c r="B8927" s="1" t="s">
        <v>6138</v>
      </c>
      <c r="C8927" s="2">
        <f>IFERROR(__xludf.DUMMYFUNCTION("IFERROR(VLOOKUP(A8927, IMPORTRANGE(""https://docs.google.com/spreadsheets/d/1AVX9GT0dgogEBStecCXMMQ29tWz3gBrtNB8yIromXbY/edit?gid=741673867"", ""out1g!A:B""), 2, FALSE), 0)"),506.0)</f>
        <v>506</v>
      </c>
      <c r="D8927" s="2" t="str">
        <f>IFERROR(__xludf.DUMMYFUNCTION("IFERROR(VLOOKUP(A8927, IMPORTRANGE(""https://docs.google.com/spreadsheets/d/1-3Vjw2Cyy-mry5gbC8ypIR3YVGFfEpyFESummAta6sg/edit"", ""Sheet1!B:D""), 2, FALSE), ""Not Found"")"),"kɔzɪz")</f>
        <v>kɔzɪz</v>
      </c>
      <c r="E8927" s="2" t="str">
        <f>IFERROR(__xludf.DUMMYFUNCTION("IFERROR(VLOOKUP(A8927, IMPORTRANGE(""https://docs.google.com/spreadsheets/d/1-3Vjw2Cyy-mry5gbC8ypIR3YVGFfEpyFESummAta6sg/edit"", ""Sheet1!B:D""), 3, FALSE), ""Not Found"")"),"k ɔ z ɪ z ")</f>
        <v>k ɔ z ɪ z </v>
      </c>
    </row>
    <row r="8928">
      <c r="A8928" s="1" t="s">
        <v>8929</v>
      </c>
      <c r="B8928" s="1" t="s">
        <v>6138</v>
      </c>
      <c r="C8928" s="2">
        <f>IFERROR(__xludf.DUMMYFUNCTION("IFERROR(VLOOKUP(A8928, IMPORTRANGE(""https://docs.google.com/spreadsheets/d/1AVX9GT0dgogEBStecCXMMQ29tWz3gBrtNB8yIromXbY/edit?gid=741673867"", ""out1g!A:B""), 2, FALSE), 0)"),265.0)</f>
        <v>265</v>
      </c>
      <c r="D8928" s="2" t="str">
        <f>IFERROR(__xludf.DUMMYFUNCTION("IFERROR(VLOOKUP(A8928, IMPORTRANGE(""https://docs.google.com/spreadsheets/d/1-3Vjw2Cyy-mry5gbC8ypIR3YVGFfEpyFESummAta6sg/edit"", ""Sheet1!B:D""), 2, FALSE), ""Not Found"")"),"tiʧɪz")</f>
        <v>tiʧɪz</v>
      </c>
      <c r="E8928" s="2" t="str">
        <f>IFERROR(__xludf.DUMMYFUNCTION("IFERROR(VLOOKUP(A8928, IMPORTRANGE(""https://docs.google.com/spreadsheets/d/1-3Vjw2Cyy-mry5gbC8ypIR3YVGFfEpyFESummAta6sg/edit"", ""Sheet1!B:D""), 3, FALSE), ""Not Found"")"),"t i ʧ ɪ z ")</f>
        <v>t i ʧ ɪ z </v>
      </c>
    </row>
    <row r="8929">
      <c r="A8929" s="1" t="s">
        <v>8930</v>
      </c>
      <c r="B8929" s="1" t="s">
        <v>6138</v>
      </c>
      <c r="C8929" s="2">
        <f>IFERROR(__xludf.DUMMYFUNCTION("IFERROR(VLOOKUP(A8929, IMPORTRANGE(""https://docs.google.com/spreadsheets/d/1AVX9GT0dgogEBStecCXMMQ29tWz3gBrtNB8yIromXbY/edit?gid=741673867"", ""out1g!A:B""), 2, FALSE), 0)"),25.0)</f>
        <v>25</v>
      </c>
      <c r="D8929" s="2" t="str">
        <f>IFERROR(__xludf.DUMMYFUNCTION("IFERROR(VLOOKUP(A8929, IMPORTRANGE(""https://docs.google.com/spreadsheets/d/1-3Vjw2Cyy-mry5gbC8ypIR3YVGFfEpyFESummAta6sg/edit"", ""Sheet1!B:D""), 2, FALSE), ""Not Found"")"),"lirɪŋ")</f>
        <v>lirɪŋ</v>
      </c>
      <c r="E8929" s="2" t="str">
        <f>IFERROR(__xludf.DUMMYFUNCTION("IFERROR(VLOOKUP(A8929, IMPORTRANGE(""https://docs.google.com/spreadsheets/d/1-3Vjw2Cyy-mry5gbC8ypIR3YVGFfEpyFESummAta6sg/edit"", ""Sheet1!B:D""), 3, FALSE), ""Not Found"")"),"l i r ɪ ŋ ")</f>
        <v>l i r ɪ ŋ </v>
      </c>
    </row>
    <row r="8930">
      <c r="A8930" s="1" t="s">
        <v>8931</v>
      </c>
      <c r="B8930" s="1" t="s">
        <v>6138</v>
      </c>
      <c r="C8930" s="2">
        <f>IFERROR(__xludf.DUMMYFUNCTION("IFERROR(VLOOKUP(A8930, IMPORTRANGE(""https://docs.google.com/spreadsheets/d/1AVX9GT0dgogEBStecCXMMQ29tWz3gBrtNB8yIromXbY/edit?gid=741673867"", ""out1g!A:B""), 2, FALSE), 0)"),134.0)</f>
        <v>134</v>
      </c>
      <c r="D8930" s="2" t="str">
        <f>IFERROR(__xludf.DUMMYFUNCTION("IFERROR(VLOOKUP(A8930, IMPORTRANGE(""https://docs.google.com/spreadsheets/d/1-3Vjw2Cyy-mry5gbC8ypIR3YVGFfEpyFESummAta6sg/edit"", ""Sheet1!B:D""), 2, FALSE), ""Not Found"")"),"rɪgen")</f>
        <v>rɪgen</v>
      </c>
      <c r="E8930" s="2" t="str">
        <f>IFERROR(__xludf.DUMMYFUNCTION("IFERROR(VLOOKUP(A8930, IMPORTRANGE(""https://docs.google.com/spreadsheets/d/1-3Vjw2Cyy-mry5gbC8ypIR3YVGFfEpyFESummAta6sg/edit"", ""Sheet1!B:D""), 3, FALSE), ""Not Found"")"),"r ɪ g e n ")</f>
        <v>r ɪ g e n </v>
      </c>
    </row>
    <row r="8931">
      <c r="A8931" s="1" t="s">
        <v>8932</v>
      </c>
      <c r="B8931" s="1" t="s">
        <v>6138</v>
      </c>
      <c r="C8931" s="2">
        <f>IFERROR(__xludf.DUMMYFUNCTION("IFERROR(VLOOKUP(A8931, IMPORTRANGE(""https://docs.google.com/spreadsheets/d/1AVX9GT0dgogEBStecCXMMQ29tWz3gBrtNB8yIromXbY/edit?gid=741673867"", ""out1g!A:B""), 2, FALSE), 0)"),1117.0)</f>
        <v>1117</v>
      </c>
      <c r="D8931" s="2" t="str">
        <f>IFERROR(__xludf.DUMMYFUNCTION("IFERROR(VLOOKUP(A8931, IMPORTRANGE(""https://docs.google.com/spreadsheets/d/1-3Vjw2Cyy-mry5gbC8ypIR3YVGFfEpyFESummAta6sg/edit"", ""Sheet1!B:D""), 2, FALSE), ""Not Found"")"),"mɑrks")</f>
        <v>mɑrks</v>
      </c>
      <c r="E8931" s="2" t="str">
        <f>IFERROR(__xludf.DUMMYFUNCTION("IFERROR(VLOOKUP(A8931, IMPORTRANGE(""https://docs.google.com/spreadsheets/d/1-3Vjw2Cyy-mry5gbC8ypIR3YVGFfEpyFESummAta6sg/edit"", ""Sheet1!B:D""), 3, FALSE), ""Not Found"")"),"m ɑ r k s ")</f>
        <v>m ɑ r k s </v>
      </c>
    </row>
    <row r="8932">
      <c r="A8932" s="1" t="s">
        <v>8933</v>
      </c>
      <c r="B8932" s="1" t="s">
        <v>6138</v>
      </c>
      <c r="C8932" s="2">
        <f>IFERROR(__xludf.DUMMYFUNCTION("IFERROR(VLOOKUP(A8932, IMPORTRANGE(""https://docs.google.com/spreadsheets/d/1AVX9GT0dgogEBStecCXMMQ29tWz3gBrtNB8yIromXbY/edit?gid=741673867"", ""out1g!A:B""), 2, FALSE), 0)"),62.0)</f>
        <v>62</v>
      </c>
      <c r="D8932" s="2" t="str">
        <f>IFERROR(__xludf.DUMMYFUNCTION("IFERROR(VLOOKUP(A8932, IMPORTRANGE(""https://docs.google.com/spreadsheets/d/1-3Vjw2Cyy-mry5gbC8ypIR3YVGFfEpyFESummAta6sg/edit"", ""Sheet1!B:D""), 2, FALSE), ""Not Found"")"),"ʧɑrʤər")</f>
        <v>ʧɑrʤər</v>
      </c>
      <c r="E8932" s="2" t="str">
        <f>IFERROR(__xludf.DUMMYFUNCTION("IFERROR(VLOOKUP(A8932, IMPORTRANGE(""https://docs.google.com/spreadsheets/d/1-3Vjw2Cyy-mry5gbC8ypIR3YVGFfEpyFESummAta6sg/edit"", ""Sheet1!B:D""), 3, FALSE), ""Not Found"")"),"ʧ ɑ r ʤ ə r ")</f>
        <v>ʧ ɑ r ʤ ə r </v>
      </c>
    </row>
    <row r="8933">
      <c r="A8933" s="1" t="s">
        <v>8934</v>
      </c>
      <c r="B8933" s="1" t="s">
        <v>6138</v>
      </c>
      <c r="C8933" s="2">
        <f>IFERROR(__xludf.DUMMYFUNCTION("IFERROR(VLOOKUP(A8933, IMPORTRANGE(""https://docs.google.com/spreadsheets/d/1AVX9GT0dgogEBStecCXMMQ29tWz3gBrtNB8yIromXbY/edit?gid=741673867"", ""out1g!A:B""), 2, FALSE), 0)"),282.0)</f>
        <v>282</v>
      </c>
      <c r="D8933" s="2" t="str">
        <f>IFERROR(__xludf.DUMMYFUNCTION("IFERROR(VLOOKUP(A8933, IMPORTRANGE(""https://docs.google.com/spreadsheets/d/1-3Vjw2Cyy-mry5gbC8ypIR3YVGFfEpyFESummAta6sg/edit"", ""Sheet1!B:D""), 2, FALSE), ""Not Found"")"),"pɪŋki")</f>
        <v>pɪŋki</v>
      </c>
      <c r="E8933" s="2" t="str">
        <f>IFERROR(__xludf.DUMMYFUNCTION("IFERROR(VLOOKUP(A8933, IMPORTRANGE(""https://docs.google.com/spreadsheets/d/1-3Vjw2Cyy-mry5gbC8ypIR3YVGFfEpyFESummAta6sg/edit"", ""Sheet1!B:D""), 3, FALSE), ""Not Found"")"),"p ɪ ŋ k i ")</f>
        <v>p ɪ ŋ k i </v>
      </c>
    </row>
    <row r="8934">
      <c r="A8934" s="1" t="s">
        <v>8935</v>
      </c>
      <c r="B8934" s="1" t="s">
        <v>6138</v>
      </c>
      <c r="C8934" s="2">
        <f>IFERROR(__xludf.DUMMYFUNCTION("IFERROR(VLOOKUP(A8934, IMPORTRANGE(""https://docs.google.com/spreadsheets/d/1AVX9GT0dgogEBStecCXMMQ29tWz3gBrtNB8yIromXbY/edit?gid=741673867"", ""out1g!A:B""), 2, FALSE), 0)"),2155.0)</f>
        <v>2155</v>
      </c>
      <c r="D8934" s="2" t="str">
        <f>IFERROR(__xludf.DUMMYFUNCTION("IFERROR(VLOOKUP(A8934, IMPORTRANGE(""https://docs.google.com/spreadsheets/d/1-3Vjw2Cyy-mry5gbC8ypIR3YVGFfEpyFESummAta6sg/edit"", ""Sheet1!B:D""), 2, FALSE), ""Not Found"")"),"bætəl")</f>
        <v>bætəl</v>
      </c>
      <c r="E8934" s="2" t="str">
        <f>IFERROR(__xludf.DUMMYFUNCTION("IFERROR(VLOOKUP(A8934, IMPORTRANGE(""https://docs.google.com/spreadsheets/d/1-3Vjw2Cyy-mry5gbC8ypIR3YVGFfEpyFESummAta6sg/edit"", ""Sheet1!B:D""), 3, FALSE), ""Not Found"")"),"b æ t ə l ")</f>
        <v>b æ t ə l </v>
      </c>
    </row>
    <row r="8935">
      <c r="A8935" s="1" t="s">
        <v>8936</v>
      </c>
      <c r="B8935" s="1" t="s">
        <v>6138</v>
      </c>
      <c r="C8935" s="2">
        <f>IFERROR(__xludf.DUMMYFUNCTION("IFERROR(VLOOKUP(A8935, IMPORTRANGE(""https://docs.google.com/spreadsheets/d/1AVX9GT0dgogEBStecCXMMQ29tWz3gBrtNB8yIromXbY/edit?gid=741673867"", ""out1g!A:B""), 2, FALSE), 0)"),96.0)</f>
        <v>96</v>
      </c>
      <c r="D8935" s="2" t="str">
        <f>IFERROR(__xludf.DUMMYFUNCTION("IFERROR(VLOOKUP(A8935, IMPORTRANGE(""https://docs.google.com/spreadsheets/d/1-3Vjw2Cyy-mry5gbC8ypIR3YVGFfEpyFESummAta6sg/edit"", ""Sheet1!B:D""), 2, FALSE), ""Not Found"")"),"rɪŋkəl")</f>
        <v>rɪŋkəl</v>
      </c>
      <c r="E8935" s="2" t="str">
        <f>IFERROR(__xludf.DUMMYFUNCTION("IFERROR(VLOOKUP(A8935, IMPORTRANGE(""https://docs.google.com/spreadsheets/d/1-3Vjw2Cyy-mry5gbC8ypIR3YVGFfEpyFESummAta6sg/edit"", ""Sheet1!B:D""), 3, FALSE), ""Not Found"")"),"r ɪ ŋ k ə l ")</f>
        <v>r ɪ ŋ k ə l </v>
      </c>
    </row>
    <row r="8936">
      <c r="A8936" s="1" t="s">
        <v>8937</v>
      </c>
      <c r="B8936" s="1" t="s">
        <v>6138</v>
      </c>
      <c r="C8936" s="2">
        <f>IFERROR(__xludf.DUMMYFUNCTION("IFERROR(VLOOKUP(A8936, IMPORTRANGE(""https://docs.google.com/spreadsheets/d/1AVX9GT0dgogEBStecCXMMQ29tWz3gBrtNB8yIromXbY/edit?gid=741673867"", ""out1g!A:B""), 2, FALSE), 0)"),1879.0)</f>
        <v>1879</v>
      </c>
      <c r="D8936" s="2" t="str">
        <f>IFERROR(__xludf.DUMMYFUNCTION("IFERROR(VLOOKUP(A8936, IMPORTRANGE(""https://docs.google.com/spreadsheets/d/1-3Vjw2Cyy-mry5gbC8ypIR3YVGFfEpyFESummAta6sg/edit"", ""Sheet1!B:D""), 2, FALSE), ""Not Found"")"),"mel")</f>
        <v>mel</v>
      </c>
      <c r="E8936" s="2" t="str">
        <f>IFERROR(__xludf.DUMMYFUNCTION("IFERROR(VLOOKUP(A8936, IMPORTRANGE(""https://docs.google.com/spreadsheets/d/1-3Vjw2Cyy-mry5gbC8ypIR3YVGFfEpyFESummAta6sg/edit"", ""Sheet1!B:D""), 3, FALSE), ""Not Found"")"),"m e l ")</f>
        <v>m e l </v>
      </c>
    </row>
    <row r="8937">
      <c r="A8937" s="1" t="s">
        <v>8938</v>
      </c>
      <c r="B8937" s="1" t="s">
        <v>6138</v>
      </c>
      <c r="C8937" s="2">
        <f>IFERROR(__xludf.DUMMYFUNCTION("IFERROR(VLOOKUP(A8937, IMPORTRANGE(""https://docs.google.com/spreadsheets/d/1AVX9GT0dgogEBStecCXMMQ29tWz3gBrtNB8yIromXbY/edit?gid=741673867"", ""out1g!A:B""), 2, FALSE), 0)"),65.0)</f>
        <v>65</v>
      </c>
      <c r="D8937" s="2" t="str">
        <f>IFERROR(__xludf.DUMMYFUNCTION("IFERROR(VLOOKUP(A8937, IMPORTRANGE(""https://docs.google.com/spreadsheets/d/1-3Vjw2Cyy-mry5gbC8ypIR3YVGFfEpyFESummAta6sg/edit"", ""Sheet1!B:D""), 2, FALSE), ""Not Found"")"),"sləts")</f>
        <v>sləts</v>
      </c>
      <c r="E8937" s="2" t="str">
        <f>IFERROR(__xludf.DUMMYFUNCTION("IFERROR(VLOOKUP(A8937, IMPORTRANGE(""https://docs.google.com/spreadsheets/d/1-3Vjw2Cyy-mry5gbC8ypIR3YVGFfEpyFESummAta6sg/edit"", ""Sheet1!B:D""), 3, FALSE), ""Not Found"")"),"s l ə t s ")</f>
        <v>s l ə t s </v>
      </c>
    </row>
    <row r="8938">
      <c r="A8938" s="1" t="s">
        <v>8939</v>
      </c>
      <c r="B8938" s="1" t="s">
        <v>6138</v>
      </c>
      <c r="C8938" s="2">
        <f>IFERROR(__xludf.DUMMYFUNCTION("IFERROR(VLOOKUP(A8938, IMPORTRANGE(""https://docs.google.com/spreadsheets/d/1AVX9GT0dgogEBStecCXMMQ29tWz3gBrtNB8yIromXbY/edit?gid=741673867"", ""out1g!A:B""), 2, FALSE), 0)"),75.0)</f>
        <v>75</v>
      </c>
      <c r="D8938" s="2" t="str">
        <f>IFERROR(__xludf.DUMMYFUNCTION("IFERROR(VLOOKUP(A8938, IMPORTRANGE(""https://docs.google.com/spreadsheets/d/1-3Vjw2Cyy-mry5gbC8ypIR3YVGFfEpyFESummAta6sg/edit"", ""Sheet1!B:D""), 2, FALSE), ""Not Found"")"),"riʤənz")</f>
        <v>riʤənz</v>
      </c>
      <c r="E8938" s="2" t="str">
        <f>IFERROR(__xludf.DUMMYFUNCTION("IFERROR(VLOOKUP(A8938, IMPORTRANGE(""https://docs.google.com/spreadsheets/d/1-3Vjw2Cyy-mry5gbC8ypIR3YVGFfEpyFESummAta6sg/edit"", ""Sheet1!B:D""), 3, FALSE), ""Not Found"")"),"r i ʤ ə n z ")</f>
        <v>r i ʤ ə n z </v>
      </c>
    </row>
    <row r="8939">
      <c r="A8939" s="1" t="s">
        <v>8940</v>
      </c>
      <c r="B8939" s="1" t="s">
        <v>6138</v>
      </c>
      <c r="C8939" s="2">
        <f>IFERROR(__xludf.DUMMYFUNCTION("IFERROR(VLOOKUP(A8939, IMPORTRANGE(""https://docs.google.com/spreadsheets/d/1AVX9GT0dgogEBStecCXMMQ29tWz3gBrtNB8yIromXbY/edit?gid=741673867"", ""out1g!A:B""), 2, FALSE), 0)"),572.0)</f>
        <v>572</v>
      </c>
      <c r="D8939" s="2" t="str">
        <f>IFERROR(__xludf.DUMMYFUNCTION("IFERROR(VLOOKUP(A8939, IMPORTRANGE(""https://docs.google.com/spreadsheets/d/1-3Vjw2Cyy-mry5gbC8ypIR3YVGFfEpyFESummAta6sg/edit"", ""Sheet1!B:D""), 2, FALSE), ""Not Found"")"),"rændi")</f>
        <v>rændi</v>
      </c>
      <c r="E8939" s="2" t="str">
        <f>IFERROR(__xludf.DUMMYFUNCTION("IFERROR(VLOOKUP(A8939, IMPORTRANGE(""https://docs.google.com/spreadsheets/d/1-3Vjw2Cyy-mry5gbC8ypIR3YVGFfEpyFESummAta6sg/edit"", ""Sheet1!B:D""), 3, FALSE), ""Not Found"")"),"r æ n d i ")</f>
        <v>r æ n d i </v>
      </c>
    </row>
    <row r="8940">
      <c r="A8940" s="1" t="s">
        <v>8941</v>
      </c>
      <c r="B8940" s="1" t="s">
        <v>6138</v>
      </c>
      <c r="C8940" s="2">
        <f>IFERROR(__xludf.DUMMYFUNCTION("IFERROR(VLOOKUP(A8940, IMPORTRANGE(""https://docs.google.com/spreadsheets/d/1AVX9GT0dgogEBStecCXMMQ29tWz3gBrtNB8yIromXbY/edit?gid=741673867"", ""out1g!A:B""), 2, FALSE), 0)"),263.0)</f>
        <v>263</v>
      </c>
      <c r="D8940" s="2" t="str">
        <f>IFERROR(__xludf.DUMMYFUNCTION("IFERROR(VLOOKUP(A8940, IMPORTRANGE(""https://docs.google.com/spreadsheets/d/1-3Vjw2Cyy-mry5gbC8ypIR3YVGFfEpyFESummAta6sg/edit"", ""Sheet1!B:D""), 2, FALSE), ""Not Found"")"),"stræp")</f>
        <v>stræp</v>
      </c>
      <c r="E8940" s="2" t="str">
        <f>IFERROR(__xludf.DUMMYFUNCTION("IFERROR(VLOOKUP(A8940, IMPORTRANGE(""https://docs.google.com/spreadsheets/d/1-3Vjw2Cyy-mry5gbC8ypIR3YVGFfEpyFESummAta6sg/edit"", ""Sheet1!B:D""), 3, FALSE), ""Not Found"")"),"s t r æ p ")</f>
        <v>s t r æ p </v>
      </c>
    </row>
    <row r="8941">
      <c r="A8941" s="1" t="s">
        <v>8942</v>
      </c>
      <c r="B8941" s="1" t="s">
        <v>6138</v>
      </c>
      <c r="C8941" s="2">
        <f>IFERROR(__xludf.DUMMYFUNCTION("IFERROR(VLOOKUP(A8941, IMPORTRANGE(""https://docs.google.com/spreadsheets/d/1AVX9GT0dgogEBStecCXMMQ29tWz3gBrtNB8yIromXbY/edit?gid=741673867"", ""out1g!A:B""), 2, FALSE), 0)"),3027.0)</f>
        <v>3027</v>
      </c>
      <c r="D8941" s="2" t="str">
        <f>IFERROR(__xludf.DUMMYFUNCTION("IFERROR(VLOOKUP(A8941, IMPORTRANGE(""https://docs.google.com/spreadsheets/d/1-3Vjw2Cyy-mry5gbC8ypIR3YVGFfEpyFESummAta6sg/edit"", ""Sheet1!B:D""), 2, FALSE), ""Not Found"")"),"slipɪŋ")</f>
        <v>slipɪŋ</v>
      </c>
      <c r="E8941" s="2" t="str">
        <f>IFERROR(__xludf.DUMMYFUNCTION("IFERROR(VLOOKUP(A8941, IMPORTRANGE(""https://docs.google.com/spreadsheets/d/1-3Vjw2Cyy-mry5gbC8ypIR3YVGFfEpyFESummAta6sg/edit"", ""Sheet1!B:D""), 3, FALSE), ""Not Found"")"),"s l i p ɪ ŋ ")</f>
        <v>s l i p ɪ ŋ </v>
      </c>
    </row>
    <row r="8942">
      <c r="A8942" s="1" t="s">
        <v>8943</v>
      </c>
      <c r="B8942" s="1" t="s">
        <v>6138</v>
      </c>
      <c r="C8942" s="2">
        <f>IFERROR(__xludf.DUMMYFUNCTION("IFERROR(VLOOKUP(A8942, IMPORTRANGE(""https://docs.google.com/spreadsheets/d/1AVX9GT0dgogEBStecCXMMQ29tWz3gBrtNB8yIromXbY/edit?gid=741673867"", ""out1g!A:B""), 2, FALSE), 0)"),288.0)</f>
        <v>288</v>
      </c>
      <c r="D8942" s="2" t="str">
        <f>IFERROR(__xludf.DUMMYFUNCTION("IFERROR(VLOOKUP(A8942, IMPORTRANGE(""https://docs.google.com/spreadsheets/d/1-3Vjw2Cyy-mry5gbC8ypIR3YVGFfEpyFESummAta6sg/edit"", ""Sheet1!B:D""), 2, FALSE), ""Not Found"")"),"dɪlaɪt")</f>
        <v>dɪlaɪt</v>
      </c>
      <c r="E8942" s="2" t="str">
        <f>IFERROR(__xludf.DUMMYFUNCTION("IFERROR(VLOOKUP(A8942, IMPORTRANGE(""https://docs.google.com/spreadsheets/d/1-3Vjw2Cyy-mry5gbC8ypIR3YVGFfEpyFESummAta6sg/edit"", ""Sheet1!B:D""), 3, FALSE), ""Not Found"")"),"d ɪ l a ɪ t ")</f>
        <v>d ɪ l a ɪ t </v>
      </c>
    </row>
    <row r="8943">
      <c r="A8943" s="1" t="s">
        <v>8944</v>
      </c>
      <c r="B8943" s="1" t="s">
        <v>6138</v>
      </c>
      <c r="C8943" s="2">
        <f>IFERROR(__xludf.DUMMYFUNCTION("IFERROR(VLOOKUP(A8943, IMPORTRANGE(""https://docs.google.com/spreadsheets/d/1AVX9GT0dgogEBStecCXMMQ29tWz3gBrtNB8yIromXbY/edit?gid=741673867"", ""out1g!A:B""), 2, FALSE), 0)"),784.0)</f>
        <v>784</v>
      </c>
      <c r="D8943" s="2" t="str">
        <f>IFERROR(__xludf.DUMMYFUNCTION("IFERROR(VLOOKUP(A8943, IMPORTRANGE(""https://docs.google.com/spreadsheets/d/1-3Vjw2Cyy-mry5gbC8ypIR3YVGFfEpyFESummAta6sg/edit"", ""Sheet1!B:D""), 2, FALSE), ""Not Found"")"),"ʤəŋk")</f>
        <v>ʤəŋk</v>
      </c>
      <c r="E8943" s="2" t="str">
        <f>IFERROR(__xludf.DUMMYFUNCTION("IFERROR(VLOOKUP(A8943, IMPORTRANGE(""https://docs.google.com/spreadsheets/d/1-3Vjw2Cyy-mry5gbC8ypIR3YVGFfEpyFESummAta6sg/edit"", ""Sheet1!B:D""), 3, FALSE), ""Not Found"")"),"ʤ ə ŋ k ")</f>
        <v>ʤ ə ŋ k </v>
      </c>
    </row>
    <row r="8944">
      <c r="A8944" s="1" t="s">
        <v>8945</v>
      </c>
      <c r="B8944" s="1" t="s">
        <v>6138</v>
      </c>
      <c r="C8944" s="2">
        <f>IFERROR(__xludf.DUMMYFUNCTION("IFERROR(VLOOKUP(A8944, IMPORTRANGE(""https://docs.google.com/spreadsheets/d/1AVX9GT0dgogEBStecCXMMQ29tWz3gBrtNB8yIromXbY/edit?gid=741673867"", ""out1g!A:B""), 2, FALSE), 0)"),59.0)</f>
        <v>59</v>
      </c>
      <c r="D8944" s="2" t="str">
        <f>IFERROR(__xludf.DUMMYFUNCTION("IFERROR(VLOOKUP(A8944, IMPORTRANGE(""https://docs.google.com/spreadsheets/d/1-3Vjw2Cyy-mry5gbC8ypIR3YVGFfEpyFESummAta6sg/edit"", ""Sheet1!B:D""), 2, FALSE), ""Not Found"")"),"lɪndən")</f>
        <v>lɪndən</v>
      </c>
      <c r="E8944" s="2" t="str">
        <f>IFERROR(__xludf.DUMMYFUNCTION("IFERROR(VLOOKUP(A8944, IMPORTRANGE(""https://docs.google.com/spreadsheets/d/1-3Vjw2Cyy-mry5gbC8ypIR3YVGFfEpyFESummAta6sg/edit"", ""Sheet1!B:D""), 3, FALSE), ""Not Found"")"),"l ɪ n d ə n ")</f>
        <v>l ɪ n d ə n </v>
      </c>
    </row>
    <row r="8945">
      <c r="A8945" s="1" t="s">
        <v>8946</v>
      </c>
      <c r="B8945" s="1" t="s">
        <v>6138</v>
      </c>
      <c r="C8945" s="2">
        <f>IFERROR(__xludf.DUMMYFUNCTION("IFERROR(VLOOKUP(A8945, IMPORTRANGE(""https://docs.google.com/spreadsheets/d/1AVX9GT0dgogEBStecCXMMQ29tWz3gBrtNB8yIromXbY/edit?gid=741673867"", ""out1g!A:B""), 2, FALSE), 0)"),3676.0)</f>
        <v>3676</v>
      </c>
      <c r="D8945" s="2" t="str">
        <f>IFERROR(__xludf.DUMMYFUNCTION("IFERROR(VLOOKUP(A8945, IMPORTRANGE(""https://docs.google.com/spreadsheets/d/1-3Vjw2Cyy-mry5gbC8ypIR3YVGFfEpyFESummAta6sg/edit"", ""Sheet1!B:D""), 2, FALSE), ""Not Found"")"),"sɪŋgəl")</f>
        <v>sɪŋgəl</v>
      </c>
      <c r="E8945" s="2" t="str">
        <f>IFERROR(__xludf.DUMMYFUNCTION("IFERROR(VLOOKUP(A8945, IMPORTRANGE(""https://docs.google.com/spreadsheets/d/1-3Vjw2Cyy-mry5gbC8ypIR3YVGFfEpyFESummAta6sg/edit"", ""Sheet1!B:D""), 3, FALSE), ""Not Found"")"),"s ɪ ŋ g ə l ")</f>
        <v>s ɪ ŋ g ə l </v>
      </c>
    </row>
    <row r="8946">
      <c r="A8946" s="1" t="s">
        <v>8947</v>
      </c>
      <c r="B8946" s="1" t="s">
        <v>6138</v>
      </c>
      <c r="C8946" s="2">
        <f>IFERROR(__xludf.DUMMYFUNCTION("IFERROR(VLOOKUP(A8946, IMPORTRANGE(""https://docs.google.com/spreadsheets/d/1AVX9GT0dgogEBStecCXMMQ29tWz3gBrtNB8yIromXbY/edit?gid=741673867"", ""out1g!A:B""), 2, FALSE), 0)"),109.0)</f>
        <v>109</v>
      </c>
      <c r="D8946" s="2" t="str">
        <f>IFERROR(__xludf.DUMMYFUNCTION("IFERROR(VLOOKUP(A8946, IMPORTRANGE(""https://docs.google.com/spreadsheets/d/1-3Vjw2Cyy-mry5gbC8ypIR3YVGFfEpyFESummAta6sg/edit"", ""Sheet1!B:D""), 2, FALSE), ""Not Found"")"),"blər")</f>
        <v>blər</v>
      </c>
      <c r="E8946" s="2" t="str">
        <f>IFERROR(__xludf.DUMMYFUNCTION("IFERROR(VLOOKUP(A8946, IMPORTRANGE(""https://docs.google.com/spreadsheets/d/1-3Vjw2Cyy-mry5gbC8ypIR3YVGFfEpyFESummAta6sg/edit"", ""Sheet1!B:D""), 3, FALSE), ""Not Found"")"),"b l ə r ")</f>
        <v>b l ə r </v>
      </c>
    </row>
    <row r="8947">
      <c r="A8947" s="1" t="s">
        <v>8948</v>
      </c>
      <c r="B8947" s="1" t="s">
        <v>6138</v>
      </c>
      <c r="C8947" s="2">
        <f>IFERROR(__xludf.DUMMYFUNCTION("IFERROR(VLOOKUP(A8947, IMPORTRANGE(""https://docs.google.com/spreadsheets/d/1AVX9GT0dgogEBStecCXMMQ29tWz3gBrtNB8yIromXbY/edit?gid=741673867"", ""out1g!A:B""), 2, FALSE), 0)"),75.0)</f>
        <v>75</v>
      </c>
      <c r="D8947" s="2" t="str">
        <f>IFERROR(__xludf.DUMMYFUNCTION("IFERROR(VLOOKUP(A8947, IMPORTRANGE(""https://docs.google.com/spreadsheets/d/1-3Vjw2Cyy-mry5gbC8ypIR3YVGFfEpyFESummAta6sg/edit"", ""Sheet1!B:D""), 2, FALSE), ""Not Found"")"),"blaɪndɪŋ")</f>
        <v>blaɪndɪŋ</v>
      </c>
      <c r="E8947" s="2" t="str">
        <f>IFERROR(__xludf.DUMMYFUNCTION("IFERROR(VLOOKUP(A8947, IMPORTRANGE(""https://docs.google.com/spreadsheets/d/1-3Vjw2Cyy-mry5gbC8ypIR3YVGFfEpyFESummAta6sg/edit"", ""Sheet1!B:D""), 3, FALSE), ""Not Found"")"),"b l a ɪ n d ɪ ŋ ")</f>
        <v>b l a ɪ n d ɪ ŋ </v>
      </c>
    </row>
    <row r="8948">
      <c r="A8948" s="1" t="s">
        <v>8949</v>
      </c>
      <c r="B8948" s="1" t="s">
        <v>6138</v>
      </c>
      <c r="C8948" s="2">
        <f>IFERROR(__xludf.DUMMYFUNCTION("IFERROR(VLOOKUP(A8948, IMPORTRANGE(""https://docs.google.com/spreadsheets/d/1AVX9GT0dgogEBStecCXMMQ29tWz3gBrtNB8yIromXbY/edit?gid=741673867"", ""out1g!A:B""), 2, FALSE), 0)"),274.0)</f>
        <v>274</v>
      </c>
      <c r="D8948" s="2" t="str">
        <f>IFERROR(__xludf.DUMMYFUNCTION("IFERROR(VLOOKUP(A8948, IMPORTRANGE(""https://docs.google.com/spreadsheets/d/1-3Vjw2Cyy-mry5gbC8ypIR3YVGFfEpyFESummAta6sg/edit"", ""Sheet1!B:D""), 2, FALSE), ""Not Found"")"),"kæmbəl")</f>
        <v>kæmbəl</v>
      </c>
      <c r="E8948" s="2" t="str">
        <f>IFERROR(__xludf.DUMMYFUNCTION("IFERROR(VLOOKUP(A8948, IMPORTRANGE(""https://docs.google.com/spreadsheets/d/1-3Vjw2Cyy-mry5gbC8ypIR3YVGFfEpyFESummAta6sg/edit"", ""Sheet1!B:D""), 3, FALSE), ""Not Found"")"),"k æ m b ə l ")</f>
        <v>k æ m b ə l </v>
      </c>
    </row>
    <row r="8949">
      <c r="A8949" s="1" t="s">
        <v>8950</v>
      </c>
      <c r="B8949" s="1" t="s">
        <v>6138</v>
      </c>
      <c r="C8949" s="2">
        <f>IFERROR(__xludf.DUMMYFUNCTION("IFERROR(VLOOKUP(A8949, IMPORTRANGE(""https://docs.google.com/spreadsheets/d/1AVX9GT0dgogEBStecCXMMQ29tWz3gBrtNB8yIromXbY/edit?gid=741673867"", ""out1g!A:B""), 2, FALSE), 0)"),1231.0)</f>
        <v>1231</v>
      </c>
      <c r="D8949" s="2" t="str">
        <f>IFERROR(__xludf.DUMMYFUNCTION("IFERROR(VLOOKUP(A8949, IMPORTRANGE(""https://docs.google.com/spreadsheets/d/1-3Vjw2Cyy-mry5gbC8ypIR3YVGFfEpyFESummAta6sg/edit"", ""Sheet1!B:D""), 2, FALSE), ""Not Found"")"),"bɪkəmz")</f>
        <v>bɪkəmz</v>
      </c>
      <c r="E8949" s="2" t="str">
        <f>IFERROR(__xludf.DUMMYFUNCTION("IFERROR(VLOOKUP(A8949, IMPORTRANGE(""https://docs.google.com/spreadsheets/d/1-3Vjw2Cyy-mry5gbC8ypIR3YVGFfEpyFESummAta6sg/edit"", ""Sheet1!B:D""), 3, FALSE), ""Not Found"")"),"b ɪ k ə m z ")</f>
        <v>b ɪ k ə m z </v>
      </c>
    </row>
    <row r="8950">
      <c r="A8950" s="1" t="s">
        <v>8951</v>
      </c>
      <c r="B8950" s="1" t="s">
        <v>6138</v>
      </c>
      <c r="C8950" s="2">
        <f>IFERROR(__xludf.DUMMYFUNCTION("IFERROR(VLOOKUP(A8950, IMPORTRANGE(""https://docs.google.com/spreadsheets/d/1AVX9GT0dgogEBStecCXMMQ29tWz3gBrtNB8yIromXbY/edit?gid=741673867"", ""out1g!A:B""), 2, FALSE), 0)"),207.0)</f>
        <v>207</v>
      </c>
      <c r="D8950" s="2" t="str">
        <f>IFERROR(__xludf.DUMMYFUNCTION("IFERROR(VLOOKUP(A8950, IMPORTRANGE(""https://docs.google.com/spreadsheets/d/1-3Vjw2Cyy-mry5gbC8ypIR3YVGFfEpyFESummAta6sg/edit"", ""Sheet1!B:D""), 2, FALSE), ""Not Found"")"),"kəmpəs")</f>
        <v>kəmpəs</v>
      </c>
      <c r="E8950" s="2" t="str">
        <f>IFERROR(__xludf.DUMMYFUNCTION("IFERROR(VLOOKUP(A8950, IMPORTRANGE(""https://docs.google.com/spreadsheets/d/1-3Vjw2Cyy-mry5gbC8ypIR3YVGFfEpyFESummAta6sg/edit"", ""Sheet1!B:D""), 3, FALSE), ""Not Found"")"),"k ə m p ə s ")</f>
        <v>k ə m p ə s </v>
      </c>
    </row>
    <row r="8951">
      <c r="A8951" s="1" t="s">
        <v>8952</v>
      </c>
      <c r="B8951" s="1" t="s">
        <v>6138</v>
      </c>
      <c r="C8951" s="2">
        <f>IFERROR(__xludf.DUMMYFUNCTION("IFERROR(VLOOKUP(A8951, IMPORTRANGE(""https://docs.google.com/spreadsheets/d/1AVX9GT0dgogEBStecCXMMQ29tWz3gBrtNB8yIromXbY/edit?gid=741673867"", ""out1g!A:B""), 2, FALSE), 0)"),3998.0)</f>
        <v>3998</v>
      </c>
      <c r="D8951" s="2" t="str">
        <f>IFERROR(__xludf.DUMMYFUNCTION("IFERROR(VLOOKUP(A8951, IMPORTRANGE(""https://docs.google.com/spreadsheets/d/1-3Vjw2Cyy-mry5gbC8ypIR3YVGFfEpyFESummAta6sg/edit"", ""Sheet1!B:D""), 2, FALSE), ""Not Found"")"),"dɔlərz")</f>
        <v>dɔlərz</v>
      </c>
      <c r="E8951" s="2" t="str">
        <f>IFERROR(__xludf.DUMMYFUNCTION("IFERROR(VLOOKUP(A8951, IMPORTRANGE(""https://docs.google.com/spreadsheets/d/1-3Vjw2Cyy-mry5gbC8ypIR3YVGFfEpyFESummAta6sg/edit"", ""Sheet1!B:D""), 3, FALSE), ""Not Found"")"),"d ɔ l ə r z ")</f>
        <v>d ɔ l ə r z </v>
      </c>
    </row>
    <row r="8952">
      <c r="A8952" s="1" t="s">
        <v>8953</v>
      </c>
      <c r="B8952" s="1" t="s">
        <v>6138</v>
      </c>
      <c r="C8952" s="2">
        <f>IFERROR(__xludf.DUMMYFUNCTION("IFERROR(VLOOKUP(A8952, IMPORTRANGE(""https://docs.google.com/spreadsheets/d/1AVX9GT0dgogEBStecCXMMQ29tWz3gBrtNB8yIromXbY/edit?gid=741673867"", ""out1g!A:B""), 2, FALSE), 0)"),340.0)</f>
        <v>340</v>
      </c>
      <c r="D8952" s="2" t="str">
        <f>IFERROR(__xludf.DUMMYFUNCTION("IFERROR(VLOOKUP(A8952, IMPORTRANGE(""https://docs.google.com/spreadsheets/d/1-3Vjw2Cyy-mry5gbC8ypIR3YVGFfEpyFESummAta6sg/edit"", ""Sheet1!B:D""), 2, FALSE), ""Not Found"")"),"bɑndz")</f>
        <v>bɑndz</v>
      </c>
      <c r="E8952" s="2" t="str">
        <f>IFERROR(__xludf.DUMMYFUNCTION("IFERROR(VLOOKUP(A8952, IMPORTRANGE(""https://docs.google.com/spreadsheets/d/1-3Vjw2Cyy-mry5gbC8ypIR3YVGFfEpyFESummAta6sg/edit"", ""Sheet1!B:D""), 3, FALSE), ""Not Found"")"),"b ɑ n d z ")</f>
        <v>b ɑ n d z </v>
      </c>
    </row>
    <row r="8953">
      <c r="A8953" s="1" t="s">
        <v>8954</v>
      </c>
      <c r="B8953" s="1" t="s">
        <v>6138</v>
      </c>
      <c r="C8953" s="2">
        <f>IFERROR(__xludf.DUMMYFUNCTION("IFERROR(VLOOKUP(A8953, IMPORTRANGE(""https://docs.google.com/spreadsheets/d/1AVX9GT0dgogEBStecCXMMQ29tWz3gBrtNB8yIromXbY/edit?gid=741673867"", ""out1g!A:B""), 2, FALSE), 0)"),202.0)</f>
        <v>202</v>
      </c>
      <c r="D8953" s="2" t="str">
        <f>IFERROR(__xludf.DUMMYFUNCTION("IFERROR(VLOOKUP(A8953, IMPORTRANGE(""https://docs.google.com/spreadsheets/d/1-3Vjw2Cyy-mry5gbC8ypIR3YVGFfEpyFESummAta6sg/edit"", ""Sheet1!B:D""), 2, FALSE), ""Not Found"")"),"mərʤər")</f>
        <v>mərʤər</v>
      </c>
      <c r="E8953" s="2" t="str">
        <f>IFERROR(__xludf.DUMMYFUNCTION("IFERROR(VLOOKUP(A8953, IMPORTRANGE(""https://docs.google.com/spreadsheets/d/1-3Vjw2Cyy-mry5gbC8ypIR3YVGFfEpyFESummAta6sg/edit"", ""Sheet1!B:D""), 3, FALSE), ""Not Found"")"),"m ə r ʤ ə r ")</f>
        <v>m ə r ʤ ə r </v>
      </c>
    </row>
    <row r="8954">
      <c r="A8954" s="1" t="s">
        <v>8955</v>
      </c>
      <c r="B8954" s="1" t="s">
        <v>6138</v>
      </c>
      <c r="C8954" s="2">
        <f>IFERROR(__xludf.DUMMYFUNCTION("IFERROR(VLOOKUP(A8954, IMPORTRANGE(""https://docs.google.com/spreadsheets/d/1AVX9GT0dgogEBStecCXMMQ29tWz3gBrtNB8yIromXbY/edit?gid=741673867"", ""out1g!A:B""), 2, FALSE), 0)"),38.0)</f>
        <v>38</v>
      </c>
      <c r="D8954" s="2" t="str">
        <f>IFERROR(__xludf.DUMMYFUNCTION("IFERROR(VLOOKUP(A8954, IMPORTRANGE(""https://docs.google.com/spreadsheets/d/1-3Vjw2Cyy-mry5gbC8ypIR3YVGFfEpyFESummAta6sg/edit"", ""Sheet1!B:D""), 2, FALSE), ""Not Found"")"),"saɪtɪd")</f>
        <v>saɪtɪd</v>
      </c>
      <c r="E8954" s="2" t="str">
        <f>IFERROR(__xludf.DUMMYFUNCTION("IFERROR(VLOOKUP(A8954, IMPORTRANGE(""https://docs.google.com/spreadsheets/d/1-3Vjw2Cyy-mry5gbC8ypIR3YVGFfEpyFESummAta6sg/edit"", ""Sheet1!B:D""), 3, FALSE), ""Not Found"")"),"s a ɪ t ɪ d ")</f>
        <v>s a ɪ t ɪ d </v>
      </c>
    </row>
    <row r="8955">
      <c r="A8955" s="1" t="s">
        <v>8956</v>
      </c>
      <c r="B8955" s="1" t="s">
        <v>6138</v>
      </c>
      <c r="C8955" s="2">
        <f>IFERROR(__xludf.DUMMYFUNCTION("IFERROR(VLOOKUP(A8955, IMPORTRANGE(""https://docs.google.com/spreadsheets/d/1AVX9GT0dgogEBStecCXMMQ29tWz3gBrtNB8yIromXbY/edit?gid=741673867"", ""out1g!A:B""), 2, FALSE), 0)"),49.0)</f>
        <v>49</v>
      </c>
      <c r="D8955" s="2" t="str">
        <f>IFERROR(__xludf.DUMMYFUNCTION("IFERROR(VLOOKUP(A8955, IMPORTRANGE(""https://docs.google.com/spreadsheets/d/1-3Vjw2Cyy-mry5gbC8ypIR3YVGFfEpyFESummAta6sg/edit"", ""Sheet1!B:D""), 2, FALSE), ""Not Found"")"),"həmbəg")</f>
        <v>həmbəg</v>
      </c>
      <c r="E8955" s="2" t="str">
        <f>IFERROR(__xludf.DUMMYFUNCTION("IFERROR(VLOOKUP(A8955, IMPORTRANGE(""https://docs.google.com/spreadsheets/d/1-3Vjw2Cyy-mry5gbC8ypIR3YVGFfEpyFESummAta6sg/edit"", ""Sheet1!B:D""), 3, FALSE), ""Not Found"")"),"h ə m b ə g ")</f>
        <v>h ə m b ə g </v>
      </c>
    </row>
    <row r="8956">
      <c r="A8956" s="1" t="s">
        <v>8957</v>
      </c>
      <c r="B8956" s="1" t="s">
        <v>6138</v>
      </c>
      <c r="C8956" s="2">
        <f>IFERROR(__xludf.DUMMYFUNCTION("IFERROR(VLOOKUP(A8956, IMPORTRANGE(""https://docs.google.com/spreadsheets/d/1AVX9GT0dgogEBStecCXMMQ29tWz3gBrtNB8yIromXbY/edit?gid=741673867"", ""out1g!A:B""), 2, FALSE), 0)"),51.0)</f>
        <v>51</v>
      </c>
      <c r="D8956" s="2" t="str">
        <f>IFERROR(__xludf.DUMMYFUNCTION("IFERROR(VLOOKUP(A8956, IMPORTRANGE(""https://docs.google.com/spreadsheets/d/1-3Vjw2Cyy-mry5gbC8ypIR3YVGFfEpyFESummAta6sg/edit"", ""Sheet1!B:D""), 2, FALSE), ""Not Found"")"),"rutɪd")</f>
        <v>rutɪd</v>
      </c>
      <c r="E8956" s="2" t="str">
        <f>IFERROR(__xludf.DUMMYFUNCTION("IFERROR(VLOOKUP(A8956, IMPORTRANGE(""https://docs.google.com/spreadsheets/d/1-3Vjw2Cyy-mry5gbC8ypIR3YVGFfEpyFESummAta6sg/edit"", ""Sheet1!B:D""), 3, FALSE), ""Not Found"")"),"r u t ɪ d ")</f>
        <v>r u t ɪ d </v>
      </c>
    </row>
    <row r="8957">
      <c r="A8957" s="1" t="s">
        <v>8958</v>
      </c>
      <c r="B8957" s="1" t="s">
        <v>6138</v>
      </c>
      <c r="C8957" s="2">
        <f>IFERROR(__xludf.DUMMYFUNCTION("IFERROR(VLOOKUP(A8957, IMPORTRANGE(""https://docs.google.com/spreadsheets/d/1AVX9GT0dgogEBStecCXMMQ29tWz3gBrtNB8yIromXbY/edit?gid=741673867"", ""out1g!A:B""), 2, FALSE), 0)"),235.0)</f>
        <v>235</v>
      </c>
      <c r="D8957" s="2" t="str">
        <f>IFERROR(__xludf.DUMMYFUNCTION("IFERROR(VLOOKUP(A8957, IMPORTRANGE(""https://docs.google.com/spreadsheets/d/1-3Vjw2Cyy-mry5gbC8ypIR3YVGFfEpyFESummAta6sg/edit"", ""Sheet1!B:D""), 2, FALSE), ""Not Found"")"),"pɪkəl")</f>
        <v>pɪkəl</v>
      </c>
      <c r="E8957" s="2" t="str">
        <f>IFERROR(__xludf.DUMMYFUNCTION("IFERROR(VLOOKUP(A8957, IMPORTRANGE(""https://docs.google.com/spreadsheets/d/1-3Vjw2Cyy-mry5gbC8ypIR3YVGFfEpyFESummAta6sg/edit"", ""Sheet1!B:D""), 3, FALSE), ""Not Found"")"),"p ɪ k ə l ")</f>
        <v>p ɪ k ə l </v>
      </c>
    </row>
    <row r="8958">
      <c r="A8958" s="1" t="s">
        <v>8959</v>
      </c>
      <c r="B8958" s="1" t="s">
        <v>6138</v>
      </c>
      <c r="C8958" s="2">
        <f>IFERROR(__xludf.DUMMYFUNCTION("IFERROR(VLOOKUP(A8958, IMPORTRANGE(""https://docs.google.com/spreadsheets/d/1AVX9GT0dgogEBStecCXMMQ29tWz3gBrtNB8yIromXbY/edit?gid=741673867"", ""out1g!A:B""), 2, FALSE), 0)"),969.0)</f>
        <v>969</v>
      </c>
      <c r="D8958" s="2" t="str">
        <f>IFERROR(__xludf.DUMMYFUNCTION("IFERROR(VLOOKUP(A8958, IMPORTRANGE(""https://docs.google.com/spreadsheets/d/1-3Vjw2Cyy-mry5gbC8ypIR3YVGFfEpyFESummAta6sg/edit"", ""Sheet1!B:D""), 2, FALSE), ""Not Found"")"),"trɪks")</f>
        <v>trɪks</v>
      </c>
      <c r="E8958" s="2" t="str">
        <f>IFERROR(__xludf.DUMMYFUNCTION("IFERROR(VLOOKUP(A8958, IMPORTRANGE(""https://docs.google.com/spreadsheets/d/1-3Vjw2Cyy-mry5gbC8ypIR3YVGFfEpyFESummAta6sg/edit"", ""Sheet1!B:D""), 3, FALSE), ""Not Found"")"),"t r ɪ k s ")</f>
        <v>t r ɪ k s </v>
      </c>
    </row>
    <row r="8959">
      <c r="A8959" s="1" t="s">
        <v>8960</v>
      </c>
      <c r="B8959" s="1" t="s">
        <v>6138</v>
      </c>
      <c r="C8959" s="2">
        <f>IFERROR(__xludf.DUMMYFUNCTION("IFERROR(VLOOKUP(A8959, IMPORTRANGE(""https://docs.google.com/spreadsheets/d/1AVX9GT0dgogEBStecCXMMQ29tWz3gBrtNB8yIromXbY/edit?gid=741673867"", ""out1g!A:B""), 2, FALSE), 0)"),1910.0)</f>
        <v>1910</v>
      </c>
      <c r="D8959" s="2" t="str">
        <f>IFERROR(__xludf.DUMMYFUNCTION("IFERROR(VLOOKUP(A8959, IMPORTRANGE(""https://docs.google.com/spreadsheets/d/1-3Vjw2Cyy-mry5gbC8ypIR3YVGFfEpyFESummAta6sg/edit"", ""Sheet1!B:D""), 2, FALSE), ""Not Found"")"),"lɛtərz")</f>
        <v>lɛtərz</v>
      </c>
      <c r="E8959" s="2" t="str">
        <f>IFERROR(__xludf.DUMMYFUNCTION("IFERROR(VLOOKUP(A8959, IMPORTRANGE(""https://docs.google.com/spreadsheets/d/1-3Vjw2Cyy-mry5gbC8ypIR3YVGFfEpyFESummAta6sg/edit"", ""Sheet1!B:D""), 3, FALSE), ""Not Found"")"),"l ɛ t ə r z ")</f>
        <v>l ɛ t ə r z </v>
      </c>
    </row>
    <row r="8960">
      <c r="A8960" s="1" t="s">
        <v>8961</v>
      </c>
      <c r="B8960" s="1" t="s">
        <v>6138</v>
      </c>
      <c r="C8960" s="2">
        <f>IFERROR(__xludf.DUMMYFUNCTION("IFERROR(VLOOKUP(A8960, IMPORTRANGE(""https://docs.google.com/spreadsheets/d/1AVX9GT0dgogEBStecCXMMQ29tWz3gBrtNB8yIromXbY/edit?gid=741673867"", ""out1g!A:B""), 2, FALSE), 0)"),62.0)</f>
        <v>62</v>
      </c>
      <c r="D8960" s="2" t="str">
        <f>IFERROR(__xludf.DUMMYFUNCTION("IFERROR(VLOOKUP(A8960, IMPORTRANGE(""https://docs.google.com/spreadsheets/d/1-3Vjw2Cyy-mry5gbC8ypIR3YVGFfEpyFESummAta6sg/edit"", ""Sheet1!B:D""), 2, FALSE), ""Not Found"")"),"sigəl")</f>
        <v>sigəl</v>
      </c>
      <c r="E8960" s="2" t="str">
        <f>IFERROR(__xludf.DUMMYFUNCTION("IFERROR(VLOOKUP(A8960, IMPORTRANGE(""https://docs.google.com/spreadsheets/d/1-3Vjw2Cyy-mry5gbC8ypIR3YVGFfEpyFESummAta6sg/edit"", ""Sheet1!B:D""), 3, FALSE), ""Not Found"")"),"s i g ə l ")</f>
        <v>s i g ə l </v>
      </c>
    </row>
    <row r="8961">
      <c r="A8961" s="1" t="s">
        <v>8962</v>
      </c>
      <c r="B8961" s="1" t="s">
        <v>6138</v>
      </c>
      <c r="C8961" s="2">
        <f>IFERROR(__xludf.DUMMYFUNCTION("IFERROR(VLOOKUP(A8961, IMPORTRANGE(""https://docs.google.com/spreadsheets/d/1AVX9GT0dgogEBStecCXMMQ29tWz3gBrtNB8yIromXbY/edit?gid=741673867"", ""out1g!A:B""), 2, FALSE), 0)"),108.0)</f>
        <v>108</v>
      </c>
      <c r="D8961" s="2" t="str">
        <f>IFERROR(__xludf.DUMMYFUNCTION("IFERROR(VLOOKUP(A8961, IMPORTRANGE(""https://docs.google.com/spreadsheets/d/1-3Vjw2Cyy-mry5gbC8ypIR3YVGFfEpyFESummAta6sg/edit"", ""Sheet1!B:D""), 2, FALSE), ""Not Found"")"),"swips")</f>
        <v>swips</v>
      </c>
      <c r="E8961" s="2" t="str">
        <f>IFERROR(__xludf.DUMMYFUNCTION("IFERROR(VLOOKUP(A8961, IMPORTRANGE(""https://docs.google.com/spreadsheets/d/1-3Vjw2Cyy-mry5gbC8ypIR3YVGFfEpyFESummAta6sg/edit"", ""Sheet1!B:D""), 3, FALSE), ""Not Found"")"),"s w i p s ")</f>
        <v>s w i p s </v>
      </c>
    </row>
    <row r="8962">
      <c r="A8962" s="1" t="s">
        <v>8963</v>
      </c>
      <c r="B8962" s="1" t="s">
        <v>6138</v>
      </c>
      <c r="C8962" s="2">
        <f>IFERROR(__xludf.DUMMYFUNCTION("IFERROR(VLOOKUP(A8962, IMPORTRANGE(""https://docs.google.com/spreadsheets/d/1AVX9GT0dgogEBStecCXMMQ29tWz3gBrtNB8yIromXbY/edit?gid=741673867"", ""out1g!A:B""), 2, FALSE), 0)"),145.0)</f>
        <v>145</v>
      </c>
      <c r="D8962" s="2" t="str">
        <f>IFERROR(__xludf.DUMMYFUNCTION("IFERROR(VLOOKUP(A8962, IMPORTRANGE(""https://docs.google.com/spreadsheets/d/1-3Vjw2Cyy-mry5gbC8ypIR3YVGFfEpyFESummAta6sg/edit"", ""Sheet1!B:D""), 2, FALSE), ""Not Found"")"),"ɛʤɪz")</f>
        <v>ɛʤɪz</v>
      </c>
      <c r="E8962" s="2" t="str">
        <f>IFERROR(__xludf.DUMMYFUNCTION("IFERROR(VLOOKUP(A8962, IMPORTRANGE(""https://docs.google.com/spreadsheets/d/1-3Vjw2Cyy-mry5gbC8ypIR3YVGFfEpyFESummAta6sg/edit"", ""Sheet1!B:D""), 3, FALSE), ""Not Found"")"),"ɛ ʤ ɪ z ")</f>
        <v>ɛ ʤ ɪ z </v>
      </c>
    </row>
    <row r="8963">
      <c r="A8963" s="1" t="s">
        <v>8964</v>
      </c>
      <c r="B8963" s="1" t="s">
        <v>6138</v>
      </c>
      <c r="C8963" s="2">
        <f>IFERROR(__xludf.DUMMYFUNCTION("IFERROR(VLOOKUP(A8963, IMPORTRANGE(""https://docs.google.com/spreadsheets/d/1AVX9GT0dgogEBStecCXMMQ29tWz3gBrtNB8yIromXbY/edit?gid=741673867"", ""out1g!A:B""), 2, FALSE), 0)"),10.0)</f>
        <v>10</v>
      </c>
      <c r="D8963" s="2" t="str">
        <f>IFERROR(__xludf.DUMMYFUNCTION("IFERROR(VLOOKUP(A8963, IMPORTRANGE(""https://docs.google.com/spreadsheets/d/1-3Vjw2Cyy-mry5gbC8ypIR3YVGFfEpyFESummAta6sg/edit"", ""Sheet1!B:D""), 2, FALSE), ""Not Found"")"),"ʃuɪŋ")</f>
        <v>ʃuɪŋ</v>
      </c>
      <c r="E8963" s="2" t="str">
        <f>IFERROR(__xludf.DUMMYFUNCTION("IFERROR(VLOOKUP(A8963, IMPORTRANGE(""https://docs.google.com/spreadsheets/d/1-3Vjw2Cyy-mry5gbC8ypIR3YVGFfEpyFESummAta6sg/edit"", ""Sheet1!B:D""), 3, FALSE), ""Not Found"")"),"ʃ u ɪ ŋ ")</f>
        <v>ʃ u ɪ ŋ </v>
      </c>
    </row>
    <row r="8964">
      <c r="A8964" s="1" t="s">
        <v>8965</v>
      </c>
      <c r="B8964" s="1" t="s">
        <v>6138</v>
      </c>
      <c r="C8964" s="2">
        <f>IFERROR(__xludf.DUMMYFUNCTION("IFERROR(VLOOKUP(A8964, IMPORTRANGE(""https://docs.google.com/spreadsheets/d/1AVX9GT0dgogEBStecCXMMQ29tWz3gBrtNB8yIromXbY/edit?gid=741673867"", ""out1g!A:B""), 2, FALSE), 0)"),180.0)</f>
        <v>180</v>
      </c>
      <c r="D8964" s="2" t="str">
        <f>IFERROR(__xludf.DUMMYFUNCTION("IFERROR(VLOOKUP(A8964, IMPORTRANGE(""https://docs.google.com/spreadsheets/d/1-3Vjw2Cyy-mry5gbC8ypIR3YVGFfEpyFESummAta6sg/edit"", ""Sheet1!B:D""), 2, FALSE), ""Not Found"")"),"klaɪmɪt")</f>
        <v>klaɪmɪt</v>
      </c>
      <c r="E8964" s="2" t="str">
        <f>IFERROR(__xludf.DUMMYFUNCTION("IFERROR(VLOOKUP(A8964, IMPORTRANGE(""https://docs.google.com/spreadsheets/d/1-3Vjw2Cyy-mry5gbC8ypIR3YVGFfEpyFESummAta6sg/edit"", ""Sheet1!B:D""), 3, FALSE), ""Not Found"")"),"k l a ɪ m ɪ t ")</f>
        <v>k l a ɪ m ɪ t </v>
      </c>
    </row>
    <row r="8965">
      <c r="A8965" s="1" t="s">
        <v>8966</v>
      </c>
      <c r="B8965" s="1" t="s">
        <v>6138</v>
      </c>
      <c r="C8965" s="2">
        <f>IFERROR(__xludf.DUMMYFUNCTION("IFERROR(VLOOKUP(A8965, IMPORTRANGE(""https://docs.google.com/spreadsheets/d/1AVX9GT0dgogEBStecCXMMQ29tWz3gBrtNB8yIromXbY/edit?gid=741673867"", ""out1g!A:B""), 2, FALSE), 0)"),91.0)</f>
        <v>91</v>
      </c>
      <c r="D8965" s="2" t="str">
        <f>IFERROR(__xludf.DUMMYFUNCTION("IFERROR(VLOOKUP(A8965, IMPORTRANGE(""https://docs.google.com/spreadsheets/d/1-3Vjw2Cyy-mry5gbC8ypIR3YVGFfEpyFESummAta6sg/edit"", ""Sheet1!B:D""), 2, FALSE), ""Not Found"")"),"ædɪsən")</f>
        <v>ædɪsən</v>
      </c>
      <c r="E8965" s="2" t="str">
        <f>IFERROR(__xludf.DUMMYFUNCTION("IFERROR(VLOOKUP(A8965, IMPORTRANGE(""https://docs.google.com/spreadsheets/d/1-3Vjw2Cyy-mry5gbC8ypIR3YVGFfEpyFESummAta6sg/edit"", ""Sheet1!B:D""), 3, FALSE), ""Not Found"")"),"æ d ɪ s ə n ")</f>
        <v>æ d ɪ s ə n </v>
      </c>
    </row>
    <row r="8966">
      <c r="A8966" s="1" t="s">
        <v>8967</v>
      </c>
      <c r="B8966" s="1" t="s">
        <v>6138</v>
      </c>
      <c r="C8966" s="2">
        <f>IFERROR(__xludf.DUMMYFUNCTION("IFERROR(VLOOKUP(A8966, IMPORTRANGE(""https://docs.google.com/spreadsheets/d/1AVX9GT0dgogEBStecCXMMQ29tWz3gBrtNB8yIromXbY/edit?gid=741673867"", ""out1g!A:B""), 2, FALSE), 0)"),396.0)</f>
        <v>396</v>
      </c>
      <c r="D8966" s="2" t="str">
        <f>IFERROR(__xludf.DUMMYFUNCTION("IFERROR(VLOOKUP(A8966, IMPORTRANGE(""https://docs.google.com/spreadsheets/d/1-3Vjw2Cyy-mry5gbC8ypIR3YVGFfEpyFESummAta6sg/edit"", ""Sheet1!B:D""), 2, FALSE), ""Not Found"")"),"vaɪtəl")</f>
        <v>vaɪtəl</v>
      </c>
      <c r="E8966" s="2" t="str">
        <f>IFERROR(__xludf.DUMMYFUNCTION("IFERROR(VLOOKUP(A8966, IMPORTRANGE(""https://docs.google.com/spreadsheets/d/1-3Vjw2Cyy-mry5gbC8ypIR3YVGFfEpyFESummAta6sg/edit"", ""Sheet1!B:D""), 3, FALSE), ""Not Found"")"),"v a ɪ t ə l ")</f>
        <v>v a ɪ t ə l </v>
      </c>
    </row>
    <row r="8967">
      <c r="A8967" s="1" t="s">
        <v>8968</v>
      </c>
      <c r="B8967" s="1" t="s">
        <v>6138</v>
      </c>
      <c r="C8967" s="2">
        <f>IFERROR(__xludf.DUMMYFUNCTION("IFERROR(VLOOKUP(A8967, IMPORTRANGE(""https://docs.google.com/spreadsheets/d/1AVX9GT0dgogEBStecCXMMQ29tWz3gBrtNB8yIromXbY/edit?gid=741673867"", ""out1g!A:B""), 2, FALSE), 0)"),144.0)</f>
        <v>144</v>
      </c>
      <c r="D8967" s="2" t="str">
        <f>IFERROR(__xludf.DUMMYFUNCTION("IFERROR(VLOOKUP(A8967, IMPORTRANGE(""https://docs.google.com/spreadsheets/d/1-3Vjw2Cyy-mry5gbC8ypIR3YVGFfEpyFESummAta6sg/edit"", ""Sheet1!B:D""), 2, FALSE), ""Not Found"")"),"noʊzi")</f>
        <v>noʊzi</v>
      </c>
      <c r="E8967" s="2" t="str">
        <f>IFERROR(__xludf.DUMMYFUNCTION("IFERROR(VLOOKUP(A8967, IMPORTRANGE(""https://docs.google.com/spreadsheets/d/1-3Vjw2Cyy-mry5gbC8ypIR3YVGFfEpyFESummAta6sg/edit"", ""Sheet1!B:D""), 3, FALSE), ""Not Found"")"),"n o ʊ z i ")</f>
        <v>n o ʊ z i </v>
      </c>
    </row>
    <row r="8968">
      <c r="A8968" s="1" t="s">
        <v>8969</v>
      </c>
      <c r="B8968" s="1" t="s">
        <v>6138</v>
      </c>
      <c r="C8968" s="2">
        <f>IFERROR(__xludf.DUMMYFUNCTION("IFERROR(VLOOKUP(A8968, IMPORTRANGE(""https://docs.google.com/spreadsheets/d/1AVX9GT0dgogEBStecCXMMQ29tWz3gBrtNB8yIromXbY/edit?gid=741673867"", ""out1g!A:B""), 2, FALSE), 0)"),81.0)</f>
        <v>81</v>
      </c>
      <c r="D8968" s="2" t="str">
        <f>IFERROR(__xludf.DUMMYFUNCTION("IFERROR(VLOOKUP(A8968, IMPORTRANGE(""https://docs.google.com/spreadsheets/d/1-3Vjw2Cyy-mry5gbC8ypIR3YVGFfEpyFESummAta6sg/edit"", ""Sheet1!B:D""), 2, FALSE), ""Not Found"")"),"ʃekər")</f>
        <v>ʃekər</v>
      </c>
      <c r="E8968" s="2" t="str">
        <f>IFERROR(__xludf.DUMMYFUNCTION("IFERROR(VLOOKUP(A8968, IMPORTRANGE(""https://docs.google.com/spreadsheets/d/1-3Vjw2Cyy-mry5gbC8ypIR3YVGFfEpyFESummAta6sg/edit"", ""Sheet1!B:D""), 3, FALSE), ""Not Found"")"),"ʃ e k ə r ")</f>
        <v>ʃ e k ə r </v>
      </c>
    </row>
    <row r="8969">
      <c r="A8969" s="1" t="s">
        <v>8970</v>
      </c>
      <c r="B8969" s="1" t="s">
        <v>6138</v>
      </c>
      <c r="C8969" s="2">
        <f>IFERROR(__xludf.DUMMYFUNCTION("IFERROR(VLOOKUP(A8969, IMPORTRANGE(""https://docs.google.com/spreadsheets/d/1AVX9GT0dgogEBStecCXMMQ29tWz3gBrtNB8yIromXbY/edit?gid=741673867"", ""out1g!A:B""), 2, FALSE), 0)"),18.0)</f>
        <v>18</v>
      </c>
      <c r="D8969" s="2" t="str">
        <f>IFERROR(__xludf.DUMMYFUNCTION("IFERROR(VLOOKUP(A8969, IMPORTRANGE(""https://docs.google.com/spreadsheets/d/1-3Vjw2Cyy-mry5gbC8ypIR3YVGFfEpyFESummAta6sg/edit"", ""Sheet1!B:D""), 2, FALSE), ""Not Found"")"),"bɑrkt")</f>
        <v>bɑrkt</v>
      </c>
      <c r="E8969" s="2" t="str">
        <f>IFERROR(__xludf.DUMMYFUNCTION("IFERROR(VLOOKUP(A8969, IMPORTRANGE(""https://docs.google.com/spreadsheets/d/1-3Vjw2Cyy-mry5gbC8ypIR3YVGFfEpyFESummAta6sg/edit"", ""Sheet1!B:D""), 3, FALSE), ""Not Found"")"),"b ɑ r k t ")</f>
        <v>b ɑ r k t </v>
      </c>
    </row>
    <row r="8970">
      <c r="A8970" s="1" t="s">
        <v>8971</v>
      </c>
      <c r="B8970" s="1" t="s">
        <v>6138</v>
      </c>
      <c r="C8970" s="2">
        <f>IFERROR(__xludf.DUMMYFUNCTION("IFERROR(VLOOKUP(A8970, IMPORTRANGE(""https://docs.google.com/spreadsheets/d/1AVX9GT0dgogEBStecCXMMQ29tWz3gBrtNB8yIromXbY/edit?gid=741673867"", ""out1g!A:B""), 2, FALSE), 0)"),670.0)</f>
        <v>670</v>
      </c>
      <c r="D8970" s="2" t="str">
        <f>IFERROR(__xludf.DUMMYFUNCTION("IFERROR(VLOOKUP(A8970, IMPORTRANGE(""https://docs.google.com/spreadsheets/d/1-3Vjw2Cyy-mry5gbC8ypIR3YVGFfEpyFESummAta6sg/edit"", ""Sheet1!B:D""), 2, FALSE), ""Not Found"")"),"pɛrənt")</f>
        <v>pɛrənt</v>
      </c>
      <c r="E8970" s="2" t="str">
        <f>IFERROR(__xludf.DUMMYFUNCTION("IFERROR(VLOOKUP(A8970, IMPORTRANGE(""https://docs.google.com/spreadsheets/d/1-3Vjw2Cyy-mry5gbC8ypIR3YVGFfEpyFESummAta6sg/edit"", ""Sheet1!B:D""), 3, FALSE), ""Not Found"")"),"p ɛ r ə n t ")</f>
        <v>p ɛ r ə n t </v>
      </c>
    </row>
    <row r="8971">
      <c r="A8971" s="1" t="s">
        <v>8972</v>
      </c>
      <c r="B8971" s="1" t="s">
        <v>6138</v>
      </c>
      <c r="C8971" s="2">
        <f>IFERROR(__xludf.DUMMYFUNCTION("IFERROR(VLOOKUP(A8971, IMPORTRANGE(""https://docs.google.com/spreadsheets/d/1AVX9GT0dgogEBStecCXMMQ29tWz3gBrtNB8yIromXbY/edit?gid=741673867"", ""out1g!A:B""), 2, FALSE), 0)"),57.0)</f>
        <v>57</v>
      </c>
      <c r="D8971" s="2" t="str">
        <f>IFERROR(__xludf.DUMMYFUNCTION("IFERROR(VLOOKUP(A8971, IMPORTRANGE(""https://docs.google.com/spreadsheets/d/1-3Vjw2Cyy-mry5gbC8ypIR3YVGFfEpyFESummAta6sg/edit"", ""Sheet1!B:D""), 2, FALSE), ""Not Found"")"),"kjubənz")</f>
        <v>kjubənz</v>
      </c>
      <c r="E8971" s="2" t="str">
        <f>IFERROR(__xludf.DUMMYFUNCTION("IFERROR(VLOOKUP(A8971, IMPORTRANGE(""https://docs.google.com/spreadsheets/d/1-3Vjw2Cyy-mry5gbC8ypIR3YVGFfEpyFESummAta6sg/edit"", ""Sheet1!B:D""), 3, FALSE), ""Not Found"")"),"k j u b ə n z ")</f>
        <v>k j u b ə n z </v>
      </c>
    </row>
    <row r="8972">
      <c r="A8972" s="1" t="s">
        <v>8973</v>
      </c>
      <c r="B8972" s="1" t="s">
        <v>6138</v>
      </c>
      <c r="C8972" s="2">
        <f>IFERROR(__xludf.DUMMYFUNCTION("IFERROR(VLOOKUP(A8972, IMPORTRANGE(""https://docs.google.com/spreadsheets/d/1AVX9GT0dgogEBStecCXMMQ29tWz3gBrtNB8yIromXbY/edit?gid=741673867"", ""out1g!A:B""), 2, FALSE), 0)"),244.0)</f>
        <v>244</v>
      </c>
      <c r="D8972" s="2" t="str">
        <f>IFERROR(__xludf.DUMMYFUNCTION("IFERROR(VLOOKUP(A8972, IMPORTRANGE(""https://docs.google.com/spreadsheets/d/1-3Vjw2Cyy-mry5gbC8ypIR3YVGFfEpyFESummAta6sg/edit"", ""Sheet1!B:D""), 2, FALSE), ""Not Found"")"),"fiʧərz")</f>
        <v>fiʧərz</v>
      </c>
      <c r="E8972" s="2" t="str">
        <f>IFERROR(__xludf.DUMMYFUNCTION("IFERROR(VLOOKUP(A8972, IMPORTRANGE(""https://docs.google.com/spreadsheets/d/1-3Vjw2Cyy-mry5gbC8ypIR3YVGFfEpyFESummAta6sg/edit"", ""Sheet1!B:D""), 3, FALSE), ""Not Found"")"),"f i ʧ ə r z ")</f>
        <v>f i ʧ ə r z </v>
      </c>
    </row>
    <row r="8973">
      <c r="A8973" s="1" t="s">
        <v>8974</v>
      </c>
      <c r="B8973" s="1" t="s">
        <v>6138</v>
      </c>
      <c r="C8973" s="2">
        <f>IFERROR(__xludf.DUMMYFUNCTION("IFERROR(VLOOKUP(A8973, IMPORTRANGE(""https://docs.google.com/spreadsheets/d/1AVX9GT0dgogEBStecCXMMQ29tWz3gBrtNB8yIromXbY/edit?gid=741673867"", ""out1g!A:B""), 2, FALSE), 0)"),132.0)</f>
        <v>132</v>
      </c>
      <c r="D8973" s="2" t="str">
        <f>IFERROR(__xludf.DUMMYFUNCTION("IFERROR(VLOOKUP(A8973, IMPORTRANGE(""https://docs.google.com/spreadsheets/d/1-3Vjw2Cyy-mry5gbC8ypIR3YVGFfEpyFESummAta6sg/edit"", ""Sheet1!B:D""), 2, FALSE), ""Not Found"")"),"hoʊldəp")</f>
        <v>hoʊldəp</v>
      </c>
      <c r="E8973" s="2" t="str">
        <f>IFERROR(__xludf.DUMMYFUNCTION("IFERROR(VLOOKUP(A8973, IMPORTRANGE(""https://docs.google.com/spreadsheets/d/1-3Vjw2Cyy-mry5gbC8ypIR3YVGFfEpyFESummAta6sg/edit"", ""Sheet1!B:D""), 3, FALSE), ""Not Found"")"),"h o ʊ l d ə p ")</f>
        <v>h o ʊ l d ə p </v>
      </c>
    </row>
    <row r="8974">
      <c r="A8974" s="1" t="s">
        <v>8975</v>
      </c>
      <c r="B8974" s="1" t="s">
        <v>6138</v>
      </c>
      <c r="C8974" s="2">
        <f>IFERROR(__xludf.DUMMYFUNCTION("IFERROR(VLOOKUP(A8974, IMPORTRANGE(""https://docs.google.com/spreadsheets/d/1AVX9GT0dgogEBStecCXMMQ29tWz3gBrtNB8yIromXbY/edit?gid=741673867"", ""out1g!A:B""), 2, FALSE), 0)"),1186.0)</f>
        <v>1186</v>
      </c>
      <c r="D8974" s="2" t="str">
        <f>IFERROR(__xludf.DUMMYFUNCTION("IFERROR(VLOOKUP(A8974, IMPORTRANGE(""https://docs.google.com/spreadsheets/d/1-3Vjw2Cyy-mry5gbC8ypIR3YVGFfEpyFESummAta6sg/edit"", ""Sheet1!B:D""), 2, FALSE), ""Not Found"")"),"sændi")</f>
        <v>sændi</v>
      </c>
      <c r="E8974" s="2" t="str">
        <f>IFERROR(__xludf.DUMMYFUNCTION("IFERROR(VLOOKUP(A8974, IMPORTRANGE(""https://docs.google.com/spreadsheets/d/1-3Vjw2Cyy-mry5gbC8ypIR3YVGFfEpyFESummAta6sg/edit"", ""Sheet1!B:D""), 3, FALSE), ""Not Found"")"),"s æ n d i ")</f>
        <v>s æ n d i </v>
      </c>
    </row>
    <row r="8975">
      <c r="A8975" s="1" t="s">
        <v>8976</v>
      </c>
      <c r="B8975" s="1" t="s">
        <v>6138</v>
      </c>
      <c r="C8975" s="2">
        <f>IFERROR(__xludf.DUMMYFUNCTION("IFERROR(VLOOKUP(A8975, IMPORTRANGE(""https://docs.google.com/spreadsheets/d/1AVX9GT0dgogEBStecCXMMQ29tWz3gBrtNB8yIromXbY/edit?gid=741673867"", ""out1g!A:B""), 2, FALSE), 0)"),26.0)</f>
        <v>26</v>
      </c>
      <c r="D8975" s="2" t="str">
        <f>IFERROR(__xludf.DUMMYFUNCTION("IFERROR(VLOOKUP(A8975, IMPORTRANGE(""https://docs.google.com/spreadsheets/d/1-3Vjw2Cyy-mry5gbC8ypIR3YVGFfEpyFESummAta6sg/edit"", ""Sheet1!B:D""), 2, FALSE), ""Not Found"")"),"drɛgz")</f>
        <v>drɛgz</v>
      </c>
      <c r="E8975" s="2" t="str">
        <f>IFERROR(__xludf.DUMMYFUNCTION("IFERROR(VLOOKUP(A8975, IMPORTRANGE(""https://docs.google.com/spreadsheets/d/1-3Vjw2Cyy-mry5gbC8ypIR3YVGFfEpyFESummAta6sg/edit"", ""Sheet1!B:D""), 3, FALSE), ""Not Found"")"),"d r ɛ g z ")</f>
        <v>d r ɛ g z </v>
      </c>
    </row>
    <row r="8976">
      <c r="A8976" s="1" t="s">
        <v>8977</v>
      </c>
      <c r="B8976" s="1" t="s">
        <v>6138</v>
      </c>
      <c r="C8976" s="2">
        <f>IFERROR(__xludf.DUMMYFUNCTION("IFERROR(VLOOKUP(A8976, IMPORTRANGE(""https://docs.google.com/spreadsheets/d/1AVX9GT0dgogEBStecCXMMQ29tWz3gBrtNB8yIromXbY/edit?gid=741673867"", ""out1g!A:B""), 2, FALSE), 0)"),69.0)</f>
        <v>69</v>
      </c>
      <c r="D8976" s="2" t="str">
        <f>IFERROR(__xludf.DUMMYFUNCTION("IFERROR(VLOOKUP(A8976, IMPORTRANGE(""https://docs.google.com/spreadsheets/d/1-3Vjw2Cyy-mry5gbC8ypIR3YVGFfEpyFESummAta6sg/edit"", ""Sheet1!B:D""), 2, FALSE), ""Not Found"")"),"bælət")</f>
        <v>bælət</v>
      </c>
      <c r="E8976" s="2" t="str">
        <f>IFERROR(__xludf.DUMMYFUNCTION("IFERROR(VLOOKUP(A8976, IMPORTRANGE(""https://docs.google.com/spreadsheets/d/1-3Vjw2Cyy-mry5gbC8ypIR3YVGFfEpyFESummAta6sg/edit"", ""Sheet1!B:D""), 3, FALSE), ""Not Found"")"),"b æ l ə t ")</f>
        <v>b æ l ə t </v>
      </c>
    </row>
    <row r="8977">
      <c r="A8977" s="1" t="s">
        <v>8978</v>
      </c>
      <c r="B8977" s="1" t="s">
        <v>6138</v>
      </c>
      <c r="C8977" s="2">
        <f>IFERROR(__xludf.DUMMYFUNCTION("IFERROR(VLOOKUP(A8977, IMPORTRANGE(""https://docs.google.com/spreadsheets/d/1AVX9GT0dgogEBStecCXMMQ29tWz3gBrtNB8yIromXbY/edit?gid=741673867"", ""out1g!A:B""), 2, FALSE), 0)"),55.0)</f>
        <v>55</v>
      </c>
      <c r="D8977" s="2" t="str">
        <f>IFERROR(__xludf.DUMMYFUNCTION("IFERROR(VLOOKUP(A8977, IMPORTRANGE(""https://docs.google.com/spreadsheets/d/1-3Vjw2Cyy-mry5gbC8ypIR3YVGFfEpyFESummAta6sg/edit"", ""Sheet1!B:D""), 2, FALSE), ""Not Found"")"),"mɛtəlz")</f>
        <v>mɛtəlz</v>
      </c>
      <c r="E8977" s="2" t="str">
        <f>IFERROR(__xludf.DUMMYFUNCTION("IFERROR(VLOOKUP(A8977, IMPORTRANGE(""https://docs.google.com/spreadsheets/d/1-3Vjw2Cyy-mry5gbC8ypIR3YVGFfEpyFESummAta6sg/edit"", ""Sheet1!B:D""), 3, FALSE), ""Not Found"")"),"m ɛ t ə l z ")</f>
        <v>m ɛ t ə l z </v>
      </c>
    </row>
    <row r="8978">
      <c r="A8978" s="1" t="s">
        <v>8979</v>
      </c>
      <c r="B8978" s="1" t="s">
        <v>6138</v>
      </c>
      <c r="C8978" s="2">
        <f>IFERROR(__xludf.DUMMYFUNCTION("IFERROR(VLOOKUP(A8978, IMPORTRANGE(""https://docs.google.com/spreadsheets/d/1AVX9GT0dgogEBStecCXMMQ29tWz3gBrtNB8yIromXbY/edit?gid=741673867"", ""out1g!A:B""), 2, FALSE), 0)"),56252.0)</f>
        <v>56252</v>
      </c>
      <c r="D8978" s="2" t="str">
        <f>IFERROR(__xludf.DUMMYFUNCTION("IFERROR(VLOOKUP(A8978, IMPORTRANGE(""https://docs.google.com/spreadsheets/d/1-3Vjw2Cyy-mry5gbC8ypIR3YVGFfEpyFESummAta6sg/edit"", ""Sheet1!B:D""), 2, FALSE), ""Not Found"")"),"pipəl")</f>
        <v>pipəl</v>
      </c>
      <c r="E8978" s="2" t="str">
        <f>IFERROR(__xludf.DUMMYFUNCTION("IFERROR(VLOOKUP(A8978, IMPORTRANGE(""https://docs.google.com/spreadsheets/d/1-3Vjw2Cyy-mry5gbC8ypIR3YVGFfEpyFESummAta6sg/edit"", ""Sheet1!B:D""), 3, FALSE), ""Not Found"")"),"p i p ə l ")</f>
        <v>p i p ə l </v>
      </c>
    </row>
    <row r="8979">
      <c r="A8979" s="1" t="s">
        <v>8980</v>
      </c>
      <c r="B8979" s="1" t="s">
        <v>6138</v>
      </c>
      <c r="C8979" s="2">
        <f>IFERROR(__xludf.DUMMYFUNCTION("IFERROR(VLOOKUP(A8979, IMPORTRANGE(""https://docs.google.com/spreadsheets/d/1AVX9GT0dgogEBStecCXMMQ29tWz3gBrtNB8yIromXbY/edit?gid=741673867"", ""out1g!A:B""), 2, FALSE), 0)"),894.0)</f>
        <v>894</v>
      </c>
      <c r="D8979" s="2" t="str">
        <f>IFERROR(__xludf.DUMMYFUNCTION("IFERROR(VLOOKUP(A8979, IMPORTRANGE(""https://docs.google.com/spreadsheets/d/1-3Vjw2Cyy-mry5gbC8ypIR3YVGFfEpyFESummAta6sg/edit"", ""Sheet1!B:D""), 2, FALSE), ""Not Found"")"),"dɪzaɪnd")</f>
        <v>dɪzaɪnd</v>
      </c>
      <c r="E8979" s="2" t="str">
        <f>IFERROR(__xludf.DUMMYFUNCTION("IFERROR(VLOOKUP(A8979, IMPORTRANGE(""https://docs.google.com/spreadsheets/d/1-3Vjw2Cyy-mry5gbC8ypIR3YVGFfEpyFESummAta6sg/edit"", ""Sheet1!B:D""), 3, FALSE), ""Not Found"")"),"d ɪ z a ɪ n d ")</f>
        <v>d ɪ z a ɪ n d </v>
      </c>
    </row>
    <row r="8980">
      <c r="A8980" s="1" t="s">
        <v>8981</v>
      </c>
      <c r="B8980" s="1" t="s">
        <v>6138</v>
      </c>
      <c r="C8980" s="2">
        <f>IFERROR(__xludf.DUMMYFUNCTION("IFERROR(VLOOKUP(A8980, IMPORTRANGE(""https://docs.google.com/spreadsheets/d/1AVX9GT0dgogEBStecCXMMQ29tWz3gBrtNB8yIromXbY/edit?gid=741673867"", ""out1g!A:B""), 2, FALSE), 0)"),656.0)</f>
        <v>656</v>
      </c>
      <c r="D8980" s="2" t="str">
        <f>IFERROR(__xludf.DUMMYFUNCTION("IFERROR(VLOOKUP(A8980, IMPORTRANGE(""https://docs.google.com/spreadsheets/d/1-3Vjw2Cyy-mry5gbC8ypIR3YVGFfEpyFESummAta6sg/edit"", ""Sheet1!B:D""), 2, FALSE), ""Not Found"")"),"dræŋk")</f>
        <v>dræŋk</v>
      </c>
      <c r="E8980" s="2" t="str">
        <f>IFERROR(__xludf.DUMMYFUNCTION("IFERROR(VLOOKUP(A8980, IMPORTRANGE(""https://docs.google.com/spreadsheets/d/1-3Vjw2Cyy-mry5gbC8ypIR3YVGFfEpyFESummAta6sg/edit"", ""Sheet1!B:D""), 3, FALSE), ""Not Found"")"),"d r æ ŋ k ")</f>
        <v>d r æ ŋ k </v>
      </c>
    </row>
    <row r="8981">
      <c r="A8981" s="1" t="s">
        <v>8982</v>
      </c>
      <c r="B8981" s="1" t="s">
        <v>6138</v>
      </c>
      <c r="C8981" s="2">
        <f>IFERROR(__xludf.DUMMYFUNCTION("IFERROR(VLOOKUP(A8981, IMPORTRANGE(""https://docs.google.com/spreadsheets/d/1AVX9GT0dgogEBStecCXMMQ29tWz3gBrtNB8yIromXbY/edit?gid=741673867"", ""out1g!A:B""), 2, FALSE), 0)"),107.0)</f>
        <v>107</v>
      </c>
      <c r="D8981" s="2" t="str">
        <f>IFERROR(__xludf.DUMMYFUNCTION("IFERROR(VLOOKUP(A8981, IMPORTRANGE(""https://docs.google.com/spreadsheets/d/1-3Vjw2Cyy-mry5gbC8ypIR3YVGFfEpyFESummAta6sg/edit"", ""Sheet1!B:D""), 2, FALSE), ""Not Found"")"),"paʊdərd")</f>
        <v>paʊdərd</v>
      </c>
      <c r="E8981" s="2" t="str">
        <f>IFERROR(__xludf.DUMMYFUNCTION("IFERROR(VLOOKUP(A8981, IMPORTRANGE(""https://docs.google.com/spreadsheets/d/1-3Vjw2Cyy-mry5gbC8ypIR3YVGFfEpyFESummAta6sg/edit"", ""Sheet1!B:D""), 3, FALSE), ""Not Found"")"),"p a ʊ d ə r d ")</f>
        <v>p a ʊ d ə r d </v>
      </c>
    </row>
    <row r="8982">
      <c r="A8982" s="1" t="s">
        <v>8983</v>
      </c>
      <c r="B8982" s="1" t="s">
        <v>6138</v>
      </c>
      <c r="C8982" s="2">
        <f>IFERROR(__xludf.DUMMYFUNCTION("IFERROR(VLOOKUP(A8982, IMPORTRANGE(""https://docs.google.com/spreadsheets/d/1AVX9GT0dgogEBStecCXMMQ29tWz3gBrtNB8yIromXbY/edit?gid=741673867"", ""out1g!A:B""), 2, FALSE), 0)"),528.0)</f>
        <v>528</v>
      </c>
      <c r="D8982" s="2" t="str">
        <f>IFERROR(__xludf.DUMMYFUNCTION("IFERROR(VLOOKUP(A8982, IMPORTRANGE(""https://docs.google.com/spreadsheets/d/1-3Vjw2Cyy-mry5gbC8ypIR3YVGFfEpyFESummAta6sg/edit"", ""Sheet1!B:D""), 2, FALSE), ""Not Found"")"),"kələrz")</f>
        <v>kələrz</v>
      </c>
      <c r="E8982" s="2" t="str">
        <f>IFERROR(__xludf.DUMMYFUNCTION("IFERROR(VLOOKUP(A8982, IMPORTRANGE(""https://docs.google.com/spreadsheets/d/1-3Vjw2Cyy-mry5gbC8ypIR3YVGFfEpyFESummAta6sg/edit"", ""Sheet1!B:D""), 3, FALSE), ""Not Found"")"),"k ə l ə r z ")</f>
        <v>k ə l ə r z </v>
      </c>
    </row>
    <row r="8983">
      <c r="A8983" s="1" t="s">
        <v>8984</v>
      </c>
      <c r="B8983" s="1" t="s">
        <v>6138</v>
      </c>
      <c r="C8983" s="2">
        <f>IFERROR(__xludf.DUMMYFUNCTION("IFERROR(VLOOKUP(A8983, IMPORTRANGE(""https://docs.google.com/spreadsheets/d/1AVX9GT0dgogEBStecCXMMQ29tWz3gBrtNB8yIromXbY/edit?gid=741673867"", ""out1g!A:B""), 2, FALSE), 0)"),71.0)</f>
        <v>71</v>
      </c>
      <c r="D8983" s="2" t="str">
        <f>IFERROR(__xludf.DUMMYFUNCTION("IFERROR(VLOOKUP(A8983, IMPORTRANGE(""https://docs.google.com/spreadsheets/d/1-3Vjw2Cyy-mry5gbC8ypIR3YVGFfEpyFESummAta6sg/edit"", ""Sheet1!B:D""), 2, FALSE), ""Not Found"")"),"pɑrsəl")</f>
        <v>pɑrsəl</v>
      </c>
      <c r="E8983" s="2" t="str">
        <f>IFERROR(__xludf.DUMMYFUNCTION("IFERROR(VLOOKUP(A8983, IMPORTRANGE(""https://docs.google.com/spreadsheets/d/1-3Vjw2Cyy-mry5gbC8ypIR3YVGFfEpyFESummAta6sg/edit"", ""Sheet1!B:D""), 3, FALSE), ""Not Found"")"),"p ɑ r s ə l ")</f>
        <v>p ɑ r s ə l </v>
      </c>
    </row>
    <row r="8984">
      <c r="A8984" s="1" t="s">
        <v>8985</v>
      </c>
      <c r="B8984" s="1" t="s">
        <v>6138</v>
      </c>
      <c r="C8984" s="2">
        <f>IFERROR(__xludf.DUMMYFUNCTION("IFERROR(VLOOKUP(A8984, IMPORTRANGE(""https://docs.google.com/spreadsheets/d/1AVX9GT0dgogEBStecCXMMQ29tWz3gBrtNB8yIromXbY/edit?gid=741673867"", ""out1g!A:B""), 2, FALSE), 0)"),153.0)</f>
        <v>153</v>
      </c>
      <c r="D8984" s="2" t="str">
        <f>IFERROR(__xludf.DUMMYFUNCTION("IFERROR(VLOOKUP(A8984, IMPORTRANGE(""https://docs.google.com/spreadsheets/d/1-3Vjw2Cyy-mry5gbC8ypIR3YVGFfEpyFESummAta6sg/edit"", ""Sheet1!B:D""), 2, FALSE), ""Not Found"")"),"bitəlz")</f>
        <v>bitəlz</v>
      </c>
      <c r="E8984" s="2" t="str">
        <f>IFERROR(__xludf.DUMMYFUNCTION("IFERROR(VLOOKUP(A8984, IMPORTRANGE(""https://docs.google.com/spreadsheets/d/1-3Vjw2Cyy-mry5gbC8ypIR3YVGFfEpyFESummAta6sg/edit"", ""Sheet1!B:D""), 3, FALSE), ""Not Found"")"),"b i t ə l z ")</f>
        <v>b i t ə l z </v>
      </c>
    </row>
    <row r="8985">
      <c r="A8985" s="1" t="s">
        <v>8986</v>
      </c>
      <c r="B8985" s="1" t="s">
        <v>6138</v>
      </c>
      <c r="C8985" s="2">
        <f>IFERROR(__xludf.DUMMYFUNCTION("IFERROR(VLOOKUP(A8985, IMPORTRANGE(""https://docs.google.com/spreadsheets/d/1AVX9GT0dgogEBStecCXMMQ29tWz3gBrtNB8yIromXbY/edit?gid=741673867"", ""out1g!A:B""), 2, FALSE), 0)"),86.0)</f>
        <v>86</v>
      </c>
      <c r="D8985" s="2" t="str">
        <f>IFERROR(__xludf.DUMMYFUNCTION("IFERROR(VLOOKUP(A8985, IMPORTRANGE(""https://docs.google.com/spreadsheets/d/1-3Vjw2Cyy-mry5gbC8ypIR3YVGFfEpyFESummAta6sg/edit"", ""Sheet1!B:D""), 2, FALSE), ""Not Found"")"),"grɑ")</f>
        <v>grɑ</v>
      </c>
      <c r="E8985" s="2" t="str">
        <f>IFERROR(__xludf.DUMMYFUNCTION("IFERROR(VLOOKUP(A8985, IMPORTRANGE(""https://docs.google.com/spreadsheets/d/1-3Vjw2Cyy-mry5gbC8ypIR3YVGFfEpyFESummAta6sg/edit"", ""Sheet1!B:D""), 3, FALSE), ""Not Found"")"),"g r ɑ ")</f>
        <v>g r ɑ </v>
      </c>
    </row>
    <row r="8986">
      <c r="A8986" s="1" t="s">
        <v>8987</v>
      </c>
      <c r="B8986" s="1" t="s">
        <v>6138</v>
      </c>
      <c r="C8986" s="2">
        <f>IFERROR(__xludf.DUMMYFUNCTION("IFERROR(VLOOKUP(A8986, IMPORTRANGE(""https://docs.google.com/spreadsheets/d/1AVX9GT0dgogEBStecCXMMQ29tWz3gBrtNB8yIromXbY/edit?gid=741673867"", ""out1g!A:B""), 2, FALSE), 0)"),50.0)</f>
        <v>50</v>
      </c>
      <c r="D8986" s="2" t="str">
        <f>IFERROR(__xludf.DUMMYFUNCTION("IFERROR(VLOOKUP(A8986, IMPORTRANGE(""https://docs.google.com/spreadsheets/d/1-3Vjw2Cyy-mry5gbC8ypIR3YVGFfEpyFESummAta6sg/edit"", ""Sheet1!B:D""), 2, FALSE), ""Not Found"")"),"kæsts")</f>
        <v>kæsts</v>
      </c>
      <c r="E8986" s="2" t="str">
        <f>IFERROR(__xludf.DUMMYFUNCTION("IFERROR(VLOOKUP(A8986, IMPORTRANGE(""https://docs.google.com/spreadsheets/d/1-3Vjw2Cyy-mry5gbC8ypIR3YVGFfEpyFESummAta6sg/edit"", ""Sheet1!B:D""), 3, FALSE), ""Not Found"")"),"k æ s t s ")</f>
        <v>k æ s t s </v>
      </c>
    </row>
    <row r="8987">
      <c r="A8987" s="1" t="s">
        <v>8988</v>
      </c>
      <c r="B8987" s="1" t="s">
        <v>6138</v>
      </c>
      <c r="C8987" s="2">
        <f>IFERROR(__xludf.DUMMYFUNCTION("IFERROR(VLOOKUP(A8987, IMPORTRANGE(""https://docs.google.com/spreadsheets/d/1AVX9GT0dgogEBStecCXMMQ29tWz3gBrtNB8yIromXbY/edit?gid=741673867"", ""out1g!A:B""), 2, FALSE), 0)"),1245.0)</f>
        <v>1245</v>
      </c>
      <c r="D8987" s="2" t="str">
        <f>IFERROR(__xludf.DUMMYFUNCTION("IFERROR(VLOOKUP(A8987, IMPORTRANGE(""https://docs.google.com/spreadsheets/d/1-3Vjw2Cyy-mry5gbC8ypIR3YVGFfEpyFESummAta6sg/edit"", ""Sheet1!B:D""), 2, FALSE), ""Not Found"")"),"ʧænəl")</f>
        <v>ʧænəl</v>
      </c>
      <c r="E8987" s="2" t="str">
        <f>IFERROR(__xludf.DUMMYFUNCTION("IFERROR(VLOOKUP(A8987, IMPORTRANGE(""https://docs.google.com/spreadsheets/d/1-3Vjw2Cyy-mry5gbC8ypIR3YVGFfEpyFESummAta6sg/edit"", ""Sheet1!B:D""), 3, FALSE), ""Not Found"")"),"ʧ æ n ə l ")</f>
        <v>ʧ æ n ə l </v>
      </c>
    </row>
    <row r="8988">
      <c r="A8988" s="1" t="s">
        <v>8989</v>
      </c>
      <c r="B8988" s="1" t="s">
        <v>6138</v>
      </c>
      <c r="C8988" s="2">
        <f>IFERROR(__xludf.DUMMYFUNCTION("IFERROR(VLOOKUP(A8988, IMPORTRANGE(""https://docs.google.com/spreadsheets/d/1AVX9GT0dgogEBStecCXMMQ29tWz3gBrtNB8yIromXbY/edit?gid=741673867"", ""out1g!A:B""), 2, FALSE), 0)"),66.0)</f>
        <v>66</v>
      </c>
      <c r="D8988" s="2" t="str">
        <f>IFERROR(__xludf.DUMMYFUNCTION("IFERROR(VLOOKUP(A8988, IMPORTRANGE(""https://docs.google.com/spreadsheets/d/1-3Vjw2Cyy-mry5gbC8ypIR3YVGFfEpyFESummAta6sg/edit"", ""Sheet1!B:D""), 2, FALSE), ""Not Found"")"),"sæk")</f>
        <v>sæk</v>
      </c>
      <c r="E8988" s="2" t="str">
        <f>IFERROR(__xludf.DUMMYFUNCTION("IFERROR(VLOOKUP(A8988, IMPORTRANGE(""https://docs.google.com/spreadsheets/d/1-3Vjw2Cyy-mry5gbC8ypIR3YVGFfEpyFESummAta6sg/edit"", ""Sheet1!B:D""), 3, FALSE), ""Not Found"")"),"s æ k ")</f>
        <v>s æ k </v>
      </c>
    </row>
    <row r="8989">
      <c r="A8989" s="1" t="s">
        <v>8990</v>
      </c>
      <c r="B8989" s="1" t="s">
        <v>6138</v>
      </c>
      <c r="C8989" s="2">
        <f>IFERROR(__xludf.DUMMYFUNCTION("IFERROR(VLOOKUP(A8989, IMPORTRANGE(""https://docs.google.com/spreadsheets/d/1AVX9GT0dgogEBStecCXMMQ29tWz3gBrtNB8yIromXbY/edit?gid=741673867"", ""out1g!A:B""), 2, FALSE), 0)"),57.0)</f>
        <v>57</v>
      </c>
      <c r="D8989" s="2" t="str">
        <f>IFERROR(__xludf.DUMMYFUNCTION("IFERROR(VLOOKUP(A8989, IMPORTRANGE(""https://docs.google.com/spreadsheets/d/1-3Vjw2Cyy-mry5gbC8ypIR3YVGFfEpyFESummAta6sg/edit"", ""Sheet1!B:D""), 2, FALSE), ""Not Found"")"),"rætɪd")</f>
        <v>rætɪd</v>
      </c>
      <c r="E8989" s="2" t="str">
        <f>IFERROR(__xludf.DUMMYFUNCTION("IFERROR(VLOOKUP(A8989, IMPORTRANGE(""https://docs.google.com/spreadsheets/d/1-3Vjw2Cyy-mry5gbC8ypIR3YVGFfEpyFESummAta6sg/edit"", ""Sheet1!B:D""), 3, FALSE), ""Not Found"")"),"r æ t ɪ d ")</f>
        <v>r æ t ɪ d </v>
      </c>
    </row>
    <row r="8990">
      <c r="A8990" s="1" t="s">
        <v>8991</v>
      </c>
      <c r="B8990" s="1" t="s">
        <v>6138</v>
      </c>
      <c r="C8990" s="2">
        <f>IFERROR(__xludf.DUMMYFUNCTION("IFERROR(VLOOKUP(A8990, IMPORTRANGE(""https://docs.google.com/spreadsheets/d/1AVX9GT0dgogEBStecCXMMQ29tWz3gBrtNB8yIromXbY/edit?gid=741673867"", ""out1g!A:B""), 2, FALSE), 0)"),188.0)</f>
        <v>188</v>
      </c>
      <c r="D8990" s="2" t="str">
        <f>IFERROR(__xludf.DUMMYFUNCTION("IFERROR(VLOOKUP(A8990, IMPORTRANGE(""https://docs.google.com/spreadsheets/d/1-3Vjw2Cyy-mry5gbC8ypIR3YVGFfEpyFESummAta6sg/edit"", ""Sheet1!B:D""), 2, FALSE), ""Not Found"")"),"pɪkəlz")</f>
        <v>pɪkəlz</v>
      </c>
      <c r="E8990" s="2" t="str">
        <f>IFERROR(__xludf.DUMMYFUNCTION("IFERROR(VLOOKUP(A8990, IMPORTRANGE(""https://docs.google.com/spreadsheets/d/1-3Vjw2Cyy-mry5gbC8ypIR3YVGFfEpyFESummAta6sg/edit"", ""Sheet1!B:D""), 3, FALSE), ""Not Found"")"),"p ɪ k ə l z ")</f>
        <v>p ɪ k ə l z </v>
      </c>
    </row>
    <row r="8991">
      <c r="A8991" s="1" t="s">
        <v>8992</v>
      </c>
      <c r="B8991" s="1" t="s">
        <v>6138</v>
      </c>
      <c r="C8991" s="2">
        <f>IFERROR(__xludf.DUMMYFUNCTION("IFERROR(VLOOKUP(A8991, IMPORTRANGE(""https://docs.google.com/spreadsheets/d/1AVX9GT0dgogEBStecCXMMQ29tWz3gBrtNB8yIromXbY/edit?gid=741673867"", ""out1g!A:B""), 2, FALSE), 0)"),77.0)</f>
        <v>77</v>
      </c>
      <c r="D8991" s="2" t="str">
        <f>IFERROR(__xludf.DUMMYFUNCTION("IFERROR(VLOOKUP(A8991, IMPORTRANGE(""https://docs.google.com/spreadsheets/d/1-3Vjw2Cyy-mry5gbC8ypIR3YVGFfEpyFESummAta6sg/edit"", ""Sheet1!B:D""), 2, FALSE), ""Not Found"")"),"kɔrdz")</f>
        <v>kɔrdz</v>
      </c>
      <c r="E8991" s="2" t="str">
        <f>IFERROR(__xludf.DUMMYFUNCTION("IFERROR(VLOOKUP(A8991, IMPORTRANGE(""https://docs.google.com/spreadsheets/d/1-3Vjw2Cyy-mry5gbC8ypIR3YVGFfEpyFESummAta6sg/edit"", ""Sheet1!B:D""), 3, FALSE), ""Not Found"")"),"k ɔ r d z ")</f>
        <v>k ɔ r d z </v>
      </c>
    </row>
    <row r="8992">
      <c r="A8992" s="1" t="s">
        <v>8993</v>
      </c>
      <c r="B8992" s="1" t="s">
        <v>6138</v>
      </c>
      <c r="C8992" s="2">
        <f>IFERROR(__xludf.DUMMYFUNCTION("IFERROR(VLOOKUP(A8992, IMPORTRANGE(""https://docs.google.com/spreadsheets/d/1AVX9GT0dgogEBStecCXMMQ29tWz3gBrtNB8yIromXbY/edit?gid=741673867"", ""out1g!A:B""), 2, FALSE), 0)"),309.0)</f>
        <v>309</v>
      </c>
      <c r="D8992" s="2" t="str">
        <f>IFERROR(__xludf.DUMMYFUNCTION("IFERROR(VLOOKUP(A8992, IMPORTRANGE(""https://docs.google.com/spreadsheets/d/1-3Vjw2Cyy-mry5gbC8ypIR3YVGFfEpyFESummAta6sg/edit"", ""Sheet1!B:D""), 2, FALSE), ""Not Found"")"),"sənraɪz")</f>
        <v>sənraɪz</v>
      </c>
      <c r="E8992" s="2" t="str">
        <f>IFERROR(__xludf.DUMMYFUNCTION("IFERROR(VLOOKUP(A8992, IMPORTRANGE(""https://docs.google.com/spreadsheets/d/1-3Vjw2Cyy-mry5gbC8ypIR3YVGFfEpyFESummAta6sg/edit"", ""Sheet1!B:D""), 3, FALSE), ""Not Found"")"),"s ə n r a ɪ z ")</f>
        <v>s ə n r a ɪ z </v>
      </c>
    </row>
    <row r="8993">
      <c r="A8993" s="1" t="s">
        <v>8994</v>
      </c>
      <c r="B8993" s="1" t="s">
        <v>6138</v>
      </c>
      <c r="C8993" s="2">
        <f>IFERROR(__xludf.DUMMYFUNCTION("IFERROR(VLOOKUP(A8993, IMPORTRANGE(""https://docs.google.com/spreadsheets/d/1AVX9GT0dgogEBStecCXMMQ29tWz3gBrtNB8yIromXbY/edit?gid=741673867"", ""out1g!A:B""), 2, FALSE), 0)"),87.0)</f>
        <v>87</v>
      </c>
      <c r="D8993" s="2" t="str">
        <f>IFERROR(__xludf.DUMMYFUNCTION("IFERROR(VLOOKUP(A8993, IMPORTRANGE(""https://docs.google.com/spreadsheets/d/1-3Vjw2Cyy-mry5gbC8ypIR3YVGFfEpyFESummAta6sg/edit"", ""Sheet1!B:D""), 2, FALSE), ""Not Found"")"),"stoʊkər")</f>
        <v>stoʊkər</v>
      </c>
      <c r="E8993" s="2" t="str">
        <f>IFERROR(__xludf.DUMMYFUNCTION("IFERROR(VLOOKUP(A8993, IMPORTRANGE(""https://docs.google.com/spreadsheets/d/1-3Vjw2Cyy-mry5gbC8ypIR3YVGFfEpyFESummAta6sg/edit"", ""Sheet1!B:D""), 3, FALSE), ""Not Found"")"),"s t o ʊ k ə r ")</f>
        <v>s t o ʊ k ə r </v>
      </c>
    </row>
    <row r="8994">
      <c r="A8994" s="1" t="s">
        <v>8995</v>
      </c>
      <c r="B8994" s="1" t="s">
        <v>6138</v>
      </c>
      <c r="C8994" s="2">
        <f>IFERROR(__xludf.DUMMYFUNCTION("IFERROR(VLOOKUP(A8994, IMPORTRANGE(""https://docs.google.com/spreadsheets/d/1AVX9GT0dgogEBStecCXMMQ29tWz3gBrtNB8yIromXbY/edit?gid=741673867"", ""out1g!A:B""), 2, FALSE), 0)"),52492.0)</f>
        <v>52492</v>
      </c>
      <c r="D8994" s="2" t="str">
        <f>IFERROR(__xludf.DUMMYFUNCTION("IFERROR(VLOOKUP(A8994, IMPORTRANGE(""https://docs.google.com/spreadsheets/d/1-3Vjw2Cyy-mry5gbC8ypIR3YVGFfEpyFESummAta6sg/edit"", ""Sheet1!B:D""), 2, FALSE), ""Not Found"")"),"duɪŋ")</f>
        <v>duɪŋ</v>
      </c>
      <c r="E8994" s="2" t="str">
        <f>IFERROR(__xludf.DUMMYFUNCTION("IFERROR(VLOOKUP(A8994, IMPORTRANGE(""https://docs.google.com/spreadsheets/d/1-3Vjw2Cyy-mry5gbC8ypIR3YVGFfEpyFESummAta6sg/edit"", ""Sheet1!B:D""), 3, FALSE), ""Not Found"")"),"d u ɪ ŋ ")</f>
        <v>d u ɪ ŋ </v>
      </c>
    </row>
    <row r="8995">
      <c r="A8995" s="1" t="s">
        <v>8996</v>
      </c>
      <c r="B8995" s="1" t="s">
        <v>6138</v>
      </c>
      <c r="C8995" s="2">
        <f>IFERROR(__xludf.DUMMYFUNCTION("IFERROR(VLOOKUP(A8995, IMPORTRANGE(""https://docs.google.com/spreadsheets/d/1AVX9GT0dgogEBStecCXMMQ29tWz3gBrtNB8yIromXbY/edit?gid=741673867"", ""out1g!A:B""), 2, FALSE), 0)"),72.0)</f>
        <v>72</v>
      </c>
      <c r="D8995" s="2" t="str">
        <f>IFERROR(__xludf.DUMMYFUNCTION("IFERROR(VLOOKUP(A8995, IMPORTRANGE(""https://docs.google.com/spreadsheets/d/1-3Vjw2Cyy-mry5gbC8ypIR3YVGFfEpyFESummAta6sg/edit"", ""Sheet1!B:D""), 2, FALSE), ""Not Found"")"),"trəsti")</f>
        <v>trəsti</v>
      </c>
      <c r="E8995" s="2" t="str">
        <f>IFERROR(__xludf.DUMMYFUNCTION("IFERROR(VLOOKUP(A8995, IMPORTRANGE(""https://docs.google.com/spreadsheets/d/1-3Vjw2Cyy-mry5gbC8ypIR3YVGFfEpyFESummAta6sg/edit"", ""Sheet1!B:D""), 3, FALSE), ""Not Found"")"),"t r ə s t i ")</f>
        <v>t r ə s t i </v>
      </c>
    </row>
    <row r="8996">
      <c r="A8996" s="1" t="s">
        <v>8997</v>
      </c>
      <c r="B8996" s="1" t="s">
        <v>6138</v>
      </c>
      <c r="C8996" s="2">
        <f>IFERROR(__xludf.DUMMYFUNCTION("IFERROR(VLOOKUP(A8996, IMPORTRANGE(""https://docs.google.com/spreadsheets/d/1AVX9GT0dgogEBStecCXMMQ29tWz3gBrtNB8yIromXbY/edit?gid=741673867"", ""out1g!A:B""), 2, FALSE), 0)"),734.0)</f>
        <v>734</v>
      </c>
      <c r="D8996" s="2" t="str">
        <f>IFERROR(__xludf.DUMMYFUNCTION("IFERROR(VLOOKUP(A8996, IMPORTRANGE(""https://docs.google.com/spreadsheets/d/1-3Vjw2Cyy-mry5gbC8ypIR3YVGFfEpyFESummAta6sg/edit"", ""Sheet1!B:D""), 2, FALSE), ""Not Found"")"),"kaʊərd")</f>
        <v>kaʊərd</v>
      </c>
      <c r="E8996" s="2" t="str">
        <f>IFERROR(__xludf.DUMMYFUNCTION("IFERROR(VLOOKUP(A8996, IMPORTRANGE(""https://docs.google.com/spreadsheets/d/1-3Vjw2Cyy-mry5gbC8ypIR3YVGFfEpyFESummAta6sg/edit"", ""Sheet1!B:D""), 3, FALSE), ""Not Found"")"),"k a ʊ ə r d ")</f>
        <v>k a ʊ ə r d </v>
      </c>
    </row>
    <row r="8997">
      <c r="A8997" s="1" t="s">
        <v>8998</v>
      </c>
      <c r="B8997" s="1" t="s">
        <v>6138</v>
      </c>
      <c r="C8997" s="2">
        <f>IFERROR(__xludf.DUMMYFUNCTION("IFERROR(VLOOKUP(A8997, IMPORTRANGE(""https://docs.google.com/spreadsheets/d/1AVX9GT0dgogEBStecCXMMQ29tWz3gBrtNB8yIromXbY/edit?gid=741673867"", ""out1g!A:B""), 2, FALSE), 0)"),114.0)</f>
        <v>114</v>
      </c>
      <c r="D8997" s="2" t="str">
        <f>IFERROR(__xludf.DUMMYFUNCTION("IFERROR(VLOOKUP(A8997, IMPORTRANGE(""https://docs.google.com/spreadsheets/d/1-3Vjw2Cyy-mry5gbC8ypIR3YVGFfEpyFESummAta6sg/edit"", ""Sheet1!B:D""), 2, FALSE), ""Not Found"")"),"spaɪsɪz")</f>
        <v>spaɪsɪz</v>
      </c>
      <c r="E8997" s="2" t="str">
        <f>IFERROR(__xludf.DUMMYFUNCTION("IFERROR(VLOOKUP(A8997, IMPORTRANGE(""https://docs.google.com/spreadsheets/d/1-3Vjw2Cyy-mry5gbC8ypIR3YVGFfEpyFESummAta6sg/edit"", ""Sheet1!B:D""), 3, FALSE), ""Not Found"")"),"s p a ɪ s ɪ z ")</f>
        <v>s p a ɪ s ɪ z </v>
      </c>
    </row>
    <row r="8998">
      <c r="A8998" s="1" t="s">
        <v>8999</v>
      </c>
      <c r="B8998" s="1" t="s">
        <v>6138</v>
      </c>
      <c r="C8998" s="2">
        <f>IFERROR(__xludf.DUMMYFUNCTION("IFERROR(VLOOKUP(A8998, IMPORTRANGE(""https://docs.google.com/spreadsheets/d/1AVX9GT0dgogEBStecCXMMQ29tWz3gBrtNB8yIromXbY/edit?gid=741673867"", ""out1g!A:B""), 2, FALSE), 0)"),252.0)</f>
        <v>252</v>
      </c>
      <c r="D8998" s="2" t="str">
        <f>IFERROR(__xludf.DUMMYFUNCTION("IFERROR(VLOOKUP(A8998, IMPORTRANGE(""https://docs.google.com/spreadsheets/d/1-3Vjw2Cyy-mry5gbC8ypIR3YVGFfEpyFESummAta6sg/edit"", ""Sheet1!B:D""), 2, FALSE), ""Not Found"")"),"rʊki")</f>
        <v>rʊki</v>
      </c>
      <c r="E8998" s="2" t="str">
        <f>IFERROR(__xludf.DUMMYFUNCTION("IFERROR(VLOOKUP(A8998, IMPORTRANGE(""https://docs.google.com/spreadsheets/d/1-3Vjw2Cyy-mry5gbC8ypIR3YVGFfEpyFESummAta6sg/edit"", ""Sheet1!B:D""), 3, FALSE), ""Not Found"")"),"r ʊ k i ")</f>
        <v>r ʊ k i </v>
      </c>
    </row>
    <row r="8999">
      <c r="A8999" s="1" t="s">
        <v>9000</v>
      </c>
      <c r="B8999" s="1" t="s">
        <v>6138</v>
      </c>
      <c r="C8999" s="2">
        <f>IFERROR(__xludf.DUMMYFUNCTION("IFERROR(VLOOKUP(A8999, IMPORTRANGE(""https://docs.google.com/spreadsheets/d/1AVX9GT0dgogEBStecCXMMQ29tWz3gBrtNB8yIromXbY/edit?gid=741673867"", ""out1g!A:B""), 2, FALSE), 0)"),70.0)</f>
        <v>70</v>
      </c>
      <c r="D8999" s="2" t="str">
        <f>IFERROR(__xludf.DUMMYFUNCTION("IFERROR(VLOOKUP(A8999, IMPORTRANGE(""https://docs.google.com/spreadsheets/d/1-3Vjw2Cyy-mry5gbC8ypIR3YVGFfEpyFESummAta6sg/edit"", ""Sheet1!B:D""), 2, FALSE), ""Not Found"")"),"ræbɪd")</f>
        <v>ræbɪd</v>
      </c>
      <c r="E8999" s="2" t="str">
        <f>IFERROR(__xludf.DUMMYFUNCTION("IFERROR(VLOOKUP(A8999, IMPORTRANGE(""https://docs.google.com/spreadsheets/d/1-3Vjw2Cyy-mry5gbC8ypIR3YVGFfEpyFESummAta6sg/edit"", ""Sheet1!B:D""), 3, FALSE), ""Not Found"")"),"r æ b ɪ d ")</f>
        <v>r æ b ɪ d </v>
      </c>
    </row>
    <row r="9000">
      <c r="A9000" s="1" t="s">
        <v>9001</v>
      </c>
      <c r="B9000" s="1" t="s">
        <v>6138</v>
      </c>
      <c r="C9000" s="2">
        <f>IFERROR(__xludf.DUMMYFUNCTION("IFERROR(VLOOKUP(A9000, IMPORTRANGE(""https://docs.google.com/spreadsheets/d/1AVX9GT0dgogEBStecCXMMQ29tWz3gBrtNB8yIromXbY/edit?gid=741673867"", ""out1g!A:B""), 2, FALSE), 0)"),58.0)</f>
        <v>58</v>
      </c>
      <c r="D9000" s="2" t="str">
        <f>IFERROR(__xludf.DUMMYFUNCTION("IFERROR(VLOOKUP(A9000, IMPORTRANGE(""https://docs.google.com/spreadsheets/d/1-3Vjw2Cyy-mry5gbC8ypIR3YVGFfEpyFESummAta6sg/edit"", ""Sheet1!B:D""), 2, FALSE), ""Not Found"")"),"rəsəl")</f>
        <v>rəsəl</v>
      </c>
      <c r="E9000" s="2" t="str">
        <f>IFERROR(__xludf.DUMMYFUNCTION("IFERROR(VLOOKUP(A9000, IMPORTRANGE(""https://docs.google.com/spreadsheets/d/1-3Vjw2Cyy-mry5gbC8ypIR3YVGFfEpyFESummAta6sg/edit"", ""Sheet1!B:D""), 3, FALSE), ""Not Found"")"),"r ə s ə l ")</f>
        <v>r ə s ə l </v>
      </c>
    </row>
    <row r="9001">
      <c r="A9001" s="1" t="s">
        <v>9002</v>
      </c>
      <c r="B9001" s="1" t="s">
        <v>6138</v>
      </c>
      <c r="C9001" s="2">
        <f>IFERROR(__xludf.DUMMYFUNCTION("IFERROR(VLOOKUP(A9001, IMPORTRANGE(""https://docs.google.com/spreadsheets/d/1AVX9GT0dgogEBStecCXMMQ29tWz3gBrtNB8yIromXbY/edit?gid=741673867"", ""out1g!A:B""), 2, FALSE), 0)"),25.0)</f>
        <v>25</v>
      </c>
      <c r="D9001" s="2" t="str">
        <f>IFERROR(__xludf.DUMMYFUNCTION("IFERROR(VLOOKUP(A9001, IMPORTRANGE(""https://docs.google.com/spreadsheets/d/1-3Vjw2Cyy-mry5gbC8ypIR3YVGFfEpyFESummAta6sg/edit"", ""Sheet1!B:D""), 2, FALSE), ""Not Found"")"),"məniz")</f>
        <v>məniz</v>
      </c>
      <c r="E9001" s="2" t="str">
        <f>IFERROR(__xludf.DUMMYFUNCTION("IFERROR(VLOOKUP(A9001, IMPORTRANGE(""https://docs.google.com/spreadsheets/d/1-3Vjw2Cyy-mry5gbC8ypIR3YVGFfEpyFESummAta6sg/edit"", ""Sheet1!B:D""), 3, FALSE), ""Not Found"")"),"m ə n i z ")</f>
        <v>m ə n i z </v>
      </c>
    </row>
    <row r="9002">
      <c r="A9002" s="1" t="s">
        <v>9003</v>
      </c>
      <c r="B9002" s="1" t="s">
        <v>6138</v>
      </c>
      <c r="C9002" s="2">
        <f>IFERROR(__xludf.DUMMYFUNCTION("IFERROR(VLOOKUP(A9002, IMPORTRANGE(""https://docs.google.com/spreadsheets/d/1AVX9GT0dgogEBStecCXMMQ29tWz3gBrtNB8yIromXbY/edit?gid=741673867"", ""out1g!A:B""), 2, FALSE), 0)"),1516.0)</f>
        <v>1516</v>
      </c>
      <c r="D9002" s="2" t="str">
        <f>IFERROR(__xludf.DUMMYFUNCTION("IFERROR(VLOOKUP(A9002, IMPORTRANGE(""https://docs.google.com/spreadsheets/d/1-3Vjw2Cyy-mry5gbC8ypIR3YVGFfEpyFESummAta6sg/edit"", ""Sheet1!B:D""), 2, FALSE), ""Not Found"")"),"blidɪŋ")</f>
        <v>blidɪŋ</v>
      </c>
      <c r="E9002" s="2" t="str">
        <f>IFERROR(__xludf.DUMMYFUNCTION("IFERROR(VLOOKUP(A9002, IMPORTRANGE(""https://docs.google.com/spreadsheets/d/1-3Vjw2Cyy-mry5gbC8ypIR3YVGFfEpyFESummAta6sg/edit"", ""Sheet1!B:D""), 3, FALSE), ""Not Found"")"),"b l i d ɪ ŋ ")</f>
        <v>b l i d ɪ ŋ </v>
      </c>
    </row>
    <row r="9003">
      <c r="A9003" s="1" t="s">
        <v>9004</v>
      </c>
      <c r="B9003" s="1" t="s">
        <v>6138</v>
      </c>
      <c r="C9003" s="2">
        <f>IFERROR(__xludf.DUMMYFUNCTION("IFERROR(VLOOKUP(A9003, IMPORTRANGE(""https://docs.google.com/spreadsheets/d/1AVX9GT0dgogEBStecCXMMQ29tWz3gBrtNB8yIromXbY/edit?gid=741673867"", ""out1g!A:B""), 2, FALSE), 0)"),129.0)</f>
        <v>129</v>
      </c>
      <c r="D9003" s="2" t="str">
        <f>IFERROR(__xludf.DUMMYFUNCTION("IFERROR(VLOOKUP(A9003, IMPORTRANGE(""https://docs.google.com/spreadsheets/d/1-3Vjw2Cyy-mry5gbC8ypIR3YVGFfEpyFESummAta6sg/edit"", ""Sheet1!B:D""), 2, FALSE), ""Not Found"")"),"vaɪpər")</f>
        <v>vaɪpər</v>
      </c>
      <c r="E9003" s="2" t="str">
        <f>IFERROR(__xludf.DUMMYFUNCTION("IFERROR(VLOOKUP(A9003, IMPORTRANGE(""https://docs.google.com/spreadsheets/d/1-3Vjw2Cyy-mry5gbC8ypIR3YVGFfEpyFESummAta6sg/edit"", ""Sheet1!B:D""), 3, FALSE), ""Not Found"")"),"v a ɪ p ə r ")</f>
        <v>v a ɪ p ə r </v>
      </c>
    </row>
    <row r="9004">
      <c r="A9004" s="1" t="s">
        <v>9005</v>
      </c>
      <c r="B9004" s="1" t="s">
        <v>6138</v>
      </c>
      <c r="C9004" s="2">
        <f>IFERROR(__xludf.DUMMYFUNCTION("IFERROR(VLOOKUP(A9004, IMPORTRANGE(""https://docs.google.com/spreadsheets/d/1AVX9GT0dgogEBStecCXMMQ29tWz3gBrtNB8yIromXbY/edit?gid=741673867"", ""out1g!A:B""), 2, FALSE), 0)"),690.0)</f>
        <v>690</v>
      </c>
      <c r="D9004" s="2" t="str">
        <f>IFERROR(__xludf.DUMMYFUNCTION("IFERROR(VLOOKUP(A9004, IMPORTRANGE(""https://docs.google.com/spreadsheets/d/1-3Vjw2Cyy-mry5gbC8ypIR3YVGFfEpyFESummAta6sg/edit"", ""Sheet1!B:D""), 2, FALSE), ""Not Found"")"),"ʧɪrɪŋ")</f>
        <v>ʧɪrɪŋ</v>
      </c>
      <c r="E9004" s="2" t="str">
        <f>IFERROR(__xludf.DUMMYFUNCTION("IFERROR(VLOOKUP(A9004, IMPORTRANGE(""https://docs.google.com/spreadsheets/d/1-3Vjw2Cyy-mry5gbC8ypIR3YVGFfEpyFESummAta6sg/edit"", ""Sheet1!B:D""), 3, FALSE), ""Not Found"")"),"ʧ ɪ r ɪ ŋ ")</f>
        <v>ʧ ɪ r ɪ ŋ </v>
      </c>
    </row>
    <row r="9005">
      <c r="A9005" s="1" t="s">
        <v>9006</v>
      </c>
      <c r="B9005" s="1" t="s">
        <v>6138</v>
      </c>
      <c r="C9005" s="2">
        <f>IFERROR(__xludf.DUMMYFUNCTION("IFERROR(VLOOKUP(A9005, IMPORTRANGE(""https://docs.google.com/spreadsheets/d/1AVX9GT0dgogEBStecCXMMQ29tWz3gBrtNB8yIromXbY/edit?gid=741673867"", ""out1g!A:B""), 2, FALSE), 0)"),53.0)</f>
        <v>53</v>
      </c>
      <c r="D9005" s="2" t="str">
        <f>IFERROR(__xludf.DUMMYFUNCTION("IFERROR(VLOOKUP(A9005, IMPORTRANGE(""https://docs.google.com/spreadsheets/d/1-3Vjw2Cyy-mry5gbC8ypIR3YVGFfEpyFESummAta6sg/edit"", ""Sheet1!B:D""), 2, FALSE), ""Not Found"")"),"grivz")</f>
        <v>grivz</v>
      </c>
      <c r="E9005" s="2" t="str">
        <f>IFERROR(__xludf.DUMMYFUNCTION("IFERROR(VLOOKUP(A9005, IMPORTRANGE(""https://docs.google.com/spreadsheets/d/1-3Vjw2Cyy-mry5gbC8ypIR3YVGFfEpyFESummAta6sg/edit"", ""Sheet1!B:D""), 3, FALSE), ""Not Found"")"),"g r i v z ")</f>
        <v>g r i v z </v>
      </c>
    </row>
    <row r="9006">
      <c r="A9006" s="1" t="s">
        <v>9007</v>
      </c>
      <c r="B9006" s="1" t="s">
        <v>6138</v>
      </c>
      <c r="C9006" s="2">
        <f>IFERROR(__xludf.DUMMYFUNCTION("IFERROR(VLOOKUP(A9006, IMPORTRANGE(""https://docs.google.com/spreadsheets/d/1AVX9GT0dgogEBStecCXMMQ29tWz3gBrtNB8yIromXbY/edit?gid=741673867"", ""out1g!A:B""), 2, FALSE), 0)"),12831.0)</f>
        <v>12831</v>
      </c>
      <c r="D9006" s="2" t="str">
        <f>IFERROR(__xludf.DUMMYFUNCTION("IFERROR(VLOOKUP(A9006, IMPORTRANGE(""https://docs.google.com/spreadsheets/d/1-3Vjw2Cyy-mry5gbC8ypIR3YVGFfEpyFESummAta6sg/edit"", ""Sheet1!B:D""), 2, FALSE), ""Not Found"")"),"ʤæk")</f>
        <v>ʤæk</v>
      </c>
      <c r="E9006" s="2" t="str">
        <f>IFERROR(__xludf.DUMMYFUNCTION("IFERROR(VLOOKUP(A9006, IMPORTRANGE(""https://docs.google.com/spreadsheets/d/1-3Vjw2Cyy-mry5gbC8ypIR3YVGFfEpyFESummAta6sg/edit"", ""Sheet1!B:D""), 3, FALSE), ""Not Found"")"),"ʤ æ k ")</f>
        <v>ʤ æ k </v>
      </c>
    </row>
    <row r="9007">
      <c r="A9007" s="1" t="s">
        <v>9008</v>
      </c>
      <c r="B9007" s="1" t="s">
        <v>6138</v>
      </c>
      <c r="C9007" s="2">
        <f>IFERROR(__xludf.DUMMYFUNCTION("IFERROR(VLOOKUP(A9007, IMPORTRANGE(""https://docs.google.com/spreadsheets/d/1AVX9GT0dgogEBStecCXMMQ29tWz3gBrtNB8yIromXbY/edit?gid=741673867"", ""out1g!A:B""), 2, FALSE), 0)"),62.0)</f>
        <v>62</v>
      </c>
      <c r="D9007" s="2" t="str">
        <f>IFERROR(__xludf.DUMMYFUNCTION("IFERROR(VLOOKUP(A9007, IMPORTRANGE(""https://docs.google.com/spreadsheets/d/1-3Vjw2Cyy-mry5gbC8ypIR3YVGFfEpyFESummAta6sg/edit"", ""Sheet1!B:D""), 2, FALSE), ""Not Found"")"),"ʤɪgəl")</f>
        <v>ʤɪgəl</v>
      </c>
      <c r="E9007" s="2" t="str">
        <f>IFERROR(__xludf.DUMMYFUNCTION("IFERROR(VLOOKUP(A9007, IMPORTRANGE(""https://docs.google.com/spreadsheets/d/1-3Vjw2Cyy-mry5gbC8ypIR3YVGFfEpyFESummAta6sg/edit"", ""Sheet1!B:D""), 3, FALSE), ""Not Found"")"),"ʤ ɪ g ə l ")</f>
        <v>ʤ ɪ g ə l </v>
      </c>
    </row>
    <row r="9008">
      <c r="A9008" s="1" t="s">
        <v>9009</v>
      </c>
      <c r="B9008" s="1" t="s">
        <v>6138</v>
      </c>
      <c r="C9008" s="2">
        <f>IFERROR(__xludf.DUMMYFUNCTION("IFERROR(VLOOKUP(A9008, IMPORTRANGE(""https://docs.google.com/spreadsheets/d/1AVX9GT0dgogEBStecCXMMQ29tWz3gBrtNB8yIromXbY/edit?gid=741673867"", ""out1g!A:B""), 2, FALSE), 0)"),251.0)</f>
        <v>251</v>
      </c>
      <c r="D9008" s="2" t="str">
        <f>IFERROR(__xludf.DUMMYFUNCTION("IFERROR(VLOOKUP(A9008, IMPORTRANGE(""https://docs.google.com/spreadsheets/d/1-3Vjw2Cyy-mry5gbC8ypIR3YVGFfEpyFESummAta6sg/edit"", ""Sheet1!B:D""), 2, FALSE), ""Not Found"")"),"mekər")</f>
        <v>mekər</v>
      </c>
      <c r="E9008" s="2" t="str">
        <f>IFERROR(__xludf.DUMMYFUNCTION("IFERROR(VLOOKUP(A9008, IMPORTRANGE(""https://docs.google.com/spreadsheets/d/1-3Vjw2Cyy-mry5gbC8ypIR3YVGFfEpyFESummAta6sg/edit"", ""Sheet1!B:D""), 3, FALSE), ""Not Found"")"),"m e k ə r ")</f>
        <v>m e k ə r </v>
      </c>
    </row>
    <row r="9009">
      <c r="A9009" s="1" t="s">
        <v>9010</v>
      </c>
      <c r="B9009" s="1" t="s">
        <v>6138</v>
      </c>
      <c r="C9009" s="2">
        <f>IFERROR(__xludf.DUMMYFUNCTION("IFERROR(VLOOKUP(A9009, IMPORTRANGE(""https://docs.google.com/spreadsheets/d/1AVX9GT0dgogEBStecCXMMQ29tWz3gBrtNB8yIromXbY/edit?gid=741673867"", ""out1g!A:B""), 2, FALSE), 0)"),210.0)</f>
        <v>210</v>
      </c>
      <c r="D9009" s="2" t="str">
        <f>IFERROR(__xludf.DUMMYFUNCTION("IFERROR(VLOOKUP(A9009, IMPORTRANGE(""https://docs.google.com/spreadsheets/d/1-3Vjw2Cyy-mry5gbC8ypIR3YVGFfEpyFESummAta6sg/edit"", ""Sheet1!B:D""), 2, FALSE), ""Not Found"")"),"sizənz")</f>
        <v>sizənz</v>
      </c>
      <c r="E9009" s="2" t="str">
        <f>IFERROR(__xludf.DUMMYFUNCTION("IFERROR(VLOOKUP(A9009, IMPORTRANGE(""https://docs.google.com/spreadsheets/d/1-3Vjw2Cyy-mry5gbC8ypIR3YVGFfEpyFESummAta6sg/edit"", ""Sheet1!B:D""), 3, FALSE), ""Not Found"")"),"s i z ə n z ")</f>
        <v>s i z ə n z </v>
      </c>
    </row>
    <row r="9010">
      <c r="A9010" s="1" t="s">
        <v>9011</v>
      </c>
      <c r="B9010" s="1" t="s">
        <v>6138</v>
      </c>
      <c r="C9010" s="2">
        <f>IFERROR(__xludf.DUMMYFUNCTION("IFERROR(VLOOKUP(A9010, IMPORTRANGE(""https://docs.google.com/spreadsheets/d/1AVX9GT0dgogEBStecCXMMQ29tWz3gBrtNB8yIromXbY/edit?gid=741673867"", ""out1g!A:B""), 2, FALSE), 0)"),4410.0)</f>
        <v>4410</v>
      </c>
      <c r="D9010" s="2" t="str">
        <f>IFERROR(__xludf.DUMMYFUNCTION("IFERROR(VLOOKUP(A9010, IMPORTRANGE(""https://docs.google.com/spreadsheets/d/1-3Vjw2Cyy-mry5gbC8ypIR3YVGFfEpyFESummAta6sg/edit"", ""Sheet1!B:D""), 2, FALSE), ""Not Found"")"),"wɛrɪŋ")</f>
        <v>wɛrɪŋ</v>
      </c>
      <c r="E9010" s="2" t="str">
        <f>IFERROR(__xludf.DUMMYFUNCTION("IFERROR(VLOOKUP(A9010, IMPORTRANGE(""https://docs.google.com/spreadsheets/d/1-3Vjw2Cyy-mry5gbC8ypIR3YVGFfEpyFESummAta6sg/edit"", ""Sheet1!B:D""), 3, FALSE), ""Not Found"")"),"w ɛ r ɪ ŋ ")</f>
        <v>w ɛ r ɪ ŋ </v>
      </c>
    </row>
    <row r="9011">
      <c r="A9011" s="1" t="s">
        <v>9012</v>
      </c>
      <c r="B9011" s="1" t="s">
        <v>6138</v>
      </c>
      <c r="C9011" s="2">
        <f>IFERROR(__xludf.DUMMYFUNCTION("IFERROR(VLOOKUP(A9011, IMPORTRANGE(""https://docs.google.com/spreadsheets/d/1AVX9GT0dgogEBStecCXMMQ29tWz3gBrtNB8yIromXbY/edit?gid=741673867"", ""out1g!A:B""), 2, FALSE), 0)"),1973.0)</f>
        <v>1973</v>
      </c>
      <c r="D9011" s="2" t="str">
        <f>IFERROR(__xludf.DUMMYFUNCTION("IFERROR(VLOOKUP(A9011, IMPORTRANGE(""https://docs.google.com/spreadsheets/d/1-3Vjw2Cyy-mry5gbC8ypIR3YVGFfEpyFESummAta6sg/edit"", ""Sheet1!B:D""), 2, FALSE), ""Not Found"")"),"fɛləs")</f>
        <v>fɛləs</v>
      </c>
      <c r="E9011" s="2" t="str">
        <f>IFERROR(__xludf.DUMMYFUNCTION("IFERROR(VLOOKUP(A9011, IMPORTRANGE(""https://docs.google.com/spreadsheets/d/1-3Vjw2Cyy-mry5gbC8ypIR3YVGFfEpyFESummAta6sg/edit"", ""Sheet1!B:D""), 3, FALSE), ""Not Found"")"),"f ɛ l ə s ")</f>
        <v>f ɛ l ə s </v>
      </c>
    </row>
    <row r="9012">
      <c r="A9012" s="1" t="s">
        <v>9013</v>
      </c>
      <c r="B9012" s="1" t="s">
        <v>6138</v>
      </c>
      <c r="C9012" s="2">
        <f>IFERROR(__xludf.DUMMYFUNCTION("IFERROR(VLOOKUP(A9012, IMPORTRANGE(""https://docs.google.com/spreadsheets/d/1AVX9GT0dgogEBStecCXMMQ29tWz3gBrtNB8yIromXbY/edit?gid=741673867"", ""out1g!A:B""), 2, FALSE), 0)"),164.0)</f>
        <v>164</v>
      </c>
      <c r="D9012" s="2" t="str">
        <f>IFERROR(__xludf.DUMMYFUNCTION("IFERROR(VLOOKUP(A9012, IMPORTRANGE(""https://docs.google.com/spreadsheets/d/1-3Vjw2Cyy-mry5gbC8ypIR3YVGFfEpyFESummAta6sg/edit"", ""Sheet1!B:D""), 2, FALSE), ""Not Found"")"),"kəlʧərz")</f>
        <v>kəlʧərz</v>
      </c>
      <c r="E9012" s="2" t="str">
        <f>IFERROR(__xludf.DUMMYFUNCTION("IFERROR(VLOOKUP(A9012, IMPORTRANGE(""https://docs.google.com/spreadsheets/d/1-3Vjw2Cyy-mry5gbC8ypIR3YVGFfEpyFESummAta6sg/edit"", ""Sheet1!B:D""), 3, FALSE), ""Not Found"")"),"k ə l ʧ ə r z ")</f>
        <v>k ə l ʧ ə r z </v>
      </c>
    </row>
    <row r="9013">
      <c r="A9013" s="1" t="s">
        <v>9014</v>
      </c>
      <c r="B9013" s="1" t="s">
        <v>6138</v>
      </c>
      <c r="C9013" s="2">
        <f>IFERROR(__xludf.DUMMYFUNCTION("IFERROR(VLOOKUP(A9013, IMPORTRANGE(""https://docs.google.com/spreadsheets/d/1AVX9GT0dgogEBStecCXMMQ29tWz3gBrtNB8yIromXbY/edit?gid=741673867"", ""out1g!A:B""), 2, FALSE), 0)"),288.0)</f>
        <v>288</v>
      </c>
      <c r="D9013" s="2" t="str">
        <f>IFERROR(__xludf.DUMMYFUNCTION("IFERROR(VLOOKUP(A9013, IMPORTRANGE(""https://docs.google.com/spreadsheets/d/1-3Vjw2Cyy-mry5gbC8ypIR3YVGFfEpyFESummAta6sg/edit"", ""Sheet1!B:D""), 2, FALSE), ""Not Found"")"),"ʃæk")</f>
        <v>ʃæk</v>
      </c>
      <c r="E9013" s="2" t="str">
        <f>IFERROR(__xludf.DUMMYFUNCTION("IFERROR(VLOOKUP(A9013, IMPORTRANGE(""https://docs.google.com/spreadsheets/d/1-3Vjw2Cyy-mry5gbC8ypIR3YVGFfEpyFESummAta6sg/edit"", ""Sheet1!B:D""), 3, FALSE), ""Not Found"")"),"ʃ æ k ")</f>
        <v>ʃ æ k </v>
      </c>
    </row>
    <row r="9014">
      <c r="A9014" s="1" t="s">
        <v>9015</v>
      </c>
      <c r="B9014" s="1" t="s">
        <v>6138</v>
      </c>
      <c r="C9014" s="2">
        <f>IFERROR(__xludf.DUMMYFUNCTION("IFERROR(VLOOKUP(A9014, IMPORTRANGE(""https://docs.google.com/spreadsheets/d/1AVX9GT0dgogEBStecCXMMQ29tWz3gBrtNB8yIromXbY/edit?gid=741673867"", ""out1g!A:B""), 2, FALSE), 0)"),191.0)</f>
        <v>191</v>
      </c>
      <c r="D9014" s="2" t="str">
        <f>IFERROR(__xludf.DUMMYFUNCTION("IFERROR(VLOOKUP(A9014, IMPORTRANGE(""https://docs.google.com/spreadsheets/d/1-3Vjw2Cyy-mry5gbC8ypIR3YVGFfEpyFESummAta6sg/edit"", ""Sheet1!B:D""), 2, FALSE), ""Not Found"")"),"mɑʧoʊ")</f>
        <v>mɑʧoʊ</v>
      </c>
      <c r="E9014" s="2" t="str">
        <f>IFERROR(__xludf.DUMMYFUNCTION("IFERROR(VLOOKUP(A9014, IMPORTRANGE(""https://docs.google.com/spreadsheets/d/1-3Vjw2Cyy-mry5gbC8ypIR3YVGFfEpyFESummAta6sg/edit"", ""Sheet1!B:D""), 3, FALSE), ""Not Found"")"),"m ɑ ʧ o ʊ ")</f>
        <v>m ɑ ʧ o ʊ </v>
      </c>
    </row>
    <row r="9015">
      <c r="A9015" s="1" t="s">
        <v>9016</v>
      </c>
      <c r="B9015" s="1" t="s">
        <v>6138</v>
      </c>
      <c r="C9015" s="2">
        <f>IFERROR(__xludf.DUMMYFUNCTION("IFERROR(VLOOKUP(A9015, IMPORTRANGE(""https://docs.google.com/spreadsheets/d/1AVX9GT0dgogEBStecCXMMQ29tWz3gBrtNB8yIromXbY/edit?gid=741673867"", ""out1g!A:B""), 2, FALSE), 0)"),51.0)</f>
        <v>51</v>
      </c>
      <c r="D9015" s="2" t="str">
        <f>IFERROR(__xludf.DUMMYFUNCTION("IFERROR(VLOOKUP(A9015, IMPORTRANGE(""https://docs.google.com/spreadsheets/d/1-3Vjw2Cyy-mry5gbC8ypIR3YVGFfEpyFESummAta6sg/edit"", ""Sheet1!B:D""), 2, FALSE), ""Not Found"")"),"dæzəl")</f>
        <v>dæzəl</v>
      </c>
      <c r="E9015" s="2" t="str">
        <f>IFERROR(__xludf.DUMMYFUNCTION("IFERROR(VLOOKUP(A9015, IMPORTRANGE(""https://docs.google.com/spreadsheets/d/1-3Vjw2Cyy-mry5gbC8ypIR3YVGFfEpyFESummAta6sg/edit"", ""Sheet1!B:D""), 3, FALSE), ""Not Found"")"),"d æ z ə l ")</f>
        <v>d æ z ə l </v>
      </c>
    </row>
    <row r="9016">
      <c r="A9016" s="1" t="s">
        <v>9017</v>
      </c>
      <c r="B9016" s="1" t="s">
        <v>6138</v>
      </c>
      <c r="C9016" s="2">
        <f>IFERROR(__xludf.DUMMYFUNCTION("IFERROR(VLOOKUP(A9016, IMPORTRANGE(""https://docs.google.com/spreadsheets/d/1AVX9GT0dgogEBStecCXMMQ29tWz3gBrtNB8yIromXbY/edit?gid=741673867"", ""out1g!A:B""), 2, FALSE), 0)"),181.0)</f>
        <v>181</v>
      </c>
      <c r="D9016" s="2" t="str">
        <f>IFERROR(__xludf.DUMMYFUNCTION("IFERROR(VLOOKUP(A9016, IMPORTRANGE(""https://docs.google.com/spreadsheets/d/1-3Vjw2Cyy-mry5gbC8ypIR3YVGFfEpyFESummAta6sg/edit"", ""Sheet1!B:D""), 2, FALSE), ""Not Found"")"),"bəmpər")</f>
        <v>bəmpər</v>
      </c>
      <c r="E9016" s="2" t="str">
        <f>IFERROR(__xludf.DUMMYFUNCTION("IFERROR(VLOOKUP(A9016, IMPORTRANGE(""https://docs.google.com/spreadsheets/d/1-3Vjw2Cyy-mry5gbC8ypIR3YVGFfEpyFESummAta6sg/edit"", ""Sheet1!B:D""), 3, FALSE), ""Not Found"")"),"b ə m p ə r ")</f>
        <v>b ə m p ə r </v>
      </c>
    </row>
    <row r="9017">
      <c r="A9017" s="1" t="s">
        <v>9018</v>
      </c>
      <c r="B9017" s="1" t="s">
        <v>6138</v>
      </c>
      <c r="C9017" s="2">
        <f>IFERROR(__xludf.DUMMYFUNCTION("IFERROR(VLOOKUP(A9017, IMPORTRANGE(""https://docs.google.com/spreadsheets/d/1AVX9GT0dgogEBStecCXMMQ29tWz3gBrtNB8yIromXbY/edit?gid=741673867"", ""out1g!A:B""), 2, FALSE), 0)"),212.0)</f>
        <v>212</v>
      </c>
      <c r="D9017" s="2" t="str">
        <f>IFERROR(__xludf.DUMMYFUNCTION("IFERROR(VLOOKUP(A9017, IMPORTRANGE(""https://docs.google.com/spreadsheets/d/1-3Vjw2Cyy-mry5gbC8ypIR3YVGFfEpyFESummAta6sg/edit"", ""Sheet1!B:D""), 2, FALSE), ""Not Found"")"),"klemɪŋ")</f>
        <v>klemɪŋ</v>
      </c>
      <c r="E9017" s="2" t="str">
        <f>IFERROR(__xludf.DUMMYFUNCTION("IFERROR(VLOOKUP(A9017, IMPORTRANGE(""https://docs.google.com/spreadsheets/d/1-3Vjw2Cyy-mry5gbC8ypIR3YVGFfEpyFESummAta6sg/edit"", ""Sheet1!B:D""), 3, FALSE), ""Not Found"")"),"k l e m ɪ ŋ ")</f>
        <v>k l e m ɪ ŋ </v>
      </c>
    </row>
    <row r="9018">
      <c r="A9018" s="1" t="s">
        <v>9019</v>
      </c>
      <c r="B9018" s="1" t="s">
        <v>6138</v>
      </c>
      <c r="C9018" s="2">
        <f>IFERROR(__xludf.DUMMYFUNCTION("IFERROR(VLOOKUP(A9018, IMPORTRANGE(""https://docs.google.com/spreadsheets/d/1AVX9GT0dgogEBStecCXMMQ29tWz3gBrtNB8yIromXbY/edit?gid=741673867"", ""out1g!A:B""), 2, FALSE), 0)"),109.0)</f>
        <v>109</v>
      </c>
      <c r="D9018" s="2" t="str">
        <f>IFERROR(__xludf.DUMMYFUNCTION("IFERROR(VLOOKUP(A9018, IMPORTRANGE(""https://docs.google.com/spreadsheets/d/1-3Vjw2Cyy-mry5gbC8ypIR3YVGFfEpyFESummAta6sg/edit"", ""Sheet1!B:D""), 2, FALSE), ""Not Found"")"),"pərʒən")</f>
        <v>pərʒən</v>
      </c>
      <c r="E9018" s="2" t="str">
        <f>IFERROR(__xludf.DUMMYFUNCTION("IFERROR(VLOOKUP(A9018, IMPORTRANGE(""https://docs.google.com/spreadsheets/d/1-3Vjw2Cyy-mry5gbC8ypIR3YVGFfEpyFESummAta6sg/edit"", ""Sheet1!B:D""), 3, FALSE), ""Not Found"")"),"p ə r ʒ ə n ")</f>
        <v>p ə r ʒ ə n </v>
      </c>
    </row>
    <row r="9019">
      <c r="A9019" s="1" t="s">
        <v>9020</v>
      </c>
      <c r="B9019" s="1" t="s">
        <v>6138</v>
      </c>
      <c r="C9019" s="2">
        <f>IFERROR(__xludf.DUMMYFUNCTION("IFERROR(VLOOKUP(A9019, IMPORTRANGE(""https://docs.google.com/spreadsheets/d/1AVX9GT0dgogEBStecCXMMQ29tWz3gBrtNB8yIromXbY/edit?gid=741673867"", ""out1g!A:B""), 2, FALSE), 0)"),101.0)</f>
        <v>101</v>
      </c>
      <c r="D9019" s="2" t="str">
        <f>IFERROR(__xludf.DUMMYFUNCTION("IFERROR(VLOOKUP(A9019, IMPORTRANGE(""https://docs.google.com/spreadsheets/d/1-3Vjw2Cyy-mry5gbC8ypIR3YVGFfEpyFESummAta6sg/edit"", ""Sheet1!B:D""), 2, FALSE), ""Not Found"")"),"skwiki")</f>
        <v>skwiki</v>
      </c>
      <c r="E9019" s="2" t="str">
        <f>IFERROR(__xludf.DUMMYFUNCTION("IFERROR(VLOOKUP(A9019, IMPORTRANGE(""https://docs.google.com/spreadsheets/d/1-3Vjw2Cyy-mry5gbC8ypIR3YVGFfEpyFESummAta6sg/edit"", ""Sheet1!B:D""), 3, FALSE), ""Not Found"")"),"s k w i k i ")</f>
        <v>s k w i k i </v>
      </c>
    </row>
    <row r="9020">
      <c r="A9020" s="1" t="s">
        <v>9021</v>
      </c>
      <c r="B9020" s="1" t="s">
        <v>6138</v>
      </c>
      <c r="C9020" s="2">
        <f>IFERROR(__xludf.DUMMYFUNCTION("IFERROR(VLOOKUP(A9020, IMPORTRANGE(""https://docs.google.com/spreadsheets/d/1AVX9GT0dgogEBStecCXMMQ29tWz3gBrtNB8yIromXbY/edit?gid=741673867"", ""out1g!A:B""), 2, FALSE), 0)"),607.0)</f>
        <v>607</v>
      </c>
      <c r="D9020" s="2" t="str">
        <f>IFERROR(__xludf.DUMMYFUNCTION("IFERROR(VLOOKUP(A9020, IMPORTRANGE(""https://docs.google.com/spreadsheets/d/1-3Vjw2Cyy-mry5gbC8ypIR3YVGFfEpyFESummAta6sg/edit"", ""Sheet1!B:D""), 2, FALSE), ""Not Found"")"),"mɑrkoʊ")</f>
        <v>mɑrkoʊ</v>
      </c>
      <c r="E9020" s="2" t="str">
        <f>IFERROR(__xludf.DUMMYFUNCTION("IFERROR(VLOOKUP(A9020, IMPORTRANGE(""https://docs.google.com/spreadsheets/d/1-3Vjw2Cyy-mry5gbC8ypIR3YVGFfEpyFESummAta6sg/edit"", ""Sheet1!B:D""), 3, FALSE), ""Not Found"")"),"m ɑ r k o ʊ ")</f>
        <v>m ɑ r k o ʊ </v>
      </c>
    </row>
    <row r="9021">
      <c r="A9021" s="1" t="s">
        <v>9022</v>
      </c>
      <c r="B9021" s="1" t="s">
        <v>6138</v>
      </c>
      <c r="C9021" s="2">
        <f>IFERROR(__xludf.DUMMYFUNCTION("IFERROR(VLOOKUP(A9021, IMPORTRANGE(""https://docs.google.com/spreadsheets/d/1AVX9GT0dgogEBStecCXMMQ29tWz3gBrtNB8yIromXbY/edit?gid=741673867"", ""out1g!A:B""), 2, FALSE), 0)"),109.0)</f>
        <v>109</v>
      </c>
      <c r="D9021" s="2" t="str">
        <f>IFERROR(__xludf.DUMMYFUNCTION("IFERROR(VLOOKUP(A9021, IMPORTRANGE(""https://docs.google.com/spreadsheets/d/1-3Vjw2Cyy-mry5gbC8ypIR3YVGFfEpyFESummAta6sg/edit"", ""Sheet1!B:D""), 2, FALSE), ""Not Found"")"),"grinz")</f>
        <v>grinz</v>
      </c>
      <c r="E9021" s="2" t="str">
        <f>IFERROR(__xludf.DUMMYFUNCTION("IFERROR(VLOOKUP(A9021, IMPORTRANGE(""https://docs.google.com/spreadsheets/d/1-3Vjw2Cyy-mry5gbC8ypIR3YVGFfEpyFESummAta6sg/edit"", ""Sheet1!B:D""), 3, FALSE), ""Not Found"")"),"g r i n z ")</f>
        <v>g r i n z </v>
      </c>
    </row>
    <row r="9022">
      <c r="A9022" s="1" t="s">
        <v>9023</v>
      </c>
      <c r="B9022" s="1" t="s">
        <v>6138</v>
      </c>
      <c r="C9022" s="2">
        <f>IFERROR(__xludf.DUMMYFUNCTION("IFERROR(VLOOKUP(A9022, IMPORTRANGE(""https://docs.google.com/spreadsheets/d/1AVX9GT0dgogEBStecCXMMQ29tWz3gBrtNB8yIromXbY/edit?gid=741673867"", ""out1g!A:B""), 2, FALSE), 0)"),289.0)</f>
        <v>289</v>
      </c>
      <c r="D9022" s="2" t="str">
        <f>IFERROR(__xludf.DUMMYFUNCTION("IFERROR(VLOOKUP(A9022, IMPORTRANGE(""https://docs.google.com/spreadsheets/d/1-3Vjw2Cyy-mry5gbC8ypIR3YVGFfEpyFESummAta6sg/edit"", ""Sheet1!B:D""), 2, FALSE), ""Not Found"")"),"mæsks")</f>
        <v>mæsks</v>
      </c>
      <c r="E9022" s="2" t="str">
        <f>IFERROR(__xludf.DUMMYFUNCTION("IFERROR(VLOOKUP(A9022, IMPORTRANGE(""https://docs.google.com/spreadsheets/d/1-3Vjw2Cyy-mry5gbC8ypIR3YVGFfEpyFESummAta6sg/edit"", ""Sheet1!B:D""), 3, FALSE), ""Not Found"")"),"m æ s k s ")</f>
        <v>m æ s k s </v>
      </c>
    </row>
    <row r="9023">
      <c r="A9023" s="1" t="s">
        <v>9024</v>
      </c>
      <c r="B9023" s="1" t="s">
        <v>6138</v>
      </c>
      <c r="C9023" s="2">
        <f>IFERROR(__xludf.DUMMYFUNCTION("IFERROR(VLOOKUP(A9023, IMPORTRANGE(""https://docs.google.com/spreadsheets/d/1AVX9GT0dgogEBStecCXMMQ29tWz3gBrtNB8yIromXbY/edit?gid=741673867"", ""out1g!A:B""), 2, FALSE), 0)"),254.0)</f>
        <v>254</v>
      </c>
      <c r="D9023" s="2" t="str">
        <f>IFERROR(__xludf.DUMMYFUNCTION("IFERROR(VLOOKUP(A9023, IMPORTRANGE(""https://docs.google.com/spreadsheets/d/1-3Vjw2Cyy-mry5gbC8ypIR3YVGFfEpyFESummAta6sg/edit"", ""Sheet1!B:D""), 2, FALSE), ""Not Found"")"),"spidɪŋ")</f>
        <v>spidɪŋ</v>
      </c>
      <c r="E9023" s="2" t="str">
        <f>IFERROR(__xludf.DUMMYFUNCTION("IFERROR(VLOOKUP(A9023, IMPORTRANGE(""https://docs.google.com/spreadsheets/d/1-3Vjw2Cyy-mry5gbC8ypIR3YVGFfEpyFESummAta6sg/edit"", ""Sheet1!B:D""), 3, FALSE), ""Not Found"")"),"s p i d ɪ ŋ ")</f>
        <v>s p i d ɪ ŋ </v>
      </c>
    </row>
    <row r="9024">
      <c r="A9024" s="1" t="s">
        <v>9025</v>
      </c>
      <c r="B9024" s="1" t="s">
        <v>6138</v>
      </c>
      <c r="C9024" s="2">
        <f>IFERROR(__xludf.DUMMYFUNCTION("IFERROR(VLOOKUP(A9024, IMPORTRANGE(""https://docs.google.com/spreadsheets/d/1AVX9GT0dgogEBStecCXMMQ29tWz3gBrtNB8yIromXbY/edit?gid=741673867"", ""out1g!A:B""), 2, FALSE), 0)"),1137.0)</f>
        <v>1137</v>
      </c>
      <c r="D9024" s="2" t="str">
        <f>IFERROR(__xludf.DUMMYFUNCTION("IFERROR(VLOOKUP(A9024, IMPORTRANGE(""https://docs.google.com/spreadsheets/d/1-3Vjw2Cyy-mry5gbC8ypIR3YVGFfEpyFESummAta6sg/edit"", ""Sheet1!B:D""), 2, FALSE), ""Not Found"")"),"fɔrən")</f>
        <v>fɔrən</v>
      </c>
      <c r="E9024" s="2" t="str">
        <f>IFERROR(__xludf.DUMMYFUNCTION("IFERROR(VLOOKUP(A9024, IMPORTRANGE(""https://docs.google.com/spreadsheets/d/1-3Vjw2Cyy-mry5gbC8ypIR3YVGFfEpyFESummAta6sg/edit"", ""Sheet1!B:D""), 3, FALSE), ""Not Found"")"),"f ɔ r ə n ")</f>
        <v>f ɔ r ə n </v>
      </c>
    </row>
    <row r="9025">
      <c r="A9025" s="1" t="s">
        <v>9026</v>
      </c>
      <c r="B9025" s="1" t="s">
        <v>6138</v>
      </c>
      <c r="C9025" s="2">
        <f>IFERROR(__xludf.DUMMYFUNCTION("IFERROR(VLOOKUP(A9025, IMPORTRANGE(""https://docs.google.com/spreadsheets/d/1AVX9GT0dgogEBStecCXMMQ29tWz3gBrtNB8yIromXbY/edit?gid=741673867"", ""out1g!A:B""), 2, FALSE), 0)"),80.0)</f>
        <v>80</v>
      </c>
      <c r="D9025" s="2" t="str">
        <f>IFERROR(__xludf.DUMMYFUNCTION("IFERROR(VLOOKUP(A9025, IMPORTRANGE(""https://docs.google.com/spreadsheets/d/1-3Vjw2Cyy-mry5gbC8ypIR3YVGFfEpyFESummAta6sg/edit"", ""Sheet1!B:D""), 2, FALSE), ""Not Found"")"),"redɪd")</f>
        <v>redɪd</v>
      </c>
      <c r="E9025" s="2" t="str">
        <f>IFERROR(__xludf.DUMMYFUNCTION("IFERROR(VLOOKUP(A9025, IMPORTRANGE(""https://docs.google.com/spreadsheets/d/1-3Vjw2Cyy-mry5gbC8ypIR3YVGFfEpyFESummAta6sg/edit"", ""Sheet1!B:D""), 3, FALSE), ""Not Found"")"),"r e d ɪ d ")</f>
        <v>r e d ɪ d </v>
      </c>
    </row>
    <row r="9026">
      <c r="A9026" s="1" t="s">
        <v>9027</v>
      </c>
      <c r="B9026" s="1" t="s">
        <v>6138</v>
      </c>
      <c r="C9026" s="2">
        <f>IFERROR(__xludf.DUMMYFUNCTION("IFERROR(VLOOKUP(A9026, IMPORTRANGE(""https://docs.google.com/spreadsheets/d/1AVX9GT0dgogEBStecCXMMQ29tWz3gBrtNB8yIromXbY/edit?gid=741673867"", ""out1g!A:B""), 2, FALSE), 0)"),140.0)</f>
        <v>140</v>
      </c>
      <c r="D9026" s="2" t="str">
        <f>IFERROR(__xludf.DUMMYFUNCTION("IFERROR(VLOOKUP(A9026, IMPORTRANGE(""https://docs.google.com/spreadsheets/d/1-3Vjw2Cyy-mry5gbC8ypIR3YVGFfEpyFESummAta6sg/edit"", ""Sheet1!B:D""), 2, FALSE), ""Not Found"")"),"rɛsts")</f>
        <v>rɛsts</v>
      </c>
      <c r="E9026" s="2" t="str">
        <f>IFERROR(__xludf.DUMMYFUNCTION("IFERROR(VLOOKUP(A9026, IMPORTRANGE(""https://docs.google.com/spreadsheets/d/1-3Vjw2Cyy-mry5gbC8ypIR3YVGFfEpyFESummAta6sg/edit"", ""Sheet1!B:D""), 3, FALSE), ""Not Found"")"),"r ɛ s t s ")</f>
        <v>r ɛ s t s </v>
      </c>
    </row>
    <row r="9027">
      <c r="A9027" s="1" t="s">
        <v>9028</v>
      </c>
      <c r="B9027" s="1" t="s">
        <v>6138</v>
      </c>
      <c r="C9027" s="2">
        <f>IFERROR(__xludf.DUMMYFUNCTION("IFERROR(VLOOKUP(A9027, IMPORTRANGE(""https://docs.google.com/spreadsheets/d/1AVX9GT0dgogEBStecCXMMQ29tWz3gBrtNB8yIromXbY/edit?gid=741673867"", ""out1g!A:B""), 2, FALSE), 0)"),960.0)</f>
        <v>960</v>
      </c>
      <c r="D9027" s="2" t="str">
        <f>IFERROR(__xludf.DUMMYFUNCTION("IFERROR(VLOOKUP(A9027, IMPORTRANGE(""https://docs.google.com/spreadsheets/d/1-3Vjw2Cyy-mry5gbC8ypIR3YVGFfEpyFESummAta6sg/edit"", ""Sheet1!B:D""), 2, FALSE), ""Not Found"")"),"breks")</f>
        <v>breks</v>
      </c>
      <c r="E9027" s="2" t="str">
        <f>IFERROR(__xludf.DUMMYFUNCTION("IFERROR(VLOOKUP(A9027, IMPORTRANGE(""https://docs.google.com/spreadsheets/d/1-3Vjw2Cyy-mry5gbC8ypIR3YVGFfEpyFESummAta6sg/edit"", ""Sheet1!B:D""), 3, FALSE), ""Not Found"")"),"b r e k s ")</f>
        <v>b r e k s </v>
      </c>
    </row>
    <row r="9028">
      <c r="A9028" s="1" t="s">
        <v>9029</v>
      </c>
      <c r="B9028" s="1" t="s">
        <v>6138</v>
      </c>
      <c r="C9028" s="2">
        <f>IFERROR(__xludf.DUMMYFUNCTION("IFERROR(VLOOKUP(A9028, IMPORTRANGE(""https://docs.google.com/spreadsheets/d/1AVX9GT0dgogEBStecCXMMQ29tWz3gBrtNB8yIromXbY/edit?gid=741673867"", ""out1g!A:B""), 2, FALSE), 0)"),718.0)</f>
        <v>718</v>
      </c>
      <c r="D9028" s="2" t="str">
        <f>IFERROR(__xludf.DUMMYFUNCTION("IFERROR(VLOOKUP(A9028, IMPORTRANGE(""https://docs.google.com/spreadsheets/d/1-3Vjw2Cyy-mry5gbC8ypIR3YVGFfEpyFESummAta6sg/edit"", ""Sheet1!B:D""), 2, FALSE), ""Not Found"")"),"mərin")</f>
        <v>mərin</v>
      </c>
      <c r="E9028" s="2" t="str">
        <f>IFERROR(__xludf.DUMMYFUNCTION("IFERROR(VLOOKUP(A9028, IMPORTRANGE(""https://docs.google.com/spreadsheets/d/1-3Vjw2Cyy-mry5gbC8ypIR3YVGFfEpyFESummAta6sg/edit"", ""Sheet1!B:D""), 3, FALSE), ""Not Found"")"),"m ə r i n ")</f>
        <v>m ə r i n </v>
      </c>
    </row>
    <row r="9029">
      <c r="A9029" s="1" t="s">
        <v>9030</v>
      </c>
      <c r="B9029" s="1" t="s">
        <v>6138</v>
      </c>
      <c r="C9029" s="2">
        <f>IFERROR(__xludf.DUMMYFUNCTION("IFERROR(VLOOKUP(A9029, IMPORTRANGE(""https://docs.google.com/spreadsheets/d/1AVX9GT0dgogEBStecCXMMQ29tWz3gBrtNB8yIromXbY/edit?gid=741673867"", ""out1g!A:B""), 2, FALSE), 0)"),86.0)</f>
        <v>86</v>
      </c>
      <c r="D9029" s="2" t="str">
        <f>IFERROR(__xludf.DUMMYFUNCTION("IFERROR(VLOOKUP(A9029, IMPORTRANGE(""https://docs.google.com/spreadsheets/d/1-3Vjw2Cyy-mry5gbC8ypIR3YVGFfEpyFESummAta6sg/edit"", ""Sheet1!B:D""), 2, FALSE), ""Not Found"")"),"plɑts")</f>
        <v>plɑts</v>
      </c>
      <c r="E9029" s="2" t="str">
        <f>IFERROR(__xludf.DUMMYFUNCTION("IFERROR(VLOOKUP(A9029, IMPORTRANGE(""https://docs.google.com/spreadsheets/d/1-3Vjw2Cyy-mry5gbC8ypIR3YVGFfEpyFESummAta6sg/edit"", ""Sheet1!B:D""), 3, FALSE), ""Not Found"")"),"p l ɑ t s ")</f>
        <v>p l ɑ t s </v>
      </c>
    </row>
    <row r="9030">
      <c r="A9030" s="1" t="s">
        <v>9031</v>
      </c>
      <c r="B9030" s="1" t="s">
        <v>6138</v>
      </c>
      <c r="C9030" s="2">
        <f>IFERROR(__xludf.DUMMYFUNCTION("IFERROR(VLOOKUP(A9030, IMPORTRANGE(""https://docs.google.com/spreadsheets/d/1AVX9GT0dgogEBStecCXMMQ29tWz3gBrtNB8yIromXbY/edit?gid=741673867"", ""out1g!A:B""), 2, FALSE), 0)"),395.0)</f>
        <v>395</v>
      </c>
      <c r="D9030" s="2" t="str">
        <f>IFERROR(__xludf.DUMMYFUNCTION("IFERROR(VLOOKUP(A9030, IMPORTRANGE(""https://docs.google.com/spreadsheets/d/1-3Vjw2Cyy-mry5gbC8ypIR3YVGFfEpyFESummAta6sg/edit"", ""Sheet1!B:D""), 2, FALSE), ""Not Found"")"),"ðɛrz")</f>
        <v>ðɛrz</v>
      </c>
      <c r="E9030" s="2" t="str">
        <f>IFERROR(__xludf.DUMMYFUNCTION("IFERROR(VLOOKUP(A9030, IMPORTRANGE(""https://docs.google.com/spreadsheets/d/1-3Vjw2Cyy-mry5gbC8ypIR3YVGFfEpyFESummAta6sg/edit"", ""Sheet1!B:D""), 3, FALSE), ""Not Found"")"),"ð ɛ r z ")</f>
        <v>ð ɛ r z </v>
      </c>
    </row>
    <row r="9031">
      <c r="A9031" s="1" t="s">
        <v>9032</v>
      </c>
      <c r="B9031" s="1" t="s">
        <v>6138</v>
      </c>
      <c r="C9031" s="2">
        <f>IFERROR(__xludf.DUMMYFUNCTION("IFERROR(VLOOKUP(A9031, IMPORTRANGE(""https://docs.google.com/spreadsheets/d/1AVX9GT0dgogEBStecCXMMQ29tWz3gBrtNB8yIromXbY/edit?gid=741673867"", ""out1g!A:B""), 2, FALSE), 0)"),70.0)</f>
        <v>70</v>
      </c>
      <c r="D9031" s="2" t="str">
        <f>IFERROR(__xludf.DUMMYFUNCTION("IFERROR(VLOOKUP(A9031, IMPORTRANGE(""https://docs.google.com/spreadsheets/d/1-3Vjw2Cyy-mry5gbC8ypIR3YVGFfEpyFESummAta6sg/edit"", ""Sheet1!B:D""), 2, FALSE), ""Not Found"")"),"lændɪŋz")</f>
        <v>lændɪŋz</v>
      </c>
      <c r="E9031" s="2" t="str">
        <f>IFERROR(__xludf.DUMMYFUNCTION("IFERROR(VLOOKUP(A9031, IMPORTRANGE(""https://docs.google.com/spreadsheets/d/1-3Vjw2Cyy-mry5gbC8ypIR3YVGFfEpyFESummAta6sg/edit"", ""Sheet1!B:D""), 3, FALSE), ""Not Found"")"),"l æ n d ɪ ŋ z ")</f>
        <v>l æ n d ɪ ŋ z </v>
      </c>
    </row>
    <row r="9032">
      <c r="A9032" s="1" t="s">
        <v>9033</v>
      </c>
      <c r="B9032" s="1" t="s">
        <v>6138</v>
      </c>
      <c r="C9032" s="2">
        <f>IFERROR(__xludf.DUMMYFUNCTION("IFERROR(VLOOKUP(A9032, IMPORTRANGE(""https://docs.google.com/spreadsheets/d/1AVX9GT0dgogEBStecCXMMQ29tWz3gBrtNB8yIromXbY/edit?gid=741673867"", ""out1g!A:B""), 2, FALSE), 0)"),85.0)</f>
        <v>85</v>
      </c>
      <c r="D9032" s="2" t="str">
        <f>IFERROR(__xludf.DUMMYFUNCTION("IFERROR(VLOOKUP(A9032, IMPORTRANGE(""https://docs.google.com/spreadsheets/d/1-3Vjw2Cyy-mry5gbC8ypIR3YVGFfEpyFESummAta6sg/edit"", ""Sheet1!B:D""), 2, FALSE), ""Not Found"")"),"pɪŋki")</f>
        <v>pɪŋki</v>
      </c>
      <c r="E9032" s="2" t="str">
        <f>IFERROR(__xludf.DUMMYFUNCTION("IFERROR(VLOOKUP(A9032, IMPORTRANGE(""https://docs.google.com/spreadsheets/d/1-3Vjw2Cyy-mry5gbC8ypIR3YVGFfEpyFESummAta6sg/edit"", ""Sheet1!B:D""), 3, FALSE), ""Not Found"")"),"p ɪ ŋ k i ")</f>
        <v>p ɪ ŋ k i </v>
      </c>
    </row>
    <row r="9033">
      <c r="A9033" s="1" t="s">
        <v>9034</v>
      </c>
      <c r="B9033" s="1" t="s">
        <v>6138</v>
      </c>
      <c r="C9033" s="2">
        <f>IFERROR(__xludf.DUMMYFUNCTION("IFERROR(VLOOKUP(A9033, IMPORTRANGE(""https://docs.google.com/spreadsheets/d/1AVX9GT0dgogEBStecCXMMQ29tWz3gBrtNB8yIromXbY/edit?gid=741673867"", ""out1g!A:B""), 2, FALSE), 0)"),108.0)</f>
        <v>108</v>
      </c>
      <c r="D9033" s="2" t="str">
        <f>IFERROR(__xludf.DUMMYFUNCTION("IFERROR(VLOOKUP(A9033, IMPORTRANGE(""https://docs.google.com/spreadsheets/d/1-3Vjw2Cyy-mry5gbC8ypIR3YVGFfEpyFESummAta6sg/edit"", ""Sheet1!B:D""), 2, FALSE), ""Not Found"")"),"tæk")</f>
        <v>tæk</v>
      </c>
      <c r="E9033" s="2" t="str">
        <f>IFERROR(__xludf.DUMMYFUNCTION("IFERROR(VLOOKUP(A9033, IMPORTRANGE(""https://docs.google.com/spreadsheets/d/1-3Vjw2Cyy-mry5gbC8ypIR3YVGFfEpyFESummAta6sg/edit"", ""Sheet1!B:D""), 3, FALSE), ""Not Found"")"),"t æ k ")</f>
        <v>t æ k </v>
      </c>
    </row>
    <row r="9034">
      <c r="A9034" s="1" t="s">
        <v>9035</v>
      </c>
      <c r="B9034" s="1" t="s">
        <v>6138</v>
      </c>
      <c r="C9034" s="2">
        <f>IFERROR(__xludf.DUMMYFUNCTION("IFERROR(VLOOKUP(A9034, IMPORTRANGE(""https://docs.google.com/spreadsheets/d/1AVX9GT0dgogEBStecCXMMQ29tWz3gBrtNB8yIromXbY/edit?gid=741673867"", ""out1g!A:B""), 2, FALSE), 0)"),2588.0)</f>
        <v>2588</v>
      </c>
      <c r="D9034" s="2" t="str">
        <f>IFERROR(__xludf.DUMMYFUNCTION("IFERROR(VLOOKUP(A9034, IMPORTRANGE(""https://docs.google.com/spreadsheets/d/1-3Vjw2Cyy-mry5gbC8ypIR3YVGFfEpyFESummAta6sg/edit"", ""Sheet1!B:D""), 2, FALSE), ""Not Found"")"),"bɑtəl")</f>
        <v>bɑtəl</v>
      </c>
      <c r="E9034" s="2" t="str">
        <f>IFERROR(__xludf.DUMMYFUNCTION("IFERROR(VLOOKUP(A9034, IMPORTRANGE(""https://docs.google.com/spreadsheets/d/1-3Vjw2Cyy-mry5gbC8ypIR3YVGFfEpyFESummAta6sg/edit"", ""Sheet1!B:D""), 3, FALSE), ""Not Found"")"),"b ɑ t ə l ")</f>
        <v>b ɑ t ə l </v>
      </c>
    </row>
    <row r="9035">
      <c r="A9035" s="1" t="s">
        <v>9036</v>
      </c>
      <c r="B9035" s="1" t="s">
        <v>6138</v>
      </c>
      <c r="C9035" s="2">
        <f>IFERROR(__xludf.DUMMYFUNCTION("IFERROR(VLOOKUP(A9035, IMPORTRANGE(""https://docs.google.com/spreadsheets/d/1AVX9GT0dgogEBStecCXMMQ29tWz3gBrtNB8yIromXbY/edit?gid=741673867"", ""out1g!A:B""), 2, FALSE), 0)"),462.0)</f>
        <v>462</v>
      </c>
      <c r="D9035" s="2" t="str">
        <f>IFERROR(__xludf.DUMMYFUNCTION("IFERROR(VLOOKUP(A9035, IMPORTRANGE(""https://docs.google.com/spreadsheets/d/1-3Vjw2Cyy-mry5gbC8ypIR3YVGFfEpyFESummAta6sg/edit"", ""Sheet1!B:D""), 2, FALSE), ""Not Found"")"),"wɑʃɪŋ")</f>
        <v>wɑʃɪŋ</v>
      </c>
      <c r="E9035" s="2" t="str">
        <f>IFERROR(__xludf.DUMMYFUNCTION("IFERROR(VLOOKUP(A9035, IMPORTRANGE(""https://docs.google.com/spreadsheets/d/1-3Vjw2Cyy-mry5gbC8ypIR3YVGFfEpyFESummAta6sg/edit"", ""Sheet1!B:D""), 3, FALSE), ""Not Found"")"),"w ɑ ʃ ɪ ŋ ")</f>
        <v>w ɑ ʃ ɪ ŋ </v>
      </c>
    </row>
    <row r="9036">
      <c r="A9036" s="1" t="s">
        <v>9037</v>
      </c>
      <c r="B9036" s="1" t="s">
        <v>6138</v>
      </c>
      <c r="C9036" s="2">
        <f>IFERROR(__xludf.DUMMYFUNCTION("IFERROR(VLOOKUP(A9036, IMPORTRANGE(""https://docs.google.com/spreadsheets/d/1AVX9GT0dgogEBStecCXMMQ29tWz3gBrtNB8yIromXbY/edit?gid=741673867"", ""out1g!A:B""), 2, FALSE), 0)"),284.0)</f>
        <v>284</v>
      </c>
      <c r="D9036" s="2" t="str">
        <f>IFERROR(__xludf.DUMMYFUNCTION("IFERROR(VLOOKUP(A9036, IMPORTRANGE(""https://docs.google.com/spreadsheets/d/1-3Vjw2Cyy-mry5gbC8ypIR3YVGFfEpyFESummAta6sg/edit"", ""Sheet1!B:D""), 2, FALSE), ""Not Found"")"),"trenər")</f>
        <v>trenər</v>
      </c>
      <c r="E9036" s="2" t="str">
        <f>IFERROR(__xludf.DUMMYFUNCTION("IFERROR(VLOOKUP(A9036, IMPORTRANGE(""https://docs.google.com/spreadsheets/d/1-3Vjw2Cyy-mry5gbC8ypIR3YVGFfEpyFESummAta6sg/edit"", ""Sheet1!B:D""), 3, FALSE), ""Not Found"")"),"t r e n ə r ")</f>
        <v>t r e n ə r </v>
      </c>
    </row>
    <row r="9037">
      <c r="A9037" s="1" t="s">
        <v>9038</v>
      </c>
      <c r="B9037" s="1" t="s">
        <v>6138</v>
      </c>
      <c r="C9037" s="2">
        <f>IFERROR(__xludf.DUMMYFUNCTION("IFERROR(VLOOKUP(A9037, IMPORTRANGE(""https://docs.google.com/spreadsheets/d/1AVX9GT0dgogEBStecCXMMQ29tWz3gBrtNB8yIromXbY/edit?gid=741673867"", ""out1g!A:B""), 2, FALSE), 0)"),598.0)</f>
        <v>598</v>
      </c>
      <c r="D9037" s="2" t="str">
        <f>IFERROR(__xludf.DUMMYFUNCTION("IFERROR(VLOOKUP(A9037, IMPORTRANGE(""https://docs.google.com/spreadsheets/d/1-3Vjw2Cyy-mry5gbC8ypIR3YVGFfEpyFESummAta6sg/edit"", ""Sheet1!B:D""), 2, FALSE), ""Not Found"")"),"detɪd")</f>
        <v>detɪd</v>
      </c>
      <c r="E9037" s="2" t="str">
        <f>IFERROR(__xludf.DUMMYFUNCTION("IFERROR(VLOOKUP(A9037, IMPORTRANGE(""https://docs.google.com/spreadsheets/d/1-3Vjw2Cyy-mry5gbC8ypIR3YVGFfEpyFESummAta6sg/edit"", ""Sheet1!B:D""), 3, FALSE), ""Not Found"")"),"d e t ɪ d ")</f>
        <v>d e t ɪ d </v>
      </c>
    </row>
    <row r="9038">
      <c r="A9038" s="1" t="s">
        <v>9039</v>
      </c>
      <c r="B9038" s="1" t="s">
        <v>6138</v>
      </c>
      <c r="C9038" s="2">
        <f>IFERROR(__xludf.DUMMYFUNCTION("IFERROR(VLOOKUP(A9038, IMPORTRANGE(""https://docs.google.com/spreadsheets/d/1AVX9GT0dgogEBStecCXMMQ29tWz3gBrtNB8yIromXbY/edit?gid=741673867"", ""out1g!A:B""), 2, FALSE), 0)"),60.0)</f>
        <v>60</v>
      </c>
      <c r="D9038" s="2" t="str">
        <f>IFERROR(__xludf.DUMMYFUNCTION("IFERROR(VLOOKUP(A9038, IMPORTRANGE(""https://docs.google.com/spreadsheets/d/1-3Vjw2Cyy-mry5gbC8ypIR3YVGFfEpyFESummAta6sg/edit"", ""Sheet1!B:D""), 2, FALSE), ""Not Found"")"),"groʊvz")</f>
        <v>groʊvz</v>
      </c>
      <c r="E9038" s="2" t="str">
        <f>IFERROR(__xludf.DUMMYFUNCTION("IFERROR(VLOOKUP(A9038, IMPORTRANGE(""https://docs.google.com/spreadsheets/d/1-3Vjw2Cyy-mry5gbC8ypIR3YVGFfEpyFESummAta6sg/edit"", ""Sheet1!B:D""), 3, FALSE), ""Not Found"")"),"g r o ʊ v z ")</f>
        <v>g r o ʊ v z </v>
      </c>
    </row>
    <row r="9039">
      <c r="A9039" s="1" t="s">
        <v>9040</v>
      </c>
      <c r="B9039" s="1" t="s">
        <v>6138</v>
      </c>
      <c r="C9039" s="2">
        <f>IFERROR(__xludf.DUMMYFUNCTION("IFERROR(VLOOKUP(A9039, IMPORTRANGE(""https://docs.google.com/spreadsheets/d/1AVX9GT0dgogEBStecCXMMQ29tWz3gBrtNB8yIromXbY/edit?gid=741673867"", ""out1g!A:B""), 2, FALSE), 0)"),2579.0)</f>
        <v>2579</v>
      </c>
      <c r="D9039" s="2" t="str">
        <f>IFERROR(__xludf.DUMMYFUNCTION("IFERROR(VLOOKUP(A9039, IMPORTRANGE(""https://docs.google.com/spreadsheets/d/1-3Vjw2Cyy-mry5gbC8ypIR3YVGFfEpyFESummAta6sg/edit"", ""Sheet1!B:D""), 2, FALSE), ""Not Found"")"),"flaɪɪŋ")</f>
        <v>flaɪɪŋ</v>
      </c>
      <c r="E9039" s="2" t="str">
        <f>IFERROR(__xludf.DUMMYFUNCTION("IFERROR(VLOOKUP(A9039, IMPORTRANGE(""https://docs.google.com/spreadsheets/d/1-3Vjw2Cyy-mry5gbC8ypIR3YVGFfEpyFESummAta6sg/edit"", ""Sheet1!B:D""), 3, FALSE), ""Not Found"")"),"f l a ɪ ɪ ŋ ")</f>
        <v>f l a ɪ ɪ ŋ </v>
      </c>
    </row>
    <row r="9040">
      <c r="A9040" s="1" t="s">
        <v>9041</v>
      </c>
      <c r="B9040" s="1" t="s">
        <v>6138</v>
      </c>
      <c r="C9040" s="2">
        <f>IFERROR(__xludf.DUMMYFUNCTION("IFERROR(VLOOKUP(A9040, IMPORTRANGE(""https://docs.google.com/spreadsheets/d/1AVX9GT0dgogEBStecCXMMQ29tWz3gBrtNB8yIromXbY/edit?gid=741673867"", ""out1g!A:B""), 2, FALSE), 0)"),88.0)</f>
        <v>88</v>
      </c>
      <c r="D9040" s="2" t="str">
        <f>IFERROR(__xludf.DUMMYFUNCTION("IFERROR(VLOOKUP(A9040, IMPORTRANGE(""https://docs.google.com/spreadsheets/d/1-3Vjw2Cyy-mry5gbC8ypIR3YVGFfEpyFESummAta6sg/edit"", ""Sheet1!B:D""), 2, FALSE), ""Not Found"")"),"fekər")</f>
        <v>fekər</v>
      </c>
      <c r="E9040" s="2" t="str">
        <f>IFERROR(__xludf.DUMMYFUNCTION("IFERROR(VLOOKUP(A9040, IMPORTRANGE(""https://docs.google.com/spreadsheets/d/1-3Vjw2Cyy-mry5gbC8ypIR3YVGFfEpyFESummAta6sg/edit"", ""Sheet1!B:D""), 3, FALSE), ""Not Found"")"),"f e k ə r ")</f>
        <v>f e k ə r </v>
      </c>
    </row>
    <row r="9041">
      <c r="A9041" s="1" t="s">
        <v>9042</v>
      </c>
      <c r="B9041" s="1" t="s">
        <v>6138</v>
      </c>
      <c r="C9041" s="2">
        <f>IFERROR(__xludf.DUMMYFUNCTION("IFERROR(VLOOKUP(A9041, IMPORTRANGE(""https://docs.google.com/spreadsheets/d/1AVX9GT0dgogEBStecCXMMQ29tWz3gBrtNB8yIromXbY/edit?gid=741673867"", ""out1g!A:B""), 2, FALSE), 0)"),113.0)</f>
        <v>113</v>
      </c>
      <c r="D9041" s="2" t="str">
        <f>IFERROR(__xludf.DUMMYFUNCTION("IFERROR(VLOOKUP(A9041, IMPORTRANGE(""https://docs.google.com/spreadsheets/d/1-3Vjw2Cyy-mry5gbC8ypIR3YVGFfEpyFESummAta6sg/edit"", ""Sheet1!B:D""), 2, FALSE), ""Not Found"")"),"stərlɪŋ")</f>
        <v>stərlɪŋ</v>
      </c>
      <c r="E9041" s="2" t="str">
        <f>IFERROR(__xludf.DUMMYFUNCTION("IFERROR(VLOOKUP(A9041, IMPORTRANGE(""https://docs.google.com/spreadsheets/d/1-3Vjw2Cyy-mry5gbC8ypIR3YVGFfEpyFESummAta6sg/edit"", ""Sheet1!B:D""), 3, FALSE), ""Not Found"")"),"s t ə r l ɪ ŋ ")</f>
        <v>s t ə r l ɪ ŋ </v>
      </c>
    </row>
    <row r="9042">
      <c r="A9042" s="1" t="s">
        <v>9043</v>
      </c>
      <c r="B9042" s="1" t="s">
        <v>6138</v>
      </c>
      <c r="C9042" s="2">
        <f>IFERROR(__xludf.DUMMYFUNCTION("IFERROR(VLOOKUP(A9042, IMPORTRANGE(""https://docs.google.com/spreadsheets/d/1AVX9GT0dgogEBStecCXMMQ29tWz3gBrtNB8yIromXbY/edit?gid=741673867"", ""out1g!A:B""), 2, FALSE), 0)"),2065.0)</f>
        <v>2065</v>
      </c>
      <c r="D9042" s="2" t="str">
        <f>IFERROR(__xludf.DUMMYFUNCTION("IFERROR(VLOOKUP(A9042, IMPORTRANGE(""https://docs.google.com/spreadsheets/d/1-3Vjw2Cyy-mry5gbC8ypIR3YVGFfEpyFESummAta6sg/edit"", ""Sheet1!B:D""), 2, FALSE), ""Not Found"")"),"ɪndid")</f>
        <v>ɪndid</v>
      </c>
      <c r="E9042" s="2" t="str">
        <f>IFERROR(__xludf.DUMMYFUNCTION("IFERROR(VLOOKUP(A9042, IMPORTRANGE(""https://docs.google.com/spreadsheets/d/1-3Vjw2Cyy-mry5gbC8ypIR3YVGFfEpyFESummAta6sg/edit"", ""Sheet1!B:D""), 3, FALSE), ""Not Found"")"),"ɪ n d i d ")</f>
        <v>ɪ n d i d </v>
      </c>
    </row>
    <row r="9043">
      <c r="A9043" s="1" t="s">
        <v>9044</v>
      </c>
      <c r="B9043" s="1" t="s">
        <v>6138</v>
      </c>
      <c r="C9043" s="2">
        <f>IFERROR(__xludf.DUMMYFUNCTION("IFERROR(VLOOKUP(A9043, IMPORTRANGE(""https://docs.google.com/spreadsheets/d/1AVX9GT0dgogEBStecCXMMQ29tWz3gBrtNB8yIromXbY/edit?gid=741673867"", ""out1g!A:B""), 2, FALSE), 0)"),1111.0)</f>
        <v>1111</v>
      </c>
      <c r="D9043" s="2" t="str">
        <f>IFERROR(__xludf.DUMMYFUNCTION("IFERROR(VLOOKUP(A9043, IMPORTRANGE(""https://docs.google.com/spreadsheets/d/1-3Vjw2Cyy-mry5gbC8ypIR3YVGFfEpyFESummAta6sg/edit"", ""Sheet1!B:D""), 2, FALSE), ""Not Found"")"),"pɑrkər")</f>
        <v>pɑrkər</v>
      </c>
      <c r="E9043" s="2" t="str">
        <f>IFERROR(__xludf.DUMMYFUNCTION("IFERROR(VLOOKUP(A9043, IMPORTRANGE(""https://docs.google.com/spreadsheets/d/1-3Vjw2Cyy-mry5gbC8ypIR3YVGFfEpyFESummAta6sg/edit"", ""Sheet1!B:D""), 3, FALSE), ""Not Found"")"),"p ɑ r k ə r ")</f>
        <v>p ɑ r k ə r </v>
      </c>
    </row>
    <row r="9044">
      <c r="A9044" s="1" t="s">
        <v>9045</v>
      </c>
      <c r="B9044" s="1" t="s">
        <v>6138</v>
      </c>
      <c r="C9044" s="2">
        <f>IFERROR(__xludf.DUMMYFUNCTION("IFERROR(VLOOKUP(A9044, IMPORTRANGE(""https://docs.google.com/spreadsheets/d/1AVX9GT0dgogEBStecCXMMQ29tWz3gBrtNB8yIromXbY/edit?gid=741673867"", ""out1g!A:B""), 2, FALSE), 0)"),58.0)</f>
        <v>58</v>
      </c>
      <c r="D9044" s="2" t="str">
        <f>IFERROR(__xludf.DUMMYFUNCTION("IFERROR(VLOOKUP(A9044, IMPORTRANGE(""https://docs.google.com/spreadsheets/d/1-3Vjw2Cyy-mry5gbC8ypIR3YVGFfEpyFESummAta6sg/edit"", ""Sheet1!B:D""), 2, FALSE), ""Not Found"")"),"redərz")</f>
        <v>redərz</v>
      </c>
      <c r="E9044" s="2" t="str">
        <f>IFERROR(__xludf.DUMMYFUNCTION("IFERROR(VLOOKUP(A9044, IMPORTRANGE(""https://docs.google.com/spreadsheets/d/1-3Vjw2Cyy-mry5gbC8ypIR3YVGFfEpyFESummAta6sg/edit"", ""Sheet1!B:D""), 3, FALSE), ""Not Found"")"),"r e d ə r z ")</f>
        <v>r e d ə r z </v>
      </c>
    </row>
    <row r="9045">
      <c r="A9045" s="1" t="s">
        <v>9046</v>
      </c>
      <c r="B9045" s="1" t="s">
        <v>6138</v>
      </c>
      <c r="C9045" s="2">
        <f>IFERROR(__xludf.DUMMYFUNCTION("IFERROR(VLOOKUP(A9045, IMPORTRANGE(""https://docs.google.com/spreadsheets/d/1AVX9GT0dgogEBStecCXMMQ29tWz3gBrtNB8yIromXbY/edit?gid=741673867"", ""out1g!A:B""), 2, FALSE), 0)"),46.0)</f>
        <v>46</v>
      </c>
      <c r="D9045" s="2" t="str">
        <f>IFERROR(__xludf.DUMMYFUNCTION("IFERROR(VLOOKUP(A9045, IMPORTRANGE(""https://docs.google.com/spreadsheets/d/1-3Vjw2Cyy-mry5gbC8ypIR3YVGFfEpyFESummAta6sg/edit"", ""Sheet1!B:D""), 2, FALSE), ""Not Found"")"),"lɔgɪŋ")</f>
        <v>lɔgɪŋ</v>
      </c>
      <c r="E9045" s="2" t="str">
        <f>IFERROR(__xludf.DUMMYFUNCTION("IFERROR(VLOOKUP(A9045, IMPORTRANGE(""https://docs.google.com/spreadsheets/d/1-3Vjw2Cyy-mry5gbC8ypIR3YVGFfEpyFESummAta6sg/edit"", ""Sheet1!B:D""), 3, FALSE), ""Not Found"")"),"l ɔ g ɪ ŋ ")</f>
        <v>l ɔ g ɪ ŋ </v>
      </c>
    </row>
    <row r="9046">
      <c r="A9046" s="1" t="s">
        <v>9047</v>
      </c>
      <c r="B9046" s="1" t="s">
        <v>6138</v>
      </c>
      <c r="C9046" s="2">
        <f>IFERROR(__xludf.DUMMYFUNCTION("IFERROR(VLOOKUP(A9046, IMPORTRANGE(""https://docs.google.com/spreadsheets/d/1AVX9GT0dgogEBStecCXMMQ29tWz3gBrtNB8yIromXbY/edit?gid=741673867"", ""out1g!A:B""), 2, FALSE), 0)"),13.0)</f>
        <v>13</v>
      </c>
      <c r="D9046" s="2" t="str">
        <f>IFERROR(__xludf.DUMMYFUNCTION("IFERROR(VLOOKUP(A9046, IMPORTRANGE(""https://docs.google.com/spreadsheets/d/1-3Vjw2Cyy-mry5gbC8ypIR3YVGFfEpyFESummAta6sg/edit"", ""Sheet1!B:D""), 2, FALSE), ""Not Found"")"),"ʤɔɪsts")</f>
        <v>ʤɔɪsts</v>
      </c>
      <c r="E9046" s="2" t="str">
        <f>IFERROR(__xludf.DUMMYFUNCTION("IFERROR(VLOOKUP(A9046, IMPORTRANGE(""https://docs.google.com/spreadsheets/d/1-3Vjw2Cyy-mry5gbC8ypIR3YVGFfEpyFESummAta6sg/edit"", ""Sheet1!B:D""), 3, FALSE), ""Not Found"")"),"ʤ ɔ ɪ s t s ")</f>
        <v>ʤ ɔ ɪ s t s </v>
      </c>
    </row>
    <row r="9047">
      <c r="A9047" s="1" t="s">
        <v>9048</v>
      </c>
      <c r="B9047" s="1" t="s">
        <v>6138</v>
      </c>
      <c r="C9047" s="2">
        <f>IFERROR(__xludf.DUMMYFUNCTION("IFERROR(VLOOKUP(A9047, IMPORTRANGE(""https://docs.google.com/spreadsheets/d/1AVX9GT0dgogEBStecCXMMQ29tWz3gBrtNB8yIromXbY/edit?gid=741673867"", ""out1g!A:B""), 2, FALSE), 0)"),5200.0)</f>
        <v>5200</v>
      </c>
      <c r="D9047" s="2" t="str">
        <f>IFERROR(__xludf.DUMMYFUNCTION("IFERROR(VLOOKUP(A9047, IMPORTRANGE(""https://docs.google.com/spreadsheets/d/1-3Vjw2Cyy-mry5gbC8ypIR3YVGFfEpyFESummAta6sg/edit"", ""Sheet1!B:D""), 2, FALSE), ""Not Found"")"),"mɪstek")</f>
        <v>mɪstek</v>
      </c>
      <c r="E9047" s="2" t="str">
        <f>IFERROR(__xludf.DUMMYFUNCTION("IFERROR(VLOOKUP(A9047, IMPORTRANGE(""https://docs.google.com/spreadsheets/d/1-3Vjw2Cyy-mry5gbC8ypIR3YVGFfEpyFESummAta6sg/edit"", ""Sheet1!B:D""), 3, FALSE), ""Not Found"")"),"m ɪ s t e k ")</f>
        <v>m ɪ s t e k </v>
      </c>
    </row>
    <row r="9048">
      <c r="A9048" s="1" t="s">
        <v>9049</v>
      </c>
      <c r="B9048" s="1" t="s">
        <v>6138</v>
      </c>
      <c r="C9048" s="2">
        <f>IFERROR(__xludf.DUMMYFUNCTION("IFERROR(VLOOKUP(A9048, IMPORTRANGE(""https://docs.google.com/spreadsheets/d/1AVX9GT0dgogEBStecCXMMQ29tWz3gBrtNB8yIromXbY/edit?gid=741673867"", ""out1g!A:B""), 2, FALSE), 0)"),86.0)</f>
        <v>86</v>
      </c>
      <c r="D9048" s="2" t="str">
        <f>IFERROR(__xludf.DUMMYFUNCTION("IFERROR(VLOOKUP(A9048, IMPORTRANGE(""https://docs.google.com/spreadsheets/d/1-3Vjw2Cyy-mry5gbC8ypIR3YVGFfEpyFESummAta6sg/edit"", ""Sheet1!B:D""), 2, FALSE), ""Not Found"")"),"bruzɪŋ")</f>
        <v>bruzɪŋ</v>
      </c>
      <c r="E9048" s="2" t="str">
        <f>IFERROR(__xludf.DUMMYFUNCTION("IFERROR(VLOOKUP(A9048, IMPORTRANGE(""https://docs.google.com/spreadsheets/d/1-3Vjw2Cyy-mry5gbC8ypIR3YVGFfEpyFESummAta6sg/edit"", ""Sheet1!B:D""), 3, FALSE), ""Not Found"")"),"b r u z ɪ ŋ ")</f>
        <v>b r u z ɪ ŋ </v>
      </c>
    </row>
    <row r="9049">
      <c r="A9049" s="1" t="s">
        <v>9050</v>
      </c>
      <c r="B9049" s="1" t="s">
        <v>6138</v>
      </c>
      <c r="C9049" s="2">
        <f>IFERROR(__xludf.DUMMYFUNCTION("IFERROR(VLOOKUP(A9049, IMPORTRANGE(""https://docs.google.com/spreadsheets/d/1AVX9GT0dgogEBStecCXMMQ29tWz3gBrtNB8yIromXbY/edit?gid=741673867"", ""out1g!A:B""), 2, FALSE), 0)"),288.0)</f>
        <v>288</v>
      </c>
      <c r="D9049" s="2" t="str">
        <f>IFERROR(__xludf.DUMMYFUNCTION("IFERROR(VLOOKUP(A9049, IMPORTRANGE(""https://docs.google.com/spreadsheets/d/1-3Vjw2Cyy-mry5gbC8ypIR3YVGFfEpyFESummAta6sg/edit"", ""Sheet1!B:D""), 2, FALSE), ""Not Found"")"),"koʊzi")</f>
        <v>koʊzi</v>
      </c>
      <c r="E9049" s="2" t="str">
        <f>IFERROR(__xludf.DUMMYFUNCTION("IFERROR(VLOOKUP(A9049, IMPORTRANGE(""https://docs.google.com/spreadsheets/d/1-3Vjw2Cyy-mry5gbC8ypIR3YVGFfEpyFESummAta6sg/edit"", ""Sheet1!B:D""), 3, FALSE), ""Not Found"")"),"k o ʊ z i ")</f>
        <v>k o ʊ z i </v>
      </c>
    </row>
    <row r="9050">
      <c r="A9050" s="1" t="s">
        <v>9051</v>
      </c>
      <c r="B9050" s="1" t="s">
        <v>6138</v>
      </c>
      <c r="C9050" s="2">
        <f>IFERROR(__xludf.DUMMYFUNCTION("IFERROR(VLOOKUP(A9050, IMPORTRANGE(""https://docs.google.com/spreadsheets/d/1AVX9GT0dgogEBStecCXMMQ29tWz3gBrtNB8yIromXbY/edit?gid=741673867"", ""out1g!A:B""), 2, FALSE), 0)"),10.0)</f>
        <v>10</v>
      </c>
      <c r="D9050" s="2" t="str">
        <f>IFERROR(__xludf.DUMMYFUNCTION("IFERROR(VLOOKUP(A9050, IMPORTRANGE(""https://docs.google.com/spreadsheets/d/1-3Vjw2Cyy-mry5gbC8ypIR3YVGFfEpyFESummAta6sg/edit"", ""Sheet1!B:D""), 2, FALSE), ""Not Found"")"),"bæʤərd")</f>
        <v>bæʤərd</v>
      </c>
      <c r="E9050" s="2" t="str">
        <f>IFERROR(__xludf.DUMMYFUNCTION("IFERROR(VLOOKUP(A9050, IMPORTRANGE(""https://docs.google.com/spreadsheets/d/1-3Vjw2Cyy-mry5gbC8ypIR3YVGFfEpyFESummAta6sg/edit"", ""Sheet1!B:D""), 3, FALSE), ""Not Found"")"),"b æ ʤ ə r d ")</f>
        <v>b æ ʤ ə r d </v>
      </c>
    </row>
    <row r="9051">
      <c r="A9051" s="1" t="s">
        <v>9052</v>
      </c>
      <c r="B9051" s="1" t="s">
        <v>6138</v>
      </c>
      <c r="C9051" s="2">
        <f>IFERROR(__xludf.DUMMYFUNCTION("IFERROR(VLOOKUP(A9051, IMPORTRANGE(""https://docs.google.com/spreadsheets/d/1AVX9GT0dgogEBStecCXMMQ29tWz3gBrtNB8yIromXbY/edit?gid=741673867"", ""out1g!A:B""), 2, FALSE), 0)"),129.0)</f>
        <v>129</v>
      </c>
      <c r="D9051" s="2" t="str">
        <f>IFERROR(__xludf.DUMMYFUNCTION("IFERROR(VLOOKUP(A9051, IMPORTRANGE(""https://docs.google.com/spreadsheets/d/1-3Vjw2Cyy-mry5gbC8ypIR3YVGFfEpyFESummAta6sg/edit"", ""Sheet1!B:D""), 2, FALSE), ""Not Found"")"),"mɑmboʊ")</f>
        <v>mɑmboʊ</v>
      </c>
      <c r="E9051" s="2" t="str">
        <f>IFERROR(__xludf.DUMMYFUNCTION("IFERROR(VLOOKUP(A9051, IMPORTRANGE(""https://docs.google.com/spreadsheets/d/1-3Vjw2Cyy-mry5gbC8ypIR3YVGFfEpyFESummAta6sg/edit"", ""Sheet1!B:D""), 3, FALSE), ""Not Found"")"),"m ɑ m b o ʊ ")</f>
        <v>m ɑ m b o ʊ </v>
      </c>
    </row>
    <row r="9052">
      <c r="A9052" s="1" t="s">
        <v>9053</v>
      </c>
      <c r="B9052" s="1" t="s">
        <v>6138</v>
      </c>
      <c r="C9052" s="2">
        <f>IFERROR(__xludf.DUMMYFUNCTION("IFERROR(VLOOKUP(A9052, IMPORTRANGE(""https://docs.google.com/spreadsheets/d/1AVX9GT0dgogEBStecCXMMQ29tWz3gBrtNB8yIromXbY/edit?gid=741673867"", ""out1g!A:B""), 2, FALSE), 0)"),1518.0)</f>
        <v>1518</v>
      </c>
      <c r="D9052" s="2" t="str">
        <f>IFERROR(__xludf.DUMMYFUNCTION("IFERROR(VLOOKUP(A9052, IMPORTRANGE(""https://docs.google.com/spreadsheets/d/1-3Vjw2Cyy-mry5gbC8ypIR3YVGFfEpyFESummAta6sg/edit"", ""Sheet1!B:D""), 2, FALSE), ""Not Found"")"),"fɔrʧən")</f>
        <v>fɔrʧən</v>
      </c>
      <c r="E9052" s="2" t="str">
        <f>IFERROR(__xludf.DUMMYFUNCTION("IFERROR(VLOOKUP(A9052, IMPORTRANGE(""https://docs.google.com/spreadsheets/d/1-3Vjw2Cyy-mry5gbC8ypIR3YVGFfEpyFESummAta6sg/edit"", ""Sheet1!B:D""), 3, FALSE), ""Not Found"")"),"f ɔ r ʧ ə n ")</f>
        <v>f ɔ r ʧ ə n </v>
      </c>
    </row>
    <row r="9053">
      <c r="A9053" s="1" t="s">
        <v>9054</v>
      </c>
      <c r="B9053" s="1" t="s">
        <v>6138</v>
      </c>
      <c r="C9053" s="2">
        <f>IFERROR(__xludf.DUMMYFUNCTION("IFERROR(VLOOKUP(A9053, IMPORTRANGE(""https://docs.google.com/spreadsheets/d/1AVX9GT0dgogEBStecCXMMQ29tWz3gBrtNB8yIromXbY/edit?gid=741673867"", ""out1g!A:B""), 2, FALSE), 0)"),65.0)</f>
        <v>65</v>
      </c>
      <c r="D9053" s="2" t="str">
        <f>IFERROR(__xludf.DUMMYFUNCTION("IFERROR(VLOOKUP(A9053, IMPORTRANGE(""https://docs.google.com/spreadsheets/d/1-3Vjw2Cyy-mry5gbC8ypIR3YVGFfEpyFESummAta6sg/edit"", ""Sheet1!B:D""), 2, FALSE), ""Not Found"")"),"skɪlɪŋ")</f>
        <v>skɪlɪŋ</v>
      </c>
      <c r="E9053" s="2" t="str">
        <f>IFERROR(__xludf.DUMMYFUNCTION("IFERROR(VLOOKUP(A9053, IMPORTRANGE(""https://docs.google.com/spreadsheets/d/1-3Vjw2Cyy-mry5gbC8ypIR3YVGFfEpyFESummAta6sg/edit"", ""Sheet1!B:D""), 3, FALSE), ""Not Found"")"),"s k ɪ l ɪ ŋ ")</f>
        <v>s k ɪ l ɪ ŋ </v>
      </c>
    </row>
    <row r="9054">
      <c r="A9054" s="1" t="s">
        <v>9055</v>
      </c>
      <c r="B9054" s="1" t="s">
        <v>6138</v>
      </c>
      <c r="C9054" s="2">
        <f>IFERROR(__xludf.DUMMYFUNCTION("IFERROR(VLOOKUP(A9054, IMPORTRANGE(""https://docs.google.com/spreadsheets/d/1AVX9GT0dgogEBStecCXMMQ29tWz3gBrtNB8yIromXbY/edit?gid=741673867"", ""out1g!A:B""), 2, FALSE), 0)"),15.0)</f>
        <v>15</v>
      </c>
      <c r="D9054" s="2" t="str">
        <f>IFERROR(__xludf.DUMMYFUNCTION("IFERROR(VLOOKUP(A9054, IMPORTRANGE(""https://docs.google.com/spreadsheets/d/1-3Vjw2Cyy-mry5gbC8ypIR3YVGFfEpyFESummAta6sg/edit"", ""Sheet1!B:D""), 2, FALSE), ""Not Found"")"),"slɪts")</f>
        <v>slɪts</v>
      </c>
      <c r="E9054" s="2" t="str">
        <f>IFERROR(__xludf.DUMMYFUNCTION("IFERROR(VLOOKUP(A9054, IMPORTRANGE(""https://docs.google.com/spreadsheets/d/1-3Vjw2Cyy-mry5gbC8ypIR3YVGFfEpyFESummAta6sg/edit"", ""Sheet1!B:D""), 3, FALSE), ""Not Found"")"),"s l ɪ t s ")</f>
        <v>s l ɪ t s </v>
      </c>
    </row>
    <row r="9055">
      <c r="A9055" s="1" t="s">
        <v>9056</v>
      </c>
      <c r="B9055" s="1" t="s">
        <v>6138</v>
      </c>
      <c r="C9055" s="2">
        <f>IFERROR(__xludf.DUMMYFUNCTION("IFERROR(VLOOKUP(A9055, IMPORTRANGE(""https://docs.google.com/spreadsheets/d/1AVX9GT0dgogEBStecCXMMQ29tWz3gBrtNB8yIromXbY/edit?gid=741673867"", ""out1g!A:B""), 2, FALSE), 0)"),181.0)</f>
        <v>181</v>
      </c>
      <c r="D9055" s="2" t="str">
        <f>IFERROR(__xludf.DUMMYFUNCTION("IFERROR(VLOOKUP(A9055, IMPORTRANGE(""https://docs.google.com/spreadsheets/d/1-3Vjw2Cyy-mry5gbC8ypIR3YVGFfEpyFESummAta6sg/edit"", ""Sheet1!B:D""), 2, FALSE), ""Not Found"")"),"sents")</f>
        <v>sents</v>
      </c>
      <c r="E9055" s="2" t="str">
        <f>IFERROR(__xludf.DUMMYFUNCTION("IFERROR(VLOOKUP(A9055, IMPORTRANGE(""https://docs.google.com/spreadsheets/d/1-3Vjw2Cyy-mry5gbC8ypIR3YVGFfEpyFESummAta6sg/edit"", ""Sheet1!B:D""), 3, FALSE), ""Not Found"")"),"s e n t s ")</f>
        <v>s e n t s </v>
      </c>
    </row>
    <row r="9056">
      <c r="A9056" s="1" t="s">
        <v>9057</v>
      </c>
      <c r="B9056" s="1" t="s">
        <v>6138</v>
      </c>
      <c r="C9056" s="2">
        <f>IFERROR(__xludf.DUMMYFUNCTION("IFERROR(VLOOKUP(A9056, IMPORTRANGE(""https://docs.google.com/spreadsheets/d/1AVX9GT0dgogEBStecCXMMQ29tWz3gBrtNB8yIromXbY/edit?gid=741673867"", ""out1g!A:B""), 2, FALSE), 0)"),54.0)</f>
        <v>54</v>
      </c>
      <c r="D9056" s="2" t="str">
        <f>IFERROR(__xludf.DUMMYFUNCTION("IFERROR(VLOOKUP(A9056, IMPORTRANGE(""https://docs.google.com/spreadsheets/d/1-3Vjw2Cyy-mry5gbC8ypIR3YVGFfEpyFESummAta6sg/edit"", ""Sheet1!B:D""), 2, FALSE), ""Not Found"")"),"mɑŋgəl")</f>
        <v>mɑŋgəl</v>
      </c>
      <c r="E9056" s="2" t="str">
        <f>IFERROR(__xludf.DUMMYFUNCTION("IFERROR(VLOOKUP(A9056, IMPORTRANGE(""https://docs.google.com/spreadsheets/d/1-3Vjw2Cyy-mry5gbC8ypIR3YVGFfEpyFESummAta6sg/edit"", ""Sheet1!B:D""), 3, FALSE), ""Not Found"")"),"m ɑ ŋ g ə l ")</f>
        <v>m ɑ ŋ g ə l </v>
      </c>
    </row>
    <row r="9057">
      <c r="A9057" s="1" t="s">
        <v>9058</v>
      </c>
      <c r="B9057" s="1" t="s">
        <v>6138</v>
      </c>
      <c r="C9057" s="2">
        <f>IFERROR(__xludf.DUMMYFUNCTION("IFERROR(VLOOKUP(A9057, IMPORTRANGE(""https://docs.google.com/spreadsheets/d/1AVX9GT0dgogEBStecCXMMQ29tWz3gBrtNB8yIromXbY/edit?gid=741673867"", ""out1g!A:B""), 2, FALSE), 0)"),651.0)</f>
        <v>651</v>
      </c>
      <c r="D9057" s="2" t="str">
        <f>IFERROR(__xludf.DUMMYFUNCTION("IFERROR(VLOOKUP(A9057, IMPORTRANGE(""https://docs.google.com/spreadsheets/d/1-3Vjw2Cyy-mry5gbC8ypIR3YVGFfEpyFESummAta6sg/edit"", ""Sheet1!B:D""), 2, FALSE), ""Not Found"")"),"wɛrz")</f>
        <v>wɛrz</v>
      </c>
      <c r="E9057" s="2" t="str">
        <f>IFERROR(__xludf.DUMMYFUNCTION("IFERROR(VLOOKUP(A9057, IMPORTRANGE(""https://docs.google.com/spreadsheets/d/1-3Vjw2Cyy-mry5gbC8ypIR3YVGFfEpyFESummAta6sg/edit"", ""Sheet1!B:D""), 3, FALSE), ""Not Found"")"),"w ɛ r z ")</f>
        <v>w ɛ r z </v>
      </c>
    </row>
    <row r="9058">
      <c r="A9058" s="1" t="s">
        <v>9059</v>
      </c>
      <c r="B9058" s="1" t="s">
        <v>6138</v>
      </c>
      <c r="C9058" s="2">
        <f>IFERROR(__xludf.DUMMYFUNCTION("IFERROR(VLOOKUP(A9058, IMPORTRANGE(""https://docs.google.com/spreadsheets/d/1AVX9GT0dgogEBStecCXMMQ29tWz3gBrtNB8yIromXbY/edit?gid=741673867"", ""out1g!A:B""), 2, FALSE), 0)"),4012.0)</f>
        <v>4012</v>
      </c>
      <c r="D9058" s="2" t="str">
        <f>IFERROR(__xludf.DUMMYFUNCTION("IFERROR(VLOOKUP(A9058, IMPORTRANGE(""https://docs.google.com/spreadsheets/d/1-3Vjw2Cyy-mry5gbC8ypIR3YVGFfEpyFESummAta6sg/edit"", ""Sheet1!B:D""), 2, FALSE), ""Not Found"")"),"səmər")</f>
        <v>səmər</v>
      </c>
      <c r="E9058" s="2" t="str">
        <f>IFERROR(__xludf.DUMMYFUNCTION("IFERROR(VLOOKUP(A9058, IMPORTRANGE(""https://docs.google.com/spreadsheets/d/1-3Vjw2Cyy-mry5gbC8ypIR3YVGFfEpyFESummAta6sg/edit"", ""Sheet1!B:D""), 3, FALSE), ""Not Found"")"),"s ə m ə r ")</f>
        <v>s ə m ə r </v>
      </c>
    </row>
    <row r="9059">
      <c r="A9059" s="1" t="s">
        <v>9060</v>
      </c>
      <c r="B9059" s="1" t="s">
        <v>6138</v>
      </c>
      <c r="C9059" s="2">
        <f>IFERROR(__xludf.DUMMYFUNCTION("IFERROR(VLOOKUP(A9059, IMPORTRANGE(""https://docs.google.com/spreadsheets/d/1AVX9GT0dgogEBStecCXMMQ29tWz3gBrtNB8yIromXbY/edit?gid=741673867"", ""out1g!A:B""), 2, FALSE), 0)"),796.0)</f>
        <v>796</v>
      </c>
      <c r="D9059" s="2" t="str">
        <f>IFERROR(__xludf.DUMMYFUNCTION("IFERROR(VLOOKUP(A9059, IMPORTRANGE(""https://docs.google.com/spreadsheets/d/1-3Vjw2Cyy-mry5gbC8ypIR3YVGFfEpyFESummAta6sg/edit"", ""Sheet1!B:D""), 2, FALSE), ""Not Found"")"),"strɛs")</f>
        <v>strɛs</v>
      </c>
      <c r="E9059" s="2" t="str">
        <f>IFERROR(__xludf.DUMMYFUNCTION("IFERROR(VLOOKUP(A9059, IMPORTRANGE(""https://docs.google.com/spreadsheets/d/1-3Vjw2Cyy-mry5gbC8ypIR3YVGFfEpyFESummAta6sg/edit"", ""Sheet1!B:D""), 3, FALSE), ""Not Found"")"),"s t r ɛ s ")</f>
        <v>s t r ɛ s </v>
      </c>
    </row>
    <row r="9060">
      <c r="A9060" s="1" t="s">
        <v>9061</v>
      </c>
      <c r="B9060" s="1" t="s">
        <v>6138</v>
      </c>
      <c r="C9060" s="2">
        <f>IFERROR(__xludf.DUMMYFUNCTION("IFERROR(VLOOKUP(A9060, IMPORTRANGE(""https://docs.google.com/spreadsheets/d/1AVX9GT0dgogEBStecCXMMQ29tWz3gBrtNB8yIromXbY/edit?gid=741673867"", ""out1g!A:B""), 2, FALSE), 0)"),203.0)</f>
        <v>203</v>
      </c>
      <c r="D9060" s="2" t="str">
        <f>IFERROR(__xludf.DUMMYFUNCTION("IFERROR(VLOOKUP(A9060, IMPORTRANGE(""https://docs.google.com/spreadsheets/d/1-3Vjw2Cyy-mry5gbC8ypIR3YVGFfEpyFESummAta6sg/edit"", ""Sheet1!B:D""), 2, FALSE), ""Not Found"")"),"dəmpɪŋ")</f>
        <v>dəmpɪŋ</v>
      </c>
      <c r="E9060" s="2" t="str">
        <f>IFERROR(__xludf.DUMMYFUNCTION("IFERROR(VLOOKUP(A9060, IMPORTRANGE(""https://docs.google.com/spreadsheets/d/1-3Vjw2Cyy-mry5gbC8ypIR3YVGFfEpyFESummAta6sg/edit"", ""Sheet1!B:D""), 3, FALSE), ""Not Found"")"),"d ə m p ɪ ŋ ")</f>
        <v>d ə m p ɪ ŋ </v>
      </c>
    </row>
    <row r="9061">
      <c r="A9061" s="1" t="s">
        <v>9062</v>
      </c>
      <c r="B9061" s="1" t="s">
        <v>6138</v>
      </c>
      <c r="C9061" s="2">
        <f>IFERROR(__xludf.DUMMYFUNCTION("IFERROR(VLOOKUP(A9061, IMPORTRANGE(""https://docs.google.com/spreadsheets/d/1AVX9GT0dgogEBStecCXMMQ29tWz3gBrtNB8yIromXbY/edit?gid=741673867"", ""out1g!A:B""), 2, FALSE), 0)"),1835.0)</f>
        <v>1835</v>
      </c>
      <c r="D9061" s="2" t="str">
        <f>IFERROR(__xludf.DUMMYFUNCTION("IFERROR(VLOOKUP(A9061, IMPORTRANGE(""https://docs.google.com/spreadsheets/d/1-3Vjw2Cyy-mry5gbC8ypIR3YVGFfEpyFESummAta6sg/edit"", ""Sheet1!B:D""), 2, FALSE), ""Not Found"")"),"nɔr")</f>
        <v>nɔr</v>
      </c>
      <c r="E9061" s="2" t="str">
        <f>IFERROR(__xludf.DUMMYFUNCTION("IFERROR(VLOOKUP(A9061, IMPORTRANGE(""https://docs.google.com/spreadsheets/d/1-3Vjw2Cyy-mry5gbC8ypIR3YVGFfEpyFESummAta6sg/edit"", ""Sheet1!B:D""), 3, FALSE), ""Not Found"")"),"n ɔ r ")</f>
        <v>n ɔ r </v>
      </c>
    </row>
    <row r="9062">
      <c r="A9062" s="1" t="s">
        <v>9063</v>
      </c>
      <c r="B9062" s="1" t="s">
        <v>6138</v>
      </c>
      <c r="C9062" s="2">
        <f>IFERROR(__xludf.DUMMYFUNCTION("IFERROR(VLOOKUP(A9062, IMPORTRANGE(""https://docs.google.com/spreadsheets/d/1AVX9GT0dgogEBStecCXMMQ29tWz3gBrtNB8yIromXbY/edit?gid=741673867"", ""out1g!A:B""), 2, FALSE), 0)"),1080.0)</f>
        <v>1080</v>
      </c>
      <c r="D9062" s="2" t="str">
        <f>IFERROR(__xludf.DUMMYFUNCTION("IFERROR(VLOOKUP(A9062, IMPORTRANGE(""https://docs.google.com/spreadsheets/d/1-3Vjw2Cyy-mry5gbC8ypIR3YVGFfEpyFESummAta6sg/edit"", ""Sheet1!B:D""), 2, FALSE), ""Not Found"")"),"ʃædoʊ")</f>
        <v>ʃædoʊ</v>
      </c>
      <c r="E9062" s="2" t="str">
        <f>IFERROR(__xludf.DUMMYFUNCTION("IFERROR(VLOOKUP(A9062, IMPORTRANGE(""https://docs.google.com/spreadsheets/d/1-3Vjw2Cyy-mry5gbC8ypIR3YVGFfEpyFESummAta6sg/edit"", ""Sheet1!B:D""), 3, FALSE), ""Not Found"")"),"ʃ æ d o ʊ ")</f>
        <v>ʃ æ d o ʊ </v>
      </c>
    </row>
    <row r="9063">
      <c r="A9063" s="1" t="s">
        <v>9064</v>
      </c>
      <c r="B9063" s="1" t="s">
        <v>6138</v>
      </c>
      <c r="C9063" s="2">
        <f>IFERROR(__xludf.DUMMYFUNCTION("IFERROR(VLOOKUP(A9063, IMPORTRANGE(""https://docs.google.com/spreadsheets/d/1AVX9GT0dgogEBStecCXMMQ29tWz3gBrtNB8yIromXbY/edit?gid=741673867"", ""out1g!A:B""), 2, FALSE), 0)"),175.0)</f>
        <v>175</v>
      </c>
      <c r="D9063" s="2" t="str">
        <f>IFERROR(__xludf.DUMMYFUNCTION("IFERROR(VLOOKUP(A9063, IMPORTRANGE(""https://docs.google.com/spreadsheets/d/1-3Vjw2Cyy-mry5gbC8ypIR3YVGFfEpyFESummAta6sg/edit"", ""Sheet1!B:D""), 2, FALSE), ""Not Found"")"),"pɑrtli")</f>
        <v>pɑrtli</v>
      </c>
      <c r="E9063" s="2" t="str">
        <f>IFERROR(__xludf.DUMMYFUNCTION("IFERROR(VLOOKUP(A9063, IMPORTRANGE(""https://docs.google.com/spreadsheets/d/1-3Vjw2Cyy-mry5gbC8ypIR3YVGFfEpyFESummAta6sg/edit"", ""Sheet1!B:D""), 3, FALSE), ""Not Found"")"),"p ɑ r t l i ")</f>
        <v>p ɑ r t l i </v>
      </c>
    </row>
    <row r="9064">
      <c r="A9064" s="1" t="s">
        <v>9065</v>
      </c>
      <c r="B9064" s="1" t="s">
        <v>6138</v>
      </c>
      <c r="C9064" s="2">
        <f>IFERROR(__xludf.DUMMYFUNCTION("IFERROR(VLOOKUP(A9064, IMPORTRANGE(""https://docs.google.com/spreadsheets/d/1AVX9GT0dgogEBStecCXMMQ29tWz3gBrtNB8yIromXbY/edit?gid=741673867"", ""out1g!A:B""), 2, FALSE), 0)"),65.0)</f>
        <v>65</v>
      </c>
      <c r="D9064" s="2" t="str">
        <f>IFERROR(__xludf.DUMMYFUNCTION("IFERROR(VLOOKUP(A9064, IMPORTRANGE(""https://docs.google.com/spreadsheets/d/1-3Vjw2Cyy-mry5gbC8ypIR3YVGFfEpyFESummAta6sg/edit"", ""Sheet1!B:D""), 2, FALSE), ""Not Found"")"),"rɛnts")</f>
        <v>rɛnts</v>
      </c>
      <c r="E9064" s="2" t="str">
        <f>IFERROR(__xludf.DUMMYFUNCTION("IFERROR(VLOOKUP(A9064, IMPORTRANGE(""https://docs.google.com/spreadsheets/d/1-3Vjw2Cyy-mry5gbC8ypIR3YVGFfEpyFESummAta6sg/edit"", ""Sheet1!B:D""), 3, FALSE), ""Not Found"")"),"r ɛ n t s ")</f>
        <v>r ɛ n t s </v>
      </c>
    </row>
    <row r="9065">
      <c r="A9065" s="1" t="s">
        <v>9066</v>
      </c>
      <c r="B9065" s="1" t="s">
        <v>6138</v>
      </c>
      <c r="C9065" s="2">
        <f>IFERROR(__xludf.DUMMYFUNCTION("IFERROR(VLOOKUP(A9065, IMPORTRANGE(""https://docs.google.com/spreadsheets/d/1AVX9GT0dgogEBStecCXMMQ29tWz3gBrtNB8yIromXbY/edit?gid=741673867"", ""out1g!A:B""), 2, FALSE), 0)"),137.0)</f>
        <v>137</v>
      </c>
      <c r="D9065" s="2" t="str">
        <f>IFERROR(__xludf.DUMMYFUNCTION("IFERROR(VLOOKUP(A9065, IMPORTRANGE(""https://docs.google.com/spreadsheets/d/1-3Vjw2Cyy-mry5gbC8ypIR3YVGFfEpyFESummAta6sg/edit"", ""Sheet1!B:D""), 2, FALSE), ""Not Found"")"),"dəmps")</f>
        <v>dəmps</v>
      </c>
      <c r="E9065" s="2" t="str">
        <f>IFERROR(__xludf.DUMMYFUNCTION("IFERROR(VLOOKUP(A9065, IMPORTRANGE(""https://docs.google.com/spreadsheets/d/1-3Vjw2Cyy-mry5gbC8ypIR3YVGFfEpyFESummAta6sg/edit"", ""Sheet1!B:D""), 3, FALSE), ""Not Found"")"),"d ə m p s ")</f>
        <v>d ə m p s </v>
      </c>
    </row>
    <row r="9066">
      <c r="A9066" s="1" t="s">
        <v>9067</v>
      </c>
      <c r="B9066" s="1" t="s">
        <v>6138</v>
      </c>
      <c r="C9066" s="2">
        <f>IFERROR(__xludf.DUMMYFUNCTION("IFERROR(VLOOKUP(A9066, IMPORTRANGE(""https://docs.google.com/spreadsheets/d/1AVX9GT0dgogEBStecCXMMQ29tWz3gBrtNB8yIromXbY/edit?gid=741673867"", ""out1g!A:B""), 2, FALSE), 0)"),811.0)</f>
        <v>811</v>
      </c>
      <c r="D9066" s="2" t="str">
        <f>IFERROR(__xludf.DUMMYFUNCTION("IFERROR(VLOOKUP(A9066, IMPORTRANGE(""https://docs.google.com/spreadsheets/d/1-3Vjw2Cyy-mry5gbC8ypIR3YVGFfEpyFESummAta6sg/edit"", ""Sheet1!B:D""), 2, FALSE), ""Not Found"")"),"bæŋks")</f>
        <v>bæŋks</v>
      </c>
      <c r="E9066" s="2" t="str">
        <f>IFERROR(__xludf.DUMMYFUNCTION("IFERROR(VLOOKUP(A9066, IMPORTRANGE(""https://docs.google.com/spreadsheets/d/1-3Vjw2Cyy-mry5gbC8ypIR3YVGFfEpyFESummAta6sg/edit"", ""Sheet1!B:D""), 3, FALSE), ""Not Found"")"),"b æ ŋ k s ")</f>
        <v>b æ ŋ k s </v>
      </c>
    </row>
    <row r="9067">
      <c r="A9067" s="1" t="s">
        <v>9068</v>
      </c>
      <c r="B9067" s="1" t="s">
        <v>6138</v>
      </c>
      <c r="C9067" s="2">
        <f>IFERROR(__xludf.DUMMYFUNCTION("IFERROR(VLOOKUP(A9067, IMPORTRANGE(""https://docs.google.com/spreadsheets/d/1AVX9GT0dgogEBStecCXMMQ29tWz3gBrtNB8yIromXbY/edit?gid=741673867"", ""out1g!A:B""), 2, FALSE), 0)"),401.0)</f>
        <v>401</v>
      </c>
      <c r="D9067" s="2" t="str">
        <f>IFERROR(__xludf.DUMMYFUNCTION("IFERROR(VLOOKUP(A9067, IMPORTRANGE(""https://docs.google.com/spreadsheets/d/1-3Vjw2Cyy-mry5gbC8ypIR3YVGFfEpyFESummAta6sg/edit"", ""Sheet1!B:D""), 2, FALSE), ""Not Found"")"),"æbət")</f>
        <v>æbət</v>
      </c>
      <c r="E9067" s="2" t="str">
        <f>IFERROR(__xludf.DUMMYFUNCTION("IFERROR(VLOOKUP(A9067, IMPORTRANGE(""https://docs.google.com/spreadsheets/d/1-3Vjw2Cyy-mry5gbC8ypIR3YVGFfEpyFESummAta6sg/edit"", ""Sheet1!B:D""), 3, FALSE), ""Not Found"")"),"æ b ə t ")</f>
        <v>æ b ə t </v>
      </c>
    </row>
    <row r="9068">
      <c r="A9068" s="1" t="s">
        <v>9069</v>
      </c>
      <c r="B9068" s="1" t="s">
        <v>6138</v>
      </c>
      <c r="C9068" s="2">
        <f>IFERROR(__xludf.DUMMYFUNCTION("IFERROR(VLOOKUP(A9068, IMPORTRANGE(""https://docs.google.com/spreadsheets/d/1AVX9GT0dgogEBStecCXMMQ29tWz3gBrtNB8yIromXbY/edit?gid=741673867"", ""out1g!A:B""), 2, FALSE), 0)"),630.0)</f>
        <v>630</v>
      </c>
      <c r="D9068" s="2" t="str">
        <f>IFERROR(__xludf.DUMMYFUNCTION("IFERROR(VLOOKUP(A9068, IMPORTRANGE(""https://docs.google.com/spreadsheets/d/1-3Vjw2Cyy-mry5gbC8ypIR3YVGFfEpyFESummAta6sg/edit"", ""Sheet1!B:D""), 2, FALSE), ""Not Found"")"),"pinət")</f>
        <v>pinət</v>
      </c>
      <c r="E9068" s="2" t="str">
        <f>IFERROR(__xludf.DUMMYFUNCTION("IFERROR(VLOOKUP(A9068, IMPORTRANGE(""https://docs.google.com/spreadsheets/d/1-3Vjw2Cyy-mry5gbC8ypIR3YVGFfEpyFESummAta6sg/edit"", ""Sheet1!B:D""), 3, FALSE), ""Not Found"")"),"p i n ə t ")</f>
        <v>p i n ə t </v>
      </c>
    </row>
    <row r="9069">
      <c r="A9069" s="1" t="s">
        <v>9070</v>
      </c>
      <c r="B9069" s="1" t="s">
        <v>6138</v>
      </c>
      <c r="C9069" s="2">
        <f>IFERROR(__xludf.DUMMYFUNCTION("IFERROR(VLOOKUP(A9069, IMPORTRANGE(""https://docs.google.com/spreadsheets/d/1AVX9GT0dgogEBStecCXMMQ29tWz3gBrtNB8yIromXbY/edit?gid=741673867"", ""out1g!A:B""), 2, FALSE), 0)"),48.0)</f>
        <v>48</v>
      </c>
      <c r="D9069" s="2" t="str">
        <f>IFERROR(__xludf.DUMMYFUNCTION("IFERROR(VLOOKUP(A9069, IMPORTRANGE(""https://docs.google.com/spreadsheets/d/1-3Vjw2Cyy-mry5gbC8ypIR3YVGFfEpyFESummAta6sg/edit"", ""Sheet1!B:D""), 2, FALSE), ""Not Found"")"),"jɔnɪŋ")</f>
        <v>jɔnɪŋ</v>
      </c>
      <c r="E9069" s="2" t="str">
        <f>IFERROR(__xludf.DUMMYFUNCTION("IFERROR(VLOOKUP(A9069, IMPORTRANGE(""https://docs.google.com/spreadsheets/d/1-3Vjw2Cyy-mry5gbC8ypIR3YVGFfEpyFESummAta6sg/edit"", ""Sheet1!B:D""), 3, FALSE), ""Not Found"")"),"j ɔ n ɪ ŋ ")</f>
        <v>j ɔ n ɪ ŋ </v>
      </c>
    </row>
    <row r="9070">
      <c r="A9070" s="1" t="s">
        <v>9071</v>
      </c>
      <c r="B9070" s="1" t="s">
        <v>6138</v>
      </c>
      <c r="C9070" s="2">
        <f>IFERROR(__xludf.DUMMYFUNCTION("IFERROR(VLOOKUP(A9070, IMPORTRANGE(""https://docs.google.com/spreadsheets/d/1AVX9GT0dgogEBStecCXMMQ29tWz3gBrtNB8yIromXbY/edit?gid=741673867"", ""out1g!A:B""), 2, FALSE), 0)"),57.0)</f>
        <v>57</v>
      </c>
      <c r="D9070" s="2" t="str">
        <f>IFERROR(__xludf.DUMMYFUNCTION("IFERROR(VLOOKUP(A9070, IMPORTRANGE(""https://docs.google.com/spreadsheets/d/1-3Vjw2Cyy-mry5gbC8ypIR3YVGFfEpyFESummAta6sg/edit"", ""Sheet1!B:D""), 2, FALSE), ""Not Found"")"),"klɪŋɪŋ")</f>
        <v>klɪŋɪŋ</v>
      </c>
      <c r="E9070" s="2" t="str">
        <f>IFERROR(__xludf.DUMMYFUNCTION("IFERROR(VLOOKUP(A9070, IMPORTRANGE(""https://docs.google.com/spreadsheets/d/1-3Vjw2Cyy-mry5gbC8ypIR3YVGFfEpyFESummAta6sg/edit"", ""Sheet1!B:D""), 3, FALSE), ""Not Found"")"),"k l ɪ ŋ ɪ ŋ ")</f>
        <v>k l ɪ ŋ ɪ ŋ </v>
      </c>
    </row>
    <row r="9071">
      <c r="A9071" s="1" t="s">
        <v>9072</v>
      </c>
      <c r="B9071" s="1" t="s">
        <v>6138</v>
      </c>
      <c r="C9071" s="2">
        <f>IFERROR(__xludf.DUMMYFUNCTION("IFERROR(VLOOKUP(A9071, IMPORTRANGE(""https://docs.google.com/spreadsheets/d/1AVX9GT0dgogEBStecCXMMQ29tWz3gBrtNB8yIromXbY/edit?gid=741673867"", ""out1g!A:B""), 2, FALSE), 0)"),76.0)</f>
        <v>76</v>
      </c>
      <c r="D9071" s="2" t="str">
        <f>IFERROR(__xludf.DUMMYFUNCTION("IFERROR(VLOOKUP(A9071, IMPORTRANGE(""https://docs.google.com/spreadsheets/d/1-3Vjw2Cyy-mry5gbC8ypIR3YVGFfEpyFESummAta6sg/edit"", ""Sheet1!B:D""), 2, FALSE), ""Not Found"")"),"strɪpɪŋ")</f>
        <v>strɪpɪŋ</v>
      </c>
      <c r="E9071" s="2" t="str">
        <f>IFERROR(__xludf.DUMMYFUNCTION("IFERROR(VLOOKUP(A9071, IMPORTRANGE(""https://docs.google.com/spreadsheets/d/1-3Vjw2Cyy-mry5gbC8ypIR3YVGFfEpyFESummAta6sg/edit"", ""Sheet1!B:D""), 3, FALSE), ""Not Found"")"),"s t r ɪ p ɪ ŋ ")</f>
        <v>s t r ɪ p ɪ ŋ </v>
      </c>
    </row>
    <row r="9072">
      <c r="A9072" s="1" t="s">
        <v>9073</v>
      </c>
      <c r="B9072" s="1" t="s">
        <v>6138</v>
      </c>
      <c r="C9072" s="2">
        <f>IFERROR(__xludf.DUMMYFUNCTION("IFERROR(VLOOKUP(A9072, IMPORTRANGE(""https://docs.google.com/spreadsheets/d/1AVX9GT0dgogEBStecCXMMQ29tWz3gBrtNB8yIromXbY/edit?gid=741673867"", ""out1g!A:B""), 2, FALSE), 0)"),8739.0)</f>
        <v>8739</v>
      </c>
      <c r="D9072" s="2" t="str">
        <f>IFERROR(__xludf.DUMMYFUNCTION("IFERROR(VLOOKUP(A9072, IMPORTRANGE(""https://docs.google.com/spreadsheets/d/1-3Vjw2Cyy-mry5gbC8ypIR3YVGFfEpyFESummAta6sg/edit"", ""Sheet1!B:D""), 2, FALSE), ""Not Found"")"),"dɔtər")</f>
        <v>dɔtər</v>
      </c>
      <c r="E9072" s="2" t="str">
        <f>IFERROR(__xludf.DUMMYFUNCTION("IFERROR(VLOOKUP(A9072, IMPORTRANGE(""https://docs.google.com/spreadsheets/d/1-3Vjw2Cyy-mry5gbC8ypIR3YVGFfEpyFESummAta6sg/edit"", ""Sheet1!B:D""), 3, FALSE), ""Not Found"")"),"d ɔ t ə r ")</f>
        <v>d ɔ t ə r </v>
      </c>
    </row>
    <row r="9073">
      <c r="A9073" s="1" t="s">
        <v>9074</v>
      </c>
      <c r="B9073" s="1" t="s">
        <v>6138</v>
      </c>
      <c r="C9073" s="2">
        <f>IFERROR(__xludf.DUMMYFUNCTION("IFERROR(VLOOKUP(A9073, IMPORTRANGE(""https://docs.google.com/spreadsheets/d/1AVX9GT0dgogEBStecCXMMQ29tWz3gBrtNB8yIromXbY/edit?gid=741673867"", ""out1g!A:B""), 2, FALSE), 0)"),329.0)</f>
        <v>329</v>
      </c>
      <c r="D9073" s="2" t="str">
        <f>IFERROR(__xludf.DUMMYFUNCTION("IFERROR(VLOOKUP(A9073, IMPORTRANGE(""https://docs.google.com/spreadsheets/d/1-3Vjw2Cyy-mry5gbC8ypIR3YVGFfEpyFESummAta6sg/edit"", ""Sheet1!B:D""), 2, FALSE), ""Not Found"")"),"məstərd")</f>
        <v>məstərd</v>
      </c>
      <c r="E9073" s="2" t="str">
        <f>IFERROR(__xludf.DUMMYFUNCTION("IFERROR(VLOOKUP(A9073, IMPORTRANGE(""https://docs.google.com/spreadsheets/d/1-3Vjw2Cyy-mry5gbC8ypIR3YVGFfEpyFESummAta6sg/edit"", ""Sheet1!B:D""), 3, FALSE), ""Not Found"")"),"m ə s t ə r d ")</f>
        <v>m ə s t ə r d </v>
      </c>
    </row>
    <row r="9074">
      <c r="A9074" s="1" t="s">
        <v>9075</v>
      </c>
      <c r="B9074" s="1" t="s">
        <v>6138</v>
      </c>
      <c r="C9074" s="2">
        <f>IFERROR(__xludf.DUMMYFUNCTION("IFERROR(VLOOKUP(A9074, IMPORTRANGE(""https://docs.google.com/spreadsheets/d/1AVX9GT0dgogEBStecCXMMQ29tWz3gBrtNB8yIromXbY/edit?gid=741673867"", ""out1g!A:B""), 2, FALSE), 0)"),207.0)</f>
        <v>207</v>
      </c>
      <c r="D9074" s="2" t="str">
        <f>IFERROR(__xludf.DUMMYFUNCTION("IFERROR(VLOOKUP(A9074, IMPORTRANGE(""https://docs.google.com/spreadsheets/d/1-3Vjw2Cyy-mry5gbC8ypIR3YVGFfEpyFESummAta6sg/edit"", ""Sheet1!B:D""), 2, FALSE), ""Not Found"")"),"rɑkəts")</f>
        <v>rɑkəts</v>
      </c>
      <c r="E9074" s="2" t="str">
        <f>IFERROR(__xludf.DUMMYFUNCTION("IFERROR(VLOOKUP(A9074, IMPORTRANGE(""https://docs.google.com/spreadsheets/d/1-3Vjw2Cyy-mry5gbC8ypIR3YVGFfEpyFESummAta6sg/edit"", ""Sheet1!B:D""), 3, FALSE), ""Not Found"")"),"r ɑ k ə t s ")</f>
        <v>r ɑ k ə t s </v>
      </c>
    </row>
    <row r="9075">
      <c r="A9075" s="1" t="s">
        <v>9076</v>
      </c>
      <c r="B9075" s="1" t="s">
        <v>6138</v>
      </c>
      <c r="C9075" s="2">
        <f>IFERROR(__xludf.DUMMYFUNCTION("IFERROR(VLOOKUP(A9075, IMPORTRANGE(""https://docs.google.com/spreadsheets/d/1AVX9GT0dgogEBStecCXMMQ29tWz3gBrtNB8yIromXbY/edit?gid=741673867"", ""out1g!A:B""), 2, FALSE), 0)"),173.0)</f>
        <v>173</v>
      </c>
      <c r="D9075" s="2" t="str">
        <f>IFERROR(__xludf.DUMMYFUNCTION("IFERROR(VLOOKUP(A9075, IMPORTRANGE(""https://docs.google.com/spreadsheets/d/1-3Vjw2Cyy-mry5gbC8ypIR3YVGFfEpyFESummAta6sg/edit"", ""Sheet1!B:D""), 2, FALSE), ""Not Found"")"),"hæŋər")</f>
        <v>hæŋər</v>
      </c>
      <c r="E9075" s="2" t="str">
        <f>IFERROR(__xludf.DUMMYFUNCTION("IFERROR(VLOOKUP(A9075, IMPORTRANGE(""https://docs.google.com/spreadsheets/d/1-3Vjw2Cyy-mry5gbC8ypIR3YVGFfEpyFESummAta6sg/edit"", ""Sheet1!B:D""), 3, FALSE), ""Not Found"")"),"h æ ŋ ə r ")</f>
        <v>h æ ŋ ə r </v>
      </c>
    </row>
    <row r="9076">
      <c r="A9076" s="1" t="s">
        <v>9077</v>
      </c>
      <c r="B9076" s="1" t="s">
        <v>6138</v>
      </c>
      <c r="C9076" s="2">
        <f>IFERROR(__xludf.DUMMYFUNCTION("IFERROR(VLOOKUP(A9076, IMPORTRANGE(""https://docs.google.com/spreadsheets/d/1AVX9GT0dgogEBStecCXMMQ29tWz3gBrtNB8yIromXbY/edit?gid=741673867"", ""out1g!A:B""), 2, FALSE), 0)"),129.0)</f>
        <v>129</v>
      </c>
      <c r="D9076" s="2" t="str">
        <f>IFERROR(__xludf.DUMMYFUNCTION("IFERROR(VLOOKUP(A9076, IMPORTRANGE(""https://docs.google.com/spreadsheets/d/1-3Vjw2Cyy-mry5gbC8ypIR3YVGFfEpyFESummAta6sg/edit"", ""Sheet1!B:D""), 2, FALSE), ""Not Found"")"),"sefəst")</f>
        <v>sefəst</v>
      </c>
      <c r="E9076" s="2" t="str">
        <f>IFERROR(__xludf.DUMMYFUNCTION("IFERROR(VLOOKUP(A9076, IMPORTRANGE(""https://docs.google.com/spreadsheets/d/1-3Vjw2Cyy-mry5gbC8ypIR3YVGFfEpyFESummAta6sg/edit"", ""Sheet1!B:D""), 3, FALSE), ""Not Found"")"),"s e f ə s t ")</f>
        <v>s e f ə s t </v>
      </c>
    </row>
    <row r="9077">
      <c r="A9077" s="1" t="s">
        <v>9078</v>
      </c>
      <c r="B9077" s="1" t="s">
        <v>6138</v>
      </c>
      <c r="C9077" s="2">
        <f>IFERROR(__xludf.DUMMYFUNCTION("IFERROR(VLOOKUP(A9077, IMPORTRANGE(""https://docs.google.com/spreadsheets/d/1AVX9GT0dgogEBStecCXMMQ29tWz3gBrtNB8yIromXbY/edit?gid=741673867"", ""out1g!A:B""), 2, FALSE), 0)"),604.0)</f>
        <v>604</v>
      </c>
      <c r="D9077" s="2" t="str">
        <f>IFERROR(__xludf.DUMMYFUNCTION("IFERROR(VLOOKUP(A9077, IMPORTRANGE(""https://docs.google.com/spreadsheets/d/1-3Vjw2Cyy-mry5gbC8ypIR3YVGFfEpyFESummAta6sg/edit"", ""Sheet1!B:D""), 2, FALSE), ""Not Found"")"),"rɑkət")</f>
        <v>rɑkət</v>
      </c>
      <c r="E9077" s="2" t="str">
        <f>IFERROR(__xludf.DUMMYFUNCTION("IFERROR(VLOOKUP(A9077, IMPORTRANGE(""https://docs.google.com/spreadsheets/d/1-3Vjw2Cyy-mry5gbC8ypIR3YVGFfEpyFESummAta6sg/edit"", ""Sheet1!B:D""), 3, FALSE), ""Not Found"")"),"r ɑ k ə t ")</f>
        <v>r ɑ k ə t </v>
      </c>
    </row>
    <row r="9078">
      <c r="A9078" s="1" t="s">
        <v>9079</v>
      </c>
      <c r="B9078" s="1" t="s">
        <v>6138</v>
      </c>
      <c r="C9078" s="2">
        <f>IFERROR(__xludf.DUMMYFUNCTION("IFERROR(VLOOKUP(A9078, IMPORTRANGE(""https://docs.google.com/spreadsheets/d/1AVX9GT0dgogEBStecCXMMQ29tWz3gBrtNB8yIromXbY/edit?gid=741673867"", ""out1g!A:B""), 2, FALSE), 0)"),73.0)</f>
        <v>73</v>
      </c>
      <c r="D9078" s="2" t="str">
        <f>IFERROR(__xludf.DUMMYFUNCTION("IFERROR(VLOOKUP(A9078, IMPORTRANGE(""https://docs.google.com/spreadsheets/d/1-3Vjw2Cyy-mry5gbC8ypIR3YVGFfEpyFESummAta6sg/edit"", ""Sheet1!B:D""), 2, FALSE), ""Not Found"")"),"gel")</f>
        <v>gel</v>
      </c>
      <c r="E9078" s="2" t="str">
        <f>IFERROR(__xludf.DUMMYFUNCTION("IFERROR(VLOOKUP(A9078, IMPORTRANGE(""https://docs.google.com/spreadsheets/d/1-3Vjw2Cyy-mry5gbC8ypIR3YVGFfEpyFESummAta6sg/edit"", ""Sheet1!B:D""), 3, FALSE), ""Not Found"")"),"g e l ")</f>
        <v>g e l </v>
      </c>
    </row>
    <row r="9079">
      <c r="A9079" s="1" t="s">
        <v>9080</v>
      </c>
      <c r="B9079" s="1" t="s">
        <v>6138</v>
      </c>
      <c r="C9079" s="2">
        <f>IFERROR(__xludf.DUMMYFUNCTION("IFERROR(VLOOKUP(A9079, IMPORTRANGE(""https://docs.google.com/spreadsheets/d/1AVX9GT0dgogEBStecCXMMQ29tWz3gBrtNB8yIromXbY/edit?gid=741673867"", ""out1g!A:B""), 2, FALSE), 0)"),71.0)</f>
        <v>71</v>
      </c>
      <c r="D9079" s="2" t="str">
        <f>IFERROR(__xludf.DUMMYFUNCTION("IFERROR(VLOOKUP(A9079, IMPORTRANGE(""https://docs.google.com/spreadsheets/d/1-3Vjw2Cyy-mry5gbC8ypIR3YVGFfEpyFESummAta6sg/edit"", ""Sheet1!B:D""), 2, FALSE), ""Not Found"")"),"jæk")</f>
        <v>jæk</v>
      </c>
      <c r="E9079" s="2" t="str">
        <f>IFERROR(__xludf.DUMMYFUNCTION("IFERROR(VLOOKUP(A9079, IMPORTRANGE(""https://docs.google.com/spreadsheets/d/1-3Vjw2Cyy-mry5gbC8ypIR3YVGFfEpyFESummAta6sg/edit"", ""Sheet1!B:D""), 3, FALSE), ""Not Found"")"),"j æ k ")</f>
        <v>j æ k </v>
      </c>
    </row>
    <row r="9080">
      <c r="A9080" s="1" t="s">
        <v>9081</v>
      </c>
      <c r="B9080" s="1" t="s">
        <v>6138</v>
      </c>
      <c r="C9080" s="2">
        <f>IFERROR(__xludf.DUMMYFUNCTION("IFERROR(VLOOKUP(A9080, IMPORTRANGE(""https://docs.google.com/spreadsheets/d/1AVX9GT0dgogEBStecCXMMQ29tWz3gBrtNB8yIromXbY/edit?gid=741673867"", ""out1g!A:B""), 2, FALSE), 0)"),109.0)</f>
        <v>109</v>
      </c>
      <c r="D9080" s="2" t="str">
        <f>IFERROR(__xludf.DUMMYFUNCTION("IFERROR(VLOOKUP(A9080, IMPORTRANGE(""https://docs.google.com/spreadsheets/d/1-3Vjw2Cyy-mry5gbC8ypIR3YVGFfEpyFESummAta6sg/edit"", ""Sheet1!B:D""), 2, FALSE), ""Not Found"")"),"vjuɪŋ")</f>
        <v>vjuɪŋ</v>
      </c>
      <c r="E9080" s="2" t="str">
        <f>IFERROR(__xludf.DUMMYFUNCTION("IFERROR(VLOOKUP(A9080, IMPORTRANGE(""https://docs.google.com/spreadsheets/d/1-3Vjw2Cyy-mry5gbC8ypIR3YVGFfEpyFESummAta6sg/edit"", ""Sheet1!B:D""), 3, FALSE), ""Not Found"")"),"v j u ɪ ŋ ")</f>
        <v>v j u ɪ ŋ </v>
      </c>
    </row>
    <row r="9081">
      <c r="A9081" s="1" t="s">
        <v>9082</v>
      </c>
      <c r="B9081" s="1" t="s">
        <v>6138</v>
      </c>
      <c r="C9081" s="2">
        <f>IFERROR(__xludf.DUMMYFUNCTION("IFERROR(VLOOKUP(A9081, IMPORTRANGE(""https://docs.google.com/spreadsheets/d/1AVX9GT0dgogEBStecCXMMQ29tWz3gBrtNB8yIromXbY/edit?gid=741673867"", ""out1g!A:B""), 2, FALSE), 0)"),98.0)</f>
        <v>98</v>
      </c>
      <c r="D9081" s="2" t="str">
        <f>IFERROR(__xludf.DUMMYFUNCTION("IFERROR(VLOOKUP(A9081, IMPORTRANGE(""https://docs.google.com/spreadsheets/d/1-3Vjw2Cyy-mry5gbC8ypIR3YVGFfEpyFESummAta6sg/edit"", ""Sheet1!B:D""), 2, FALSE), ""Not Found"")"),"mjuz")</f>
        <v>mjuz</v>
      </c>
      <c r="E9081" s="2" t="str">
        <f>IFERROR(__xludf.DUMMYFUNCTION("IFERROR(VLOOKUP(A9081, IMPORTRANGE(""https://docs.google.com/spreadsheets/d/1-3Vjw2Cyy-mry5gbC8ypIR3YVGFfEpyFESummAta6sg/edit"", ""Sheet1!B:D""), 3, FALSE), ""Not Found"")"),"m j u z ")</f>
        <v>m j u z </v>
      </c>
    </row>
    <row r="9082">
      <c r="A9082" s="1" t="s">
        <v>9083</v>
      </c>
      <c r="B9082" s="1" t="s">
        <v>6138</v>
      </c>
      <c r="C9082" s="2">
        <f>IFERROR(__xludf.DUMMYFUNCTION("IFERROR(VLOOKUP(A9082, IMPORTRANGE(""https://docs.google.com/spreadsheets/d/1AVX9GT0dgogEBStecCXMMQ29tWz3gBrtNB8yIromXbY/edit?gid=741673867"", ""out1g!A:B""), 2, FALSE), 0)"),151.0)</f>
        <v>151</v>
      </c>
      <c r="D9082" s="2" t="str">
        <f>IFERROR(__xludf.DUMMYFUNCTION("IFERROR(VLOOKUP(A9082, IMPORTRANGE(""https://docs.google.com/spreadsheets/d/1-3Vjw2Cyy-mry5gbC8ypIR3YVGFfEpyFESummAta6sg/edit"", ""Sheet1!B:D""), 2, FALSE), ""Not Found"")"),"ʧɑrtər")</f>
        <v>ʧɑrtər</v>
      </c>
      <c r="E9082" s="2" t="str">
        <f>IFERROR(__xludf.DUMMYFUNCTION("IFERROR(VLOOKUP(A9082, IMPORTRANGE(""https://docs.google.com/spreadsheets/d/1-3Vjw2Cyy-mry5gbC8ypIR3YVGFfEpyFESummAta6sg/edit"", ""Sheet1!B:D""), 3, FALSE), ""Not Found"")"),"ʧ ɑ r t ə r ")</f>
        <v>ʧ ɑ r t ə r </v>
      </c>
    </row>
    <row r="9083">
      <c r="A9083" s="1" t="s">
        <v>9084</v>
      </c>
      <c r="B9083" s="1" t="s">
        <v>6138</v>
      </c>
      <c r="C9083" s="2">
        <f>IFERROR(__xludf.DUMMYFUNCTION("IFERROR(VLOOKUP(A9083, IMPORTRANGE(""https://docs.google.com/spreadsheets/d/1AVX9GT0dgogEBStecCXMMQ29tWz3gBrtNB8yIromXbY/edit?gid=741673867"", ""out1g!A:B""), 2, FALSE), 0)"),194.0)</f>
        <v>194</v>
      </c>
      <c r="D9083" s="2" t="str">
        <f>IFERROR(__xludf.DUMMYFUNCTION("IFERROR(VLOOKUP(A9083, IMPORTRANGE(""https://docs.google.com/spreadsheets/d/1-3Vjw2Cyy-mry5gbC8ypIR3YVGFfEpyFESummAta6sg/edit"", ""Sheet1!B:D""), 2, FALSE), ""Not Found"")"),"ɛnərz")</f>
        <v>ɛnərz</v>
      </c>
      <c r="E9083" s="2" t="str">
        <f>IFERROR(__xludf.DUMMYFUNCTION("IFERROR(VLOOKUP(A9083, IMPORTRANGE(""https://docs.google.com/spreadsheets/d/1-3Vjw2Cyy-mry5gbC8ypIR3YVGFfEpyFESummAta6sg/edit"", ""Sheet1!B:D""), 3, FALSE), ""Not Found"")"),"ɛ n ə r z ")</f>
        <v>ɛ n ə r z </v>
      </c>
    </row>
    <row r="9084">
      <c r="A9084" s="1" t="s">
        <v>9085</v>
      </c>
      <c r="B9084" s="1" t="s">
        <v>6138</v>
      </c>
      <c r="C9084" s="2">
        <f>IFERROR(__xludf.DUMMYFUNCTION("IFERROR(VLOOKUP(A9084, IMPORTRANGE(""https://docs.google.com/spreadsheets/d/1AVX9GT0dgogEBStecCXMMQ29tWz3gBrtNB8yIromXbY/edit?gid=741673867"", ""out1g!A:B""), 2, FALSE), 0)"),877.0)</f>
        <v>877</v>
      </c>
      <c r="D9084" s="2" t="str">
        <f>IFERROR(__xludf.DUMMYFUNCTION("IFERROR(VLOOKUP(A9084, IMPORTRANGE(""https://docs.google.com/spreadsheets/d/1-3Vjw2Cyy-mry5gbC8ypIR3YVGFfEpyFESummAta6sg/edit"", ""Sheet1!B:D""), 2, FALSE), ""Not Found"")"),"smaɪlɪŋ")</f>
        <v>smaɪlɪŋ</v>
      </c>
      <c r="E9084" s="2" t="str">
        <f>IFERROR(__xludf.DUMMYFUNCTION("IFERROR(VLOOKUP(A9084, IMPORTRANGE(""https://docs.google.com/spreadsheets/d/1-3Vjw2Cyy-mry5gbC8ypIR3YVGFfEpyFESummAta6sg/edit"", ""Sheet1!B:D""), 3, FALSE), ""Not Found"")"),"s m a ɪ l ɪ ŋ ")</f>
        <v>s m a ɪ l ɪ ŋ </v>
      </c>
    </row>
    <row r="9085">
      <c r="A9085" s="1" t="s">
        <v>9086</v>
      </c>
      <c r="B9085" s="1" t="s">
        <v>6138</v>
      </c>
      <c r="C9085" s="2">
        <f>IFERROR(__xludf.DUMMYFUNCTION("IFERROR(VLOOKUP(A9085, IMPORTRANGE(""https://docs.google.com/spreadsheets/d/1AVX9GT0dgogEBStecCXMMQ29tWz3gBrtNB8yIromXbY/edit?gid=741673867"", ""out1g!A:B""), 2, FALSE), 0)"),71.0)</f>
        <v>71</v>
      </c>
      <c r="D9085" s="2" t="str">
        <f>IFERROR(__xludf.DUMMYFUNCTION("IFERROR(VLOOKUP(A9085, IMPORTRANGE(""https://docs.google.com/spreadsheets/d/1-3Vjw2Cyy-mry5gbC8ypIR3YVGFfEpyFESummAta6sg/edit"", ""Sheet1!B:D""), 2, FALSE), ""Not Found"")"),"ʧəŋki")</f>
        <v>ʧəŋki</v>
      </c>
      <c r="E9085" s="2" t="str">
        <f>IFERROR(__xludf.DUMMYFUNCTION("IFERROR(VLOOKUP(A9085, IMPORTRANGE(""https://docs.google.com/spreadsheets/d/1-3Vjw2Cyy-mry5gbC8ypIR3YVGFfEpyFESummAta6sg/edit"", ""Sheet1!B:D""), 3, FALSE), ""Not Found"")"),"ʧ ə ŋ k i ")</f>
        <v>ʧ ə ŋ k i </v>
      </c>
    </row>
    <row r="9086">
      <c r="A9086" s="1" t="s">
        <v>9087</v>
      </c>
      <c r="B9086" s="1" t="s">
        <v>6138</v>
      </c>
      <c r="C9086" s="2">
        <f>IFERROR(__xludf.DUMMYFUNCTION("IFERROR(VLOOKUP(A9086, IMPORTRANGE(""https://docs.google.com/spreadsheets/d/1AVX9GT0dgogEBStecCXMMQ29tWz3gBrtNB8yIromXbY/edit?gid=741673867"", ""out1g!A:B""), 2, FALSE), 0)"),126.0)</f>
        <v>126</v>
      </c>
      <c r="D9086" s="2" t="str">
        <f>IFERROR(__xludf.DUMMYFUNCTION("IFERROR(VLOOKUP(A9086, IMPORTRANGE(""https://docs.google.com/spreadsheets/d/1-3Vjw2Cyy-mry5gbC8ypIR3YVGFfEpyFESummAta6sg/edit"", ""Sheet1!B:D""), 2, FALSE), ""Not Found"")"),"stroʊks")</f>
        <v>stroʊks</v>
      </c>
      <c r="E9086" s="2" t="str">
        <f>IFERROR(__xludf.DUMMYFUNCTION("IFERROR(VLOOKUP(A9086, IMPORTRANGE(""https://docs.google.com/spreadsheets/d/1-3Vjw2Cyy-mry5gbC8ypIR3YVGFfEpyFESummAta6sg/edit"", ""Sheet1!B:D""), 3, FALSE), ""Not Found"")"),"s t r o ʊ k s ")</f>
        <v>s t r o ʊ k s </v>
      </c>
    </row>
    <row r="9087">
      <c r="A9087" s="1" t="s">
        <v>9088</v>
      </c>
      <c r="B9087" s="1" t="s">
        <v>6138</v>
      </c>
      <c r="C9087" s="2">
        <f>IFERROR(__xludf.DUMMYFUNCTION("IFERROR(VLOOKUP(A9087, IMPORTRANGE(""https://docs.google.com/spreadsheets/d/1AVX9GT0dgogEBStecCXMMQ29tWz3gBrtNB8yIromXbY/edit?gid=741673867"", ""out1g!A:B""), 2, FALSE), 0)"),533.0)</f>
        <v>533</v>
      </c>
      <c r="D9087" s="2" t="str">
        <f>IFERROR(__xludf.DUMMYFUNCTION("IFERROR(VLOOKUP(A9087, IMPORTRANGE(""https://docs.google.com/spreadsheets/d/1-3Vjw2Cyy-mry5gbC8ypIR3YVGFfEpyFESummAta6sg/edit"", ""Sheet1!B:D""), 2, FALSE), ""Not Found"")"),"wɪʧɪz")</f>
        <v>wɪʧɪz</v>
      </c>
      <c r="E9087" s="2" t="str">
        <f>IFERROR(__xludf.DUMMYFUNCTION("IFERROR(VLOOKUP(A9087, IMPORTRANGE(""https://docs.google.com/spreadsheets/d/1-3Vjw2Cyy-mry5gbC8ypIR3YVGFfEpyFESummAta6sg/edit"", ""Sheet1!B:D""), 3, FALSE), ""Not Found"")"),"w ɪ ʧ ɪ z ")</f>
        <v>w ɪ ʧ ɪ z </v>
      </c>
    </row>
    <row r="9088">
      <c r="A9088" s="1" t="s">
        <v>9089</v>
      </c>
      <c r="B9088" s="1" t="s">
        <v>6138</v>
      </c>
      <c r="C9088" s="2">
        <f>IFERROR(__xludf.DUMMYFUNCTION("IFERROR(VLOOKUP(A9088, IMPORTRANGE(""https://docs.google.com/spreadsheets/d/1AVX9GT0dgogEBStecCXMMQ29tWz3gBrtNB8yIromXbY/edit?gid=741673867"", ""out1g!A:B""), 2, FALSE), 0)"),202.0)</f>
        <v>202</v>
      </c>
      <c r="D9088" s="2" t="str">
        <f>IFERROR(__xludf.DUMMYFUNCTION("IFERROR(VLOOKUP(A9088, IMPORTRANGE(""https://docs.google.com/spreadsheets/d/1-3Vjw2Cyy-mry5gbC8ypIR3YVGFfEpyFESummAta6sg/edit"", ""Sheet1!B:D""), 2, FALSE), ""Not Found"")"),"esɪz")</f>
        <v>esɪz</v>
      </c>
      <c r="E9088" s="2" t="str">
        <f>IFERROR(__xludf.DUMMYFUNCTION("IFERROR(VLOOKUP(A9088, IMPORTRANGE(""https://docs.google.com/spreadsheets/d/1-3Vjw2Cyy-mry5gbC8ypIR3YVGFfEpyFESummAta6sg/edit"", ""Sheet1!B:D""), 3, FALSE), ""Not Found"")"),"e s ɪ z ")</f>
        <v>e s ɪ z </v>
      </c>
    </row>
    <row r="9089">
      <c r="A9089" s="1" t="s">
        <v>9090</v>
      </c>
      <c r="B9089" s="1" t="s">
        <v>6138</v>
      </c>
      <c r="C9089" s="2">
        <f>IFERROR(__xludf.DUMMYFUNCTION("IFERROR(VLOOKUP(A9089, IMPORTRANGE(""https://docs.google.com/spreadsheets/d/1AVX9GT0dgogEBStecCXMMQ29tWz3gBrtNB8yIromXbY/edit?gid=741673867"", ""out1g!A:B""), 2, FALSE), 0)"),695.0)</f>
        <v>695</v>
      </c>
      <c r="D9089" s="2" t="str">
        <f>IFERROR(__xludf.DUMMYFUNCTION("IFERROR(VLOOKUP(A9089, IMPORTRANGE(""https://docs.google.com/spreadsheets/d/1-3Vjw2Cyy-mry5gbC8ypIR3YVGFfEpyFESummAta6sg/edit"", ""Sheet1!B:D""), 2, FALSE), ""Not Found"")"),"tɛnɪs")</f>
        <v>tɛnɪs</v>
      </c>
      <c r="E9089" s="2" t="str">
        <f>IFERROR(__xludf.DUMMYFUNCTION("IFERROR(VLOOKUP(A9089, IMPORTRANGE(""https://docs.google.com/spreadsheets/d/1-3Vjw2Cyy-mry5gbC8ypIR3YVGFfEpyFESummAta6sg/edit"", ""Sheet1!B:D""), 3, FALSE), ""Not Found"")"),"t ɛ n ɪ s ")</f>
        <v>t ɛ n ɪ s </v>
      </c>
    </row>
    <row r="9090">
      <c r="A9090" s="1" t="s">
        <v>9091</v>
      </c>
      <c r="B9090" s="1" t="s">
        <v>6138</v>
      </c>
      <c r="C9090" s="2">
        <f>IFERROR(__xludf.DUMMYFUNCTION("IFERROR(VLOOKUP(A9090, IMPORTRANGE(""https://docs.google.com/spreadsheets/d/1AVX9GT0dgogEBStecCXMMQ29tWz3gBrtNB8yIromXbY/edit?gid=741673867"", ""out1g!A:B""), 2, FALSE), 0)"),85.0)</f>
        <v>85</v>
      </c>
      <c r="D9090" s="2" t="str">
        <f>IFERROR(__xludf.DUMMYFUNCTION("IFERROR(VLOOKUP(A9090, IMPORTRANGE(""https://docs.google.com/spreadsheets/d/1-3Vjw2Cyy-mry5gbC8ypIR3YVGFfEpyFESummAta6sg/edit"", ""Sheet1!B:D""), 2, FALSE), ""Not Found"")"),"tæsks")</f>
        <v>tæsks</v>
      </c>
      <c r="E9090" s="2" t="str">
        <f>IFERROR(__xludf.DUMMYFUNCTION("IFERROR(VLOOKUP(A9090, IMPORTRANGE(""https://docs.google.com/spreadsheets/d/1-3Vjw2Cyy-mry5gbC8ypIR3YVGFfEpyFESummAta6sg/edit"", ""Sheet1!B:D""), 3, FALSE), ""Not Found"")"),"t æ s k s ")</f>
        <v>t æ s k s </v>
      </c>
    </row>
    <row r="9091">
      <c r="A9091" s="1" t="s">
        <v>9092</v>
      </c>
      <c r="B9091" s="1" t="s">
        <v>6138</v>
      </c>
      <c r="C9091" s="2">
        <f>IFERROR(__xludf.DUMMYFUNCTION("IFERROR(VLOOKUP(A9091, IMPORTRANGE(""https://docs.google.com/spreadsheets/d/1AVX9GT0dgogEBStecCXMMQ29tWz3gBrtNB8yIromXbY/edit?gid=741673867"", ""out1g!A:B""), 2, FALSE), 0)"),744.0)</f>
        <v>744</v>
      </c>
      <c r="D9091" s="2" t="str">
        <f>IFERROR(__xludf.DUMMYFUNCTION("IFERROR(VLOOKUP(A9091, IMPORTRANGE(""https://docs.google.com/spreadsheets/d/1-3Vjw2Cyy-mry5gbC8ypIR3YVGFfEpyFESummAta6sg/edit"", ""Sheet1!B:D""), 2, FALSE), ""Not Found"")"),"sæmpəl")</f>
        <v>sæmpəl</v>
      </c>
      <c r="E9091" s="2" t="str">
        <f>IFERROR(__xludf.DUMMYFUNCTION("IFERROR(VLOOKUP(A9091, IMPORTRANGE(""https://docs.google.com/spreadsheets/d/1-3Vjw2Cyy-mry5gbC8ypIR3YVGFfEpyFESummAta6sg/edit"", ""Sheet1!B:D""), 3, FALSE), ""Not Found"")"),"s æ m p ə l ")</f>
        <v>s æ m p ə l </v>
      </c>
    </row>
    <row r="9092">
      <c r="A9092" s="1" t="s">
        <v>9093</v>
      </c>
      <c r="B9092" s="1" t="s">
        <v>6138</v>
      </c>
      <c r="C9092" s="2">
        <f>IFERROR(__xludf.DUMMYFUNCTION("IFERROR(VLOOKUP(A9092, IMPORTRANGE(""https://docs.google.com/spreadsheets/d/1AVX9GT0dgogEBStecCXMMQ29tWz3gBrtNB8yIromXbY/edit?gid=741673867"", ""out1g!A:B""), 2, FALSE), 0)"),66.0)</f>
        <v>66</v>
      </c>
      <c r="D9092" s="2" t="str">
        <f>IFERROR(__xludf.DUMMYFUNCTION("IFERROR(VLOOKUP(A9092, IMPORTRANGE(""https://docs.google.com/spreadsheets/d/1-3Vjw2Cyy-mry5gbC8ypIR3YVGFfEpyFESummAta6sg/edit"", ""Sheet1!B:D""), 2, FALSE), ""Not Found"")"),"dɪpɪŋ")</f>
        <v>dɪpɪŋ</v>
      </c>
      <c r="E9092" s="2" t="str">
        <f>IFERROR(__xludf.DUMMYFUNCTION("IFERROR(VLOOKUP(A9092, IMPORTRANGE(""https://docs.google.com/spreadsheets/d/1-3Vjw2Cyy-mry5gbC8ypIR3YVGFfEpyFESummAta6sg/edit"", ""Sheet1!B:D""), 3, FALSE), ""Not Found"")"),"d ɪ p ɪ ŋ ")</f>
        <v>d ɪ p ɪ ŋ </v>
      </c>
    </row>
    <row r="9093">
      <c r="A9093" s="1" t="s">
        <v>9094</v>
      </c>
      <c r="B9093" s="1" t="s">
        <v>6138</v>
      </c>
      <c r="C9093" s="2">
        <f>IFERROR(__xludf.DUMMYFUNCTION("IFERROR(VLOOKUP(A9093, IMPORTRANGE(""https://docs.google.com/spreadsheets/d/1AVX9GT0dgogEBStecCXMMQ29tWz3gBrtNB8yIromXbY/edit?gid=741673867"", ""out1g!A:B""), 2, FALSE), 0)"),826.0)</f>
        <v>826</v>
      </c>
      <c r="D9093" s="2" t="str">
        <f>IFERROR(__xludf.DUMMYFUNCTION("IFERROR(VLOOKUP(A9093, IMPORTRANGE(""https://docs.google.com/spreadsheets/d/1-3Vjw2Cyy-mry5gbC8ypIR3YVGFfEpyFESummAta6sg/edit"", ""Sheet1!B:D""), 2, FALSE), ""Not Found"")"),"drɑpɪŋ")</f>
        <v>drɑpɪŋ</v>
      </c>
      <c r="E9093" s="2" t="str">
        <f>IFERROR(__xludf.DUMMYFUNCTION("IFERROR(VLOOKUP(A9093, IMPORTRANGE(""https://docs.google.com/spreadsheets/d/1-3Vjw2Cyy-mry5gbC8ypIR3YVGFfEpyFESummAta6sg/edit"", ""Sheet1!B:D""), 3, FALSE), ""Not Found"")"),"d r ɑ p ɪ ŋ ")</f>
        <v>d r ɑ p ɪ ŋ </v>
      </c>
    </row>
    <row r="9094">
      <c r="A9094" s="1" t="s">
        <v>9095</v>
      </c>
      <c r="B9094" s="1" t="s">
        <v>6138</v>
      </c>
      <c r="C9094" s="2">
        <f>IFERROR(__xludf.DUMMYFUNCTION("IFERROR(VLOOKUP(A9094, IMPORTRANGE(""https://docs.google.com/spreadsheets/d/1AVX9GT0dgogEBStecCXMMQ29tWz3gBrtNB8yIromXbY/edit?gid=741673867"", ""out1g!A:B""), 2, FALSE), 0)"),718.0)</f>
        <v>718</v>
      </c>
      <c r="D9094" s="2" t="str">
        <f>IFERROR(__xludf.DUMMYFUNCTION("IFERROR(VLOOKUP(A9094, IMPORTRANGE(""https://docs.google.com/spreadsheets/d/1-3Vjw2Cyy-mry5gbC8ypIR3YVGFfEpyFESummAta6sg/edit"", ""Sheet1!B:D""), 2, FALSE), ""Not Found"")"),"goʊsts")</f>
        <v>goʊsts</v>
      </c>
      <c r="E9094" s="2" t="str">
        <f>IFERROR(__xludf.DUMMYFUNCTION("IFERROR(VLOOKUP(A9094, IMPORTRANGE(""https://docs.google.com/spreadsheets/d/1-3Vjw2Cyy-mry5gbC8ypIR3YVGFfEpyFESummAta6sg/edit"", ""Sheet1!B:D""), 3, FALSE), ""Not Found"")"),"g o ʊ s t s ")</f>
        <v>g o ʊ s t s </v>
      </c>
    </row>
    <row r="9095">
      <c r="A9095" s="1" t="s">
        <v>9096</v>
      </c>
      <c r="B9095" s="1" t="s">
        <v>6138</v>
      </c>
      <c r="C9095" s="2">
        <f>IFERROR(__xludf.DUMMYFUNCTION("IFERROR(VLOOKUP(A9095, IMPORTRANGE(""https://docs.google.com/spreadsheets/d/1AVX9GT0dgogEBStecCXMMQ29tWz3gBrtNB8yIromXbY/edit?gid=741673867"", ""out1g!A:B""), 2, FALSE), 0)"),52.0)</f>
        <v>52</v>
      </c>
      <c r="D9095" s="2" t="str">
        <f>IFERROR(__xludf.DUMMYFUNCTION("IFERROR(VLOOKUP(A9095, IMPORTRANGE(""https://docs.google.com/spreadsheets/d/1-3Vjw2Cyy-mry5gbC8ypIR3YVGFfEpyFESummAta6sg/edit"", ""Sheet1!B:D""), 2, FALSE), ""Not Found"")"),"nɪrɪŋ")</f>
        <v>nɪrɪŋ</v>
      </c>
      <c r="E9095" s="2" t="str">
        <f>IFERROR(__xludf.DUMMYFUNCTION("IFERROR(VLOOKUP(A9095, IMPORTRANGE(""https://docs.google.com/spreadsheets/d/1-3Vjw2Cyy-mry5gbC8ypIR3YVGFfEpyFESummAta6sg/edit"", ""Sheet1!B:D""), 3, FALSE), ""Not Found"")"),"n ɪ r ɪ ŋ ")</f>
        <v>n ɪ r ɪ ŋ </v>
      </c>
    </row>
    <row r="9096">
      <c r="A9096" s="1" t="s">
        <v>9097</v>
      </c>
      <c r="B9096" s="1" t="s">
        <v>6138</v>
      </c>
      <c r="C9096" s="2">
        <f>IFERROR(__xludf.DUMMYFUNCTION("IFERROR(VLOOKUP(A9096, IMPORTRANGE(""https://docs.google.com/spreadsheets/d/1AVX9GT0dgogEBStecCXMMQ29tWz3gBrtNB8yIromXbY/edit?gid=741673867"", ""out1g!A:B""), 2, FALSE), 0)"),119.0)</f>
        <v>119</v>
      </c>
      <c r="D9096" s="2" t="str">
        <f>IFERROR(__xludf.DUMMYFUNCTION("IFERROR(VLOOKUP(A9096, IMPORTRANGE(""https://docs.google.com/spreadsheets/d/1-3Vjw2Cyy-mry5gbC8ypIR3YVGFfEpyFESummAta6sg/edit"", ""Sheet1!B:D""), 2, FALSE), ""Not Found"")"),"skænɪŋ")</f>
        <v>skænɪŋ</v>
      </c>
      <c r="E9096" s="2" t="str">
        <f>IFERROR(__xludf.DUMMYFUNCTION("IFERROR(VLOOKUP(A9096, IMPORTRANGE(""https://docs.google.com/spreadsheets/d/1-3Vjw2Cyy-mry5gbC8ypIR3YVGFfEpyFESummAta6sg/edit"", ""Sheet1!B:D""), 3, FALSE), ""Not Found"")"),"s k æ n ɪ ŋ ")</f>
        <v>s k æ n ɪ ŋ </v>
      </c>
    </row>
    <row r="9097">
      <c r="A9097" s="1" t="s">
        <v>9098</v>
      </c>
      <c r="B9097" s="1" t="s">
        <v>6138</v>
      </c>
      <c r="C9097" s="2">
        <f>IFERROR(__xludf.DUMMYFUNCTION("IFERROR(VLOOKUP(A9097, IMPORTRANGE(""https://docs.google.com/spreadsheets/d/1AVX9GT0dgogEBStecCXMMQ29tWz3gBrtNB8yIromXbY/edit?gid=741673867"", ""out1g!A:B""), 2, FALSE), 0)"),73.0)</f>
        <v>73</v>
      </c>
      <c r="D9097" s="2" t="str">
        <f>IFERROR(__xludf.DUMMYFUNCTION("IFERROR(VLOOKUP(A9097, IMPORTRANGE(""https://docs.google.com/spreadsheets/d/1-3Vjw2Cyy-mry5gbC8ypIR3YVGFfEpyFESummAta6sg/edit"", ""Sheet1!B:D""), 2, FALSE), ""Not Found"")"),"skulɪŋ")</f>
        <v>skulɪŋ</v>
      </c>
      <c r="E9097" s="2" t="str">
        <f>IFERROR(__xludf.DUMMYFUNCTION("IFERROR(VLOOKUP(A9097, IMPORTRANGE(""https://docs.google.com/spreadsheets/d/1-3Vjw2Cyy-mry5gbC8ypIR3YVGFfEpyFESummAta6sg/edit"", ""Sheet1!B:D""), 3, FALSE), ""Not Found"")"),"s k u l ɪ ŋ ")</f>
        <v>s k u l ɪ ŋ </v>
      </c>
    </row>
    <row r="9098">
      <c r="A9098" s="1" t="s">
        <v>9099</v>
      </c>
      <c r="B9098" s="1" t="s">
        <v>6138</v>
      </c>
      <c r="C9098" s="2">
        <f>IFERROR(__xludf.DUMMYFUNCTION("IFERROR(VLOOKUP(A9098, IMPORTRANGE(""https://docs.google.com/spreadsheets/d/1AVX9GT0dgogEBStecCXMMQ29tWz3gBrtNB8yIromXbY/edit?gid=741673867"", ""out1g!A:B""), 2, FALSE), 0)"),113.0)</f>
        <v>113</v>
      </c>
      <c r="D9098" s="2" t="str">
        <f>IFERROR(__xludf.DUMMYFUNCTION("IFERROR(VLOOKUP(A9098, IMPORTRANGE(""https://docs.google.com/spreadsheets/d/1-3Vjw2Cyy-mry5gbC8ypIR3YVGFfEpyFESummAta6sg/edit"", ""Sheet1!B:D""), 2, FALSE), ""Not Found"")"),"səpinə")</f>
        <v>səpinə</v>
      </c>
      <c r="E9098" s="2" t="str">
        <f>IFERROR(__xludf.DUMMYFUNCTION("IFERROR(VLOOKUP(A9098, IMPORTRANGE(""https://docs.google.com/spreadsheets/d/1-3Vjw2Cyy-mry5gbC8ypIR3YVGFfEpyFESummAta6sg/edit"", ""Sheet1!B:D""), 3, FALSE), ""Not Found"")"),"s ə p i n ə ")</f>
        <v>s ə p i n ə </v>
      </c>
    </row>
    <row r="9099">
      <c r="A9099" s="1" t="s">
        <v>9100</v>
      </c>
      <c r="B9099" s="1" t="s">
        <v>6138</v>
      </c>
      <c r="C9099" s="2">
        <f>IFERROR(__xludf.DUMMYFUNCTION("IFERROR(VLOOKUP(A9099, IMPORTRANGE(""https://docs.google.com/spreadsheets/d/1AVX9GT0dgogEBStecCXMMQ29tWz3gBrtNB8yIromXbY/edit?gid=741673867"", ""out1g!A:B""), 2, FALSE), 0)"),239.0)</f>
        <v>239</v>
      </c>
      <c r="D9099" s="2" t="str">
        <f>IFERROR(__xludf.DUMMYFUNCTION("IFERROR(VLOOKUP(A9099, IMPORTRANGE(""https://docs.google.com/spreadsheets/d/1-3Vjw2Cyy-mry5gbC8ypIR3YVGFfEpyFESummAta6sg/edit"", ""Sheet1!B:D""), 2, FALSE), ""Not Found"")"),"lɔsɪz")</f>
        <v>lɔsɪz</v>
      </c>
      <c r="E9099" s="2" t="str">
        <f>IFERROR(__xludf.DUMMYFUNCTION("IFERROR(VLOOKUP(A9099, IMPORTRANGE(""https://docs.google.com/spreadsheets/d/1-3Vjw2Cyy-mry5gbC8ypIR3YVGFfEpyFESummAta6sg/edit"", ""Sheet1!B:D""), 3, FALSE), ""Not Found"")"),"l ɔ s ɪ z ")</f>
        <v>l ɔ s ɪ z </v>
      </c>
    </row>
    <row r="9100">
      <c r="A9100" s="1" t="s">
        <v>9101</v>
      </c>
      <c r="B9100" s="1" t="s">
        <v>6138</v>
      </c>
      <c r="C9100" s="2">
        <f>IFERROR(__xludf.DUMMYFUNCTION("IFERROR(VLOOKUP(A9100, IMPORTRANGE(""https://docs.google.com/spreadsheets/d/1AVX9GT0dgogEBStecCXMMQ29tWz3gBrtNB8yIromXbY/edit?gid=741673867"", ""out1g!A:B""), 2, FALSE), 0)"),55.0)</f>
        <v>55</v>
      </c>
      <c r="D9100" s="2" t="str">
        <f>IFERROR(__xludf.DUMMYFUNCTION("IFERROR(VLOOKUP(A9100, IMPORTRANGE(""https://docs.google.com/spreadsheets/d/1-3Vjw2Cyy-mry5gbC8ypIR3YVGFfEpyFESummAta6sg/edit"", ""Sheet1!B:D""), 2, FALSE), ""Not Found"")"),"kaɪndər")</f>
        <v>kaɪndər</v>
      </c>
      <c r="E9100" s="2" t="str">
        <f>IFERROR(__xludf.DUMMYFUNCTION("IFERROR(VLOOKUP(A9100, IMPORTRANGE(""https://docs.google.com/spreadsheets/d/1-3Vjw2Cyy-mry5gbC8ypIR3YVGFfEpyFESummAta6sg/edit"", ""Sheet1!B:D""), 3, FALSE), ""Not Found"")"),"k a ɪ n d ə r ")</f>
        <v>k a ɪ n d ə r </v>
      </c>
    </row>
    <row r="9101">
      <c r="A9101" s="1" t="s">
        <v>9102</v>
      </c>
      <c r="B9101" s="1" t="s">
        <v>6138</v>
      </c>
      <c r="C9101" s="2">
        <f>IFERROR(__xludf.DUMMYFUNCTION("IFERROR(VLOOKUP(A9101, IMPORTRANGE(""https://docs.google.com/spreadsheets/d/1AVX9GT0dgogEBStecCXMMQ29tWz3gBrtNB8yIromXbY/edit?gid=741673867"", ""out1g!A:B""), 2, FALSE), 0)"),316.0)</f>
        <v>316</v>
      </c>
      <c r="D9101" s="2" t="str">
        <f>IFERROR(__xludf.DUMMYFUNCTION("IFERROR(VLOOKUP(A9101, IMPORTRANGE(""https://docs.google.com/spreadsheets/d/1-3Vjw2Cyy-mry5gbC8ypIR3YVGFfEpyFESummAta6sg/edit"", ""Sheet1!B:D""), 2, FALSE), ""Not Found"")"),"ju")</f>
        <v>ju</v>
      </c>
      <c r="E9101" s="2" t="str">
        <f>IFERROR(__xludf.DUMMYFUNCTION("IFERROR(VLOOKUP(A9101, IMPORTRANGE(""https://docs.google.com/spreadsheets/d/1-3Vjw2Cyy-mry5gbC8ypIR3YVGFfEpyFESummAta6sg/edit"", ""Sheet1!B:D""), 3, FALSE), ""Not Found"")"),"j u ")</f>
        <v>j u </v>
      </c>
    </row>
    <row r="9102">
      <c r="A9102" s="1" t="s">
        <v>9103</v>
      </c>
      <c r="B9102" s="1" t="s">
        <v>6138</v>
      </c>
      <c r="C9102" s="2">
        <f>IFERROR(__xludf.DUMMYFUNCTION("IFERROR(VLOOKUP(A9102, IMPORTRANGE(""https://docs.google.com/spreadsheets/d/1AVX9GT0dgogEBStecCXMMQ29tWz3gBrtNB8yIromXbY/edit?gid=741673867"", ""out1g!A:B""), 2, FALSE), 0)"),2023.0)</f>
        <v>2023</v>
      </c>
      <c r="D9102" s="2" t="str">
        <f>IFERROR(__xludf.DUMMYFUNCTION("IFERROR(VLOOKUP(A9102, IMPORTRANGE(""https://docs.google.com/spreadsheets/d/1-3Vjw2Cyy-mry5gbC8ypIR3YVGFfEpyFESummAta6sg/edit"", ""Sheet1!B:D""), 2, FALSE), ""Not Found"")"),"kɛrz")</f>
        <v>kɛrz</v>
      </c>
      <c r="E9102" s="2" t="str">
        <f>IFERROR(__xludf.DUMMYFUNCTION("IFERROR(VLOOKUP(A9102, IMPORTRANGE(""https://docs.google.com/spreadsheets/d/1-3Vjw2Cyy-mry5gbC8ypIR3YVGFfEpyFESummAta6sg/edit"", ""Sheet1!B:D""), 3, FALSE), ""Not Found"")"),"k ɛ r z ")</f>
        <v>k ɛ r z </v>
      </c>
    </row>
    <row r="9103">
      <c r="A9103" s="1" t="s">
        <v>9104</v>
      </c>
      <c r="B9103" s="1" t="s">
        <v>6138</v>
      </c>
      <c r="C9103" s="2">
        <f>IFERROR(__xludf.DUMMYFUNCTION("IFERROR(VLOOKUP(A9103, IMPORTRANGE(""https://docs.google.com/spreadsheets/d/1AVX9GT0dgogEBStecCXMMQ29tWz3gBrtNB8yIromXbY/edit?gid=741673867"", ""out1g!A:B""), 2, FALSE), 0)"),56.0)</f>
        <v>56</v>
      </c>
      <c r="D9103" s="2" t="str">
        <f>IFERROR(__xludf.DUMMYFUNCTION("IFERROR(VLOOKUP(A9103, IMPORTRANGE(""https://docs.google.com/spreadsheets/d/1-3Vjw2Cyy-mry5gbC8ypIR3YVGFfEpyFESummAta6sg/edit"", ""Sheet1!B:D""), 2, FALSE), ""Not Found"")"),"ðɛrz")</f>
        <v>ðɛrz</v>
      </c>
      <c r="E9103" s="2" t="str">
        <f>IFERROR(__xludf.DUMMYFUNCTION("IFERROR(VLOOKUP(A9103, IMPORTRANGE(""https://docs.google.com/spreadsheets/d/1-3Vjw2Cyy-mry5gbC8ypIR3YVGFfEpyFESummAta6sg/edit"", ""Sheet1!B:D""), 3, FALSE), ""Not Found"")"),"ð ɛ r z ")</f>
        <v>ð ɛ r z </v>
      </c>
    </row>
    <row r="9104">
      <c r="A9104" s="1" t="s">
        <v>9105</v>
      </c>
      <c r="B9104" s="1" t="s">
        <v>6138</v>
      </c>
      <c r="C9104" s="2">
        <f>IFERROR(__xludf.DUMMYFUNCTION("IFERROR(VLOOKUP(A9104, IMPORTRANGE(""https://docs.google.com/spreadsheets/d/1AVX9GT0dgogEBStecCXMMQ29tWz3gBrtNB8yIromXbY/edit?gid=741673867"", ""out1g!A:B""), 2, FALSE), 0)"),368.0)</f>
        <v>368</v>
      </c>
      <c r="D9104" s="2" t="str">
        <f>IFERROR(__xludf.DUMMYFUNCTION("IFERROR(VLOOKUP(A9104, IMPORTRANGE(""https://docs.google.com/spreadsheets/d/1-3Vjw2Cyy-mry5gbC8ypIR3YVGFfEpyFESummAta6sg/edit"", ""Sheet1!B:D""), 2, FALSE), ""Not Found"")"),"draʊnɪŋ")</f>
        <v>draʊnɪŋ</v>
      </c>
      <c r="E9104" s="2" t="str">
        <f>IFERROR(__xludf.DUMMYFUNCTION("IFERROR(VLOOKUP(A9104, IMPORTRANGE(""https://docs.google.com/spreadsheets/d/1-3Vjw2Cyy-mry5gbC8ypIR3YVGFfEpyFESummAta6sg/edit"", ""Sheet1!B:D""), 3, FALSE), ""Not Found"")"),"d r a ʊ n ɪ ŋ ")</f>
        <v>d r a ʊ n ɪ ŋ </v>
      </c>
    </row>
    <row r="9105">
      <c r="A9105" s="1" t="s">
        <v>9106</v>
      </c>
      <c r="B9105" s="1" t="s">
        <v>6138</v>
      </c>
      <c r="C9105" s="2">
        <f>IFERROR(__xludf.DUMMYFUNCTION("IFERROR(VLOOKUP(A9105, IMPORTRANGE(""https://docs.google.com/spreadsheets/d/1AVX9GT0dgogEBStecCXMMQ29tWz3gBrtNB8yIromXbY/edit?gid=741673867"", ""out1g!A:B""), 2, FALSE), 0)"),126.0)</f>
        <v>126</v>
      </c>
      <c r="D9105" s="2" t="str">
        <f>IFERROR(__xludf.DUMMYFUNCTION("IFERROR(VLOOKUP(A9105, IMPORTRANGE(""https://docs.google.com/spreadsheets/d/1-3Vjw2Cyy-mry5gbC8ypIR3YVGFfEpyFESummAta6sg/edit"", ""Sheet1!B:D""), 2, FALSE), ""Not Found"")"),"ɪnʃʊrd")</f>
        <v>ɪnʃʊrd</v>
      </c>
      <c r="E9105" s="2" t="str">
        <f>IFERROR(__xludf.DUMMYFUNCTION("IFERROR(VLOOKUP(A9105, IMPORTRANGE(""https://docs.google.com/spreadsheets/d/1-3Vjw2Cyy-mry5gbC8ypIR3YVGFfEpyFESummAta6sg/edit"", ""Sheet1!B:D""), 3, FALSE), ""Not Found"")"),"ɪ n ʃ ʊ r d ")</f>
        <v>ɪ n ʃ ʊ r d </v>
      </c>
    </row>
    <row r="9106">
      <c r="A9106" s="1" t="s">
        <v>9107</v>
      </c>
      <c r="B9106" s="1" t="s">
        <v>6138</v>
      </c>
      <c r="C9106" s="2">
        <f>IFERROR(__xludf.DUMMYFUNCTION("IFERROR(VLOOKUP(A9106, IMPORTRANGE(""https://docs.google.com/spreadsheets/d/1AVX9GT0dgogEBStecCXMMQ29tWz3gBrtNB8yIromXbY/edit?gid=741673867"", ""out1g!A:B""), 2, FALSE), 0)"),157.0)</f>
        <v>157</v>
      </c>
      <c r="D9106" s="2" t="str">
        <f>IFERROR(__xludf.DUMMYFUNCTION("IFERROR(VLOOKUP(A9106, IMPORTRANGE(""https://docs.google.com/spreadsheets/d/1-3Vjw2Cyy-mry5gbC8ypIR3YVGFfEpyFESummAta6sg/edit"", ""Sheet1!B:D""), 2, FALSE), ""Not Found"")"),"twɪŋkəl")</f>
        <v>twɪŋkəl</v>
      </c>
      <c r="E9106" s="2" t="str">
        <f>IFERROR(__xludf.DUMMYFUNCTION("IFERROR(VLOOKUP(A9106, IMPORTRANGE(""https://docs.google.com/spreadsheets/d/1-3Vjw2Cyy-mry5gbC8ypIR3YVGFfEpyFESummAta6sg/edit"", ""Sheet1!B:D""), 3, FALSE), ""Not Found"")"),"t w ɪ ŋ k ə l ")</f>
        <v>t w ɪ ŋ k ə l </v>
      </c>
    </row>
    <row r="9107">
      <c r="A9107" s="1" t="s">
        <v>9108</v>
      </c>
      <c r="B9107" s="1" t="s">
        <v>6138</v>
      </c>
      <c r="C9107" s="2">
        <f>IFERROR(__xludf.DUMMYFUNCTION("IFERROR(VLOOKUP(A9107, IMPORTRANGE(""https://docs.google.com/spreadsheets/d/1AVX9GT0dgogEBStecCXMMQ29tWz3gBrtNB8yIromXbY/edit?gid=741673867"", ""out1g!A:B""), 2, FALSE), 0)"),108.0)</f>
        <v>108</v>
      </c>
      <c r="D9107" s="2" t="str">
        <f>IFERROR(__xludf.DUMMYFUNCTION("IFERROR(VLOOKUP(A9107, IMPORTRANGE(""https://docs.google.com/spreadsheets/d/1-3Vjw2Cyy-mry5gbC8ypIR3YVGFfEpyFESummAta6sg/edit"", ""Sheet1!B:D""), 2, FALSE), ""Not Found"")"),"səmnər")</f>
        <v>səmnər</v>
      </c>
      <c r="E9107" s="2" t="str">
        <f>IFERROR(__xludf.DUMMYFUNCTION("IFERROR(VLOOKUP(A9107, IMPORTRANGE(""https://docs.google.com/spreadsheets/d/1-3Vjw2Cyy-mry5gbC8ypIR3YVGFfEpyFESummAta6sg/edit"", ""Sheet1!B:D""), 3, FALSE), ""Not Found"")"),"s ə m n ə r ")</f>
        <v>s ə m n ə r </v>
      </c>
    </row>
    <row r="9108">
      <c r="A9108" s="1" t="s">
        <v>9109</v>
      </c>
      <c r="B9108" s="1" t="s">
        <v>6138</v>
      </c>
      <c r="C9108" s="2">
        <f>IFERROR(__xludf.DUMMYFUNCTION("IFERROR(VLOOKUP(A9108, IMPORTRANGE(""https://docs.google.com/spreadsheets/d/1AVX9GT0dgogEBStecCXMMQ29tWz3gBrtNB8yIromXbY/edit?gid=741673867"", ""out1g!A:B""), 2, FALSE), 0)"),788.0)</f>
        <v>788</v>
      </c>
      <c r="D9108" s="2" t="str">
        <f>IFERROR(__xludf.DUMMYFUNCTION("IFERROR(VLOOKUP(A9108, IMPORTRANGE(""https://docs.google.com/spreadsheets/d/1-3Vjw2Cyy-mry5gbC8ypIR3YVGFfEpyFESummAta6sg/edit"", ""Sheet1!B:D""), 2, FALSE), ""Not Found"")"),"wɪsəl")</f>
        <v>wɪsəl</v>
      </c>
      <c r="E9108" s="2" t="str">
        <f>IFERROR(__xludf.DUMMYFUNCTION("IFERROR(VLOOKUP(A9108, IMPORTRANGE(""https://docs.google.com/spreadsheets/d/1-3Vjw2Cyy-mry5gbC8ypIR3YVGFfEpyFESummAta6sg/edit"", ""Sheet1!B:D""), 3, FALSE), ""Not Found"")"),"w ɪ s ə l ")</f>
        <v>w ɪ s ə l </v>
      </c>
    </row>
    <row r="9109">
      <c r="A9109" s="1" t="s">
        <v>9110</v>
      </c>
      <c r="B9109" s="1" t="s">
        <v>6138</v>
      </c>
      <c r="C9109" s="2">
        <f>IFERROR(__xludf.DUMMYFUNCTION("IFERROR(VLOOKUP(A9109, IMPORTRANGE(""https://docs.google.com/spreadsheets/d/1AVX9GT0dgogEBStecCXMMQ29tWz3gBrtNB8yIromXbY/edit?gid=741673867"", ""out1g!A:B""), 2, FALSE), 0)"),397.0)</f>
        <v>397</v>
      </c>
      <c r="D9109" s="2" t="str">
        <f>IFERROR(__xludf.DUMMYFUNCTION("IFERROR(VLOOKUP(A9109, IMPORTRANGE(""https://docs.google.com/spreadsheets/d/1-3Vjw2Cyy-mry5gbC8ypIR3YVGFfEpyFESummAta6sg/edit"", ""Sheet1!B:D""), 2, FALSE), ""Not Found"")"),"kju")</f>
        <v>kju</v>
      </c>
      <c r="E9109" s="2" t="str">
        <f>IFERROR(__xludf.DUMMYFUNCTION("IFERROR(VLOOKUP(A9109, IMPORTRANGE(""https://docs.google.com/spreadsheets/d/1-3Vjw2Cyy-mry5gbC8ypIR3YVGFfEpyFESummAta6sg/edit"", ""Sheet1!B:D""), 3, FALSE), ""Not Found"")"),"k j u ")</f>
        <v>k j u </v>
      </c>
    </row>
    <row r="9110">
      <c r="A9110" s="1" t="s">
        <v>9111</v>
      </c>
      <c r="B9110" s="1" t="s">
        <v>6138</v>
      </c>
      <c r="C9110" s="2">
        <f>IFERROR(__xludf.DUMMYFUNCTION("IFERROR(VLOOKUP(A9110, IMPORTRANGE(""https://docs.google.com/spreadsheets/d/1AVX9GT0dgogEBStecCXMMQ29tWz3gBrtNB8yIromXbY/edit?gid=741673867"", ""out1g!A:B""), 2, FALSE), 0)"),28026.0)</f>
        <v>28026</v>
      </c>
      <c r="D9110" s="2" t="str">
        <f>IFERROR(__xludf.DUMMYFUNCTION("IFERROR(VLOOKUP(A9110, IMPORTRANGE(""https://docs.google.com/spreadsheets/d/1-3Vjw2Cyy-mry5gbC8ypIR3YVGFfEpyFESummAta6sg/edit"", ""Sheet1!B:D""), 2, FALSE), ""Not Found"")"),"θru")</f>
        <v>θru</v>
      </c>
      <c r="E9110" s="2" t="str">
        <f>IFERROR(__xludf.DUMMYFUNCTION("IFERROR(VLOOKUP(A9110, IMPORTRANGE(""https://docs.google.com/spreadsheets/d/1-3Vjw2Cyy-mry5gbC8ypIR3YVGFfEpyFESummAta6sg/edit"", ""Sheet1!B:D""), 3, FALSE), ""Not Found"")"),"θ r u ")</f>
        <v>θ r u </v>
      </c>
    </row>
    <row r="9111">
      <c r="A9111" s="1" t="s">
        <v>9112</v>
      </c>
      <c r="B9111" s="1" t="s">
        <v>6138</v>
      </c>
      <c r="C9111" s="2">
        <f>IFERROR(__xludf.DUMMYFUNCTION("IFERROR(VLOOKUP(A9111, IMPORTRANGE(""https://docs.google.com/spreadsheets/d/1AVX9GT0dgogEBStecCXMMQ29tWz3gBrtNB8yIromXbY/edit?gid=741673867"", ""out1g!A:B""), 2, FALSE), 0)"),219.0)</f>
        <v>219</v>
      </c>
      <c r="D9111" s="2" t="str">
        <f>IFERROR(__xludf.DUMMYFUNCTION("IFERROR(VLOOKUP(A9111, IMPORTRANGE(""https://docs.google.com/spreadsheets/d/1-3Vjw2Cyy-mry5gbC8ypIR3YVGFfEpyFESummAta6sg/edit"", ""Sheet1!B:D""), 2, FALSE), ""Not Found"")"),"tækəl")</f>
        <v>tækəl</v>
      </c>
      <c r="E9111" s="2" t="str">
        <f>IFERROR(__xludf.DUMMYFUNCTION("IFERROR(VLOOKUP(A9111, IMPORTRANGE(""https://docs.google.com/spreadsheets/d/1-3Vjw2Cyy-mry5gbC8ypIR3YVGFfEpyFESummAta6sg/edit"", ""Sheet1!B:D""), 3, FALSE), ""Not Found"")"),"t æ k ə l ")</f>
        <v>t æ k ə l </v>
      </c>
    </row>
    <row r="9112">
      <c r="A9112" s="1" t="s">
        <v>9113</v>
      </c>
      <c r="B9112" s="1" t="s">
        <v>6138</v>
      </c>
      <c r="C9112" s="2">
        <f>IFERROR(__xludf.DUMMYFUNCTION("IFERROR(VLOOKUP(A9112, IMPORTRANGE(""https://docs.google.com/spreadsheets/d/1AVX9GT0dgogEBStecCXMMQ29tWz3gBrtNB8yIromXbY/edit?gid=741673867"", ""out1g!A:B""), 2, FALSE), 0)"),321.0)</f>
        <v>321</v>
      </c>
      <c r="D9112" s="2" t="str">
        <f>IFERROR(__xludf.DUMMYFUNCTION("IFERROR(VLOOKUP(A9112, IMPORTRANGE(""https://docs.google.com/spreadsheets/d/1-3Vjw2Cyy-mry5gbC8ypIR3YVGFfEpyFESummAta6sg/edit"", ""Sheet1!B:D""), 2, FALSE), ""Not Found"")"),"daɪvɪŋ")</f>
        <v>daɪvɪŋ</v>
      </c>
      <c r="E9112" s="2" t="str">
        <f>IFERROR(__xludf.DUMMYFUNCTION("IFERROR(VLOOKUP(A9112, IMPORTRANGE(""https://docs.google.com/spreadsheets/d/1-3Vjw2Cyy-mry5gbC8ypIR3YVGFfEpyFESummAta6sg/edit"", ""Sheet1!B:D""), 3, FALSE), ""Not Found"")"),"d a ɪ v ɪ ŋ ")</f>
        <v>d a ɪ v ɪ ŋ </v>
      </c>
    </row>
    <row r="9113">
      <c r="A9113" s="1" t="s">
        <v>9114</v>
      </c>
      <c r="B9113" s="1" t="s">
        <v>6138</v>
      </c>
      <c r="C9113" s="2">
        <f>IFERROR(__xludf.DUMMYFUNCTION("IFERROR(VLOOKUP(A9113, IMPORTRANGE(""https://docs.google.com/spreadsheets/d/1AVX9GT0dgogEBStecCXMMQ29tWz3gBrtNB8yIromXbY/edit?gid=741673867"", ""out1g!A:B""), 2, FALSE), 0)"),54384.0)</f>
        <v>54384</v>
      </c>
      <c r="D9113" s="2" t="str">
        <f>IFERROR(__xludf.DUMMYFUNCTION("IFERROR(VLOOKUP(A9113, IMPORTRANGE(""https://docs.google.com/spreadsheets/d/1-3Vjw2Cyy-mry5gbC8ypIR3YVGFfEpyFESummAta6sg/edit"", ""Sheet1!B:D""), 2, FALSE), ""Not Found"")"),"tu")</f>
        <v>tu</v>
      </c>
      <c r="E9113" s="2" t="str">
        <f>IFERROR(__xludf.DUMMYFUNCTION("IFERROR(VLOOKUP(A9113, IMPORTRANGE(""https://docs.google.com/spreadsheets/d/1-3Vjw2Cyy-mry5gbC8ypIR3YVGFfEpyFESummAta6sg/edit"", ""Sheet1!B:D""), 3, FALSE), ""Not Found"")"),"t u ")</f>
        <v>t u </v>
      </c>
    </row>
    <row r="9114">
      <c r="A9114" s="1" t="s">
        <v>9115</v>
      </c>
      <c r="B9114" s="1" t="s">
        <v>6138</v>
      </c>
      <c r="C9114" s="2">
        <f>IFERROR(__xludf.DUMMYFUNCTION("IFERROR(VLOOKUP(A9114, IMPORTRANGE(""https://docs.google.com/spreadsheets/d/1AVX9GT0dgogEBStecCXMMQ29tWz3gBrtNB8yIromXbY/edit?gid=741673867"", ""out1g!A:B""), 2, FALSE), 0)"),695.0)</f>
        <v>695</v>
      </c>
      <c r="D9114" s="2" t="str">
        <f>IFERROR(__xludf.DUMMYFUNCTION("IFERROR(VLOOKUP(A9114, IMPORTRANGE(""https://docs.google.com/spreadsheets/d/1-3Vjw2Cyy-mry5gbC8ypIR3YVGFfEpyFESummAta6sg/edit"", ""Sheet1!B:D""), 2, FALSE), ""Not Found"")"),"peʤɪz")</f>
        <v>peʤɪz</v>
      </c>
      <c r="E9114" s="2" t="str">
        <f>IFERROR(__xludf.DUMMYFUNCTION("IFERROR(VLOOKUP(A9114, IMPORTRANGE(""https://docs.google.com/spreadsheets/d/1-3Vjw2Cyy-mry5gbC8ypIR3YVGFfEpyFESummAta6sg/edit"", ""Sheet1!B:D""), 3, FALSE), ""Not Found"")"),"p e ʤ ɪ z ")</f>
        <v>p e ʤ ɪ z </v>
      </c>
    </row>
    <row r="9115">
      <c r="A9115" s="1" t="s">
        <v>9116</v>
      </c>
      <c r="B9115" s="1" t="s">
        <v>6138</v>
      </c>
      <c r="C9115" s="2">
        <f>IFERROR(__xludf.DUMMYFUNCTION("IFERROR(VLOOKUP(A9115, IMPORTRANGE(""https://docs.google.com/spreadsheets/d/1AVX9GT0dgogEBStecCXMMQ29tWz3gBrtNB8yIromXbY/edit?gid=741673867"", ""out1g!A:B""), 2, FALSE), 0)"),72.0)</f>
        <v>72</v>
      </c>
      <c r="D9115" s="2" t="str">
        <f>IFERROR(__xludf.DUMMYFUNCTION("IFERROR(VLOOKUP(A9115, IMPORTRANGE(""https://docs.google.com/spreadsheets/d/1-3Vjw2Cyy-mry5gbC8ypIR3YVGFfEpyFESummAta6sg/edit"", ""Sheet1!B:D""), 2, FALSE), ""Not Found"")"),"hæmpər")</f>
        <v>hæmpər</v>
      </c>
      <c r="E9115" s="2" t="str">
        <f>IFERROR(__xludf.DUMMYFUNCTION("IFERROR(VLOOKUP(A9115, IMPORTRANGE(""https://docs.google.com/spreadsheets/d/1-3Vjw2Cyy-mry5gbC8ypIR3YVGFfEpyFESummAta6sg/edit"", ""Sheet1!B:D""), 3, FALSE), ""Not Found"")"),"h æ m p ə r ")</f>
        <v>h æ m p ə r </v>
      </c>
    </row>
    <row r="9116">
      <c r="A9116" s="1" t="s">
        <v>9117</v>
      </c>
      <c r="B9116" s="1" t="s">
        <v>6138</v>
      </c>
      <c r="C9116" s="2">
        <f>IFERROR(__xludf.DUMMYFUNCTION("IFERROR(VLOOKUP(A9116, IMPORTRANGE(""https://docs.google.com/spreadsheets/d/1AVX9GT0dgogEBStecCXMMQ29tWz3gBrtNB8yIromXbY/edit?gid=741673867"", ""out1g!A:B""), 2, FALSE), 0)"),17.0)</f>
        <v>17</v>
      </c>
      <c r="D9116" s="2" t="str">
        <f>IFERROR(__xludf.DUMMYFUNCTION("IFERROR(VLOOKUP(A9116, IMPORTRANGE(""https://docs.google.com/spreadsheets/d/1-3Vjw2Cyy-mry5gbC8ypIR3YVGFfEpyFESummAta6sg/edit"", ""Sheet1!B:D""), 2, FALSE), ""Not Found"")"),"baɪsən")</f>
        <v>baɪsən</v>
      </c>
      <c r="E9116" s="2" t="str">
        <f>IFERROR(__xludf.DUMMYFUNCTION("IFERROR(VLOOKUP(A9116, IMPORTRANGE(""https://docs.google.com/spreadsheets/d/1-3Vjw2Cyy-mry5gbC8ypIR3YVGFfEpyFESummAta6sg/edit"", ""Sheet1!B:D""), 3, FALSE), ""Not Found"")"),"b a ɪ s ə n ")</f>
        <v>b a ɪ s ə n </v>
      </c>
    </row>
    <row r="9117">
      <c r="A9117" s="1" t="s">
        <v>9118</v>
      </c>
      <c r="B9117" s="1" t="s">
        <v>6138</v>
      </c>
      <c r="C9117" s="2">
        <f>IFERROR(__xludf.DUMMYFUNCTION("IFERROR(VLOOKUP(A9117, IMPORTRANGE(""https://docs.google.com/spreadsheets/d/1AVX9GT0dgogEBStecCXMMQ29tWz3gBrtNB8yIromXbY/edit?gid=741673867"", ""out1g!A:B""), 2, FALSE), 0)"),85.0)</f>
        <v>85</v>
      </c>
      <c r="D9117" s="2" t="str">
        <f>IFERROR(__xludf.DUMMYFUNCTION("IFERROR(VLOOKUP(A9117, IMPORTRANGE(""https://docs.google.com/spreadsheets/d/1-3Vjw2Cyy-mry5gbC8ypIR3YVGFfEpyFESummAta6sg/edit"", ""Sheet1!B:D""), 2, FALSE), ""Not Found"")"),"vɛnts")</f>
        <v>vɛnts</v>
      </c>
      <c r="E9117" s="2" t="str">
        <f>IFERROR(__xludf.DUMMYFUNCTION("IFERROR(VLOOKUP(A9117, IMPORTRANGE(""https://docs.google.com/spreadsheets/d/1-3Vjw2Cyy-mry5gbC8ypIR3YVGFfEpyFESummAta6sg/edit"", ""Sheet1!B:D""), 3, FALSE), ""Not Found"")"),"v ɛ n t s ")</f>
        <v>v ɛ n t s </v>
      </c>
    </row>
    <row r="9118">
      <c r="A9118" s="1" t="s">
        <v>9119</v>
      </c>
      <c r="B9118" s="1" t="s">
        <v>6138</v>
      </c>
      <c r="C9118" s="2">
        <f>IFERROR(__xludf.DUMMYFUNCTION("IFERROR(VLOOKUP(A9118, IMPORTRANGE(""https://docs.google.com/spreadsheets/d/1AVX9GT0dgogEBStecCXMMQ29tWz3gBrtNB8yIromXbY/edit?gid=741673867"", ""out1g!A:B""), 2, FALSE), 0)"),84.0)</f>
        <v>84</v>
      </c>
      <c r="D9118" s="2" t="str">
        <f>IFERROR(__xludf.DUMMYFUNCTION("IFERROR(VLOOKUP(A9118, IMPORTRANGE(""https://docs.google.com/spreadsheets/d/1-3Vjw2Cyy-mry5gbC8ypIR3YVGFfEpyFESummAta6sg/edit"", ""Sheet1!B:D""), 2, FALSE), ""Not Found"")"),"slæmɪŋ")</f>
        <v>slæmɪŋ</v>
      </c>
      <c r="E9118" s="2" t="str">
        <f>IFERROR(__xludf.DUMMYFUNCTION("IFERROR(VLOOKUP(A9118, IMPORTRANGE(""https://docs.google.com/spreadsheets/d/1-3Vjw2Cyy-mry5gbC8ypIR3YVGFfEpyFESummAta6sg/edit"", ""Sheet1!B:D""), 3, FALSE), ""Not Found"")"),"s l æ m ɪ ŋ ")</f>
        <v>s l æ m ɪ ŋ </v>
      </c>
    </row>
    <row r="9119">
      <c r="A9119" s="1" t="s">
        <v>9120</v>
      </c>
      <c r="B9119" s="1" t="s">
        <v>6138</v>
      </c>
      <c r="C9119" s="2">
        <f>IFERROR(__xludf.DUMMYFUNCTION("IFERROR(VLOOKUP(A9119, IMPORTRANGE(""https://docs.google.com/spreadsheets/d/1AVX9GT0dgogEBStecCXMMQ29tWz3gBrtNB8yIromXbY/edit?gid=741673867"", ""out1g!A:B""), 2, FALSE), 0)"),47.0)</f>
        <v>47</v>
      </c>
      <c r="D9119" s="2" t="str">
        <f>IFERROR(__xludf.DUMMYFUNCTION("IFERROR(VLOOKUP(A9119, IMPORTRANGE(""https://docs.google.com/spreadsheets/d/1-3Vjw2Cyy-mry5gbC8ypIR3YVGFfEpyFESummAta6sg/edit"", ""Sheet1!B:D""), 2, FALSE), ""Not Found"")"),"wɑtəl")</f>
        <v>wɑtəl</v>
      </c>
      <c r="E9119" s="2" t="str">
        <f>IFERROR(__xludf.DUMMYFUNCTION("IFERROR(VLOOKUP(A9119, IMPORTRANGE(""https://docs.google.com/spreadsheets/d/1-3Vjw2Cyy-mry5gbC8ypIR3YVGFfEpyFESummAta6sg/edit"", ""Sheet1!B:D""), 3, FALSE), ""Not Found"")"),"w ɑ t ə l ")</f>
        <v>w ɑ t ə l </v>
      </c>
    </row>
    <row r="9120">
      <c r="A9120" s="1" t="s">
        <v>9121</v>
      </c>
      <c r="B9120" s="1" t="s">
        <v>6138</v>
      </c>
      <c r="C9120" s="2">
        <f>IFERROR(__xludf.DUMMYFUNCTION("IFERROR(VLOOKUP(A9120, IMPORTRANGE(""https://docs.google.com/spreadsheets/d/1AVX9GT0dgogEBStecCXMMQ29tWz3gBrtNB8yIromXbY/edit?gid=741673867"", ""out1g!A:B""), 2, FALSE), 0)"),2409.0)</f>
        <v>2409</v>
      </c>
      <c r="D9120" s="2" t="str">
        <f>IFERROR(__xludf.DUMMYFUNCTION("IFERROR(VLOOKUP(A9120, IMPORTRANGE(""https://docs.google.com/spreadsheets/d/1-3Vjw2Cyy-mry5gbC8ypIR3YVGFfEpyFESummAta6sg/edit"", ""Sheet1!B:D""), 2, FALSE), ""Not Found"")"),"ɛmti")</f>
        <v>ɛmti</v>
      </c>
      <c r="E9120" s="2" t="str">
        <f>IFERROR(__xludf.DUMMYFUNCTION("IFERROR(VLOOKUP(A9120, IMPORTRANGE(""https://docs.google.com/spreadsheets/d/1-3Vjw2Cyy-mry5gbC8ypIR3YVGFfEpyFESummAta6sg/edit"", ""Sheet1!B:D""), 3, FALSE), ""Not Found"")"),"ɛ m t i ")</f>
        <v>ɛ m t i </v>
      </c>
    </row>
    <row r="9121">
      <c r="A9121" s="1" t="s">
        <v>9122</v>
      </c>
      <c r="B9121" s="1" t="s">
        <v>6138</v>
      </c>
      <c r="C9121" s="2">
        <f>IFERROR(__xludf.DUMMYFUNCTION("IFERROR(VLOOKUP(A9121, IMPORTRANGE(""https://docs.google.com/spreadsheets/d/1AVX9GT0dgogEBStecCXMMQ29tWz3gBrtNB8yIromXbY/edit?gid=741673867"", ""out1g!A:B""), 2, FALSE), 0)"),2097.0)</f>
        <v>2097</v>
      </c>
      <c r="D9121" s="2" t="str">
        <f>IFERROR(__xludf.DUMMYFUNCTION("IFERROR(VLOOKUP(A9121, IMPORTRANGE(""https://docs.google.com/spreadsheets/d/1-3Vjw2Cyy-mry5gbC8ypIR3YVGFfEpyFESummAta6sg/edit"", ""Sheet1!B:D""), 2, FALSE), ""Not Found"")"),"ʃaʊər")</f>
        <v>ʃaʊər</v>
      </c>
      <c r="E9121" s="2" t="str">
        <f>IFERROR(__xludf.DUMMYFUNCTION("IFERROR(VLOOKUP(A9121, IMPORTRANGE(""https://docs.google.com/spreadsheets/d/1-3Vjw2Cyy-mry5gbC8ypIR3YVGFfEpyFESummAta6sg/edit"", ""Sheet1!B:D""), 3, FALSE), ""Not Found"")"),"ʃ a ʊ ə r ")</f>
        <v>ʃ a ʊ ə r </v>
      </c>
    </row>
    <row r="9122">
      <c r="A9122" s="1" t="s">
        <v>9123</v>
      </c>
      <c r="B9122" s="1" t="s">
        <v>6138</v>
      </c>
      <c r="C9122" s="2">
        <f>IFERROR(__xludf.DUMMYFUNCTION("IFERROR(VLOOKUP(A9122, IMPORTRANGE(""https://docs.google.com/spreadsheets/d/1AVX9GT0dgogEBStecCXMMQ29tWz3gBrtNB8yIromXbY/edit?gid=741673867"", ""out1g!A:B""), 2, FALSE), 0)"),291.0)</f>
        <v>291</v>
      </c>
      <c r="D9122" s="2" t="str">
        <f>IFERROR(__xludf.DUMMYFUNCTION("IFERROR(VLOOKUP(A9122, IMPORTRANGE(""https://docs.google.com/spreadsheets/d/1-3Vjw2Cyy-mry5gbC8ypIR3YVGFfEpyFESummAta6sg/edit"", ""Sheet1!B:D""), 2, FALSE), ""Not Found"")"),"brustər")</f>
        <v>brustər</v>
      </c>
      <c r="E9122" s="2" t="str">
        <f>IFERROR(__xludf.DUMMYFUNCTION("IFERROR(VLOOKUP(A9122, IMPORTRANGE(""https://docs.google.com/spreadsheets/d/1-3Vjw2Cyy-mry5gbC8ypIR3YVGFfEpyFESummAta6sg/edit"", ""Sheet1!B:D""), 3, FALSE), ""Not Found"")"),"b r u s t ə r ")</f>
        <v>b r u s t ə r </v>
      </c>
    </row>
    <row r="9123">
      <c r="A9123" s="1" t="s">
        <v>9124</v>
      </c>
      <c r="B9123" s="1" t="s">
        <v>6138</v>
      </c>
      <c r="C9123" s="2">
        <f>IFERROR(__xludf.DUMMYFUNCTION("IFERROR(VLOOKUP(A9123, IMPORTRANGE(""https://docs.google.com/spreadsheets/d/1AVX9GT0dgogEBStecCXMMQ29tWz3gBrtNB8yIromXbY/edit?gid=741673867"", ""out1g!A:B""), 2, FALSE), 0)"),1068.0)</f>
        <v>1068</v>
      </c>
      <c r="D9123" s="2" t="str">
        <f>IFERROR(__xludf.DUMMYFUNCTION("IFERROR(VLOOKUP(A9123, IMPORTRANGE(""https://docs.google.com/spreadsheets/d/1-3Vjw2Cyy-mry5gbC8ypIR3YVGFfEpyFESummAta6sg/edit"", ""Sheet1!B:D""), 2, FALSE), ""Not Found"")"),"ræbɪt")</f>
        <v>ræbɪt</v>
      </c>
      <c r="E9123" s="2" t="str">
        <f>IFERROR(__xludf.DUMMYFUNCTION("IFERROR(VLOOKUP(A9123, IMPORTRANGE(""https://docs.google.com/spreadsheets/d/1-3Vjw2Cyy-mry5gbC8ypIR3YVGFfEpyFESummAta6sg/edit"", ""Sheet1!B:D""), 3, FALSE), ""Not Found"")"),"r æ b ɪ t ")</f>
        <v>r æ b ɪ t </v>
      </c>
    </row>
    <row r="9124">
      <c r="A9124" s="1" t="s">
        <v>9125</v>
      </c>
      <c r="B9124" s="1" t="s">
        <v>6138</v>
      </c>
      <c r="C9124" s="2">
        <f>IFERROR(__xludf.DUMMYFUNCTION("IFERROR(VLOOKUP(A9124, IMPORTRANGE(""https://docs.google.com/spreadsheets/d/1AVX9GT0dgogEBStecCXMMQ29tWz3gBrtNB8yIromXbY/edit?gid=741673867"", ""out1g!A:B""), 2, FALSE), 0)"),3115.0)</f>
        <v>3115</v>
      </c>
      <c r="D9124" s="2" t="str">
        <f>IFERROR(__xludf.DUMMYFUNCTION("IFERROR(VLOOKUP(A9124, IMPORTRANGE(""https://docs.google.com/spreadsheets/d/1-3Vjw2Cyy-mry5gbC8ypIR3YVGFfEpyFESummAta6sg/edit"", ""Sheet1!B:D""), 2, FALSE), ""Not Found"")"),"ækʃən")</f>
        <v>ækʃən</v>
      </c>
      <c r="E9124" s="2" t="str">
        <f>IFERROR(__xludf.DUMMYFUNCTION("IFERROR(VLOOKUP(A9124, IMPORTRANGE(""https://docs.google.com/spreadsheets/d/1-3Vjw2Cyy-mry5gbC8ypIR3YVGFfEpyFESummAta6sg/edit"", ""Sheet1!B:D""), 3, FALSE), ""Not Found"")"),"æ k ʃ ə n ")</f>
        <v>æ k ʃ ə n </v>
      </c>
    </row>
    <row r="9125">
      <c r="A9125" s="1" t="s">
        <v>9126</v>
      </c>
      <c r="B9125" s="1" t="s">
        <v>6138</v>
      </c>
      <c r="C9125" s="2">
        <f>IFERROR(__xludf.DUMMYFUNCTION("IFERROR(VLOOKUP(A9125, IMPORTRANGE(""https://docs.google.com/spreadsheets/d/1AVX9GT0dgogEBStecCXMMQ29tWz3gBrtNB8yIromXbY/edit?gid=741673867"", ""out1g!A:B""), 2, FALSE), 0)"),2679.0)</f>
        <v>2679</v>
      </c>
      <c r="D9125" s="2" t="str">
        <f>IFERROR(__xludf.DUMMYFUNCTION("IFERROR(VLOOKUP(A9125, IMPORTRANGE(""https://docs.google.com/spreadsheets/d/1-3Vjw2Cyy-mry5gbC8ypIR3YVGFfEpyFESummAta6sg/edit"", ""Sheet1!B:D""), 2, FALSE), ""Not Found"")"),"kɔrnər")</f>
        <v>kɔrnər</v>
      </c>
      <c r="E9125" s="2" t="str">
        <f>IFERROR(__xludf.DUMMYFUNCTION("IFERROR(VLOOKUP(A9125, IMPORTRANGE(""https://docs.google.com/spreadsheets/d/1-3Vjw2Cyy-mry5gbC8ypIR3YVGFfEpyFESummAta6sg/edit"", ""Sheet1!B:D""), 3, FALSE), ""Not Found"")"),"k ɔ r n ə r ")</f>
        <v>k ɔ r n ə r </v>
      </c>
    </row>
    <row r="9126">
      <c r="A9126" s="1" t="s">
        <v>9127</v>
      </c>
      <c r="B9126" s="1" t="s">
        <v>6138</v>
      </c>
      <c r="C9126" s="2">
        <f>IFERROR(__xludf.DUMMYFUNCTION("IFERROR(VLOOKUP(A9126, IMPORTRANGE(""https://docs.google.com/spreadsheets/d/1AVX9GT0dgogEBStecCXMMQ29tWz3gBrtNB8yIromXbY/edit?gid=741673867"", ""out1g!A:B""), 2, FALSE), 0)"),193.0)</f>
        <v>193</v>
      </c>
      <c r="D9126" s="2" t="str">
        <f>IFERROR(__xludf.DUMMYFUNCTION("IFERROR(VLOOKUP(A9126, IMPORTRANGE(""https://docs.google.com/spreadsheets/d/1-3Vjw2Cyy-mry5gbC8ypIR3YVGFfEpyFESummAta6sg/edit"", ""Sheet1!B:D""), 2, FALSE), ""Not Found"")"),"ɔtəm")</f>
        <v>ɔtəm</v>
      </c>
      <c r="E9126" s="2" t="str">
        <f>IFERROR(__xludf.DUMMYFUNCTION("IFERROR(VLOOKUP(A9126, IMPORTRANGE(""https://docs.google.com/spreadsheets/d/1-3Vjw2Cyy-mry5gbC8ypIR3YVGFfEpyFESummAta6sg/edit"", ""Sheet1!B:D""), 3, FALSE), ""Not Found"")"),"ɔ t ə m ")</f>
        <v>ɔ t ə m </v>
      </c>
    </row>
    <row r="9127">
      <c r="A9127" s="1" t="s">
        <v>9128</v>
      </c>
      <c r="B9127" s="1" t="s">
        <v>6138</v>
      </c>
      <c r="C9127" s="2">
        <f>IFERROR(__xludf.DUMMYFUNCTION("IFERROR(VLOOKUP(A9127, IMPORTRANGE(""https://docs.google.com/spreadsheets/d/1AVX9GT0dgogEBStecCXMMQ29tWz3gBrtNB8yIromXbY/edit?gid=741673867"", ""out1g!A:B""), 2, FALSE), 0)"),14.0)</f>
        <v>14</v>
      </c>
      <c r="D9127" s="2" t="str">
        <f>IFERROR(__xludf.DUMMYFUNCTION("IFERROR(VLOOKUP(A9127, IMPORTRANGE(""https://docs.google.com/spreadsheets/d/1-3Vjw2Cyy-mry5gbC8ypIR3YVGFfEpyFESummAta6sg/edit"", ""Sheet1!B:D""), 2, FALSE), ""Not Found"")"),"vɛstəl")</f>
        <v>vɛstəl</v>
      </c>
      <c r="E9127" s="2" t="str">
        <f>IFERROR(__xludf.DUMMYFUNCTION("IFERROR(VLOOKUP(A9127, IMPORTRANGE(""https://docs.google.com/spreadsheets/d/1-3Vjw2Cyy-mry5gbC8ypIR3YVGFfEpyFESummAta6sg/edit"", ""Sheet1!B:D""), 3, FALSE), ""Not Found"")"),"v ɛ s t ə l ")</f>
        <v>v ɛ s t ə l </v>
      </c>
    </row>
    <row r="9128">
      <c r="A9128" s="1" t="s">
        <v>9129</v>
      </c>
      <c r="B9128" s="1" t="s">
        <v>6138</v>
      </c>
      <c r="C9128" s="2">
        <f>IFERROR(__xludf.DUMMYFUNCTION("IFERROR(VLOOKUP(A9128, IMPORTRANGE(""https://docs.google.com/spreadsheets/d/1AVX9GT0dgogEBStecCXMMQ29tWz3gBrtNB8yIromXbY/edit?gid=741673867"", ""out1g!A:B""), 2, FALSE), 0)"),93.0)</f>
        <v>93</v>
      </c>
      <c r="D9128" s="2" t="str">
        <f>IFERROR(__xludf.DUMMYFUNCTION("IFERROR(VLOOKUP(A9128, IMPORTRANGE(""https://docs.google.com/spreadsheets/d/1-3Vjw2Cyy-mry5gbC8ypIR3YVGFfEpyFESummAta6sg/edit"", ""Sheet1!B:D""), 2, FALSE), ""Not Found"")"),"ʤemsən")</f>
        <v>ʤemsən</v>
      </c>
      <c r="E9128" s="2" t="str">
        <f>IFERROR(__xludf.DUMMYFUNCTION("IFERROR(VLOOKUP(A9128, IMPORTRANGE(""https://docs.google.com/spreadsheets/d/1-3Vjw2Cyy-mry5gbC8ypIR3YVGFfEpyFESummAta6sg/edit"", ""Sheet1!B:D""), 3, FALSE), ""Not Found"")"),"ʤ e m s ə n ")</f>
        <v>ʤ e m s ə n </v>
      </c>
    </row>
    <row r="9129">
      <c r="A9129" s="1" t="s">
        <v>9130</v>
      </c>
      <c r="B9129" s="1" t="s">
        <v>6138</v>
      </c>
      <c r="C9129" s="2">
        <f>IFERROR(__xludf.DUMMYFUNCTION("IFERROR(VLOOKUP(A9129, IMPORTRANGE(""https://docs.google.com/spreadsheets/d/1AVX9GT0dgogEBStecCXMMQ29tWz3gBrtNB8yIromXbY/edit?gid=741673867"", ""out1g!A:B""), 2, FALSE), 0)"),254.0)</f>
        <v>254</v>
      </c>
      <c r="D9129" s="2" t="str">
        <f>IFERROR(__xludf.DUMMYFUNCTION("IFERROR(VLOOKUP(A9129, IMPORTRANGE(""https://docs.google.com/spreadsheets/d/1-3Vjw2Cyy-mry5gbC8ypIR3YVGFfEpyFESummAta6sg/edit"", ""Sheet1!B:D""), 2, FALSE), ""Not Found"")"),"kɑŋkər")</f>
        <v>kɑŋkər</v>
      </c>
      <c r="E9129" s="2" t="str">
        <f>IFERROR(__xludf.DUMMYFUNCTION("IFERROR(VLOOKUP(A9129, IMPORTRANGE(""https://docs.google.com/spreadsheets/d/1-3Vjw2Cyy-mry5gbC8ypIR3YVGFfEpyFESummAta6sg/edit"", ""Sheet1!B:D""), 3, FALSE), ""Not Found"")"),"k ɑ ŋ k ə r ")</f>
        <v>k ɑ ŋ k ə r </v>
      </c>
    </row>
    <row r="9130">
      <c r="A9130" s="1" t="s">
        <v>9131</v>
      </c>
      <c r="B9130" s="1" t="s">
        <v>6138</v>
      </c>
      <c r="C9130" s="2">
        <f>IFERROR(__xludf.DUMMYFUNCTION("IFERROR(VLOOKUP(A9130, IMPORTRANGE(""https://docs.google.com/spreadsheets/d/1AVX9GT0dgogEBStecCXMMQ29tWz3gBrtNB8yIromXbY/edit?gid=741673867"", ""out1g!A:B""), 2, FALSE), 0)"),68.0)</f>
        <v>68</v>
      </c>
      <c r="D9130" s="2" t="str">
        <f>IFERROR(__xludf.DUMMYFUNCTION("IFERROR(VLOOKUP(A9130, IMPORTRANGE(""https://docs.google.com/spreadsheets/d/1-3Vjw2Cyy-mry5gbC8ypIR3YVGFfEpyFESummAta6sg/edit"", ""Sheet1!B:D""), 2, FALSE), ""Not Found"")"),"dwɛlɪŋ")</f>
        <v>dwɛlɪŋ</v>
      </c>
      <c r="E9130" s="2" t="str">
        <f>IFERROR(__xludf.DUMMYFUNCTION("IFERROR(VLOOKUP(A9130, IMPORTRANGE(""https://docs.google.com/spreadsheets/d/1-3Vjw2Cyy-mry5gbC8ypIR3YVGFfEpyFESummAta6sg/edit"", ""Sheet1!B:D""), 3, FALSE), ""Not Found"")"),"d w ɛ l ɪ ŋ ")</f>
        <v>d w ɛ l ɪ ŋ </v>
      </c>
    </row>
    <row r="9131">
      <c r="A9131" s="1" t="s">
        <v>9132</v>
      </c>
      <c r="B9131" s="1" t="s">
        <v>6138</v>
      </c>
      <c r="C9131" s="2">
        <f>IFERROR(__xludf.DUMMYFUNCTION("IFERROR(VLOOKUP(A9131, IMPORTRANGE(""https://docs.google.com/spreadsheets/d/1AVX9GT0dgogEBStecCXMMQ29tWz3gBrtNB8yIromXbY/edit?gid=741673867"", ""out1g!A:B""), 2, FALSE), 0)"),108.0)</f>
        <v>108</v>
      </c>
      <c r="D9131" s="2" t="str">
        <f>IFERROR(__xludf.DUMMYFUNCTION("IFERROR(VLOOKUP(A9131, IMPORTRANGE(""https://docs.google.com/spreadsheets/d/1-3Vjw2Cyy-mry5gbC8ypIR3YVGFfEpyFESummAta6sg/edit"", ""Sheet1!B:D""), 2, FALSE), ""Not Found"")"),"saɪtɪd")</f>
        <v>saɪtɪd</v>
      </c>
      <c r="E9131" s="2" t="str">
        <f>IFERROR(__xludf.DUMMYFUNCTION("IFERROR(VLOOKUP(A9131, IMPORTRANGE(""https://docs.google.com/spreadsheets/d/1-3Vjw2Cyy-mry5gbC8ypIR3YVGFfEpyFESummAta6sg/edit"", ""Sheet1!B:D""), 3, FALSE), ""Not Found"")"),"s a ɪ t ɪ d ")</f>
        <v>s a ɪ t ɪ d </v>
      </c>
    </row>
    <row r="9132">
      <c r="A9132" s="1" t="s">
        <v>9133</v>
      </c>
      <c r="B9132" s="1" t="s">
        <v>6138</v>
      </c>
      <c r="C9132" s="2">
        <f>IFERROR(__xludf.DUMMYFUNCTION("IFERROR(VLOOKUP(A9132, IMPORTRANGE(""https://docs.google.com/spreadsheets/d/1AVX9GT0dgogEBStecCXMMQ29tWz3gBrtNB8yIromXbY/edit?gid=741673867"", ""out1g!A:B""), 2, FALSE), 0)"),122.0)</f>
        <v>122</v>
      </c>
      <c r="D9132" s="2" t="str">
        <f>IFERROR(__xludf.DUMMYFUNCTION("IFERROR(VLOOKUP(A9132, IMPORTRANGE(""https://docs.google.com/spreadsheets/d/1-3Vjw2Cyy-mry5gbC8ypIR3YVGFfEpyFESummAta6sg/edit"", ""Sheet1!B:D""), 2, FALSE), ""Not Found"")"),"bɛndɪŋ")</f>
        <v>bɛndɪŋ</v>
      </c>
      <c r="E9132" s="2" t="str">
        <f>IFERROR(__xludf.DUMMYFUNCTION("IFERROR(VLOOKUP(A9132, IMPORTRANGE(""https://docs.google.com/spreadsheets/d/1-3Vjw2Cyy-mry5gbC8ypIR3YVGFfEpyFESummAta6sg/edit"", ""Sheet1!B:D""), 3, FALSE), ""Not Found"")"),"b ɛ n d ɪ ŋ ")</f>
        <v>b ɛ n d ɪ ŋ </v>
      </c>
    </row>
    <row r="9133">
      <c r="A9133" s="1" t="s">
        <v>9134</v>
      </c>
      <c r="B9133" s="1" t="s">
        <v>6138</v>
      </c>
      <c r="C9133" s="2">
        <f>IFERROR(__xludf.DUMMYFUNCTION("IFERROR(VLOOKUP(A9133, IMPORTRANGE(""https://docs.google.com/spreadsheets/d/1AVX9GT0dgogEBStecCXMMQ29tWz3gBrtNB8yIromXbY/edit?gid=741673867"", ""out1g!A:B""), 2, FALSE), 0)"),414.0)</f>
        <v>414</v>
      </c>
      <c r="D9133" s="2" t="str">
        <f>IFERROR(__xludf.DUMMYFUNCTION("IFERROR(VLOOKUP(A9133, IMPORTRANGE(""https://docs.google.com/spreadsheets/d/1-3Vjw2Cyy-mry5gbC8ypIR3YVGFfEpyFESummAta6sg/edit"", ""Sheet1!B:D""), 2, FALSE), ""Not Found"")"),"skændəl")</f>
        <v>skændəl</v>
      </c>
      <c r="E9133" s="2" t="str">
        <f>IFERROR(__xludf.DUMMYFUNCTION("IFERROR(VLOOKUP(A9133, IMPORTRANGE(""https://docs.google.com/spreadsheets/d/1-3Vjw2Cyy-mry5gbC8ypIR3YVGFfEpyFESummAta6sg/edit"", ""Sheet1!B:D""), 3, FALSE), ""Not Found"")"),"s k æ n d ə l ")</f>
        <v>s k æ n d ə l </v>
      </c>
    </row>
    <row r="9134">
      <c r="A9134" s="1" t="s">
        <v>9135</v>
      </c>
      <c r="B9134" s="1" t="s">
        <v>6138</v>
      </c>
      <c r="C9134" s="2">
        <f>IFERROR(__xludf.DUMMYFUNCTION("IFERROR(VLOOKUP(A9134, IMPORTRANGE(""https://docs.google.com/spreadsheets/d/1AVX9GT0dgogEBStecCXMMQ29tWz3gBrtNB8yIromXbY/edit?gid=741673867"", ""out1g!A:B""), 2, FALSE), 0)"),74.0)</f>
        <v>74</v>
      </c>
      <c r="D9134" s="2" t="str">
        <f>IFERROR(__xludf.DUMMYFUNCTION("IFERROR(VLOOKUP(A9134, IMPORTRANGE(""https://docs.google.com/spreadsheets/d/1-3Vjw2Cyy-mry5gbC8ypIR3YVGFfEpyFESummAta6sg/edit"", ""Sheet1!B:D""), 2, FALSE), ""Not Found"")"),"ʤəgəl")</f>
        <v>ʤəgəl</v>
      </c>
      <c r="E9134" s="2" t="str">
        <f>IFERROR(__xludf.DUMMYFUNCTION("IFERROR(VLOOKUP(A9134, IMPORTRANGE(""https://docs.google.com/spreadsheets/d/1-3Vjw2Cyy-mry5gbC8ypIR3YVGFfEpyFESummAta6sg/edit"", ""Sheet1!B:D""), 3, FALSE), ""Not Found"")"),"ʤ ə g ə l ")</f>
        <v>ʤ ə g ə l </v>
      </c>
    </row>
    <row r="9135">
      <c r="A9135" s="1" t="s">
        <v>9136</v>
      </c>
      <c r="B9135" s="1" t="s">
        <v>6138</v>
      </c>
      <c r="C9135" s="2">
        <f>IFERROR(__xludf.DUMMYFUNCTION("IFERROR(VLOOKUP(A9135, IMPORTRANGE(""https://docs.google.com/spreadsheets/d/1AVX9GT0dgogEBStecCXMMQ29tWz3gBrtNB8yIromXbY/edit?gid=741673867"", ""out1g!A:B""), 2, FALSE), 0)"),1684.0)</f>
        <v>1684</v>
      </c>
      <c r="D9135" s="2" t="str">
        <f>IFERROR(__xludf.DUMMYFUNCTION("IFERROR(VLOOKUP(A9135, IMPORTRANGE(""https://docs.google.com/spreadsheets/d/1-3Vjw2Cyy-mry5gbC8ypIR3YVGFfEpyFESummAta6sg/edit"", ""Sheet1!B:D""), 2, FALSE), ""Not Found"")"),"hænsəm")</f>
        <v>hænsəm</v>
      </c>
      <c r="E9135" s="2" t="str">
        <f>IFERROR(__xludf.DUMMYFUNCTION("IFERROR(VLOOKUP(A9135, IMPORTRANGE(""https://docs.google.com/spreadsheets/d/1-3Vjw2Cyy-mry5gbC8ypIR3YVGFfEpyFESummAta6sg/edit"", ""Sheet1!B:D""), 3, FALSE), ""Not Found"")"),"h æ n s ə m ")</f>
        <v>h æ n s ə m </v>
      </c>
    </row>
    <row r="9136">
      <c r="A9136" s="1" t="s">
        <v>9137</v>
      </c>
      <c r="B9136" s="1" t="s">
        <v>6138</v>
      </c>
      <c r="C9136" s="2">
        <f>IFERROR(__xludf.DUMMYFUNCTION("IFERROR(VLOOKUP(A9136, IMPORTRANGE(""https://docs.google.com/spreadsheets/d/1AVX9GT0dgogEBStecCXMMQ29tWz3gBrtNB8yIromXbY/edit?gid=741673867"", ""out1g!A:B""), 2, FALSE), 0)"),2501.0)</f>
        <v>2501</v>
      </c>
      <c r="D9136" s="2" t="str">
        <f>IFERROR(__xludf.DUMMYFUNCTION("IFERROR(VLOOKUP(A9136, IMPORTRANGE(""https://docs.google.com/spreadsheets/d/1-3Vjw2Cyy-mry5gbC8ypIR3YVGFfEpyFESummAta6sg/edit"", ""Sheet1!B:D""), 2, FALSE), ""Not Found"")"),"stədi")</f>
        <v>stədi</v>
      </c>
      <c r="E9136" s="2" t="str">
        <f>IFERROR(__xludf.DUMMYFUNCTION("IFERROR(VLOOKUP(A9136, IMPORTRANGE(""https://docs.google.com/spreadsheets/d/1-3Vjw2Cyy-mry5gbC8ypIR3YVGFfEpyFESummAta6sg/edit"", ""Sheet1!B:D""), 3, FALSE), ""Not Found"")"),"s t ə d i ")</f>
        <v>s t ə d i </v>
      </c>
    </row>
    <row r="9137">
      <c r="A9137" s="1" t="s">
        <v>9138</v>
      </c>
      <c r="B9137" s="1" t="s">
        <v>6138</v>
      </c>
      <c r="C9137" s="2">
        <f>IFERROR(__xludf.DUMMYFUNCTION("IFERROR(VLOOKUP(A9137, IMPORTRANGE(""https://docs.google.com/spreadsheets/d/1AVX9GT0dgogEBStecCXMMQ29tWz3gBrtNB8yIromXbY/edit?gid=741673867"", ""out1g!A:B""), 2, FALSE), 0)"),76.0)</f>
        <v>76</v>
      </c>
      <c r="D9137" s="2" t="str">
        <f>IFERROR(__xludf.DUMMYFUNCTION("IFERROR(VLOOKUP(A9137, IMPORTRANGE(""https://docs.google.com/spreadsheets/d/1-3Vjw2Cyy-mry5gbC8ypIR3YVGFfEpyFESummAta6sg/edit"", ""Sheet1!B:D""), 2, FALSE), ""Not Found"")"),"fremɪŋ")</f>
        <v>fremɪŋ</v>
      </c>
      <c r="E9137" s="2" t="str">
        <f>IFERROR(__xludf.DUMMYFUNCTION("IFERROR(VLOOKUP(A9137, IMPORTRANGE(""https://docs.google.com/spreadsheets/d/1-3Vjw2Cyy-mry5gbC8ypIR3YVGFfEpyFESummAta6sg/edit"", ""Sheet1!B:D""), 3, FALSE), ""Not Found"")"),"f r e m ɪ ŋ ")</f>
        <v>f r e m ɪ ŋ </v>
      </c>
    </row>
    <row r="9138">
      <c r="A9138" s="1" t="s">
        <v>9139</v>
      </c>
      <c r="B9138" s="1" t="s">
        <v>6138</v>
      </c>
      <c r="C9138" s="2">
        <f>IFERROR(__xludf.DUMMYFUNCTION("IFERROR(VLOOKUP(A9138, IMPORTRANGE(""https://docs.google.com/spreadsheets/d/1AVX9GT0dgogEBStecCXMMQ29tWz3gBrtNB8yIromXbY/edit?gid=741673867"", ""out1g!A:B""), 2, FALSE), 0)"),80.0)</f>
        <v>80</v>
      </c>
      <c r="D9138" s="2" t="str">
        <f>IFERROR(__xludf.DUMMYFUNCTION("IFERROR(VLOOKUP(A9138, IMPORTRANGE(""https://docs.google.com/spreadsheets/d/1-3Vjw2Cyy-mry5gbC8ypIR3YVGFfEpyFESummAta6sg/edit"", ""Sheet1!B:D""), 2, FALSE), ""Not Found"")"),"lipɪŋ")</f>
        <v>lipɪŋ</v>
      </c>
      <c r="E9138" s="2" t="str">
        <f>IFERROR(__xludf.DUMMYFUNCTION("IFERROR(VLOOKUP(A9138, IMPORTRANGE(""https://docs.google.com/spreadsheets/d/1-3Vjw2Cyy-mry5gbC8ypIR3YVGFfEpyFESummAta6sg/edit"", ""Sheet1!B:D""), 3, FALSE), ""Not Found"")"),"l i p ɪ ŋ ")</f>
        <v>l i p ɪ ŋ </v>
      </c>
    </row>
    <row r="9139">
      <c r="A9139" s="1" t="s">
        <v>9140</v>
      </c>
      <c r="B9139" s="1" t="s">
        <v>6138</v>
      </c>
      <c r="C9139" s="2">
        <f>IFERROR(__xludf.DUMMYFUNCTION("IFERROR(VLOOKUP(A9139, IMPORTRANGE(""https://docs.google.com/spreadsheets/d/1AVX9GT0dgogEBStecCXMMQ29tWz3gBrtNB8yIromXbY/edit?gid=741673867"", ""out1g!A:B""), 2, FALSE), 0)"),51.0)</f>
        <v>51</v>
      </c>
      <c r="D9139" s="2" t="str">
        <f>IFERROR(__xludf.DUMMYFUNCTION("IFERROR(VLOOKUP(A9139, IMPORTRANGE(""https://docs.google.com/spreadsheets/d/1-3Vjw2Cyy-mry5gbC8ypIR3YVGFfEpyFESummAta6sg/edit"", ""Sheet1!B:D""), 2, FALSE), ""Not Found"")"),"həniz")</f>
        <v>həniz</v>
      </c>
      <c r="E9139" s="2" t="str">
        <f>IFERROR(__xludf.DUMMYFUNCTION("IFERROR(VLOOKUP(A9139, IMPORTRANGE(""https://docs.google.com/spreadsheets/d/1-3Vjw2Cyy-mry5gbC8ypIR3YVGFfEpyFESummAta6sg/edit"", ""Sheet1!B:D""), 3, FALSE), ""Not Found"")"),"h ə n i z ")</f>
        <v>h ə n i z </v>
      </c>
    </row>
    <row r="9140">
      <c r="A9140" s="1" t="s">
        <v>9141</v>
      </c>
      <c r="B9140" s="1" t="s">
        <v>6138</v>
      </c>
      <c r="C9140" s="2">
        <f>IFERROR(__xludf.DUMMYFUNCTION("IFERROR(VLOOKUP(A9140, IMPORTRANGE(""https://docs.google.com/spreadsheets/d/1AVX9GT0dgogEBStecCXMMQ29tWz3gBrtNB8yIromXbY/edit?gid=741673867"", ""out1g!A:B""), 2, FALSE), 0)"),1790.0)</f>
        <v>1790</v>
      </c>
      <c r="D9140" s="2" t="str">
        <f>IFERROR(__xludf.DUMMYFUNCTION("IFERROR(VLOOKUP(A9140, IMPORTRANGE(""https://docs.google.com/spreadsheets/d/1-3Vjw2Cyy-mry5gbC8ypIR3YVGFfEpyFESummAta6sg/edit"", ""Sheet1!B:D""), 2, FALSE), ""Not Found"")"),"sɛndɪŋ")</f>
        <v>sɛndɪŋ</v>
      </c>
      <c r="E9140" s="2" t="str">
        <f>IFERROR(__xludf.DUMMYFUNCTION("IFERROR(VLOOKUP(A9140, IMPORTRANGE(""https://docs.google.com/spreadsheets/d/1-3Vjw2Cyy-mry5gbC8ypIR3YVGFfEpyFESummAta6sg/edit"", ""Sheet1!B:D""), 3, FALSE), ""Not Found"")"),"s ɛ n d ɪ ŋ ")</f>
        <v>s ɛ n d ɪ ŋ </v>
      </c>
    </row>
    <row r="9141">
      <c r="A9141" s="1" t="s">
        <v>9142</v>
      </c>
      <c r="B9141" s="1" t="s">
        <v>6138</v>
      </c>
      <c r="C9141" s="2">
        <f>IFERROR(__xludf.DUMMYFUNCTION("IFERROR(VLOOKUP(A9141, IMPORTRANGE(""https://docs.google.com/spreadsheets/d/1AVX9GT0dgogEBStecCXMMQ29tWz3gBrtNB8yIromXbY/edit?gid=741673867"", ""out1g!A:B""), 2, FALSE), 0)"),909.0)</f>
        <v>909</v>
      </c>
      <c r="D9141" s="2" t="str">
        <f>IFERROR(__xludf.DUMMYFUNCTION("IFERROR(VLOOKUP(A9141, IMPORTRANGE(""https://docs.google.com/spreadsheets/d/1-3Vjw2Cyy-mry5gbC8ypIR3YVGFfEpyFESummAta6sg/edit"", ""Sheet1!B:D""), 2, FALSE), ""Not Found"")"),"vɪktər")</f>
        <v>vɪktər</v>
      </c>
      <c r="E9141" s="2" t="str">
        <f>IFERROR(__xludf.DUMMYFUNCTION("IFERROR(VLOOKUP(A9141, IMPORTRANGE(""https://docs.google.com/spreadsheets/d/1-3Vjw2Cyy-mry5gbC8ypIR3YVGFfEpyFESummAta6sg/edit"", ""Sheet1!B:D""), 3, FALSE), ""Not Found"")"),"v ɪ k t ə r ")</f>
        <v>v ɪ k t ə r </v>
      </c>
    </row>
    <row r="9142">
      <c r="A9142" s="1" t="s">
        <v>9143</v>
      </c>
      <c r="B9142" s="1" t="s">
        <v>6138</v>
      </c>
      <c r="C9142" s="2">
        <f>IFERROR(__xludf.DUMMYFUNCTION("IFERROR(VLOOKUP(A9142, IMPORTRANGE(""https://docs.google.com/spreadsheets/d/1AVX9GT0dgogEBStecCXMMQ29tWz3gBrtNB8yIromXbY/edit?gid=741673867"", ""out1g!A:B""), 2, FALSE), 0)"),334.0)</f>
        <v>334</v>
      </c>
      <c r="D9142" s="2" t="str">
        <f>IFERROR(__xludf.DUMMYFUNCTION("IFERROR(VLOOKUP(A9142, IMPORTRANGE(""https://docs.google.com/spreadsheets/d/1-3Vjw2Cyy-mry5gbC8ypIR3YVGFfEpyFESummAta6sg/edit"", ""Sheet1!B:D""), 2, FALSE), ""Not Found"")"),"ju")</f>
        <v>ju</v>
      </c>
      <c r="E9142" s="2" t="str">
        <f>IFERROR(__xludf.DUMMYFUNCTION("IFERROR(VLOOKUP(A9142, IMPORTRANGE(""https://docs.google.com/spreadsheets/d/1-3Vjw2Cyy-mry5gbC8ypIR3YVGFfEpyFESummAta6sg/edit"", ""Sheet1!B:D""), 3, FALSE), ""Not Found"")"),"j u ")</f>
        <v>j u </v>
      </c>
    </row>
    <row r="9143">
      <c r="A9143" s="1" t="s">
        <v>9144</v>
      </c>
      <c r="B9143" s="1" t="s">
        <v>6138</v>
      </c>
      <c r="C9143" s="2">
        <f>IFERROR(__xludf.DUMMYFUNCTION("IFERROR(VLOOKUP(A9143, IMPORTRANGE(""https://docs.google.com/spreadsheets/d/1AVX9GT0dgogEBStecCXMMQ29tWz3gBrtNB8yIromXbY/edit?gid=741673867"", ""out1g!A:B""), 2, FALSE), 0)"),3451.0)</f>
        <v>3451</v>
      </c>
      <c r="D9143" s="2" t="str">
        <f>IFERROR(__xludf.DUMMYFUNCTION("IFERROR(VLOOKUP(A9143, IMPORTRANGE(""https://docs.google.com/spreadsheets/d/1-3Vjw2Cyy-mry5gbC8ypIR3YVGFfEpyFESummAta6sg/edit"", ""Sheet1!B:D""), 2, FALSE), ""Not Found"")"),"niðər")</f>
        <v>niðər</v>
      </c>
      <c r="E9143" s="2" t="str">
        <f>IFERROR(__xludf.DUMMYFUNCTION("IFERROR(VLOOKUP(A9143, IMPORTRANGE(""https://docs.google.com/spreadsheets/d/1-3Vjw2Cyy-mry5gbC8ypIR3YVGFfEpyFESummAta6sg/edit"", ""Sheet1!B:D""), 3, FALSE), ""Not Found"")"),"n i ð ə r ")</f>
        <v>n i ð ə r </v>
      </c>
    </row>
    <row r="9144">
      <c r="A9144" s="1" t="s">
        <v>9145</v>
      </c>
      <c r="B9144" s="1" t="s">
        <v>6138</v>
      </c>
      <c r="C9144" s="2">
        <f>IFERROR(__xludf.DUMMYFUNCTION("IFERROR(VLOOKUP(A9144, IMPORTRANGE(""https://docs.google.com/spreadsheets/d/1AVX9GT0dgogEBStecCXMMQ29tWz3gBrtNB8yIromXbY/edit?gid=741673867"", ""out1g!A:B""), 2, FALSE), 0)"),199.0)</f>
        <v>199</v>
      </c>
      <c r="D9144" s="2" t="str">
        <f>IFERROR(__xludf.DUMMYFUNCTION("IFERROR(VLOOKUP(A9144, IMPORTRANGE(""https://docs.google.com/spreadsheets/d/1-3Vjw2Cyy-mry5gbC8ypIR3YVGFfEpyFESummAta6sg/edit"", ""Sheet1!B:D""), 2, FALSE), ""Not Found"")"),"fəkərz")</f>
        <v>fəkərz</v>
      </c>
      <c r="E9144" s="2" t="str">
        <f>IFERROR(__xludf.DUMMYFUNCTION("IFERROR(VLOOKUP(A9144, IMPORTRANGE(""https://docs.google.com/spreadsheets/d/1-3Vjw2Cyy-mry5gbC8ypIR3YVGFfEpyFESummAta6sg/edit"", ""Sheet1!B:D""), 3, FALSE), ""Not Found"")"),"f ə k ə r z ")</f>
        <v>f ə k ə r z </v>
      </c>
    </row>
    <row r="9145">
      <c r="A9145" s="1" t="s">
        <v>9146</v>
      </c>
      <c r="B9145" s="1" t="s">
        <v>6138</v>
      </c>
      <c r="C9145" s="2">
        <f>IFERROR(__xludf.DUMMYFUNCTION("IFERROR(VLOOKUP(A9145, IMPORTRANGE(""https://docs.google.com/spreadsheets/d/1AVX9GT0dgogEBStecCXMMQ29tWz3gBrtNB8yIromXbY/edit?gid=741673867"", ""out1g!A:B""), 2, FALSE), 0)"),137.0)</f>
        <v>137</v>
      </c>
      <c r="D9145" s="2" t="str">
        <f>IFERROR(__xludf.DUMMYFUNCTION("IFERROR(VLOOKUP(A9145, IMPORTRANGE(""https://docs.google.com/spreadsheets/d/1-3Vjw2Cyy-mry5gbC8ypIR3YVGFfEpyFESummAta6sg/edit"", ""Sheet1!B:D""), 2, FALSE), ""Not Found"")"),"bɑŋgoʊ")</f>
        <v>bɑŋgoʊ</v>
      </c>
      <c r="E9145" s="2" t="str">
        <f>IFERROR(__xludf.DUMMYFUNCTION("IFERROR(VLOOKUP(A9145, IMPORTRANGE(""https://docs.google.com/spreadsheets/d/1-3Vjw2Cyy-mry5gbC8ypIR3YVGFfEpyFESummAta6sg/edit"", ""Sheet1!B:D""), 3, FALSE), ""Not Found"")"),"b ɑ ŋ g o ʊ ")</f>
        <v>b ɑ ŋ g o ʊ </v>
      </c>
    </row>
    <row r="9146">
      <c r="A9146" s="1" t="s">
        <v>9147</v>
      </c>
      <c r="B9146" s="1" t="s">
        <v>6138</v>
      </c>
      <c r="C9146" s="2">
        <f>IFERROR(__xludf.DUMMYFUNCTION("IFERROR(VLOOKUP(A9146, IMPORTRANGE(""https://docs.google.com/spreadsheets/d/1AVX9GT0dgogEBStecCXMMQ29tWz3gBrtNB8yIromXbY/edit?gid=741673867"", ""out1g!A:B""), 2, FALSE), 0)"),171.0)</f>
        <v>171</v>
      </c>
      <c r="D9146" s="2" t="str">
        <f>IFERROR(__xludf.DUMMYFUNCTION("IFERROR(VLOOKUP(A9146, IMPORTRANGE(""https://docs.google.com/spreadsheets/d/1-3Vjw2Cyy-mry5gbC8ypIR3YVGFfEpyFESummAta6sg/edit"", ""Sheet1!B:D""), 2, FALSE), ""Not Found"")"),"kræŋki")</f>
        <v>kræŋki</v>
      </c>
      <c r="E9146" s="2" t="str">
        <f>IFERROR(__xludf.DUMMYFUNCTION("IFERROR(VLOOKUP(A9146, IMPORTRANGE(""https://docs.google.com/spreadsheets/d/1-3Vjw2Cyy-mry5gbC8ypIR3YVGFfEpyFESummAta6sg/edit"", ""Sheet1!B:D""), 3, FALSE), ""Not Found"")"),"k r æ ŋ k i ")</f>
        <v>k r æ ŋ k i </v>
      </c>
    </row>
    <row r="9147">
      <c r="A9147" s="1" t="s">
        <v>9148</v>
      </c>
      <c r="B9147" s="1" t="s">
        <v>6138</v>
      </c>
      <c r="C9147" s="2">
        <f>IFERROR(__xludf.DUMMYFUNCTION("IFERROR(VLOOKUP(A9147, IMPORTRANGE(""https://docs.google.com/spreadsheets/d/1AVX9GT0dgogEBStecCXMMQ29tWz3gBrtNB8yIromXbY/edit?gid=741673867"", ""out1g!A:B""), 2, FALSE), 0)"),449.0)</f>
        <v>449</v>
      </c>
      <c r="D9147" s="2" t="str">
        <f>IFERROR(__xludf.DUMMYFUNCTION("IFERROR(VLOOKUP(A9147, IMPORTRANGE(""https://docs.google.com/spreadsheets/d/1-3Vjw2Cyy-mry5gbC8ypIR3YVGFfEpyFESummAta6sg/edit"", ""Sheet1!B:D""), 2, FALSE), ""Not Found"")"),"pɛpər")</f>
        <v>pɛpər</v>
      </c>
      <c r="E9147" s="2" t="str">
        <f>IFERROR(__xludf.DUMMYFUNCTION("IFERROR(VLOOKUP(A9147, IMPORTRANGE(""https://docs.google.com/spreadsheets/d/1-3Vjw2Cyy-mry5gbC8ypIR3YVGFfEpyFESummAta6sg/edit"", ""Sheet1!B:D""), 3, FALSE), ""Not Found"")"),"p ɛ p ə r ")</f>
        <v>p ɛ p ə r </v>
      </c>
    </row>
    <row r="9148">
      <c r="A9148" s="1" t="s">
        <v>9149</v>
      </c>
      <c r="B9148" s="1" t="s">
        <v>6138</v>
      </c>
      <c r="C9148" s="2">
        <f>IFERROR(__xludf.DUMMYFUNCTION("IFERROR(VLOOKUP(A9148, IMPORTRANGE(""https://docs.google.com/spreadsheets/d/1AVX9GT0dgogEBStecCXMMQ29tWz3gBrtNB8yIromXbY/edit?gid=741673867"", ""out1g!A:B""), 2, FALSE), 0)"),215.0)</f>
        <v>215</v>
      </c>
      <c r="D9148" s="2" t="str">
        <f>IFERROR(__xludf.DUMMYFUNCTION("IFERROR(VLOOKUP(A9148, IMPORTRANGE(""https://docs.google.com/spreadsheets/d/1-3Vjw2Cyy-mry5gbC8ypIR3YVGFfEpyFESummAta6sg/edit"", ""Sheet1!B:D""), 2, FALSE), ""Not Found"")"),"ʧæntɪŋ")</f>
        <v>ʧæntɪŋ</v>
      </c>
      <c r="E9148" s="2" t="str">
        <f>IFERROR(__xludf.DUMMYFUNCTION("IFERROR(VLOOKUP(A9148, IMPORTRANGE(""https://docs.google.com/spreadsheets/d/1-3Vjw2Cyy-mry5gbC8ypIR3YVGFfEpyFESummAta6sg/edit"", ""Sheet1!B:D""), 3, FALSE), ""Not Found"")"),"ʧ æ n t ɪ ŋ ")</f>
        <v>ʧ æ n t ɪ ŋ </v>
      </c>
    </row>
    <row r="9149">
      <c r="A9149" s="1" t="s">
        <v>9150</v>
      </c>
      <c r="B9149" s="1" t="s">
        <v>6138</v>
      </c>
      <c r="C9149" s="2">
        <f>IFERROR(__xludf.DUMMYFUNCTION("IFERROR(VLOOKUP(A9149, IMPORTRANGE(""https://docs.google.com/spreadsheets/d/1AVX9GT0dgogEBStecCXMMQ29tWz3gBrtNB8yIromXbY/edit?gid=741673867"", ""out1g!A:B""), 2, FALSE), 0)"),251.0)</f>
        <v>251</v>
      </c>
      <c r="D9149" s="2" t="str">
        <f>IFERROR(__xludf.DUMMYFUNCTION("IFERROR(VLOOKUP(A9149, IMPORTRANGE(""https://docs.google.com/spreadsheets/d/1-3Vjw2Cyy-mry5gbC8ypIR3YVGFfEpyFESummAta6sg/edit"", ""Sheet1!B:D""), 2, FALSE), ""Not Found"")"),"kræks")</f>
        <v>kræks</v>
      </c>
      <c r="E9149" s="2" t="str">
        <f>IFERROR(__xludf.DUMMYFUNCTION("IFERROR(VLOOKUP(A9149, IMPORTRANGE(""https://docs.google.com/spreadsheets/d/1-3Vjw2Cyy-mry5gbC8ypIR3YVGFfEpyFESummAta6sg/edit"", ""Sheet1!B:D""), 3, FALSE), ""Not Found"")"),"k r æ k s ")</f>
        <v>k r æ k s </v>
      </c>
    </row>
    <row r="9150">
      <c r="A9150" s="1" t="s">
        <v>9151</v>
      </c>
      <c r="B9150" s="1" t="s">
        <v>6138</v>
      </c>
      <c r="C9150" s="2">
        <f>IFERROR(__xludf.DUMMYFUNCTION("IFERROR(VLOOKUP(A9150, IMPORTRANGE(""https://docs.google.com/spreadsheets/d/1AVX9GT0dgogEBStecCXMMQ29tWz3gBrtNB8yIromXbY/edit?gid=741673867"", ""out1g!A:B""), 2, FALSE), 0)"),177.0)</f>
        <v>177</v>
      </c>
      <c r="D9150" s="2" t="str">
        <f>IFERROR(__xludf.DUMMYFUNCTION("IFERROR(VLOOKUP(A9150, IMPORTRANGE(""https://docs.google.com/spreadsheets/d/1-3Vjw2Cyy-mry5gbC8ypIR3YVGFfEpyFESummAta6sg/edit"", ""Sheet1!B:D""), 2, FALSE), ""Not Found"")"),"maɪnərz")</f>
        <v>maɪnərz</v>
      </c>
      <c r="E9150" s="2" t="str">
        <f>IFERROR(__xludf.DUMMYFUNCTION("IFERROR(VLOOKUP(A9150, IMPORTRANGE(""https://docs.google.com/spreadsheets/d/1-3Vjw2Cyy-mry5gbC8ypIR3YVGFfEpyFESummAta6sg/edit"", ""Sheet1!B:D""), 3, FALSE), ""Not Found"")"),"m a ɪ n ə r z ")</f>
        <v>m a ɪ n ə r z </v>
      </c>
    </row>
    <row r="9151">
      <c r="A9151" s="1" t="s">
        <v>9152</v>
      </c>
      <c r="B9151" s="1" t="s">
        <v>6138</v>
      </c>
      <c r="C9151" s="2">
        <f>IFERROR(__xludf.DUMMYFUNCTION("IFERROR(VLOOKUP(A9151, IMPORTRANGE(""https://docs.google.com/spreadsheets/d/1AVX9GT0dgogEBStecCXMMQ29tWz3gBrtNB8yIromXbY/edit?gid=741673867"", ""out1g!A:B""), 2, FALSE), 0)"),1669.0)</f>
        <v>1669</v>
      </c>
      <c r="D9151" s="2" t="str">
        <f>IFERROR(__xludf.DUMMYFUNCTION("IFERROR(VLOOKUP(A9151, IMPORTRANGE(""https://docs.google.com/spreadsheets/d/1-3Vjw2Cyy-mry5gbC8ypIR3YVGFfEpyFESummAta6sg/edit"", ""Sheet1!B:D""), 2, FALSE), ""Not Found"")"),"kɑrtər")</f>
        <v>kɑrtər</v>
      </c>
      <c r="E9151" s="2" t="str">
        <f>IFERROR(__xludf.DUMMYFUNCTION("IFERROR(VLOOKUP(A9151, IMPORTRANGE(""https://docs.google.com/spreadsheets/d/1-3Vjw2Cyy-mry5gbC8ypIR3YVGFfEpyFESummAta6sg/edit"", ""Sheet1!B:D""), 3, FALSE), ""Not Found"")"),"k ɑ r t ə r ")</f>
        <v>k ɑ r t ə r </v>
      </c>
    </row>
    <row r="9152">
      <c r="A9152" s="1" t="s">
        <v>9153</v>
      </c>
      <c r="B9152" s="1" t="s">
        <v>6138</v>
      </c>
      <c r="C9152" s="2">
        <f>IFERROR(__xludf.DUMMYFUNCTION("IFERROR(VLOOKUP(A9152, IMPORTRANGE(""https://docs.google.com/spreadsheets/d/1AVX9GT0dgogEBStecCXMMQ29tWz3gBrtNB8yIromXbY/edit?gid=741673867"", ""out1g!A:B""), 2, FALSE), 0)"),465.0)</f>
        <v>465</v>
      </c>
      <c r="D9152" s="2" t="str">
        <f>IFERROR(__xludf.DUMMYFUNCTION("IFERROR(VLOOKUP(A9152, IMPORTRANGE(""https://docs.google.com/spreadsheets/d/1-3Vjw2Cyy-mry5gbC8ypIR3YVGFfEpyFESummAta6sg/edit"", ""Sheet1!B:D""), 2, FALSE), ""Not Found"")"),"feθfəl")</f>
        <v>feθfəl</v>
      </c>
      <c r="E9152" s="2" t="str">
        <f>IFERROR(__xludf.DUMMYFUNCTION("IFERROR(VLOOKUP(A9152, IMPORTRANGE(""https://docs.google.com/spreadsheets/d/1-3Vjw2Cyy-mry5gbC8ypIR3YVGFfEpyFESummAta6sg/edit"", ""Sheet1!B:D""), 3, FALSE), ""Not Found"")"),"f e θ f ə l ")</f>
        <v>f e θ f ə l </v>
      </c>
    </row>
    <row r="9153">
      <c r="A9153" s="1" t="s">
        <v>9154</v>
      </c>
      <c r="B9153" s="1" t="s">
        <v>6138</v>
      </c>
      <c r="C9153" s="2">
        <f>IFERROR(__xludf.DUMMYFUNCTION("IFERROR(VLOOKUP(A9153, IMPORTRANGE(""https://docs.google.com/spreadsheets/d/1AVX9GT0dgogEBStecCXMMQ29tWz3gBrtNB8yIromXbY/edit?gid=741673867"", ""out1g!A:B""), 2, FALSE), 0)"),113.0)</f>
        <v>113</v>
      </c>
      <c r="D9153" s="2" t="str">
        <f>IFERROR(__xludf.DUMMYFUNCTION("IFERROR(VLOOKUP(A9153, IMPORTRANGE(""https://docs.google.com/spreadsheets/d/1-3Vjw2Cyy-mry5gbC8ypIR3YVGFfEpyFESummAta6sg/edit"", ""Sheet1!B:D""), 2, FALSE), ""Not Found"")"),"θɔr")</f>
        <v>θɔr</v>
      </c>
      <c r="E9153" s="2" t="str">
        <f>IFERROR(__xludf.DUMMYFUNCTION("IFERROR(VLOOKUP(A9153, IMPORTRANGE(""https://docs.google.com/spreadsheets/d/1-3Vjw2Cyy-mry5gbC8ypIR3YVGFfEpyFESummAta6sg/edit"", ""Sheet1!B:D""), 3, FALSE), ""Not Found"")"),"θ ɔ r ")</f>
        <v>θ ɔ r </v>
      </c>
    </row>
    <row r="9154">
      <c r="A9154" s="1" t="s">
        <v>9155</v>
      </c>
      <c r="B9154" s="1" t="s">
        <v>6138</v>
      </c>
      <c r="C9154" s="2">
        <f>IFERROR(__xludf.DUMMYFUNCTION("IFERROR(VLOOKUP(A9154, IMPORTRANGE(""https://docs.google.com/spreadsheets/d/1AVX9GT0dgogEBStecCXMMQ29tWz3gBrtNB8yIromXbY/edit?gid=741673867"", ""out1g!A:B""), 2, FALSE), 0)"),72.0)</f>
        <v>72</v>
      </c>
      <c r="D9154" s="2" t="str">
        <f>IFERROR(__xludf.DUMMYFUNCTION("IFERROR(VLOOKUP(A9154, IMPORTRANGE(""https://docs.google.com/spreadsheets/d/1-3Vjw2Cyy-mry5gbC8ypIR3YVGFfEpyFESummAta6sg/edit"", ""Sheet1!B:D""), 2, FALSE), ""Not Found"")"),"brəʃɪz")</f>
        <v>brəʃɪz</v>
      </c>
      <c r="E9154" s="2" t="str">
        <f>IFERROR(__xludf.DUMMYFUNCTION("IFERROR(VLOOKUP(A9154, IMPORTRANGE(""https://docs.google.com/spreadsheets/d/1-3Vjw2Cyy-mry5gbC8ypIR3YVGFfEpyFESummAta6sg/edit"", ""Sheet1!B:D""), 3, FALSE), ""Not Found"")"),"b r ə ʃ ɪ z ")</f>
        <v>b r ə ʃ ɪ z </v>
      </c>
    </row>
    <row r="9155">
      <c r="A9155" s="1" t="s">
        <v>9156</v>
      </c>
      <c r="B9155" s="1" t="s">
        <v>6138</v>
      </c>
      <c r="C9155" s="2">
        <f>IFERROR(__xludf.DUMMYFUNCTION("IFERROR(VLOOKUP(A9155, IMPORTRANGE(""https://docs.google.com/spreadsheets/d/1AVX9GT0dgogEBStecCXMMQ29tWz3gBrtNB8yIromXbY/edit?gid=741673867"", ""out1g!A:B""), 2, FALSE), 0)"),7211.0)</f>
        <v>7211</v>
      </c>
      <c r="D9155" s="2" t="str">
        <f>IFERROR(__xludf.DUMMYFUNCTION("IFERROR(VLOOKUP(A9155, IMPORTRANGE(""https://docs.google.com/spreadsheets/d/1-3Vjw2Cyy-mry5gbC8ypIR3YVGFfEpyFESummAta6sg/edit"", ""Sheet1!B:D""), 2, FALSE), ""Not Found"")"),"livɪŋ")</f>
        <v>livɪŋ</v>
      </c>
      <c r="E9155" s="2" t="str">
        <f>IFERROR(__xludf.DUMMYFUNCTION("IFERROR(VLOOKUP(A9155, IMPORTRANGE(""https://docs.google.com/spreadsheets/d/1-3Vjw2Cyy-mry5gbC8ypIR3YVGFfEpyFESummAta6sg/edit"", ""Sheet1!B:D""), 3, FALSE), ""Not Found"")"),"l i v ɪ ŋ ")</f>
        <v>l i v ɪ ŋ </v>
      </c>
    </row>
    <row r="9156">
      <c r="A9156" s="1" t="s">
        <v>9157</v>
      </c>
      <c r="B9156" s="1" t="s">
        <v>6138</v>
      </c>
      <c r="C9156" s="2">
        <f>IFERROR(__xludf.DUMMYFUNCTION("IFERROR(VLOOKUP(A9156, IMPORTRANGE(""https://docs.google.com/spreadsheets/d/1AVX9GT0dgogEBStecCXMMQ29tWz3gBrtNB8yIromXbY/edit?gid=741673867"", ""out1g!A:B""), 2, FALSE), 0)"),210.0)</f>
        <v>210</v>
      </c>
      <c r="D9156" s="2" t="str">
        <f>IFERROR(__xludf.DUMMYFUNCTION("IFERROR(VLOOKUP(A9156, IMPORTRANGE(""https://docs.google.com/spreadsheets/d/1-3Vjw2Cyy-mry5gbC8ypIR3YVGFfEpyFESummAta6sg/edit"", ""Sheet1!B:D""), 2, FALSE), ""Not Found"")"),"skrep")</f>
        <v>skrep</v>
      </c>
      <c r="E9156" s="2" t="str">
        <f>IFERROR(__xludf.DUMMYFUNCTION("IFERROR(VLOOKUP(A9156, IMPORTRANGE(""https://docs.google.com/spreadsheets/d/1-3Vjw2Cyy-mry5gbC8ypIR3YVGFfEpyFESummAta6sg/edit"", ""Sheet1!B:D""), 3, FALSE), ""Not Found"")"),"s k r e p ")</f>
        <v>s k r e p </v>
      </c>
    </row>
    <row r="9157">
      <c r="A9157" s="1" t="s">
        <v>9158</v>
      </c>
      <c r="B9157" s="1" t="s">
        <v>6138</v>
      </c>
      <c r="C9157" s="2">
        <f>IFERROR(__xludf.DUMMYFUNCTION("IFERROR(VLOOKUP(A9157, IMPORTRANGE(""https://docs.google.com/spreadsheets/d/1AVX9GT0dgogEBStecCXMMQ29tWz3gBrtNB8yIromXbY/edit?gid=741673867"", ""out1g!A:B""), 2, FALSE), 0)"),66.0)</f>
        <v>66</v>
      </c>
      <c r="D9157" s="2" t="str">
        <f>IFERROR(__xludf.DUMMYFUNCTION("IFERROR(VLOOKUP(A9157, IMPORTRANGE(""https://docs.google.com/spreadsheets/d/1-3Vjw2Cyy-mry5gbC8ypIR3YVGFfEpyFESummAta6sg/edit"", ""Sheet1!B:D""), 2, FALSE), ""Not Found"")"),"saɪkəlz")</f>
        <v>saɪkəlz</v>
      </c>
      <c r="E9157" s="2" t="str">
        <f>IFERROR(__xludf.DUMMYFUNCTION("IFERROR(VLOOKUP(A9157, IMPORTRANGE(""https://docs.google.com/spreadsheets/d/1-3Vjw2Cyy-mry5gbC8ypIR3YVGFfEpyFESummAta6sg/edit"", ""Sheet1!B:D""), 3, FALSE), ""Not Found"")"),"s a ɪ k ə l z ")</f>
        <v>s a ɪ k ə l z </v>
      </c>
    </row>
    <row r="9158">
      <c r="A9158" s="1" t="s">
        <v>9159</v>
      </c>
      <c r="B9158" s="1" t="s">
        <v>6138</v>
      </c>
      <c r="C9158" s="2">
        <f>IFERROR(__xludf.DUMMYFUNCTION("IFERROR(VLOOKUP(A9158, IMPORTRANGE(""https://docs.google.com/spreadsheets/d/1AVX9GT0dgogEBStecCXMMQ29tWz3gBrtNB8yIromXbY/edit?gid=741673867"", ""out1g!A:B""), 2, FALSE), 0)"),110.0)</f>
        <v>110</v>
      </c>
      <c r="D9158" s="2" t="str">
        <f>IFERROR(__xludf.DUMMYFUNCTION("IFERROR(VLOOKUP(A9158, IMPORTRANGE(""https://docs.google.com/spreadsheets/d/1-3Vjw2Cyy-mry5gbC8ypIR3YVGFfEpyFESummAta6sg/edit"", ""Sheet1!B:D""), 2, FALSE), ""Not Found"")"),"su")</f>
        <v>su</v>
      </c>
      <c r="E9158" s="2" t="str">
        <f>IFERROR(__xludf.DUMMYFUNCTION("IFERROR(VLOOKUP(A9158, IMPORTRANGE(""https://docs.google.com/spreadsheets/d/1-3Vjw2Cyy-mry5gbC8ypIR3YVGFfEpyFESummAta6sg/edit"", ""Sheet1!B:D""), 3, FALSE), ""Not Found"")"),"s u ")</f>
        <v>s u </v>
      </c>
    </row>
    <row r="9159">
      <c r="A9159" s="1" t="s">
        <v>9160</v>
      </c>
      <c r="B9159" s="1" t="s">
        <v>6138</v>
      </c>
      <c r="C9159" s="2">
        <f>IFERROR(__xludf.DUMMYFUNCTION("IFERROR(VLOOKUP(A9159, IMPORTRANGE(""https://docs.google.com/spreadsheets/d/1AVX9GT0dgogEBStecCXMMQ29tWz3gBrtNB8yIromXbY/edit?gid=741673867"", ""out1g!A:B""), 2, FALSE), 0)"),502.0)</f>
        <v>502</v>
      </c>
      <c r="D9159" s="2" t="str">
        <f>IFERROR(__xludf.DUMMYFUNCTION("IFERROR(VLOOKUP(A9159, IMPORTRANGE(""https://docs.google.com/spreadsheets/d/1-3Vjw2Cyy-mry5gbC8ypIR3YVGFfEpyFESummAta6sg/edit"", ""Sheet1!B:D""), 2, FALSE), ""Not Found"")"),"baʊns")</f>
        <v>baʊns</v>
      </c>
      <c r="E9159" s="2" t="str">
        <f>IFERROR(__xludf.DUMMYFUNCTION("IFERROR(VLOOKUP(A9159, IMPORTRANGE(""https://docs.google.com/spreadsheets/d/1-3Vjw2Cyy-mry5gbC8ypIR3YVGFfEpyFESummAta6sg/edit"", ""Sheet1!B:D""), 3, FALSE), ""Not Found"")"),"b a ʊ n s ")</f>
        <v>b a ʊ n s </v>
      </c>
    </row>
    <row r="9160">
      <c r="A9160" s="1" t="s">
        <v>9161</v>
      </c>
      <c r="B9160" s="1" t="s">
        <v>6138</v>
      </c>
      <c r="C9160" s="2">
        <f>IFERROR(__xludf.DUMMYFUNCTION("IFERROR(VLOOKUP(A9160, IMPORTRANGE(""https://docs.google.com/spreadsheets/d/1AVX9GT0dgogEBStecCXMMQ29tWz3gBrtNB8yIromXbY/edit?gid=741673867"", ""out1g!A:B""), 2, FALSE), 0)"),13.0)</f>
        <v>13</v>
      </c>
      <c r="D9160" s="2" t="str">
        <f>IFERROR(__xludf.DUMMYFUNCTION("IFERROR(VLOOKUP(A9160, IMPORTRANGE(""https://docs.google.com/spreadsheets/d/1-3Vjw2Cyy-mry5gbC8ypIR3YVGFfEpyFESummAta6sg/edit"", ""Sheet1!B:D""), 2, FALSE), ""Not Found"")"),"koʊstɑr")</f>
        <v>koʊstɑr</v>
      </c>
      <c r="E9160" s="2" t="str">
        <f>IFERROR(__xludf.DUMMYFUNCTION("IFERROR(VLOOKUP(A9160, IMPORTRANGE(""https://docs.google.com/spreadsheets/d/1-3Vjw2Cyy-mry5gbC8ypIR3YVGFfEpyFESummAta6sg/edit"", ""Sheet1!B:D""), 3, FALSE), ""Not Found"")"),"k o ʊ s t ɑ r ")</f>
        <v>k o ʊ s t ɑ r </v>
      </c>
    </row>
    <row r="9161">
      <c r="A9161" s="1" t="s">
        <v>9162</v>
      </c>
      <c r="B9161" s="1" t="s">
        <v>6138</v>
      </c>
      <c r="C9161" s="2">
        <f>IFERROR(__xludf.DUMMYFUNCTION("IFERROR(VLOOKUP(A9161, IMPORTRANGE(""https://docs.google.com/spreadsheets/d/1AVX9GT0dgogEBStecCXMMQ29tWz3gBrtNB8yIromXbY/edit?gid=741673867"", ""out1g!A:B""), 2, FALSE), 0)"),214.0)</f>
        <v>214</v>
      </c>
      <c r="D9161" s="2" t="str">
        <f>IFERROR(__xludf.DUMMYFUNCTION("IFERROR(VLOOKUP(A9161, IMPORTRANGE(""https://docs.google.com/spreadsheets/d/1-3Vjw2Cyy-mry5gbC8ypIR3YVGFfEpyFESummAta6sg/edit"", ""Sheet1!B:D""), 2, FALSE), ""Not Found"")"),"dɛrɪŋ")</f>
        <v>dɛrɪŋ</v>
      </c>
      <c r="E9161" s="2" t="str">
        <f>IFERROR(__xludf.DUMMYFUNCTION("IFERROR(VLOOKUP(A9161, IMPORTRANGE(""https://docs.google.com/spreadsheets/d/1-3Vjw2Cyy-mry5gbC8ypIR3YVGFfEpyFESummAta6sg/edit"", ""Sheet1!B:D""), 3, FALSE), ""Not Found"")"),"d ɛ r ɪ ŋ ")</f>
        <v>d ɛ r ɪ ŋ </v>
      </c>
    </row>
    <row r="9162">
      <c r="A9162" s="1" t="s">
        <v>9163</v>
      </c>
      <c r="B9162" s="1" t="s">
        <v>6138</v>
      </c>
      <c r="C9162" s="2">
        <f>IFERROR(__xludf.DUMMYFUNCTION("IFERROR(VLOOKUP(A9162, IMPORTRANGE(""https://docs.google.com/spreadsheets/d/1AVX9GT0dgogEBStecCXMMQ29tWz3gBrtNB8yIromXbY/edit?gid=741673867"", ""out1g!A:B""), 2, FALSE), 0)"),103.0)</f>
        <v>103</v>
      </c>
      <c r="D9162" s="2" t="str">
        <f>IFERROR(__xludf.DUMMYFUNCTION("IFERROR(VLOOKUP(A9162, IMPORTRANGE(""https://docs.google.com/spreadsheets/d/1-3Vjw2Cyy-mry5gbC8ypIR3YVGFfEpyFESummAta6sg/edit"", ""Sheet1!B:D""), 2, FALSE), ""Not Found"")"),"rɪŋkəlz")</f>
        <v>rɪŋkəlz</v>
      </c>
      <c r="E9162" s="2" t="str">
        <f>IFERROR(__xludf.DUMMYFUNCTION("IFERROR(VLOOKUP(A9162, IMPORTRANGE(""https://docs.google.com/spreadsheets/d/1-3Vjw2Cyy-mry5gbC8ypIR3YVGFfEpyFESummAta6sg/edit"", ""Sheet1!B:D""), 3, FALSE), ""Not Found"")"),"r ɪ ŋ k ə l z ")</f>
        <v>r ɪ ŋ k ə l z </v>
      </c>
    </row>
    <row r="9163">
      <c r="A9163" s="1" t="s">
        <v>9164</v>
      </c>
      <c r="B9163" s="1" t="s">
        <v>6138</v>
      </c>
      <c r="C9163" s="2">
        <f>IFERROR(__xludf.DUMMYFUNCTION("IFERROR(VLOOKUP(A9163, IMPORTRANGE(""https://docs.google.com/spreadsheets/d/1AVX9GT0dgogEBStecCXMMQ29tWz3gBrtNB8yIromXbY/edit?gid=741673867"", ""out1g!A:B""), 2, FALSE), 0)"),1237.0)</f>
        <v>1237</v>
      </c>
      <c r="D9163" s="2" t="str">
        <f>IFERROR(__xludf.DUMMYFUNCTION("IFERROR(VLOOKUP(A9163, IMPORTRANGE(""https://docs.google.com/spreadsheets/d/1-3Vjw2Cyy-mry5gbC8ypIR3YVGFfEpyFESummAta6sg/edit"", ""Sheet1!B:D""), 2, FALSE), ""Not Found"")"),"gɑrdz")</f>
        <v>gɑrdz</v>
      </c>
      <c r="E9163" s="2" t="str">
        <f>IFERROR(__xludf.DUMMYFUNCTION("IFERROR(VLOOKUP(A9163, IMPORTRANGE(""https://docs.google.com/spreadsheets/d/1-3Vjw2Cyy-mry5gbC8ypIR3YVGFfEpyFESummAta6sg/edit"", ""Sheet1!B:D""), 3, FALSE), ""Not Found"")"),"g ɑ r d z ")</f>
        <v>g ɑ r d z </v>
      </c>
    </row>
    <row r="9164">
      <c r="A9164" s="1" t="s">
        <v>9165</v>
      </c>
      <c r="B9164" s="1" t="s">
        <v>6138</v>
      </c>
      <c r="C9164" s="2">
        <f>IFERROR(__xludf.DUMMYFUNCTION("IFERROR(VLOOKUP(A9164, IMPORTRANGE(""https://docs.google.com/spreadsheets/d/1AVX9GT0dgogEBStecCXMMQ29tWz3gBrtNB8yIromXbY/edit?gid=741673867"", ""out1g!A:B""), 2, FALSE), 0)"),67.0)</f>
        <v>67</v>
      </c>
      <c r="D9164" s="2" t="str">
        <f>IFERROR(__xludf.DUMMYFUNCTION("IFERROR(VLOOKUP(A9164, IMPORTRANGE(""https://docs.google.com/spreadsheets/d/1-3Vjw2Cyy-mry5gbC8ypIR3YVGFfEpyFESummAta6sg/edit"", ""Sheet1!B:D""), 2, FALSE), ""Not Found"")"),"stəmpi")</f>
        <v>stəmpi</v>
      </c>
      <c r="E9164" s="2" t="str">
        <f>IFERROR(__xludf.DUMMYFUNCTION("IFERROR(VLOOKUP(A9164, IMPORTRANGE(""https://docs.google.com/spreadsheets/d/1-3Vjw2Cyy-mry5gbC8ypIR3YVGFfEpyFESummAta6sg/edit"", ""Sheet1!B:D""), 3, FALSE), ""Not Found"")"),"s t ə m p i ")</f>
        <v>s t ə m p i </v>
      </c>
    </row>
    <row r="9165">
      <c r="A9165" s="1" t="s">
        <v>9166</v>
      </c>
      <c r="B9165" s="1" t="s">
        <v>6138</v>
      </c>
      <c r="C9165" s="2">
        <f>IFERROR(__xludf.DUMMYFUNCTION("IFERROR(VLOOKUP(A9165, IMPORTRANGE(""https://docs.google.com/spreadsheets/d/1AVX9GT0dgogEBStecCXMMQ29tWz3gBrtNB8yIromXbY/edit?gid=741673867"", ""out1g!A:B""), 2, FALSE), 0)"),217.0)</f>
        <v>217</v>
      </c>
      <c r="D9165" s="2" t="str">
        <f>IFERROR(__xludf.DUMMYFUNCTION("IFERROR(VLOOKUP(A9165, IMPORTRANGE(""https://docs.google.com/spreadsheets/d/1-3Vjw2Cyy-mry5gbC8ypIR3YVGFfEpyFESummAta6sg/edit"", ""Sheet1!B:D""), 2, FALSE), ""Not Found"")"),"floʊɪŋ")</f>
        <v>floʊɪŋ</v>
      </c>
      <c r="E9165" s="2" t="str">
        <f>IFERROR(__xludf.DUMMYFUNCTION("IFERROR(VLOOKUP(A9165, IMPORTRANGE(""https://docs.google.com/spreadsheets/d/1-3Vjw2Cyy-mry5gbC8ypIR3YVGFfEpyFESummAta6sg/edit"", ""Sheet1!B:D""), 3, FALSE), ""Not Found"")"),"f l o ʊ ɪ ŋ ")</f>
        <v>f l o ʊ ɪ ŋ </v>
      </c>
    </row>
    <row r="9166">
      <c r="A9166" s="1" t="s">
        <v>9167</v>
      </c>
      <c r="B9166" s="1" t="s">
        <v>6138</v>
      </c>
      <c r="C9166" s="2">
        <f>IFERROR(__xludf.DUMMYFUNCTION("IFERROR(VLOOKUP(A9166, IMPORTRANGE(""https://docs.google.com/spreadsheets/d/1AVX9GT0dgogEBStecCXMMQ29tWz3gBrtNB8yIromXbY/edit?gid=741673867"", ""out1g!A:B""), 2, FALSE), 0)"),143.0)</f>
        <v>143</v>
      </c>
      <c r="D9166" s="2" t="str">
        <f>IFERROR(__xludf.DUMMYFUNCTION("IFERROR(VLOOKUP(A9166, IMPORTRANGE(""https://docs.google.com/spreadsheets/d/1-3Vjw2Cyy-mry5gbC8ypIR3YVGFfEpyFESummAta6sg/edit"", ""Sheet1!B:D""), 2, FALSE), ""Not Found"")"),"klɪkɪŋ")</f>
        <v>klɪkɪŋ</v>
      </c>
      <c r="E9166" s="2" t="str">
        <f>IFERROR(__xludf.DUMMYFUNCTION("IFERROR(VLOOKUP(A9166, IMPORTRANGE(""https://docs.google.com/spreadsheets/d/1-3Vjw2Cyy-mry5gbC8ypIR3YVGFfEpyFESummAta6sg/edit"", ""Sheet1!B:D""), 3, FALSE), ""Not Found"")"),"k l ɪ k ɪ ŋ ")</f>
        <v>k l ɪ k ɪ ŋ </v>
      </c>
    </row>
    <row r="9167">
      <c r="A9167" s="1" t="s">
        <v>9168</v>
      </c>
      <c r="B9167" s="1" t="s">
        <v>6138</v>
      </c>
      <c r="C9167" s="2">
        <f>IFERROR(__xludf.DUMMYFUNCTION("IFERROR(VLOOKUP(A9167, IMPORTRANGE(""https://docs.google.com/spreadsheets/d/1AVX9GT0dgogEBStecCXMMQ29tWz3gBrtNB8yIromXbY/edit?gid=741673867"", ""out1g!A:B""), 2, FALSE), 0)"),623.0)</f>
        <v>623</v>
      </c>
      <c r="D9167" s="2" t="str">
        <f>IFERROR(__xludf.DUMMYFUNCTION("IFERROR(VLOOKUP(A9167, IMPORTRANGE(""https://docs.google.com/spreadsheets/d/1-3Vjw2Cyy-mry5gbC8ypIR3YVGFfEpyFESummAta6sg/edit"", ""Sheet1!B:D""), 2, FALSE), ""Not Found"")"),"ʃɛrɪŋ")</f>
        <v>ʃɛrɪŋ</v>
      </c>
      <c r="E9167" s="2" t="str">
        <f>IFERROR(__xludf.DUMMYFUNCTION("IFERROR(VLOOKUP(A9167, IMPORTRANGE(""https://docs.google.com/spreadsheets/d/1-3Vjw2Cyy-mry5gbC8ypIR3YVGFfEpyFESummAta6sg/edit"", ""Sheet1!B:D""), 3, FALSE), ""Not Found"")"),"ʃ ɛ r ɪ ŋ ")</f>
        <v>ʃ ɛ r ɪ ŋ </v>
      </c>
    </row>
    <row r="9168">
      <c r="A9168" s="1" t="s">
        <v>9169</v>
      </c>
      <c r="B9168" s="1" t="s">
        <v>6138</v>
      </c>
      <c r="C9168" s="2">
        <f>IFERROR(__xludf.DUMMYFUNCTION("IFERROR(VLOOKUP(A9168, IMPORTRANGE(""https://docs.google.com/spreadsheets/d/1AVX9GT0dgogEBStecCXMMQ29tWz3gBrtNB8yIromXbY/edit?gid=741673867"", ""out1g!A:B""), 2, FALSE), 0)"),77.0)</f>
        <v>77</v>
      </c>
      <c r="D9168" s="2" t="str">
        <f>IFERROR(__xludf.DUMMYFUNCTION("IFERROR(VLOOKUP(A9168, IMPORTRANGE(""https://docs.google.com/spreadsheets/d/1-3Vjw2Cyy-mry5gbC8ypIR3YVGFfEpyFESummAta6sg/edit"", ""Sheet1!B:D""), 2, FALSE), ""Not Found"")"),"ʃrɪŋks")</f>
        <v>ʃrɪŋks</v>
      </c>
      <c r="E9168" s="2" t="str">
        <f>IFERROR(__xludf.DUMMYFUNCTION("IFERROR(VLOOKUP(A9168, IMPORTRANGE(""https://docs.google.com/spreadsheets/d/1-3Vjw2Cyy-mry5gbC8ypIR3YVGFfEpyFESummAta6sg/edit"", ""Sheet1!B:D""), 3, FALSE), ""Not Found"")"),"ʃ r ɪ ŋ k s ")</f>
        <v>ʃ r ɪ ŋ k s </v>
      </c>
    </row>
    <row r="9169">
      <c r="A9169" s="1" t="s">
        <v>9170</v>
      </c>
      <c r="B9169" s="1" t="s">
        <v>6138</v>
      </c>
      <c r="C9169" s="2">
        <f>IFERROR(__xludf.DUMMYFUNCTION("IFERROR(VLOOKUP(A9169, IMPORTRANGE(""https://docs.google.com/spreadsheets/d/1AVX9GT0dgogEBStecCXMMQ29tWz3gBrtNB8yIromXbY/edit?gid=741673867"", ""out1g!A:B""), 2, FALSE), 0)"),72.0)</f>
        <v>72</v>
      </c>
      <c r="D9169" s="2" t="str">
        <f>IFERROR(__xludf.DUMMYFUNCTION("IFERROR(VLOOKUP(A9169, IMPORTRANGE(""https://docs.google.com/spreadsheets/d/1-3Vjw2Cyy-mry5gbC8ypIR3YVGFfEpyFESummAta6sg/edit"", ""Sheet1!B:D""), 2, FALSE), ""Not Found"")"),"ɪlɛkt")</f>
        <v>ɪlɛkt</v>
      </c>
      <c r="E9169" s="2" t="str">
        <f>IFERROR(__xludf.DUMMYFUNCTION("IFERROR(VLOOKUP(A9169, IMPORTRANGE(""https://docs.google.com/spreadsheets/d/1-3Vjw2Cyy-mry5gbC8ypIR3YVGFfEpyFESummAta6sg/edit"", ""Sheet1!B:D""), 3, FALSE), ""Not Found"")"),"ɪ l ɛ k t ")</f>
        <v>ɪ l ɛ k t </v>
      </c>
    </row>
    <row r="9170">
      <c r="A9170" s="1" t="s">
        <v>9171</v>
      </c>
      <c r="B9170" s="1" t="s">
        <v>6138</v>
      </c>
      <c r="C9170" s="2">
        <f>IFERROR(__xludf.DUMMYFUNCTION("IFERROR(VLOOKUP(A9170, IMPORTRANGE(""https://docs.google.com/spreadsheets/d/1AVX9GT0dgogEBStecCXMMQ29tWz3gBrtNB8yIromXbY/edit?gid=741673867"", ""out1g!A:B""), 2, FALSE), 0)"),158.0)</f>
        <v>158</v>
      </c>
      <c r="D9170" s="2" t="str">
        <f>IFERROR(__xludf.DUMMYFUNCTION("IFERROR(VLOOKUP(A9170, IMPORTRANGE(""https://docs.google.com/spreadsheets/d/1-3Vjw2Cyy-mry5gbC8ypIR3YVGFfEpyFESummAta6sg/edit"", ""Sheet1!B:D""), 2, FALSE), ""Not Found"")"),"ʤəmpi")</f>
        <v>ʤəmpi</v>
      </c>
      <c r="E9170" s="2" t="str">
        <f>IFERROR(__xludf.DUMMYFUNCTION("IFERROR(VLOOKUP(A9170, IMPORTRANGE(""https://docs.google.com/spreadsheets/d/1-3Vjw2Cyy-mry5gbC8ypIR3YVGFfEpyFESummAta6sg/edit"", ""Sheet1!B:D""), 3, FALSE), ""Not Found"")"),"ʤ ə m p i ")</f>
        <v>ʤ ə m p i </v>
      </c>
    </row>
    <row r="9171">
      <c r="A9171" s="1" t="s">
        <v>9172</v>
      </c>
      <c r="B9171" s="1" t="s">
        <v>6138</v>
      </c>
      <c r="C9171" s="2">
        <f>IFERROR(__xludf.DUMMYFUNCTION("IFERROR(VLOOKUP(A9171, IMPORTRANGE(""https://docs.google.com/spreadsheets/d/1AVX9GT0dgogEBStecCXMMQ29tWz3gBrtNB8yIromXbY/edit?gid=741673867"", ""out1g!A:B""), 2, FALSE), 0)"),243.0)</f>
        <v>243</v>
      </c>
      <c r="D9171" s="2" t="str">
        <f>IFERROR(__xludf.DUMMYFUNCTION("IFERROR(VLOOKUP(A9171, IMPORTRANGE(""https://docs.google.com/spreadsheets/d/1-3Vjw2Cyy-mry5gbC8ypIR3YVGFfEpyFESummAta6sg/edit"", ""Sheet1!B:D""), 2, FALSE), ""Not Found"")"),"pu")</f>
        <v>pu</v>
      </c>
      <c r="E9171" s="2" t="str">
        <f>IFERROR(__xludf.DUMMYFUNCTION("IFERROR(VLOOKUP(A9171, IMPORTRANGE(""https://docs.google.com/spreadsheets/d/1-3Vjw2Cyy-mry5gbC8ypIR3YVGFfEpyFESummAta6sg/edit"", ""Sheet1!B:D""), 3, FALSE), ""Not Found"")"),"p u ")</f>
        <v>p u </v>
      </c>
    </row>
    <row r="9172">
      <c r="A9172" s="1" t="s">
        <v>9173</v>
      </c>
      <c r="B9172" s="1" t="s">
        <v>6138</v>
      </c>
      <c r="C9172" s="2">
        <f>IFERROR(__xludf.DUMMYFUNCTION("IFERROR(VLOOKUP(A9172, IMPORTRANGE(""https://docs.google.com/spreadsheets/d/1AVX9GT0dgogEBStecCXMMQ29tWz3gBrtNB8yIromXbY/edit?gid=741673867"", ""out1g!A:B""), 2, FALSE), 0)"),156.0)</f>
        <v>156</v>
      </c>
      <c r="D9172" s="2" t="str">
        <f>IFERROR(__xludf.DUMMYFUNCTION("IFERROR(VLOOKUP(A9172, IMPORTRANGE(""https://docs.google.com/spreadsheets/d/1-3Vjw2Cyy-mry5gbC8ypIR3YVGFfEpyFESummAta6sg/edit"", ""Sheet1!B:D""), 2, FALSE), ""Not Found"")"),"lu")</f>
        <v>lu</v>
      </c>
      <c r="E9172" s="2" t="str">
        <f>IFERROR(__xludf.DUMMYFUNCTION("IFERROR(VLOOKUP(A9172, IMPORTRANGE(""https://docs.google.com/spreadsheets/d/1-3Vjw2Cyy-mry5gbC8ypIR3YVGFfEpyFESummAta6sg/edit"", ""Sheet1!B:D""), 3, FALSE), ""Not Found"")"),"l u ")</f>
        <v>l u </v>
      </c>
    </row>
    <row r="9173">
      <c r="A9173" s="1" t="s">
        <v>9174</v>
      </c>
      <c r="B9173" s="1" t="s">
        <v>6138</v>
      </c>
      <c r="C9173" s="2">
        <f>IFERROR(__xludf.DUMMYFUNCTION("IFERROR(VLOOKUP(A9173, IMPORTRANGE(""https://docs.google.com/spreadsheets/d/1AVX9GT0dgogEBStecCXMMQ29tWz3gBrtNB8yIromXbY/edit?gid=741673867"", ""out1g!A:B""), 2, FALSE), 0)"),50.0)</f>
        <v>50</v>
      </c>
      <c r="D9173" s="2" t="str">
        <f>IFERROR(__xludf.DUMMYFUNCTION("IFERROR(VLOOKUP(A9173, IMPORTRANGE(""https://docs.google.com/spreadsheets/d/1-3Vjw2Cyy-mry5gbC8ypIR3YVGFfEpyFESummAta6sg/edit"", ""Sheet1!B:D""), 2, FALSE), ""Not Found"")"),"pɛrz")</f>
        <v>pɛrz</v>
      </c>
      <c r="E9173" s="2" t="str">
        <f>IFERROR(__xludf.DUMMYFUNCTION("IFERROR(VLOOKUP(A9173, IMPORTRANGE(""https://docs.google.com/spreadsheets/d/1-3Vjw2Cyy-mry5gbC8ypIR3YVGFfEpyFESummAta6sg/edit"", ""Sheet1!B:D""), 3, FALSE), ""Not Found"")"),"p ɛ r z ")</f>
        <v>p ɛ r z </v>
      </c>
    </row>
    <row r="9174">
      <c r="A9174" s="1" t="s">
        <v>9175</v>
      </c>
      <c r="B9174" s="1" t="s">
        <v>6138</v>
      </c>
      <c r="C9174" s="2">
        <f>IFERROR(__xludf.DUMMYFUNCTION("IFERROR(VLOOKUP(A9174, IMPORTRANGE(""https://docs.google.com/spreadsheets/d/1AVX9GT0dgogEBStecCXMMQ29tWz3gBrtNB8yIromXbY/edit?gid=741673867"", ""out1g!A:B""), 2, FALSE), 0)"),61.0)</f>
        <v>61</v>
      </c>
      <c r="D9174" s="2" t="str">
        <f>IFERROR(__xludf.DUMMYFUNCTION("IFERROR(VLOOKUP(A9174, IMPORTRANGE(""https://docs.google.com/spreadsheets/d/1-3Vjw2Cyy-mry5gbC8ypIR3YVGFfEpyFESummAta6sg/edit"", ""Sheet1!B:D""), 2, FALSE), ""Not Found"")"),"baɪkərz")</f>
        <v>baɪkərz</v>
      </c>
      <c r="E9174" s="2" t="str">
        <f>IFERROR(__xludf.DUMMYFUNCTION("IFERROR(VLOOKUP(A9174, IMPORTRANGE(""https://docs.google.com/spreadsheets/d/1-3Vjw2Cyy-mry5gbC8ypIR3YVGFfEpyFESummAta6sg/edit"", ""Sheet1!B:D""), 3, FALSE), ""Not Found"")"),"b a ɪ k ə r z ")</f>
        <v>b a ɪ k ə r z </v>
      </c>
    </row>
    <row r="9175">
      <c r="A9175" s="1" t="s">
        <v>9176</v>
      </c>
      <c r="B9175" s="1" t="s">
        <v>6138</v>
      </c>
      <c r="C9175" s="2">
        <f>IFERROR(__xludf.DUMMYFUNCTION("IFERROR(VLOOKUP(A9175, IMPORTRANGE(""https://docs.google.com/spreadsheets/d/1AVX9GT0dgogEBStecCXMMQ29tWz3gBrtNB8yIromXbY/edit?gid=741673867"", ""out1g!A:B""), 2, FALSE), 0)"),35.0)</f>
        <v>35</v>
      </c>
      <c r="D9175" s="2" t="str">
        <f>IFERROR(__xludf.DUMMYFUNCTION("IFERROR(VLOOKUP(A9175, IMPORTRANGE(""https://docs.google.com/spreadsheets/d/1-3Vjw2Cyy-mry5gbC8ypIR3YVGFfEpyFESummAta6sg/edit"", ""Sheet1!B:D""), 2, FALSE), ""Not Found"")"),"strɛp")</f>
        <v>strɛp</v>
      </c>
      <c r="E9175" s="2" t="str">
        <f>IFERROR(__xludf.DUMMYFUNCTION("IFERROR(VLOOKUP(A9175, IMPORTRANGE(""https://docs.google.com/spreadsheets/d/1-3Vjw2Cyy-mry5gbC8ypIR3YVGFfEpyFESummAta6sg/edit"", ""Sheet1!B:D""), 3, FALSE), ""Not Found"")"),"s t r ɛ p ")</f>
        <v>s t r ɛ p </v>
      </c>
    </row>
    <row r="9176">
      <c r="A9176" s="1" t="s">
        <v>9177</v>
      </c>
      <c r="B9176" s="1" t="s">
        <v>6138</v>
      </c>
      <c r="C9176" s="2">
        <f>IFERROR(__xludf.DUMMYFUNCTION("IFERROR(VLOOKUP(A9176, IMPORTRANGE(""https://docs.google.com/spreadsheets/d/1AVX9GT0dgogEBStecCXMMQ29tWz3gBrtNB8yIromXbY/edit?gid=741673867"", ""out1g!A:B""), 2, FALSE), 0)"),107.0)</f>
        <v>107</v>
      </c>
      <c r="D9176" s="2" t="str">
        <f>IFERROR(__xludf.DUMMYFUNCTION("IFERROR(VLOOKUP(A9176, IMPORTRANGE(""https://docs.google.com/spreadsheets/d/1-3Vjw2Cyy-mry5gbC8ypIR3YVGFfEpyFESummAta6sg/edit"", ""Sheet1!B:D""), 2, FALSE), ""Not Found"")"),"bɪmboʊ")</f>
        <v>bɪmboʊ</v>
      </c>
      <c r="E9176" s="2" t="str">
        <f>IFERROR(__xludf.DUMMYFUNCTION("IFERROR(VLOOKUP(A9176, IMPORTRANGE(""https://docs.google.com/spreadsheets/d/1-3Vjw2Cyy-mry5gbC8ypIR3YVGFfEpyFESummAta6sg/edit"", ""Sheet1!B:D""), 3, FALSE), ""Not Found"")"),"b ɪ m b o ʊ ")</f>
        <v>b ɪ m b o ʊ </v>
      </c>
    </row>
    <row r="9177">
      <c r="A9177" s="1" t="s">
        <v>9178</v>
      </c>
      <c r="B9177" s="1" t="s">
        <v>6138</v>
      </c>
      <c r="C9177" s="2">
        <f>IFERROR(__xludf.DUMMYFUNCTION("IFERROR(VLOOKUP(A9177, IMPORTRANGE(""https://docs.google.com/spreadsheets/d/1AVX9GT0dgogEBStecCXMMQ29tWz3gBrtNB8yIromXbY/edit?gid=741673867"", ""out1g!A:B""), 2, FALSE), 0)"),195.0)</f>
        <v>195</v>
      </c>
      <c r="D9177" s="2" t="str">
        <f>IFERROR(__xludf.DUMMYFUNCTION("IFERROR(VLOOKUP(A9177, IMPORTRANGE(""https://docs.google.com/spreadsheets/d/1-3Vjw2Cyy-mry5gbC8ypIR3YVGFfEpyFESummAta6sg/edit"", ""Sheet1!B:D""), 2, FALSE), ""Not Found"")"),"ʤɔɪnts")</f>
        <v>ʤɔɪnts</v>
      </c>
      <c r="E9177" s="2" t="str">
        <f>IFERROR(__xludf.DUMMYFUNCTION("IFERROR(VLOOKUP(A9177, IMPORTRANGE(""https://docs.google.com/spreadsheets/d/1-3Vjw2Cyy-mry5gbC8ypIR3YVGFfEpyFESummAta6sg/edit"", ""Sheet1!B:D""), 3, FALSE), ""Not Found"")"),"ʤ ɔ ɪ n t s ")</f>
        <v>ʤ ɔ ɪ n t s </v>
      </c>
    </row>
    <row r="9178">
      <c r="A9178" s="1" t="s">
        <v>9179</v>
      </c>
      <c r="B9178" s="1" t="s">
        <v>6138</v>
      </c>
      <c r="C9178" s="2">
        <f>IFERROR(__xludf.DUMMYFUNCTION("IFERROR(VLOOKUP(A9178, IMPORTRANGE(""https://docs.google.com/spreadsheets/d/1AVX9GT0dgogEBStecCXMMQ29tWz3gBrtNB8yIromXbY/edit?gid=741673867"", ""out1g!A:B""), 2, FALSE), 0)"),506.0)</f>
        <v>506</v>
      </c>
      <c r="D9178" s="2" t="str">
        <f>IFERROR(__xludf.DUMMYFUNCTION("IFERROR(VLOOKUP(A9178, IMPORTRANGE(""https://docs.google.com/spreadsheets/d/1-3Vjw2Cyy-mry5gbC8ypIR3YVGFfEpyFESummAta6sg/edit"", ""Sheet1!B:D""), 2, FALSE), ""Not Found"")"),"kɔriən")</f>
        <v>kɔriən</v>
      </c>
      <c r="E9178" s="2" t="str">
        <f>IFERROR(__xludf.DUMMYFUNCTION("IFERROR(VLOOKUP(A9178, IMPORTRANGE(""https://docs.google.com/spreadsheets/d/1-3Vjw2Cyy-mry5gbC8ypIR3YVGFfEpyFESummAta6sg/edit"", ""Sheet1!B:D""), 3, FALSE), ""Not Found"")"),"k ɔ r i ə n ")</f>
        <v>k ɔ r i ə n </v>
      </c>
    </row>
    <row r="9179">
      <c r="A9179" s="1" t="s">
        <v>9180</v>
      </c>
      <c r="B9179" s="1" t="s">
        <v>6138</v>
      </c>
      <c r="C9179" s="2">
        <f>IFERROR(__xludf.DUMMYFUNCTION("IFERROR(VLOOKUP(A9179, IMPORTRANGE(""https://docs.google.com/spreadsheets/d/1AVX9GT0dgogEBStecCXMMQ29tWz3gBrtNB8yIromXbY/edit?gid=741673867"", ""out1g!A:B""), 2, FALSE), 0)"),320.0)</f>
        <v>320</v>
      </c>
      <c r="D9179" s="2" t="str">
        <f>IFERROR(__xludf.DUMMYFUNCTION("IFERROR(VLOOKUP(A9179, IMPORTRANGE(""https://docs.google.com/spreadsheets/d/1-3Vjw2Cyy-mry5gbC8ypIR3YVGFfEpyFESummAta6sg/edit"", ""Sheet1!B:D""), 2, FALSE), ""Not Found"")"),"bəŋk")</f>
        <v>bəŋk</v>
      </c>
      <c r="E9179" s="2" t="str">
        <f>IFERROR(__xludf.DUMMYFUNCTION("IFERROR(VLOOKUP(A9179, IMPORTRANGE(""https://docs.google.com/spreadsheets/d/1-3Vjw2Cyy-mry5gbC8ypIR3YVGFfEpyFESummAta6sg/edit"", ""Sheet1!B:D""), 3, FALSE), ""Not Found"")"),"b ə ŋ k ")</f>
        <v>b ə ŋ k </v>
      </c>
    </row>
    <row r="9180">
      <c r="A9180" s="1" t="s">
        <v>9181</v>
      </c>
      <c r="B9180" s="1" t="s">
        <v>6138</v>
      </c>
      <c r="C9180" s="2">
        <f>IFERROR(__xludf.DUMMYFUNCTION("IFERROR(VLOOKUP(A9180, IMPORTRANGE(""https://docs.google.com/spreadsheets/d/1AVX9GT0dgogEBStecCXMMQ29tWz3gBrtNB8yIromXbY/edit?gid=741673867"", ""out1g!A:B""), 2, FALSE), 0)"),76.0)</f>
        <v>76</v>
      </c>
      <c r="D9180" s="2" t="str">
        <f>IFERROR(__xludf.DUMMYFUNCTION("IFERROR(VLOOKUP(A9180, IMPORTRANGE(""https://docs.google.com/spreadsheets/d/1-3Vjw2Cyy-mry5gbC8ypIR3YVGFfEpyFESummAta6sg/edit"", ""Sheet1!B:D""), 2, FALSE), ""Not Found"")"),"mɑnoʊ")</f>
        <v>mɑnoʊ</v>
      </c>
      <c r="E9180" s="2" t="str">
        <f>IFERROR(__xludf.DUMMYFUNCTION("IFERROR(VLOOKUP(A9180, IMPORTRANGE(""https://docs.google.com/spreadsheets/d/1-3Vjw2Cyy-mry5gbC8ypIR3YVGFfEpyFESummAta6sg/edit"", ""Sheet1!B:D""), 3, FALSE), ""Not Found"")"),"m ɑ n o ʊ ")</f>
        <v>m ɑ n o ʊ </v>
      </c>
    </row>
    <row r="9181">
      <c r="A9181" s="1" t="s">
        <v>9182</v>
      </c>
      <c r="B9181" s="1" t="s">
        <v>6138</v>
      </c>
      <c r="C9181" s="2">
        <f>IFERROR(__xludf.DUMMYFUNCTION("IFERROR(VLOOKUP(A9181, IMPORTRANGE(""https://docs.google.com/spreadsheets/d/1AVX9GT0dgogEBStecCXMMQ29tWz3gBrtNB8yIromXbY/edit?gid=741673867"", ""out1g!A:B""), 2, FALSE), 0)"),40.0)</f>
        <v>40</v>
      </c>
      <c r="D9181" s="2" t="str">
        <f>IFERROR(__xludf.DUMMYFUNCTION("IFERROR(VLOOKUP(A9181, IMPORTRANGE(""https://docs.google.com/spreadsheets/d/1-3Vjw2Cyy-mry5gbC8ypIR3YVGFfEpyFESummAta6sg/edit"", ""Sheet1!B:D""), 2, FALSE), ""Not Found"")"),"sɑkəts")</f>
        <v>sɑkəts</v>
      </c>
      <c r="E9181" s="2" t="str">
        <f>IFERROR(__xludf.DUMMYFUNCTION("IFERROR(VLOOKUP(A9181, IMPORTRANGE(""https://docs.google.com/spreadsheets/d/1-3Vjw2Cyy-mry5gbC8ypIR3YVGFfEpyFESummAta6sg/edit"", ""Sheet1!B:D""), 3, FALSE), ""Not Found"")"),"s ɑ k ə t s ")</f>
        <v>s ɑ k ə t s </v>
      </c>
    </row>
    <row r="9182">
      <c r="A9182" s="1" t="s">
        <v>9183</v>
      </c>
      <c r="B9182" s="1" t="s">
        <v>6138</v>
      </c>
      <c r="C9182" s="2">
        <f>IFERROR(__xludf.DUMMYFUNCTION("IFERROR(VLOOKUP(A9182, IMPORTRANGE(""https://docs.google.com/spreadsheets/d/1AVX9GT0dgogEBStecCXMMQ29tWz3gBrtNB8yIromXbY/edit?gid=741673867"", ""out1g!A:B""), 2, FALSE), 0)"),68.0)</f>
        <v>68</v>
      </c>
      <c r="D9182" s="2" t="str">
        <f>IFERROR(__xludf.DUMMYFUNCTION("IFERROR(VLOOKUP(A9182, IMPORTRANGE(""https://docs.google.com/spreadsheets/d/1-3Vjw2Cyy-mry5gbC8ypIR3YVGFfEpyFESummAta6sg/edit"", ""Sheet1!B:D""), 2, FALSE), ""Not Found"")"),"mitərz")</f>
        <v>mitərz</v>
      </c>
      <c r="E9182" s="2" t="str">
        <f>IFERROR(__xludf.DUMMYFUNCTION("IFERROR(VLOOKUP(A9182, IMPORTRANGE(""https://docs.google.com/spreadsheets/d/1-3Vjw2Cyy-mry5gbC8ypIR3YVGFfEpyFESummAta6sg/edit"", ""Sheet1!B:D""), 3, FALSE), ""Not Found"")"),"m i t ə r z ")</f>
        <v>m i t ə r z </v>
      </c>
    </row>
    <row r="9183">
      <c r="A9183" s="1" t="s">
        <v>9184</v>
      </c>
      <c r="B9183" s="1" t="s">
        <v>6138</v>
      </c>
      <c r="C9183" s="2">
        <f>IFERROR(__xludf.DUMMYFUNCTION("IFERROR(VLOOKUP(A9183, IMPORTRANGE(""https://docs.google.com/spreadsheets/d/1AVX9GT0dgogEBStecCXMMQ29tWz3gBrtNB8yIromXbY/edit?gid=741673867"", ""out1g!A:B""), 2, FALSE), 0)"),77.0)</f>
        <v>77</v>
      </c>
      <c r="D9183" s="2" t="str">
        <f>IFERROR(__xludf.DUMMYFUNCTION("IFERROR(VLOOKUP(A9183, IMPORTRANGE(""https://docs.google.com/spreadsheets/d/1-3Vjw2Cyy-mry5gbC8ypIR3YVGFfEpyFESummAta6sg/edit"", ""Sheet1!B:D""), 2, FALSE), ""Not Found"")"),"ədu")</f>
        <v>ədu</v>
      </c>
      <c r="E9183" s="2" t="str">
        <f>IFERROR(__xludf.DUMMYFUNCTION("IFERROR(VLOOKUP(A9183, IMPORTRANGE(""https://docs.google.com/spreadsheets/d/1-3Vjw2Cyy-mry5gbC8ypIR3YVGFfEpyFESummAta6sg/edit"", ""Sheet1!B:D""), 3, FALSE), ""Not Found"")"),"ə d u ")</f>
        <v>ə d u </v>
      </c>
    </row>
    <row r="9184">
      <c r="A9184" s="1" t="s">
        <v>9185</v>
      </c>
      <c r="B9184" s="1" t="s">
        <v>6138</v>
      </c>
      <c r="C9184" s="2">
        <f>IFERROR(__xludf.DUMMYFUNCTION("IFERROR(VLOOKUP(A9184, IMPORTRANGE(""https://docs.google.com/spreadsheets/d/1AVX9GT0dgogEBStecCXMMQ29tWz3gBrtNB8yIromXbY/edit?gid=741673867"", ""out1g!A:B""), 2, FALSE), 0)"),82.0)</f>
        <v>82</v>
      </c>
      <c r="D9184" s="2" t="str">
        <f>IFERROR(__xludf.DUMMYFUNCTION("IFERROR(VLOOKUP(A9184, IMPORTRANGE(""https://docs.google.com/spreadsheets/d/1-3Vjw2Cyy-mry5gbC8ypIR3YVGFfEpyFESummAta6sg/edit"", ""Sheet1!B:D""), 2, FALSE), ""Not Found"")"),"sɑkət")</f>
        <v>sɑkət</v>
      </c>
      <c r="E9184" s="2" t="str">
        <f>IFERROR(__xludf.DUMMYFUNCTION("IFERROR(VLOOKUP(A9184, IMPORTRANGE(""https://docs.google.com/spreadsheets/d/1-3Vjw2Cyy-mry5gbC8ypIR3YVGFfEpyFESummAta6sg/edit"", ""Sheet1!B:D""), 3, FALSE), ""Not Found"")"),"s ɑ k ə t ")</f>
        <v>s ɑ k ə t </v>
      </c>
    </row>
    <row r="9185">
      <c r="A9185" s="1" t="s">
        <v>9186</v>
      </c>
      <c r="B9185" s="1" t="s">
        <v>6138</v>
      </c>
      <c r="C9185" s="2">
        <f>IFERROR(__xludf.DUMMYFUNCTION("IFERROR(VLOOKUP(A9185, IMPORTRANGE(""https://docs.google.com/spreadsheets/d/1AVX9GT0dgogEBStecCXMMQ29tWz3gBrtNB8yIromXbY/edit?gid=741673867"", ""out1g!A:B""), 2, FALSE), 0)"),374.0)</f>
        <v>374</v>
      </c>
      <c r="D9185" s="2" t="str">
        <f>IFERROR(__xludf.DUMMYFUNCTION("IFERROR(VLOOKUP(A9185, IMPORTRANGE(""https://docs.google.com/spreadsheets/d/1-3Vjw2Cyy-mry5gbC8ypIR3YVGFfEpyFESummAta6sg/edit"", ""Sheet1!B:D""), 2, FALSE), ""Not Found"")"),"spɪnɪŋ")</f>
        <v>spɪnɪŋ</v>
      </c>
      <c r="E9185" s="2" t="str">
        <f>IFERROR(__xludf.DUMMYFUNCTION("IFERROR(VLOOKUP(A9185, IMPORTRANGE(""https://docs.google.com/spreadsheets/d/1-3Vjw2Cyy-mry5gbC8ypIR3YVGFfEpyFESummAta6sg/edit"", ""Sheet1!B:D""), 3, FALSE), ""Not Found"")"),"s p ɪ n ɪ ŋ ")</f>
        <v>s p ɪ n ɪ ŋ </v>
      </c>
    </row>
    <row r="9186">
      <c r="A9186" s="1" t="s">
        <v>9187</v>
      </c>
      <c r="B9186" s="1" t="s">
        <v>6138</v>
      </c>
      <c r="C9186" s="2">
        <f>IFERROR(__xludf.DUMMYFUNCTION("IFERROR(VLOOKUP(A9186, IMPORTRANGE(""https://docs.google.com/spreadsheets/d/1AVX9GT0dgogEBStecCXMMQ29tWz3gBrtNB8yIromXbY/edit?gid=741673867"", ""out1g!A:B""), 2, FALSE), 0)"),117.0)</f>
        <v>117</v>
      </c>
      <c r="D9186" s="2" t="str">
        <f>IFERROR(__xludf.DUMMYFUNCTION("IFERROR(VLOOKUP(A9186, IMPORTRANGE(""https://docs.google.com/spreadsheets/d/1-3Vjw2Cyy-mry5gbC8ypIR3YVGFfEpyFESummAta6sg/edit"", ""Sheet1!B:D""), 2, FALSE), ""Not Found"")"),"mɔrtər")</f>
        <v>mɔrtər</v>
      </c>
      <c r="E9186" s="2" t="str">
        <f>IFERROR(__xludf.DUMMYFUNCTION("IFERROR(VLOOKUP(A9186, IMPORTRANGE(""https://docs.google.com/spreadsheets/d/1-3Vjw2Cyy-mry5gbC8ypIR3YVGFfEpyFESummAta6sg/edit"", ""Sheet1!B:D""), 3, FALSE), ""Not Found"")"),"m ɔ r t ə r ")</f>
        <v>m ɔ r t ə r </v>
      </c>
    </row>
    <row r="9187">
      <c r="A9187" s="1" t="s">
        <v>9188</v>
      </c>
      <c r="B9187" s="1" t="s">
        <v>6138</v>
      </c>
      <c r="C9187" s="2">
        <f>IFERROR(__xludf.DUMMYFUNCTION("IFERROR(VLOOKUP(A9187, IMPORTRANGE(""https://docs.google.com/spreadsheets/d/1AVX9GT0dgogEBStecCXMMQ29tWz3gBrtNB8yIromXbY/edit?gid=741673867"", ""out1g!A:B""), 2, FALSE), 0)"),110.0)</f>
        <v>110</v>
      </c>
      <c r="D9187" s="2" t="str">
        <f>IFERROR(__xludf.DUMMYFUNCTION("IFERROR(VLOOKUP(A9187, IMPORTRANGE(""https://docs.google.com/spreadsheets/d/1-3Vjw2Cyy-mry5gbC8ypIR3YVGFfEpyFESummAta6sg/edit"", ""Sheet1!B:D""), 2, FALSE), ""Not Found"")"),"tɪkəlz")</f>
        <v>tɪkəlz</v>
      </c>
      <c r="E9187" s="2" t="str">
        <f>IFERROR(__xludf.DUMMYFUNCTION("IFERROR(VLOOKUP(A9187, IMPORTRANGE(""https://docs.google.com/spreadsheets/d/1-3Vjw2Cyy-mry5gbC8ypIR3YVGFfEpyFESummAta6sg/edit"", ""Sheet1!B:D""), 3, FALSE), ""Not Found"")"),"t ɪ k ə l z ")</f>
        <v>t ɪ k ə l z </v>
      </c>
    </row>
    <row r="9188">
      <c r="A9188" s="1" t="s">
        <v>9189</v>
      </c>
      <c r="B9188" s="1" t="s">
        <v>6138</v>
      </c>
      <c r="C9188" s="2">
        <f>IFERROR(__xludf.DUMMYFUNCTION("IFERROR(VLOOKUP(A9188, IMPORTRANGE(""https://docs.google.com/spreadsheets/d/1AVX9GT0dgogEBStecCXMMQ29tWz3gBrtNB8yIromXbY/edit?gid=741673867"", ""out1g!A:B""), 2, FALSE), 0)"),232.0)</f>
        <v>232</v>
      </c>
      <c r="D9188" s="2" t="str">
        <f>IFERROR(__xludf.DUMMYFUNCTION("IFERROR(VLOOKUP(A9188, IMPORTRANGE(""https://docs.google.com/spreadsheets/d/1-3Vjw2Cyy-mry5gbC8ypIR3YVGFfEpyFESummAta6sg/edit"", ""Sheet1!B:D""), 2, FALSE), ""Not Found"")"),"nɪpəlz")</f>
        <v>nɪpəlz</v>
      </c>
      <c r="E9188" s="2" t="str">
        <f>IFERROR(__xludf.DUMMYFUNCTION("IFERROR(VLOOKUP(A9188, IMPORTRANGE(""https://docs.google.com/spreadsheets/d/1-3Vjw2Cyy-mry5gbC8ypIR3YVGFfEpyFESummAta6sg/edit"", ""Sheet1!B:D""), 3, FALSE), ""Not Found"")"),"n ɪ p ə l z ")</f>
        <v>n ɪ p ə l z </v>
      </c>
    </row>
    <row r="9189">
      <c r="A9189" s="1" t="s">
        <v>9190</v>
      </c>
      <c r="B9189" s="1" t="s">
        <v>6138</v>
      </c>
      <c r="C9189" s="2">
        <f>IFERROR(__xludf.DUMMYFUNCTION("IFERROR(VLOOKUP(A9189, IMPORTRANGE(""https://docs.google.com/spreadsheets/d/1AVX9GT0dgogEBStecCXMMQ29tWz3gBrtNB8yIromXbY/edit?gid=741673867"", ""out1g!A:B""), 2, FALSE), 0)"),61.0)</f>
        <v>61</v>
      </c>
      <c r="D9189" s="2" t="str">
        <f>IFERROR(__xludf.DUMMYFUNCTION("IFERROR(VLOOKUP(A9189, IMPORTRANGE(""https://docs.google.com/spreadsheets/d/1-3Vjw2Cyy-mry5gbC8ypIR3YVGFfEpyFESummAta6sg/edit"", ""Sheet1!B:D""), 2, FALSE), ""Not Found"")"),"riple")</f>
        <v>riple</v>
      </c>
      <c r="E9189" s="2" t="str">
        <f>IFERROR(__xludf.DUMMYFUNCTION("IFERROR(VLOOKUP(A9189, IMPORTRANGE(""https://docs.google.com/spreadsheets/d/1-3Vjw2Cyy-mry5gbC8ypIR3YVGFfEpyFESummAta6sg/edit"", ""Sheet1!B:D""), 3, FALSE), ""Not Found"")"),"r i p l e ")</f>
        <v>r i p l e </v>
      </c>
    </row>
    <row r="9190">
      <c r="A9190" s="1" t="s">
        <v>9191</v>
      </c>
      <c r="B9190" s="1" t="s">
        <v>6138</v>
      </c>
      <c r="C9190" s="2">
        <f>IFERROR(__xludf.DUMMYFUNCTION("IFERROR(VLOOKUP(A9190, IMPORTRANGE(""https://docs.google.com/spreadsheets/d/1AVX9GT0dgogEBStecCXMMQ29tWz3gBrtNB8yIromXbY/edit?gid=741673867"", ""out1g!A:B""), 2, FALSE), 0)"),275.0)</f>
        <v>275</v>
      </c>
      <c r="D9190" s="2" t="str">
        <f>IFERROR(__xludf.DUMMYFUNCTION("IFERROR(VLOOKUP(A9190, IMPORTRANGE(""https://docs.google.com/spreadsheets/d/1-3Vjw2Cyy-mry5gbC8ypIR3YVGFfEpyFESummAta6sg/edit"", ""Sheet1!B:D""), 2, FALSE), ""Not Found"")"),"kləmzi")</f>
        <v>kləmzi</v>
      </c>
      <c r="E9190" s="2" t="str">
        <f>IFERROR(__xludf.DUMMYFUNCTION("IFERROR(VLOOKUP(A9190, IMPORTRANGE(""https://docs.google.com/spreadsheets/d/1-3Vjw2Cyy-mry5gbC8ypIR3YVGFfEpyFESummAta6sg/edit"", ""Sheet1!B:D""), 3, FALSE), ""Not Found"")"),"k l ə m z i ")</f>
        <v>k l ə m z i </v>
      </c>
    </row>
    <row r="9191">
      <c r="A9191" s="1" t="s">
        <v>9192</v>
      </c>
      <c r="B9191" s="1" t="s">
        <v>6138</v>
      </c>
      <c r="C9191" s="2">
        <f>IFERROR(__xludf.DUMMYFUNCTION("IFERROR(VLOOKUP(A9191, IMPORTRANGE(""https://docs.google.com/spreadsheets/d/1AVX9GT0dgogEBStecCXMMQ29tWz3gBrtNB8yIromXbY/edit?gid=741673867"", ""out1g!A:B""), 2, FALSE), 0)"),353.0)</f>
        <v>353</v>
      </c>
      <c r="D9191" s="2" t="str">
        <f>IFERROR(__xludf.DUMMYFUNCTION("IFERROR(VLOOKUP(A9191, IMPORTRANGE(""https://docs.google.com/spreadsheets/d/1-3Vjw2Cyy-mry5gbC8ypIR3YVGFfEpyFESummAta6sg/edit"", ""Sheet1!B:D""), 2, FALSE), ""Not Found"")"),"klinər")</f>
        <v>klinər</v>
      </c>
      <c r="E9191" s="2" t="str">
        <f>IFERROR(__xludf.DUMMYFUNCTION("IFERROR(VLOOKUP(A9191, IMPORTRANGE(""https://docs.google.com/spreadsheets/d/1-3Vjw2Cyy-mry5gbC8ypIR3YVGFfEpyFESummAta6sg/edit"", ""Sheet1!B:D""), 3, FALSE), ""Not Found"")"),"k l i n ə r ")</f>
        <v>k l i n ə r </v>
      </c>
    </row>
    <row r="9192">
      <c r="A9192" s="1" t="s">
        <v>9193</v>
      </c>
      <c r="B9192" s="1" t="s">
        <v>6138</v>
      </c>
      <c r="C9192" s="2">
        <f>IFERROR(__xludf.DUMMYFUNCTION("IFERROR(VLOOKUP(A9192, IMPORTRANGE(""https://docs.google.com/spreadsheets/d/1AVX9GT0dgogEBStecCXMMQ29tWz3gBrtNB8yIromXbY/edit?gid=741673867"", ""out1g!A:B""), 2, FALSE), 0)"),15.0)</f>
        <v>15</v>
      </c>
      <c r="D9192" s="2" t="str">
        <f>IFERROR(__xludf.DUMMYFUNCTION("IFERROR(VLOOKUP(A9192, IMPORTRANGE(""https://docs.google.com/spreadsheets/d/1-3Vjw2Cyy-mry5gbC8ypIR3YVGFfEpyFESummAta6sg/edit"", ""Sheet1!B:D""), 2, FALSE), ""Not Found"")"),"wɛrz")</f>
        <v>wɛrz</v>
      </c>
      <c r="E9192" s="2" t="str">
        <f>IFERROR(__xludf.DUMMYFUNCTION("IFERROR(VLOOKUP(A9192, IMPORTRANGE(""https://docs.google.com/spreadsheets/d/1-3Vjw2Cyy-mry5gbC8ypIR3YVGFfEpyFESummAta6sg/edit"", ""Sheet1!B:D""), 3, FALSE), ""Not Found"")"),"w ɛ r z ")</f>
        <v>w ɛ r z </v>
      </c>
    </row>
    <row r="9193">
      <c r="A9193" s="1" t="s">
        <v>9194</v>
      </c>
      <c r="B9193" s="1" t="s">
        <v>6138</v>
      </c>
      <c r="C9193" s="2">
        <f>IFERROR(__xludf.DUMMYFUNCTION("IFERROR(VLOOKUP(A9193, IMPORTRANGE(""https://docs.google.com/spreadsheets/d/1AVX9GT0dgogEBStecCXMMQ29tWz3gBrtNB8yIromXbY/edit?gid=741673867"", ""out1g!A:B""), 2, FALSE), 0)"),363.0)</f>
        <v>363</v>
      </c>
      <c r="D9193" s="2" t="str">
        <f>IFERROR(__xludf.DUMMYFUNCTION("IFERROR(VLOOKUP(A9193, IMPORTRANGE(""https://docs.google.com/spreadsheets/d/1-3Vjw2Cyy-mry5gbC8ypIR3YVGFfEpyFESummAta6sg/edit"", ""Sheet1!B:D""), 2, FALSE), ""Not Found"")"),"mæk")</f>
        <v>mæk</v>
      </c>
      <c r="E9193" s="2" t="str">
        <f>IFERROR(__xludf.DUMMYFUNCTION("IFERROR(VLOOKUP(A9193, IMPORTRANGE(""https://docs.google.com/spreadsheets/d/1-3Vjw2Cyy-mry5gbC8ypIR3YVGFfEpyFESummAta6sg/edit"", ""Sheet1!B:D""), 3, FALSE), ""Not Found"")"),"m æ k ")</f>
        <v>m æ k </v>
      </c>
    </row>
    <row r="9194">
      <c r="A9194" s="1" t="s">
        <v>9195</v>
      </c>
      <c r="B9194" s="1" t="s">
        <v>6138</v>
      </c>
      <c r="C9194" s="2">
        <f>IFERROR(__xludf.DUMMYFUNCTION("IFERROR(VLOOKUP(A9194, IMPORTRANGE(""https://docs.google.com/spreadsheets/d/1AVX9GT0dgogEBStecCXMMQ29tWz3gBrtNB8yIromXbY/edit?gid=741673867"", ""out1g!A:B""), 2, FALSE), 0)"),101.0)</f>
        <v>101</v>
      </c>
      <c r="D9194" s="2" t="str">
        <f>IFERROR(__xludf.DUMMYFUNCTION("IFERROR(VLOOKUP(A9194, IMPORTRANGE(""https://docs.google.com/spreadsheets/d/1-3Vjw2Cyy-mry5gbC8ypIR3YVGFfEpyFESummAta6sg/edit"", ""Sheet1!B:D""), 2, FALSE), ""Not Found"")"),"stimɪŋ")</f>
        <v>stimɪŋ</v>
      </c>
      <c r="E9194" s="2" t="str">
        <f>IFERROR(__xludf.DUMMYFUNCTION("IFERROR(VLOOKUP(A9194, IMPORTRANGE(""https://docs.google.com/spreadsheets/d/1-3Vjw2Cyy-mry5gbC8ypIR3YVGFfEpyFESummAta6sg/edit"", ""Sheet1!B:D""), 3, FALSE), ""Not Found"")"),"s t i m ɪ ŋ ")</f>
        <v>s t i m ɪ ŋ </v>
      </c>
    </row>
    <row r="9195">
      <c r="A9195" s="1" t="s">
        <v>9196</v>
      </c>
      <c r="B9195" s="1" t="s">
        <v>6138</v>
      </c>
      <c r="C9195" s="2">
        <f>IFERROR(__xludf.DUMMYFUNCTION("IFERROR(VLOOKUP(A9195, IMPORTRANGE(""https://docs.google.com/spreadsheets/d/1AVX9GT0dgogEBStecCXMMQ29tWz3gBrtNB8yIromXbY/edit?gid=741673867"", ""out1g!A:B""), 2, FALSE), 0)"),1945.0)</f>
        <v>1945</v>
      </c>
      <c r="D9195" s="2" t="str">
        <f>IFERROR(__xludf.DUMMYFUNCTION("IFERROR(VLOOKUP(A9195, IMPORTRANGE(""https://docs.google.com/spreadsheets/d/1-3Vjw2Cyy-mry5gbC8ypIR3YVGFfEpyFESummAta6sg/edit"", ""Sheet1!B:D""), 2, FALSE), ""Not Found"")"),"skrimɪŋ")</f>
        <v>skrimɪŋ</v>
      </c>
      <c r="E9195" s="2" t="str">
        <f>IFERROR(__xludf.DUMMYFUNCTION("IFERROR(VLOOKUP(A9195, IMPORTRANGE(""https://docs.google.com/spreadsheets/d/1-3Vjw2Cyy-mry5gbC8ypIR3YVGFfEpyFESummAta6sg/edit"", ""Sheet1!B:D""), 3, FALSE), ""Not Found"")"),"s k r i m ɪ ŋ ")</f>
        <v>s k r i m ɪ ŋ </v>
      </c>
    </row>
    <row r="9196">
      <c r="A9196" s="1" t="s">
        <v>9197</v>
      </c>
      <c r="B9196" s="1" t="s">
        <v>6138</v>
      </c>
      <c r="C9196" s="2">
        <f>IFERROR(__xludf.DUMMYFUNCTION("IFERROR(VLOOKUP(A9196, IMPORTRANGE(""https://docs.google.com/spreadsheets/d/1AVX9GT0dgogEBStecCXMMQ29tWz3gBrtNB8yIromXbY/edit?gid=741673867"", ""out1g!A:B""), 2, FALSE), 0)"),1336.0)</f>
        <v>1336</v>
      </c>
      <c r="D9196" s="2" t="str">
        <f>IFERROR(__xludf.DUMMYFUNCTION("IFERROR(VLOOKUP(A9196, IMPORTRANGE(""https://docs.google.com/spreadsheets/d/1-3Vjw2Cyy-mry5gbC8ypIR3YVGFfEpyFESummAta6sg/edit"", ""Sheet1!B:D""), 2, FALSE), ""Not Found"")"),"bædli")</f>
        <v>bædli</v>
      </c>
      <c r="E9196" s="2" t="str">
        <f>IFERROR(__xludf.DUMMYFUNCTION("IFERROR(VLOOKUP(A9196, IMPORTRANGE(""https://docs.google.com/spreadsheets/d/1-3Vjw2Cyy-mry5gbC8ypIR3YVGFfEpyFESummAta6sg/edit"", ""Sheet1!B:D""), 3, FALSE), ""Not Found"")"),"b æ d l i ")</f>
        <v>b æ d l i </v>
      </c>
    </row>
    <row r="9197">
      <c r="A9197" s="1" t="s">
        <v>9198</v>
      </c>
      <c r="B9197" s="1" t="s">
        <v>6138</v>
      </c>
      <c r="C9197" s="2">
        <f>IFERROR(__xludf.DUMMYFUNCTION("IFERROR(VLOOKUP(A9197, IMPORTRANGE(""https://docs.google.com/spreadsheets/d/1AVX9GT0dgogEBStecCXMMQ29tWz3gBrtNB8yIromXbY/edit?gid=741673867"", ""out1g!A:B""), 2, FALSE), 0)"),51.0)</f>
        <v>51</v>
      </c>
      <c r="D9197" s="2" t="str">
        <f>IFERROR(__xludf.DUMMYFUNCTION("IFERROR(VLOOKUP(A9197, IMPORTRANGE(""https://docs.google.com/spreadsheets/d/1-3Vjw2Cyy-mry5gbC8ypIR3YVGFfEpyFESummAta6sg/edit"", ""Sheet1!B:D""), 2, FALSE), ""Not Found"")"),"gresɪz")</f>
        <v>gresɪz</v>
      </c>
      <c r="E9197" s="2" t="str">
        <f>IFERROR(__xludf.DUMMYFUNCTION("IFERROR(VLOOKUP(A9197, IMPORTRANGE(""https://docs.google.com/spreadsheets/d/1-3Vjw2Cyy-mry5gbC8ypIR3YVGFfEpyFESummAta6sg/edit"", ""Sheet1!B:D""), 3, FALSE), ""Not Found"")"),"g r e s ɪ z ")</f>
        <v>g r e s ɪ z </v>
      </c>
    </row>
    <row r="9198">
      <c r="A9198" s="1" t="s">
        <v>9199</v>
      </c>
      <c r="B9198" s="1" t="s">
        <v>6138</v>
      </c>
      <c r="C9198" s="2">
        <f>IFERROR(__xludf.DUMMYFUNCTION("IFERROR(VLOOKUP(A9198, IMPORTRANGE(""https://docs.google.com/spreadsheets/d/1AVX9GT0dgogEBStecCXMMQ29tWz3gBrtNB8yIromXbY/edit?gid=741673867"", ""out1g!A:B""), 2, FALSE), 0)"),255.0)</f>
        <v>255</v>
      </c>
      <c r="D9198" s="2" t="str">
        <f>IFERROR(__xludf.DUMMYFUNCTION("IFERROR(VLOOKUP(A9198, IMPORTRANGE(""https://docs.google.com/spreadsheets/d/1-3Vjw2Cyy-mry5gbC8ypIR3YVGFfEpyFESummAta6sg/edit"", ""Sheet1!B:D""), 2, FALSE), ""Not Found"")"),"stɪʧɪz")</f>
        <v>stɪʧɪz</v>
      </c>
      <c r="E9198" s="2" t="str">
        <f>IFERROR(__xludf.DUMMYFUNCTION("IFERROR(VLOOKUP(A9198, IMPORTRANGE(""https://docs.google.com/spreadsheets/d/1-3Vjw2Cyy-mry5gbC8ypIR3YVGFfEpyFESummAta6sg/edit"", ""Sheet1!B:D""), 3, FALSE), ""Not Found"")"),"s t ɪ ʧ ɪ z ")</f>
        <v>s t ɪ ʧ ɪ z </v>
      </c>
    </row>
    <row r="9199">
      <c r="A9199" s="1" t="s">
        <v>9200</v>
      </c>
      <c r="B9199" s="1" t="s">
        <v>6138</v>
      </c>
      <c r="C9199" s="2">
        <f>IFERROR(__xludf.DUMMYFUNCTION("IFERROR(VLOOKUP(A9199, IMPORTRANGE(""https://docs.google.com/spreadsheets/d/1AVX9GT0dgogEBStecCXMMQ29tWz3gBrtNB8yIromXbY/edit?gid=741673867"", ""out1g!A:B""), 2, FALSE), 0)"),78.0)</f>
        <v>78</v>
      </c>
      <c r="D9199" s="2" t="str">
        <f>IFERROR(__xludf.DUMMYFUNCTION("IFERROR(VLOOKUP(A9199, IMPORTRANGE(""https://docs.google.com/spreadsheets/d/1-3Vjw2Cyy-mry5gbC8ypIR3YVGFfEpyFESummAta6sg/edit"", ""Sheet1!B:D""), 2, FALSE), ""Not Found"")"),"ʃɪlɪŋz")</f>
        <v>ʃɪlɪŋz</v>
      </c>
      <c r="E9199" s="2" t="str">
        <f>IFERROR(__xludf.DUMMYFUNCTION("IFERROR(VLOOKUP(A9199, IMPORTRANGE(""https://docs.google.com/spreadsheets/d/1-3Vjw2Cyy-mry5gbC8ypIR3YVGFfEpyFESummAta6sg/edit"", ""Sheet1!B:D""), 3, FALSE), ""Not Found"")"),"ʃ ɪ l ɪ ŋ z ")</f>
        <v>ʃ ɪ l ɪ ŋ z </v>
      </c>
    </row>
    <row r="9200">
      <c r="A9200" s="1" t="s">
        <v>9201</v>
      </c>
      <c r="B9200" s="1" t="s">
        <v>6138</v>
      </c>
      <c r="C9200" s="2">
        <f>IFERROR(__xludf.DUMMYFUNCTION("IFERROR(VLOOKUP(A9200, IMPORTRANGE(""https://docs.google.com/spreadsheets/d/1AVX9GT0dgogEBStecCXMMQ29tWz3gBrtNB8yIromXbY/edit?gid=741673867"", ""out1g!A:B""), 2, FALSE), 0)"),1704.0)</f>
        <v>1704</v>
      </c>
      <c r="D9200" s="2" t="str">
        <f>IFERROR(__xludf.DUMMYFUNCTION("IFERROR(VLOOKUP(A9200, IMPORTRANGE(""https://docs.google.com/spreadsheets/d/1-3Vjw2Cyy-mry5gbC8ypIR3YVGFfEpyFESummAta6sg/edit"", ""Sheet1!B:D""), 2, FALSE), ""Not Found"")"),"ʤækɪt")</f>
        <v>ʤækɪt</v>
      </c>
      <c r="E9200" s="2" t="str">
        <f>IFERROR(__xludf.DUMMYFUNCTION("IFERROR(VLOOKUP(A9200, IMPORTRANGE(""https://docs.google.com/spreadsheets/d/1-3Vjw2Cyy-mry5gbC8ypIR3YVGFfEpyFESummAta6sg/edit"", ""Sheet1!B:D""), 3, FALSE), ""Not Found"")"),"ʤ æ k ɪ t ")</f>
        <v>ʤ æ k ɪ t </v>
      </c>
    </row>
    <row r="9201">
      <c r="A9201" s="1" t="s">
        <v>9202</v>
      </c>
      <c r="B9201" s="1" t="s">
        <v>6138</v>
      </c>
      <c r="C9201" s="2">
        <f>IFERROR(__xludf.DUMMYFUNCTION("IFERROR(VLOOKUP(A9201, IMPORTRANGE(""https://docs.google.com/spreadsheets/d/1AVX9GT0dgogEBStecCXMMQ29tWz3gBrtNB8yIromXbY/edit?gid=741673867"", ""out1g!A:B""), 2, FALSE), 0)"),54.0)</f>
        <v>54</v>
      </c>
      <c r="D9201" s="2" t="str">
        <f>IFERROR(__xludf.DUMMYFUNCTION("IFERROR(VLOOKUP(A9201, IMPORTRANGE(""https://docs.google.com/spreadsheets/d/1-3Vjw2Cyy-mry5gbC8ypIR3YVGFfEpyFESummAta6sg/edit"", ""Sheet1!B:D""), 2, FALSE), ""Not Found"")"),"mɑndoʊ")</f>
        <v>mɑndoʊ</v>
      </c>
      <c r="E9201" s="2" t="str">
        <f>IFERROR(__xludf.DUMMYFUNCTION("IFERROR(VLOOKUP(A9201, IMPORTRANGE(""https://docs.google.com/spreadsheets/d/1-3Vjw2Cyy-mry5gbC8ypIR3YVGFfEpyFESummAta6sg/edit"", ""Sheet1!B:D""), 3, FALSE), ""Not Found"")"),"m ɑ n d o ʊ ")</f>
        <v>m ɑ n d o ʊ </v>
      </c>
    </row>
    <row r="9202">
      <c r="A9202" s="1" t="s">
        <v>9203</v>
      </c>
      <c r="B9202" s="1" t="s">
        <v>6138</v>
      </c>
      <c r="C9202" s="2">
        <f>IFERROR(__xludf.DUMMYFUNCTION("IFERROR(VLOOKUP(A9202, IMPORTRANGE(""https://docs.google.com/spreadsheets/d/1AVX9GT0dgogEBStecCXMMQ29tWz3gBrtNB8yIromXbY/edit?gid=741673867"", ""out1g!A:B""), 2, FALSE), 0)"),118.0)</f>
        <v>118</v>
      </c>
      <c r="D9202" s="2" t="str">
        <f>IFERROR(__xludf.DUMMYFUNCTION("IFERROR(VLOOKUP(A9202, IMPORTRANGE(""https://docs.google.com/spreadsheets/d/1-3Vjw2Cyy-mry5gbC8ypIR3YVGFfEpyFESummAta6sg/edit"", ""Sheet1!B:D""), 2, FALSE), ""Not Found"")"),"hæmʃər")</f>
        <v>hæmʃər</v>
      </c>
      <c r="E9202" s="2" t="str">
        <f>IFERROR(__xludf.DUMMYFUNCTION("IFERROR(VLOOKUP(A9202, IMPORTRANGE(""https://docs.google.com/spreadsheets/d/1-3Vjw2Cyy-mry5gbC8ypIR3YVGFfEpyFESummAta6sg/edit"", ""Sheet1!B:D""), 3, FALSE), ""Not Found"")"),"h æ m ʃ ə r ")</f>
        <v>h æ m ʃ ə r </v>
      </c>
    </row>
    <row r="9203">
      <c r="A9203" s="1" t="s">
        <v>9204</v>
      </c>
      <c r="B9203" s="1" t="s">
        <v>6138</v>
      </c>
      <c r="C9203" s="2">
        <f>IFERROR(__xludf.DUMMYFUNCTION("IFERROR(VLOOKUP(A9203, IMPORTRANGE(""https://docs.google.com/spreadsheets/d/1AVX9GT0dgogEBStecCXMMQ29tWz3gBrtNB8yIromXbY/edit?gid=741673867"", ""out1g!A:B""), 2, FALSE), 0)"),4795.0)</f>
        <v>4795</v>
      </c>
      <c r="D9203" s="2" t="str">
        <f>IFERROR(__xludf.DUMMYFUNCTION("IFERROR(VLOOKUP(A9203, IMPORTRANGE(""https://docs.google.com/spreadsheets/d/1-3Vjw2Cyy-mry5gbC8ypIR3YVGFfEpyFESummAta6sg/edit"", ""Sheet1!B:D""), 2, FALSE), ""Not Found"")"),"tɛrəbəl")</f>
        <v>tɛrəbəl</v>
      </c>
      <c r="E9203" s="2" t="str">
        <f>IFERROR(__xludf.DUMMYFUNCTION("IFERROR(VLOOKUP(A9203, IMPORTRANGE(""https://docs.google.com/spreadsheets/d/1-3Vjw2Cyy-mry5gbC8ypIR3YVGFfEpyFESummAta6sg/edit"", ""Sheet1!B:D""), 3, FALSE), ""Not Found"")"),"t ɛ r ə b ə l ")</f>
        <v>t ɛ r ə b ə l </v>
      </c>
    </row>
    <row r="9204">
      <c r="A9204" s="1" t="s">
        <v>9205</v>
      </c>
      <c r="B9204" s="1" t="s">
        <v>6138</v>
      </c>
      <c r="C9204" s="2">
        <f>IFERROR(__xludf.DUMMYFUNCTION("IFERROR(VLOOKUP(A9204, IMPORTRANGE(""https://docs.google.com/spreadsheets/d/1AVX9GT0dgogEBStecCXMMQ29tWz3gBrtNB8yIromXbY/edit?gid=741673867"", ""out1g!A:B""), 2, FALSE), 0)"),26.0)</f>
        <v>26</v>
      </c>
      <c r="D9204" s="2" t="str">
        <f>IFERROR(__xludf.DUMMYFUNCTION("IFERROR(VLOOKUP(A9204, IMPORTRANGE(""https://docs.google.com/spreadsheets/d/1-3Vjw2Cyy-mry5gbC8ypIR3YVGFfEpyFESummAta6sg/edit"", ""Sheet1!B:D""), 2, FALSE), ""Not Found"")"),"lɛvi")</f>
        <v>lɛvi</v>
      </c>
      <c r="E9204" s="2" t="str">
        <f>IFERROR(__xludf.DUMMYFUNCTION("IFERROR(VLOOKUP(A9204, IMPORTRANGE(""https://docs.google.com/spreadsheets/d/1-3Vjw2Cyy-mry5gbC8ypIR3YVGFfEpyFESummAta6sg/edit"", ""Sheet1!B:D""), 3, FALSE), ""Not Found"")"),"l ɛ v i ")</f>
        <v>l ɛ v i </v>
      </c>
    </row>
    <row r="9205">
      <c r="A9205" s="1" t="s">
        <v>9206</v>
      </c>
      <c r="B9205" s="1" t="s">
        <v>6138</v>
      </c>
      <c r="C9205" s="2">
        <f>IFERROR(__xludf.DUMMYFUNCTION("IFERROR(VLOOKUP(A9205, IMPORTRANGE(""https://docs.google.com/spreadsheets/d/1AVX9GT0dgogEBStecCXMMQ29tWz3gBrtNB8yIromXbY/edit?gid=741673867"", ""out1g!A:B""), 2, FALSE), 0)"),9492.0)</f>
        <v>9492</v>
      </c>
      <c r="D9205" s="2" t="str">
        <f>IFERROR(__xludf.DUMMYFUNCTION("IFERROR(VLOOKUP(A9205, IMPORTRANGE(""https://docs.google.com/spreadsheets/d/1-3Vjw2Cyy-mry5gbC8ypIR3YVGFfEpyFESummAta6sg/edit"", ""Sheet1!B:D""), 2, FALSE), ""Not Found"")"),"bləd")</f>
        <v>bləd</v>
      </c>
      <c r="E9205" s="2" t="str">
        <f>IFERROR(__xludf.DUMMYFUNCTION("IFERROR(VLOOKUP(A9205, IMPORTRANGE(""https://docs.google.com/spreadsheets/d/1-3Vjw2Cyy-mry5gbC8ypIR3YVGFfEpyFESummAta6sg/edit"", ""Sheet1!B:D""), 3, FALSE), ""Not Found"")"),"b l ə d ")</f>
        <v>b l ə d </v>
      </c>
    </row>
    <row r="9206">
      <c r="A9206" s="1" t="s">
        <v>9207</v>
      </c>
      <c r="B9206" s="1" t="s">
        <v>6138</v>
      </c>
      <c r="C9206" s="2">
        <f>IFERROR(__xludf.DUMMYFUNCTION("IFERROR(VLOOKUP(A9206, IMPORTRANGE(""https://docs.google.com/spreadsheets/d/1AVX9GT0dgogEBStecCXMMQ29tWz3gBrtNB8yIromXbY/edit?gid=741673867"", ""out1g!A:B""), 2, FALSE), 0)"),553.0)</f>
        <v>553</v>
      </c>
      <c r="D9206" s="2" t="str">
        <f>IFERROR(__xludf.DUMMYFUNCTION("IFERROR(VLOOKUP(A9206, IMPORTRANGE(""https://docs.google.com/spreadsheets/d/1-3Vjw2Cyy-mry5gbC8ypIR3YVGFfEpyFESummAta6sg/edit"", ""Sheet1!B:D""), 2, FALSE), ""Not Found"")"),"wɔtərz")</f>
        <v>wɔtərz</v>
      </c>
      <c r="E9206" s="2" t="str">
        <f>IFERROR(__xludf.DUMMYFUNCTION("IFERROR(VLOOKUP(A9206, IMPORTRANGE(""https://docs.google.com/spreadsheets/d/1-3Vjw2Cyy-mry5gbC8ypIR3YVGFfEpyFESummAta6sg/edit"", ""Sheet1!B:D""), 3, FALSE), ""Not Found"")"),"w ɔ t ə r z ")</f>
        <v>w ɔ t ə r z </v>
      </c>
    </row>
    <row r="9207">
      <c r="A9207" s="1" t="s">
        <v>9208</v>
      </c>
      <c r="B9207" s="1" t="s">
        <v>6138</v>
      </c>
      <c r="C9207" s="2">
        <f>IFERROR(__xludf.DUMMYFUNCTION("IFERROR(VLOOKUP(A9207, IMPORTRANGE(""https://docs.google.com/spreadsheets/d/1AVX9GT0dgogEBStecCXMMQ29tWz3gBrtNB8yIromXbY/edit?gid=741673867"", ""out1g!A:B""), 2, FALSE), 0)"),162.0)</f>
        <v>162</v>
      </c>
      <c r="D9207" s="2" t="str">
        <f>IFERROR(__xludf.DUMMYFUNCTION("IFERROR(VLOOKUP(A9207, IMPORTRANGE(""https://docs.google.com/spreadsheets/d/1-3Vjw2Cyy-mry5gbC8ypIR3YVGFfEpyFESummAta6sg/edit"", ""Sheet1!B:D""), 2, FALSE), ""Not Found"")"),"su")</f>
        <v>su</v>
      </c>
      <c r="E9207" s="2" t="str">
        <f>IFERROR(__xludf.DUMMYFUNCTION("IFERROR(VLOOKUP(A9207, IMPORTRANGE(""https://docs.google.com/spreadsheets/d/1-3Vjw2Cyy-mry5gbC8ypIR3YVGFfEpyFESummAta6sg/edit"", ""Sheet1!B:D""), 3, FALSE), ""Not Found"")"),"s u ")</f>
        <v>s u </v>
      </c>
    </row>
    <row r="9208">
      <c r="A9208" s="1" t="s">
        <v>9209</v>
      </c>
      <c r="B9208" s="1" t="s">
        <v>6138</v>
      </c>
      <c r="C9208" s="2">
        <f>IFERROR(__xludf.DUMMYFUNCTION("IFERROR(VLOOKUP(A9208, IMPORTRANGE(""https://docs.google.com/spreadsheets/d/1AVX9GT0dgogEBStecCXMMQ29tWz3gBrtNB8yIromXbY/edit?gid=741673867"", ""out1g!A:B""), 2, FALSE), 0)"),87.0)</f>
        <v>87</v>
      </c>
      <c r="D9208" s="2" t="str">
        <f>IFERROR(__xludf.DUMMYFUNCTION("IFERROR(VLOOKUP(A9208, IMPORTRANGE(""https://docs.google.com/spreadsheets/d/1-3Vjw2Cyy-mry5gbC8ypIR3YVGFfEpyFESummAta6sg/edit"", ""Sheet1!B:D""), 2, FALSE), ""Not Found"")"),"gɪgəl")</f>
        <v>gɪgəl</v>
      </c>
      <c r="E9208" s="2" t="str">
        <f>IFERROR(__xludf.DUMMYFUNCTION("IFERROR(VLOOKUP(A9208, IMPORTRANGE(""https://docs.google.com/spreadsheets/d/1-3Vjw2Cyy-mry5gbC8ypIR3YVGFfEpyFESummAta6sg/edit"", ""Sheet1!B:D""), 3, FALSE), ""Not Found"")"),"g ɪ g ə l ")</f>
        <v>g ɪ g ə l </v>
      </c>
    </row>
    <row r="9209">
      <c r="A9209" s="1" t="s">
        <v>9210</v>
      </c>
      <c r="B9209" s="1" t="s">
        <v>6138</v>
      </c>
      <c r="C9209" s="2">
        <f>IFERROR(__xludf.DUMMYFUNCTION("IFERROR(VLOOKUP(A9209, IMPORTRANGE(""https://docs.google.com/spreadsheets/d/1AVX9GT0dgogEBStecCXMMQ29tWz3gBrtNB8yIromXbY/edit?gid=741673867"", ""out1g!A:B""), 2, FALSE), 0)"),75.0)</f>
        <v>75</v>
      </c>
      <c r="D9209" s="2" t="str">
        <f>IFERROR(__xludf.DUMMYFUNCTION("IFERROR(VLOOKUP(A9209, IMPORTRANGE(""https://docs.google.com/spreadsheets/d/1-3Vjw2Cyy-mry5gbC8ypIR3YVGFfEpyFESummAta6sg/edit"", ""Sheet1!B:D""), 2, FALSE), ""Not Found"")"),"skaʊtɪŋ")</f>
        <v>skaʊtɪŋ</v>
      </c>
      <c r="E9209" s="2" t="str">
        <f>IFERROR(__xludf.DUMMYFUNCTION("IFERROR(VLOOKUP(A9209, IMPORTRANGE(""https://docs.google.com/spreadsheets/d/1-3Vjw2Cyy-mry5gbC8ypIR3YVGFfEpyFESummAta6sg/edit"", ""Sheet1!B:D""), 3, FALSE), ""Not Found"")"),"s k a ʊ t ɪ ŋ ")</f>
        <v>s k a ʊ t ɪ ŋ </v>
      </c>
    </row>
    <row r="9210">
      <c r="A9210" s="1" t="s">
        <v>9211</v>
      </c>
      <c r="B9210" s="1" t="s">
        <v>6138</v>
      </c>
      <c r="C9210" s="2">
        <f>IFERROR(__xludf.DUMMYFUNCTION("IFERROR(VLOOKUP(A9210, IMPORTRANGE(""https://docs.google.com/spreadsheets/d/1AVX9GT0dgogEBStecCXMMQ29tWz3gBrtNB8yIromXbY/edit?gid=741673867"", ""out1g!A:B""), 2, FALSE), 0)"),367.0)</f>
        <v>367</v>
      </c>
      <c r="D9210" s="2" t="str">
        <f>IFERROR(__xludf.DUMMYFUNCTION("IFERROR(VLOOKUP(A9210, IMPORTRANGE(""https://docs.google.com/spreadsheets/d/1-3Vjw2Cyy-mry5gbC8ypIR3YVGFfEpyFESummAta6sg/edit"", ""Sheet1!B:D""), 2, FALSE), ""Not Found"")"),"krɪstin")</f>
        <v>krɪstin</v>
      </c>
      <c r="E9210" s="2" t="str">
        <f>IFERROR(__xludf.DUMMYFUNCTION("IFERROR(VLOOKUP(A9210, IMPORTRANGE(""https://docs.google.com/spreadsheets/d/1-3Vjw2Cyy-mry5gbC8ypIR3YVGFfEpyFESummAta6sg/edit"", ""Sheet1!B:D""), 3, FALSE), ""Not Found"")"),"k r ɪ s t i n ")</f>
        <v>k r ɪ s t i n </v>
      </c>
    </row>
    <row r="9211">
      <c r="A9211" s="1" t="s">
        <v>9212</v>
      </c>
      <c r="B9211" s="1" t="s">
        <v>6138</v>
      </c>
      <c r="C9211" s="2">
        <f>IFERROR(__xludf.DUMMYFUNCTION("IFERROR(VLOOKUP(A9211, IMPORTRANGE(""https://docs.google.com/spreadsheets/d/1AVX9GT0dgogEBStecCXMMQ29tWz3gBrtNB8yIromXbY/edit?gid=741673867"", ""out1g!A:B""), 2, FALSE), 0)"),103.0)</f>
        <v>103</v>
      </c>
      <c r="D9211" s="2" t="str">
        <f>IFERROR(__xludf.DUMMYFUNCTION("IFERROR(VLOOKUP(A9211, IMPORTRANGE(""https://docs.google.com/spreadsheets/d/1-3Vjw2Cyy-mry5gbC8ypIR3YVGFfEpyFESummAta6sg/edit"", ""Sheet1!B:D""), 2, FALSE), ""Not Found"")"),"koʊzi")</f>
        <v>koʊzi</v>
      </c>
      <c r="E9211" s="2" t="str">
        <f>IFERROR(__xludf.DUMMYFUNCTION("IFERROR(VLOOKUP(A9211, IMPORTRANGE(""https://docs.google.com/spreadsheets/d/1-3Vjw2Cyy-mry5gbC8ypIR3YVGFfEpyFESummAta6sg/edit"", ""Sheet1!B:D""), 3, FALSE), ""Not Found"")"),"k o ʊ z i ")</f>
        <v>k o ʊ z i </v>
      </c>
    </row>
    <row r="9212">
      <c r="A9212" s="1" t="s">
        <v>9213</v>
      </c>
      <c r="B9212" s="1" t="s">
        <v>6138</v>
      </c>
      <c r="C9212" s="2">
        <f>IFERROR(__xludf.DUMMYFUNCTION("IFERROR(VLOOKUP(A9212, IMPORTRANGE(""https://docs.google.com/spreadsheets/d/1AVX9GT0dgogEBStecCXMMQ29tWz3gBrtNB8yIromXbY/edit?gid=741673867"", ""out1g!A:B""), 2, FALSE), 0)"),129.0)</f>
        <v>129</v>
      </c>
      <c r="D9212" s="2" t="str">
        <f>IFERROR(__xludf.DUMMYFUNCTION("IFERROR(VLOOKUP(A9212, IMPORTRANGE(""https://docs.google.com/spreadsheets/d/1-3Vjw2Cyy-mry5gbC8ypIR3YVGFfEpyFESummAta6sg/edit"", ""Sheet1!B:D""), 2, FALSE), ""Not Found"")"),"ʃætoʊ")</f>
        <v>ʃætoʊ</v>
      </c>
      <c r="E9212" s="2" t="str">
        <f>IFERROR(__xludf.DUMMYFUNCTION("IFERROR(VLOOKUP(A9212, IMPORTRANGE(""https://docs.google.com/spreadsheets/d/1-3Vjw2Cyy-mry5gbC8ypIR3YVGFfEpyFESummAta6sg/edit"", ""Sheet1!B:D""), 3, FALSE), ""Not Found"")"),"ʃ æ t o ʊ ")</f>
        <v>ʃ æ t o ʊ </v>
      </c>
    </row>
    <row r="9213">
      <c r="A9213" s="1" t="s">
        <v>9214</v>
      </c>
      <c r="B9213" s="1" t="s">
        <v>6138</v>
      </c>
      <c r="C9213" s="2">
        <f>IFERROR(__xludf.DUMMYFUNCTION("IFERROR(VLOOKUP(A9213, IMPORTRANGE(""https://docs.google.com/spreadsheets/d/1AVX9GT0dgogEBStecCXMMQ29tWz3gBrtNB8yIromXbY/edit?gid=741673867"", ""out1g!A:B""), 2, FALSE), 0)"),116.0)</f>
        <v>116</v>
      </c>
      <c r="D9213" s="2" t="str">
        <f>IFERROR(__xludf.DUMMYFUNCTION("IFERROR(VLOOKUP(A9213, IMPORTRANGE(""https://docs.google.com/spreadsheets/d/1-3Vjw2Cyy-mry5gbC8ypIR3YVGFfEpyFESummAta6sg/edit"", ""Sheet1!B:D""), 2, FALSE), ""Not Found"")"),"smoʊkər")</f>
        <v>smoʊkər</v>
      </c>
      <c r="E9213" s="2" t="str">
        <f>IFERROR(__xludf.DUMMYFUNCTION("IFERROR(VLOOKUP(A9213, IMPORTRANGE(""https://docs.google.com/spreadsheets/d/1-3Vjw2Cyy-mry5gbC8ypIR3YVGFfEpyFESummAta6sg/edit"", ""Sheet1!B:D""), 3, FALSE), ""Not Found"")"),"s m o ʊ k ə r ")</f>
        <v>s m o ʊ k ə r </v>
      </c>
    </row>
    <row r="9214">
      <c r="A9214" s="1" t="s">
        <v>9215</v>
      </c>
      <c r="B9214" s="1" t="s">
        <v>6138</v>
      </c>
      <c r="C9214" s="2">
        <f>IFERROR(__xludf.DUMMYFUNCTION("IFERROR(VLOOKUP(A9214, IMPORTRANGE(""https://docs.google.com/spreadsheets/d/1AVX9GT0dgogEBStecCXMMQ29tWz3gBrtNB8yIromXbY/edit?gid=741673867"", ""out1g!A:B""), 2, FALSE), 0)"),170.0)</f>
        <v>170</v>
      </c>
      <c r="D9214" s="2" t="str">
        <f>IFERROR(__xludf.DUMMYFUNCTION("IFERROR(VLOOKUP(A9214, IMPORTRANGE(""https://docs.google.com/spreadsheets/d/1-3Vjw2Cyy-mry5gbC8ypIR3YVGFfEpyFESummAta6sg/edit"", ""Sheet1!B:D""), 2, FALSE), ""Not Found"")"),"rɪʧɪz")</f>
        <v>rɪʧɪz</v>
      </c>
      <c r="E9214" s="2" t="str">
        <f>IFERROR(__xludf.DUMMYFUNCTION("IFERROR(VLOOKUP(A9214, IMPORTRANGE(""https://docs.google.com/spreadsheets/d/1-3Vjw2Cyy-mry5gbC8ypIR3YVGFfEpyFESummAta6sg/edit"", ""Sheet1!B:D""), 3, FALSE), ""Not Found"")"),"r ɪ ʧ ɪ z ")</f>
        <v>r ɪ ʧ ɪ z </v>
      </c>
    </row>
    <row r="9215">
      <c r="A9215" s="1" t="s">
        <v>9216</v>
      </c>
      <c r="B9215" s="1" t="s">
        <v>6138</v>
      </c>
      <c r="C9215" s="2">
        <f>IFERROR(__xludf.DUMMYFUNCTION("IFERROR(VLOOKUP(A9215, IMPORTRANGE(""https://docs.google.com/spreadsheets/d/1AVX9GT0dgogEBStecCXMMQ29tWz3gBrtNB8yIromXbY/edit?gid=741673867"", ""out1g!A:B""), 2, FALSE), 0)"),59.0)</f>
        <v>59</v>
      </c>
      <c r="D9215" s="2" t="str">
        <f>IFERROR(__xludf.DUMMYFUNCTION("IFERROR(VLOOKUP(A9215, IMPORTRANGE(""https://docs.google.com/spreadsheets/d/1-3Vjw2Cyy-mry5gbC8ypIR3YVGFfEpyFESummAta6sg/edit"", ""Sheet1!B:D""), 2, FALSE), ""Not Found"")"),"məmboʊ")</f>
        <v>məmboʊ</v>
      </c>
      <c r="E9215" s="2" t="str">
        <f>IFERROR(__xludf.DUMMYFUNCTION("IFERROR(VLOOKUP(A9215, IMPORTRANGE(""https://docs.google.com/spreadsheets/d/1-3Vjw2Cyy-mry5gbC8ypIR3YVGFfEpyFESummAta6sg/edit"", ""Sheet1!B:D""), 3, FALSE), ""Not Found"")"),"m ə m b o ʊ ")</f>
        <v>m ə m b o ʊ </v>
      </c>
    </row>
    <row r="9216">
      <c r="A9216" s="1" t="s">
        <v>9217</v>
      </c>
      <c r="B9216" s="1" t="s">
        <v>6138</v>
      </c>
      <c r="C9216" s="2">
        <f>IFERROR(__xludf.DUMMYFUNCTION("IFERROR(VLOOKUP(A9216, IMPORTRANGE(""https://docs.google.com/spreadsheets/d/1AVX9GT0dgogEBStecCXMMQ29tWz3gBrtNB8yIromXbY/edit?gid=741673867"", ""out1g!A:B""), 2, FALSE), 0)"),356.0)</f>
        <v>356</v>
      </c>
      <c r="D9216" s="2" t="str">
        <f>IFERROR(__xludf.DUMMYFUNCTION("IFERROR(VLOOKUP(A9216, IMPORTRANGE(""https://docs.google.com/spreadsheets/d/1-3Vjw2Cyy-mry5gbC8ypIR3YVGFfEpyFESummAta6sg/edit"", ""Sheet1!B:D""), 2, FALSE), ""Not Found"")"),"lændz")</f>
        <v>lændz</v>
      </c>
      <c r="E9216" s="2" t="str">
        <f>IFERROR(__xludf.DUMMYFUNCTION("IFERROR(VLOOKUP(A9216, IMPORTRANGE(""https://docs.google.com/spreadsheets/d/1-3Vjw2Cyy-mry5gbC8ypIR3YVGFfEpyFESummAta6sg/edit"", ""Sheet1!B:D""), 3, FALSE), ""Not Found"")"),"l æ n d z ")</f>
        <v>l æ n d z </v>
      </c>
    </row>
    <row r="9217">
      <c r="A9217" s="1" t="s">
        <v>9218</v>
      </c>
      <c r="B9217" s="1" t="s">
        <v>6138</v>
      </c>
      <c r="C9217" s="2">
        <f>IFERROR(__xludf.DUMMYFUNCTION("IFERROR(VLOOKUP(A9217, IMPORTRANGE(""https://docs.google.com/spreadsheets/d/1AVX9GT0dgogEBStecCXMMQ29tWz3gBrtNB8yIromXbY/edit?gid=741673867"", ""out1g!A:B""), 2, FALSE), 0)"),167.0)</f>
        <v>167</v>
      </c>
      <c r="D9217" s="2" t="str">
        <f>IFERROR(__xludf.DUMMYFUNCTION("IFERROR(VLOOKUP(A9217, IMPORTRANGE(""https://docs.google.com/spreadsheets/d/1-3Vjw2Cyy-mry5gbC8ypIR3YVGFfEpyFESummAta6sg/edit"", ""Sheet1!B:D""), 2, FALSE), ""Not Found"")"),"lənʧən")</f>
        <v>lənʧən</v>
      </c>
      <c r="E9217" s="2" t="str">
        <f>IFERROR(__xludf.DUMMYFUNCTION("IFERROR(VLOOKUP(A9217, IMPORTRANGE(""https://docs.google.com/spreadsheets/d/1-3Vjw2Cyy-mry5gbC8ypIR3YVGFfEpyFESummAta6sg/edit"", ""Sheet1!B:D""), 3, FALSE), ""Not Found"")"),"l ə n ʧ ə n ")</f>
        <v>l ə n ʧ ə n </v>
      </c>
    </row>
    <row r="9218">
      <c r="A9218" s="1" t="s">
        <v>9219</v>
      </c>
      <c r="B9218" s="1" t="s">
        <v>6138</v>
      </c>
      <c r="C9218" s="2">
        <f>IFERROR(__xludf.DUMMYFUNCTION("IFERROR(VLOOKUP(A9218, IMPORTRANGE(""https://docs.google.com/spreadsheets/d/1AVX9GT0dgogEBStecCXMMQ29tWz3gBrtNB8yIromXbY/edit?gid=741673867"", ""out1g!A:B""), 2, FALSE), 0)"),91.0)</f>
        <v>91</v>
      </c>
      <c r="D9218" s="2" t="str">
        <f>IFERROR(__xludf.DUMMYFUNCTION("IFERROR(VLOOKUP(A9218, IMPORTRANGE(""https://docs.google.com/spreadsheets/d/1-3Vjw2Cyy-mry5gbC8ypIR3YVGFfEpyFESummAta6sg/edit"", ""Sheet1!B:D""), 2, FALSE), ""Not Found"")"),"græmps")</f>
        <v>græmps</v>
      </c>
      <c r="E9218" s="2" t="str">
        <f>IFERROR(__xludf.DUMMYFUNCTION("IFERROR(VLOOKUP(A9218, IMPORTRANGE(""https://docs.google.com/spreadsheets/d/1-3Vjw2Cyy-mry5gbC8ypIR3YVGFfEpyFESummAta6sg/edit"", ""Sheet1!B:D""), 3, FALSE), ""Not Found"")"),"g r æ m p s ")</f>
        <v>g r æ m p s </v>
      </c>
    </row>
    <row r="9219">
      <c r="A9219" s="1" t="s">
        <v>9220</v>
      </c>
      <c r="B9219" s="1" t="s">
        <v>6138</v>
      </c>
      <c r="C9219" s="2">
        <f>IFERROR(__xludf.DUMMYFUNCTION("IFERROR(VLOOKUP(A9219, IMPORTRANGE(""https://docs.google.com/spreadsheets/d/1AVX9GT0dgogEBStecCXMMQ29tWz3gBrtNB8yIromXbY/edit?gid=741673867"", ""out1g!A:B""), 2, FALSE), 0)"),77.0)</f>
        <v>77</v>
      </c>
      <c r="D9219" s="2" t="str">
        <f>IFERROR(__xludf.DUMMYFUNCTION("IFERROR(VLOOKUP(A9219, IMPORTRANGE(""https://docs.google.com/spreadsheets/d/1-3Vjw2Cyy-mry5gbC8ypIR3YVGFfEpyFESummAta6sg/edit"", ""Sheet1!B:D""), 2, FALSE), ""Not Found"")"),"feθfəli")</f>
        <v>feθfəli</v>
      </c>
      <c r="E9219" s="2" t="str">
        <f>IFERROR(__xludf.DUMMYFUNCTION("IFERROR(VLOOKUP(A9219, IMPORTRANGE(""https://docs.google.com/spreadsheets/d/1-3Vjw2Cyy-mry5gbC8ypIR3YVGFfEpyFESummAta6sg/edit"", ""Sheet1!B:D""), 3, FALSE), ""Not Found"")"),"f e θ f ə l i ")</f>
        <v>f e θ f ə l i </v>
      </c>
    </row>
    <row r="9220">
      <c r="A9220" s="1" t="s">
        <v>9221</v>
      </c>
      <c r="B9220" s="1" t="s">
        <v>6138</v>
      </c>
      <c r="C9220" s="2">
        <f>IFERROR(__xludf.DUMMYFUNCTION("IFERROR(VLOOKUP(A9220, IMPORTRANGE(""https://docs.google.com/spreadsheets/d/1AVX9GT0dgogEBStecCXMMQ29tWz3gBrtNB8yIromXbY/edit?gid=741673867"", ""out1g!A:B""), 2, FALSE), 0)"),504.0)</f>
        <v>504</v>
      </c>
      <c r="D9220" s="2" t="str">
        <f>IFERROR(__xludf.DUMMYFUNCTION("IFERROR(VLOOKUP(A9220, IMPORTRANGE(""https://docs.google.com/spreadsheets/d/1-3Vjw2Cyy-mry5gbC8ypIR3YVGFfEpyFESummAta6sg/edit"", ""Sheet1!B:D""), 2, FALSE), ""Not Found"")"),"ʧɛrz")</f>
        <v>ʧɛrz</v>
      </c>
      <c r="E9220" s="2" t="str">
        <f>IFERROR(__xludf.DUMMYFUNCTION("IFERROR(VLOOKUP(A9220, IMPORTRANGE(""https://docs.google.com/spreadsheets/d/1-3Vjw2Cyy-mry5gbC8ypIR3YVGFfEpyFESummAta6sg/edit"", ""Sheet1!B:D""), 3, FALSE), ""Not Found"")"),"ʧ ɛ r z ")</f>
        <v>ʧ ɛ r z </v>
      </c>
    </row>
    <row r="9221">
      <c r="A9221" s="1" t="s">
        <v>9222</v>
      </c>
      <c r="B9221" s="1" t="s">
        <v>6138</v>
      </c>
      <c r="C9221" s="2">
        <f>IFERROR(__xludf.DUMMYFUNCTION("IFERROR(VLOOKUP(A9221, IMPORTRANGE(""https://docs.google.com/spreadsheets/d/1AVX9GT0dgogEBStecCXMMQ29tWz3gBrtNB8yIromXbY/edit?gid=741673867"", ""out1g!A:B""), 2, FALSE), 0)"),92.0)</f>
        <v>92</v>
      </c>
      <c r="D9221" s="2" t="str">
        <f>IFERROR(__xludf.DUMMYFUNCTION("IFERROR(VLOOKUP(A9221, IMPORTRANGE(""https://docs.google.com/spreadsheets/d/1-3Vjw2Cyy-mry5gbC8ypIR3YVGFfEpyFESummAta6sg/edit"", ""Sheet1!B:D""), 2, FALSE), ""Not Found"")"),"məzəl")</f>
        <v>məzəl</v>
      </c>
      <c r="E9221" s="2" t="str">
        <f>IFERROR(__xludf.DUMMYFUNCTION("IFERROR(VLOOKUP(A9221, IMPORTRANGE(""https://docs.google.com/spreadsheets/d/1-3Vjw2Cyy-mry5gbC8ypIR3YVGFfEpyFESummAta6sg/edit"", ""Sheet1!B:D""), 3, FALSE), ""Not Found"")"),"m ə z ə l ")</f>
        <v>m ə z ə l </v>
      </c>
    </row>
    <row r="9222">
      <c r="A9222" s="1" t="s">
        <v>9223</v>
      </c>
      <c r="B9222" s="1" t="s">
        <v>6138</v>
      </c>
      <c r="C9222" s="2">
        <f>IFERROR(__xludf.DUMMYFUNCTION("IFERROR(VLOOKUP(A9222, IMPORTRANGE(""https://docs.google.com/spreadsheets/d/1AVX9GT0dgogEBStecCXMMQ29tWz3gBrtNB8yIromXbY/edit?gid=741673867"", ""out1g!A:B""), 2, FALSE), 0)"),132.0)</f>
        <v>132</v>
      </c>
      <c r="D9222" s="2" t="str">
        <f>IFERROR(__xludf.DUMMYFUNCTION("IFERROR(VLOOKUP(A9222, IMPORTRANGE(""https://docs.google.com/spreadsheets/d/1-3Vjw2Cyy-mry5gbC8ypIR3YVGFfEpyFESummAta6sg/edit"", ""Sheet1!B:D""), 2, FALSE), ""Not Found"")"),"hitɪd")</f>
        <v>hitɪd</v>
      </c>
      <c r="E9222" s="2" t="str">
        <f>IFERROR(__xludf.DUMMYFUNCTION("IFERROR(VLOOKUP(A9222, IMPORTRANGE(""https://docs.google.com/spreadsheets/d/1-3Vjw2Cyy-mry5gbC8ypIR3YVGFfEpyFESummAta6sg/edit"", ""Sheet1!B:D""), 3, FALSE), ""Not Found"")"),"h i t ɪ d ")</f>
        <v>h i t ɪ d </v>
      </c>
    </row>
    <row r="9223">
      <c r="A9223" s="1" t="s">
        <v>9224</v>
      </c>
      <c r="B9223" s="1" t="s">
        <v>6138</v>
      </c>
      <c r="C9223" s="2">
        <f>IFERROR(__xludf.DUMMYFUNCTION("IFERROR(VLOOKUP(A9223, IMPORTRANGE(""https://docs.google.com/spreadsheets/d/1AVX9GT0dgogEBStecCXMMQ29tWz3gBrtNB8yIromXbY/edit?gid=741673867"", ""out1g!A:B""), 2, FALSE), 0)"),82.0)</f>
        <v>82</v>
      </c>
      <c r="D9223" s="2" t="str">
        <f>IFERROR(__xludf.DUMMYFUNCTION("IFERROR(VLOOKUP(A9223, IMPORTRANGE(""https://docs.google.com/spreadsheets/d/1-3Vjw2Cyy-mry5gbC8ypIR3YVGFfEpyFESummAta6sg/edit"", ""Sheet1!B:D""), 2, FALSE), ""Not Found"")"),"slɑts")</f>
        <v>slɑts</v>
      </c>
      <c r="E9223" s="2" t="str">
        <f>IFERROR(__xludf.DUMMYFUNCTION("IFERROR(VLOOKUP(A9223, IMPORTRANGE(""https://docs.google.com/spreadsheets/d/1-3Vjw2Cyy-mry5gbC8ypIR3YVGFfEpyFESummAta6sg/edit"", ""Sheet1!B:D""), 3, FALSE), ""Not Found"")"),"s l ɑ t s ")</f>
        <v>s l ɑ t s </v>
      </c>
    </row>
    <row r="9224">
      <c r="A9224" s="1" t="s">
        <v>9225</v>
      </c>
      <c r="B9224" s="1" t="s">
        <v>6138</v>
      </c>
      <c r="C9224" s="2">
        <f>IFERROR(__xludf.DUMMYFUNCTION("IFERROR(VLOOKUP(A9224, IMPORTRANGE(""https://docs.google.com/spreadsheets/d/1AVX9GT0dgogEBStecCXMMQ29tWz3gBrtNB8yIromXbY/edit?gid=741673867"", ""out1g!A:B""), 2, FALSE), 0)"),169.0)</f>
        <v>169</v>
      </c>
      <c r="D9224" s="2" t="str">
        <f>IFERROR(__xludf.DUMMYFUNCTION("IFERROR(VLOOKUP(A9224, IMPORTRANGE(""https://docs.google.com/spreadsheets/d/1-3Vjw2Cyy-mry5gbC8ypIR3YVGFfEpyFESummAta6sg/edit"", ""Sheet1!B:D""), 2, FALSE), ""Not Found"")"),"ʃekən")</f>
        <v>ʃekən</v>
      </c>
      <c r="E9224" s="2" t="str">
        <f>IFERROR(__xludf.DUMMYFUNCTION("IFERROR(VLOOKUP(A9224, IMPORTRANGE(""https://docs.google.com/spreadsheets/d/1-3Vjw2Cyy-mry5gbC8ypIR3YVGFfEpyFESummAta6sg/edit"", ""Sheet1!B:D""), 3, FALSE), ""Not Found"")"),"ʃ e k ə n ")</f>
        <v>ʃ e k ə n </v>
      </c>
    </row>
    <row r="9225">
      <c r="A9225" s="1" t="s">
        <v>9226</v>
      </c>
      <c r="B9225" s="1" t="s">
        <v>6138</v>
      </c>
      <c r="C9225" s="2">
        <f>IFERROR(__xludf.DUMMYFUNCTION("IFERROR(VLOOKUP(A9225, IMPORTRANGE(""https://docs.google.com/spreadsheets/d/1AVX9GT0dgogEBStecCXMMQ29tWz3gBrtNB8yIromXbY/edit?gid=741673867"", ""out1g!A:B""), 2, FALSE), 0)"),205.0)</f>
        <v>205</v>
      </c>
      <c r="D9225" s="2" t="str">
        <f>IFERROR(__xludf.DUMMYFUNCTION("IFERROR(VLOOKUP(A9225, IMPORTRANGE(""https://docs.google.com/spreadsheets/d/1-3Vjw2Cyy-mry5gbC8ypIR3YVGFfEpyFESummAta6sg/edit"", ""Sheet1!B:D""), 2, FALSE), ""Not Found"")"),"rɔr")</f>
        <v>rɔr</v>
      </c>
      <c r="E9225" s="2" t="str">
        <f>IFERROR(__xludf.DUMMYFUNCTION("IFERROR(VLOOKUP(A9225, IMPORTRANGE(""https://docs.google.com/spreadsheets/d/1-3Vjw2Cyy-mry5gbC8ypIR3YVGFfEpyFESummAta6sg/edit"", ""Sheet1!B:D""), 3, FALSE), ""Not Found"")"),"r ɔ r ")</f>
        <v>r ɔ r </v>
      </c>
    </row>
    <row r="9226">
      <c r="A9226" s="1" t="s">
        <v>9227</v>
      </c>
      <c r="B9226" s="1" t="s">
        <v>6138</v>
      </c>
      <c r="C9226" s="2">
        <f>IFERROR(__xludf.DUMMYFUNCTION("IFERROR(VLOOKUP(A9226, IMPORTRANGE(""https://docs.google.com/spreadsheets/d/1AVX9GT0dgogEBStecCXMMQ29tWz3gBrtNB8yIromXbY/edit?gid=741673867"", ""out1g!A:B""), 2, FALSE), 0)"),1139.0)</f>
        <v>1139</v>
      </c>
      <c r="D9226" s="2" t="str">
        <f>IFERROR(__xludf.DUMMYFUNCTION("IFERROR(VLOOKUP(A9226, IMPORTRANGE(""https://docs.google.com/spreadsheets/d/1-3Vjw2Cyy-mry5gbC8ypIR3YVGFfEpyFESummAta6sg/edit"", ""Sheet1!B:D""), 2, FALSE), ""Not Found"")"),"kænsər")</f>
        <v>kænsər</v>
      </c>
      <c r="E9226" s="2" t="str">
        <f>IFERROR(__xludf.DUMMYFUNCTION("IFERROR(VLOOKUP(A9226, IMPORTRANGE(""https://docs.google.com/spreadsheets/d/1-3Vjw2Cyy-mry5gbC8ypIR3YVGFfEpyFESummAta6sg/edit"", ""Sheet1!B:D""), 3, FALSE), ""Not Found"")"),"k æ n s ə r ")</f>
        <v>k æ n s ə r </v>
      </c>
    </row>
    <row r="9227">
      <c r="A9227" s="1" t="s">
        <v>9228</v>
      </c>
      <c r="B9227" s="1" t="s">
        <v>6138</v>
      </c>
      <c r="C9227" s="2">
        <f>IFERROR(__xludf.DUMMYFUNCTION("IFERROR(VLOOKUP(A9227, IMPORTRANGE(""https://docs.google.com/spreadsheets/d/1AVX9GT0dgogEBStecCXMMQ29tWz3gBrtNB8yIromXbY/edit?gid=741673867"", ""out1g!A:B""), 2, FALSE), 0)"),222.0)</f>
        <v>222</v>
      </c>
      <c r="D9227" s="2" t="str">
        <f>IFERROR(__xludf.DUMMYFUNCTION("IFERROR(VLOOKUP(A9227, IMPORTRANGE(""https://docs.google.com/spreadsheets/d/1-3Vjw2Cyy-mry5gbC8ypIR3YVGFfEpyFESummAta6sg/edit"", ""Sheet1!B:D""), 2, FALSE), ""Not Found"")"),"rɪsts")</f>
        <v>rɪsts</v>
      </c>
      <c r="E9227" s="2" t="str">
        <f>IFERROR(__xludf.DUMMYFUNCTION("IFERROR(VLOOKUP(A9227, IMPORTRANGE(""https://docs.google.com/spreadsheets/d/1-3Vjw2Cyy-mry5gbC8ypIR3YVGFfEpyFESummAta6sg/edit"", ""Sheet1!B:D""), 3, FALSE), ""Not Found"")"),"r ɪ s t s ")</f>
        <v>r ɪ s t s </v>
      </c>
    </row>
    <row r="9228">
      <c r="A9228" s="1" t="s">
        <v>9229</v>
      </c>
      <c r="B9228" s="1" t="s">
        <v>6138</v>
      </c>
      <c r="C9228" s="2">
        <f>IFERROR(__xludf.DUMMYFUNCTION("IFERROR(VLOOKUP(A9228, IMPORTRANGE(""https://docs.google.com/spreadsheets/d/1AVX9GT0dgogEBStecCXMMQ29tWz3gBrtNB8yIromXbY/edit?gid=741673867"", ""out1g!A:B""), 2, FALSE), 0)"),49.0)</f>
        <v>49</v>
      </c>
      <c r="D9228" s="2" t="str">
        <f>IFERROR(__xludf.DUMMYFUNCTION("IFERROR(VLOOKUP(A9228, IMPORTRANGE(""https://docs.google.com/spreadsheets/d/1-3Vjw2Cyy-mry5gbC8ypIR3YVGFfEpyFESummAta6sg/edit"", ""Sheet1!B:D""), 2, FALSE), ""Not Found"")"),"skræʧi")</f>
        <v>skræʧi</v>
      </c>
      <c r="E9228" s="2" t="str">
        <f>IFERROR(__xludf.DUMMYFUNCTION("IFERROR(VLOOKUP(A9228, IMPORTRANGE(""https://docs.google.com/spreadsheets/d/1-3Vjw2Cyy-mry5gbC8ypIR3YVGFfEpyFESummAta6sg/edit"", ""Sheet1!B:D""), 3, FALSE), ""Not Found"")"),"s k r æ ʧ i ")</f>
        <v>s k r æ ʧ i </v>
      </c>
    </row>
    <row r="9229">
      <c r="A9229" s="1" t="s">
        <v>9230</v>
      </c>
      <c r="B9229" s="1" t="s">
        <v>6138</v>
      </c>
      <c r="C9229" s="2">
        <f>IFERROR(__xludf.DUMMYFUNCTION("IFERROR(VLOOKUP(A9229, IMPORTRANGE(""https://docs.google.com/spreadsheets/d/1AVX9GT0dgogEBStecCXMMQ29tWz3gBrtNB8yIromXbY/edit?gid=741673867"", ""out1g!A:B""), 2, FALSE), 0)"),100.0)</f>
        <v>100</v>
      </c>
      <c r="D9229" s="2" t="str">
        <f>IFERROR(__xludf.DUMMYFUNCTION("IFERROR(VLOOKUP(A9229, IMPORTRANGE(""https://docs.google.com/spreadsheets/d/1-3Vjw2Cyy-mry5gbC8ypIR3YVGFfEpyFESummAta6sg/edit"", ""Sheet1!B:D""), 2, FALSE), ""Not Found"")"),"tæŋkər")</f>
        <v>tæŋkər</v>
      </c>
      <c r="E9229" s="2" t="str">
        <f>IFERROR(__xludf.DUMMYFUNCTION("IFERROR(VLOOKUP(A9229, IMPORTRANGE(""https://docs.google.com/spreadsheets/d/1-3Vjw2Cyy-mry5gbC8ypIR3YVGFfEpyFESummAta6sg/edit"", ""Sheet1!B:D""), 3, FALSE), ""Not Found"")"),"t æ ŋ k ə r ")</f>
        <v>t æ ŋ k ə r </v>
      </c>
    </row>
    <row r="9230">
      <c r="A9230" s="1" t="s">
        <v>9231</v>
      </c>
      <c r="B9230" s="1" t="s">
        <v>6138</v>
      </c>
      <c r="C9230" s="2">
        <f>IFERROR(__xludf.DUMMYFUNCTION("IFERROR(VLOOKUP(A9230, IMPORTRANGE(""https://docs.google.com/spreadsheets/d/1AVX9GT0dgogEBStecCXMMQ29tWz3gBrtNB8yIromXbY/edit?gid=741673867"", ""out1g!A:B""), 2, FALSE), 0)"),90.0)</f>
        <v>90</v>
      </c>
      <c r="D9230" s="2" t="str">
        <f>IFERROR(__xludf.DUMMYFUNCTION("IFERROR(VLOOKUP(A9230, IMPORTRANGE(""https://docs.google.com/spreadsheets/d/1-3Vjw2Cyy-mry5gbC8ypIR3YVGFfEpyFESummAta6sg/edit"", ""Sheet1!B:D""), 2, FALSE), ""Not Found"")"),"bɑrʤɪŋ")</f>
        <v>bɑrʤɪŋ</v>
      </c>
      <c r="E9230" s="2" t="str">
        <f>IFERROR(__xludf.DUMMYFUNCTION("IFERROR(VLOOKUP(A9230, IMPORTRANGE(""https://docs.google.com/spreadsheets/d/1-3Vjw2Cyy-mry5gbC8ypIR3YVGFfEpyFESummAta6sg/edit"", ""Sheet1!B:D""), 3, FALSE), ""Not Found"")"),"b ɑ r ʤ ɪ ŋ ")</f>
        <v>b ɑ r ʤ ɪ ŋ </v>
      </c>
    </row>
    <row r="9231">
      <c r="A9231" s="1" t="s">
        <v>9232</v>
      </c>
      <c r="B9231" s="1" t="s">
        <v>6138</v>
      </c>
      <c r="C9231" s="2">
        <f>IFERROR(__xludf.DUMMYFUNCTION("IFERROR(VLOOKUP(A9231, IMPORTRANGE(""https://docs.google.com/spreadsheets/d/1AVX9GT0dgogEBStecCXMMQ29tWz3gBrtNB8yIromXbY/edit?gid=741673867"", ""out1g!A:B""), 2, FALSE), 0)"),1492.0)</f>
        <v>1492</v>
      </c>
      <c r="D9231" s="2" t="str">
        <f>IFERROR(__xludf.DUMMYFUNCTION("IFERROR(VLOOKUP(A9231, IMPORTRANGE(""https://docs.google.com/spreadsheets/d/1-3Vjw2Cyy-mry5gbC8ypIR3YVGFfEpyFESummAta6sg/edit"", ""Sheet1!B:D""), 2, FALSE), ""Not Found"")"),"faɪndz")</f>
        <v>faɪndz</v>
      </c>
      <c r="E9231" s="2" t="str">
        <f>IFERROR(__xludf.DUMMYFUNCTION("IFERROR(VLOOKUP(A9231, IMPORTRANGE(""https://docs.google.com/spreadsheets/d/1-3Vjw2Cyy-mry5gbC8ypIR3YVGFfEpyFESummAta6sg/edit"", ""Sheet1!B:D""), 3, FALSE), ""Not Found"")"),"f a ɪ n d z ")</f>
        <v>f a ɪ n d z </v>
      </c>
    </row>
    <row r="9232">
      <c r="A9232" s="1" t="s">
        <v>9233</v>
      </c>
      <c r="B9232" s="1" t="s">
        <v>6138</v>
      </c>
      <c r="C9232" s="2">
        <f>IFERROR(__xludf.DUMMYFUNCTION("IFERROR(VLOOKUP(A9232, IMPORTRANGE(""https://docs.google.com/spreadsheets/d/1AVX9GT0dgogEBStecCXMMQ29tWz3gBrtNB8yIromXbY/edit?gid=741673867"", ""out1g!A:B""), 2, FALSE), 0)"),649.0)</f>
        <v>649</v>
      </c>
      <c r="D9232" s="2" t="str">
        <f>IFERROR(__xludf.DUMMYFUNCTION("IFERROR(VLOOKUP(A9232, IMPORTRANGE(""https://docs.google.com/spreadsheets/d/1-3Vjw2Cyy-mry5gbC8ypIR3YVGFfEpyFESummAta6sg/edit"", ""Sheet1!B:D""), 2, FALSE), ""Not Found"")"),"sʊki")</f>
        <v>sʊki</v>
      </c>
      <c r="E9232" s="2" t="str">
        <f>IFERROR(__xludf.DUMMYFUNCTION("IFERROR(VLOOKUP(A9232, IMPORTRANGE(""https://docs.google.com/spreadsheets/d/1-3Vjw2Cyy-mry5gbC8ypIR3YVGFfEpyFESummAta6sg/edit"", ""Sheet1!B:D""), 3, FALSE), ""Not Found"")"),"s ʊ k i ")</f>
        <v>s ʊ k i </v>
      </c>
    </row>
    <row r="9233">
      <c r="A9233" s="1" t="s">
        <v>9234</v>
      </c>
      <c r="B9233" s="1" t="s">
        <v>6138</v>
      </c>
      <c r="C9233" s="2">
        <f>IFERROR(__xludf.DUMMYFUNCTION("IFERROR(VLOOKUP(A9233, IMPORTRANGE(""https://docs.google.com/spreadsheets/d/1AVX9GT0dgogEBStecCXMMQ29tWz3gBrtNB8yIromXbY/edit?gid=741673867"", ""out1g!A:B""), 2, FALSE), 0)"),25.0)</f>
        <v>25</v>
      </c>
      <c r="D9233" s="2" t="str">
        <f>IFERROR(__xludf.DUMMYFUNCTION("IFERROR(VLOOKUP(A9233, IMPORTRANGE(""https://docs.google.com/spreadsheets/d/1-3Vjw2Cyy-mry5gbC8ypIR3YVGFfEpyFESummAta6sg/edit"", ""Sheet1!B:D""), 2, FALSE), ""Not Found"")"),"hæʧɪŋ")</f>
        <v>hæʧɪŋ</v>
      </c>
      <c r="E9233" s="2" t="str">
        <f>IFERROR(__xludf.DUMMYFUNCTION("IFERROR(VLOOKUP(A9233, IMPORTRANGE(""https://docs.google.com/spreadsheets/d/1-3Vjw2Cyy-mry5gbC8ypIR3YVGFfEpyFESummAta6sg/edit"", ""Sheet1!B:D""), 3, FALSE), ""Not Found"")"),"h æ ʧ ɪ ŋ ")</f>
        <v>h æ ʧ ɪ ŋ </v>
      </c>
    </row>
    <row r="9234">
      <c r="A9234" s="1" t="s">
        <v>9235</v>
      </c>
      <c r="B9234" s="1" t="s">
        <v>6138</v>
      </c>
      <c r="C9234" s="2">
        <f>IFERROR(__xludf.DUMMYFUNCTION("IFERROR(VLOOKUP(A9234, IMPORTRANGE(""https://docs.google.com/spreadsheets/d/1AVX9GT0dgogEBStecCXMMQ29tWz3gBrtNB8yIromXbY/edit?gid=741673867"", ""out1g!A:B""), 2, FALSE), 0)"),682.0)</f>
        <v>682</v>
      </c>
      <c r="D9234" s="2" t="str">
        <f>IFERROR(__xludf.DUMMYFUNCTION("IFERROR(VLOOKUP(A9234, IMPORTRANGE(""https://docs.google.com/spreadsheets/d/1-3Vjw2Cyy-mry5gbC8ypIR3YVGFfEpyFESummAta6sg/edit"", ""Sheet1!B:D""), 2, FALSE), ""Not Found"")"),"bɑtəlz")</f>
        <v>bɑtəlz</v>
      </c>
      <c r="E9234" s="2" t="str">
        <f>IFERROR(__xludf.DUMMYFUNCTION("IFERROR(VLOOKUP(A9234, IMPORTRANGE(""https://docs.google.com/spreadsheets/d/1-3Vjw2Cyy-mry5gbC8ypIR3YVGFfEpyFESummAta6sg/edit"", ""Sheet1!B:D""), 3, FALSE), ""Not Found"")"),"b ɑ t ə l z ")</f>
        <v>b ɑ t ə l z </v>
      </c>
    </row>
    <row r="9235">
      <c r="A9235" s="1" t="s">
        <v>9236</v>
      </c>
      <c r="B9235" s="1" t="s">
        <v>6138</v>
      </c>
      <c r="C9235" s="2">
        <f>IFERROR(__xludf.DUMMYFUNCTION("IFERROR(VLOOKUP(A9235, IMPORTRANGE(""https://docs.google.com/spreadsheets/d/1AVX9GT0dgogEBStecCXMMQ29tWz3gBrtNB8yIromXbY/edit?gid=741673867"", ""out1g!A:B""), 2, FALSE), 0)"),51.0)</f>
        <v>51</v>
      </c>
      <c r="D9235" s="2" t="str">
        <f>IFERROR(__xludf.DUMMYFUNCTION("IFERROR(VLOOKUP(A9235, IMPORTRANGE(""https://docs.google.com/spreadsheets/d/1-3Vjw2Cyy-mry5gbC8ypIR3YVGFfEpyFESummAta6sg/edit"", ""Sheet1!B:D""), 2, FALSE), ""Not Found"")"),"ʧɔr")</f>
        <v>ʧɔr</v>
      </c>
      <c r="E9235" s="2" t="str">
        <f>IFERROR(__xludf.DUMMYFUNCTION("IFERROR(VLOOKUP(A9235, IMPORTRANGE(""https://docs.google.com/spreadsheets/d/1-3Vjw2Cyy-mry5gbC8ypIR3YVGFfEpyFESummAta6sg/edit"", ""Sheet1!B:D""), 3, FALSE), ""Not Found"")"),"ʧ ɔ r ")</f>
        <v>ʧ ɔ r </v>
      </c>
    </row>
    <row r="9236">
      <c r="A9236" s="1" t="s">
        <v>9237</v>
      </c>
      <c r="B9236" s="1" t="s">
        <v>6138</v>
      </c>
      <c r="C9236" s="2">
        <f>IFERROR(__xludf.DUMMYFUNCTION("IFERROR(VLOOKUP(A9236, IMPORTRANGE(""https://docs.google.com/spreadsheets/d/1AVX9GT0dgogEBStecCXMMQ29tWz3gBrtNB8yIromXbY/edit?gid=741673867"", ""out1g!A:B""), 2, FALSE), 0)"),1093.0)</f>
        <v>1093</v>
      </c>
      <c r="D9236" s="2" t="str">
        <f>IFERROR(__xludf.DUMMYFUNCTION("IFERROR(VLOOKUP(A9236, IMPORTRANGE(""https://docs.google.com/spreadsheets/d/1-3Vjw2Cyy-mry5gbC8ypIR3YVGFfEpyFESummAta6sg/edit"", ""Sheet1!B:D""), 2, FALSE), ""Not Found"")"),"stændz")</f>
        <v>stændz</v>
      </c>
      <c r="E9236" s="2" t="str">
        <f>IFERROR(__xludf.DUMMYFUNCTION("IFERROR(VLOOKUP(A9236, IMPORTRANGE(""https://docs.google.com/spreadsheets/d/1-3Vjw2Cyy-mry5gbC8ypIR3YVGFfEpyFESummAta6sg/edit"", ""Sheet1!B:D""), 3, FALSE), ""Not Found"")"),"s t æ n d z ")</f>
        <v>s t æ n d z </v>
      </c>
    </row>
    <row r="9237">
      <c r="A9237" s="1" t="s">
        <v>9238</v>
      </c>
      <c r="B9237" s="1" t="s">
        <v>6138</v>
      </c>
      <c r="C9237" s="2">
        <f>IFERROR(__xludf.DUMMYFUNCTION("IFERROR(VLOOKUP(A9237, IMPORTRANGE(""https://docs.google.com/spreadsheets/d/1AVX9GT0dgogEBStecCXMMQ29tWz3gBrtNB8yIromXbY/edit?gid=741673867"", ""out1g!A:B""), 2, FALSE), 0)"),640.0)</f>
        <v>640</v>
      </c>
      <c r="D9237" s="2" t="str">
        <f>IFERROR(__xludf.DUMMYFUNCTION("IFERROR(VLOOKUP(A9237, IMPORTRANGE(""https://docs.google.com/spreadsheets/d/1-3Vjw2Cyy-mry5gbC8ypIR3YVGFfEpyFESummAta6sg/edit"", ""Sheet1!B:D""), 2, FALSE), ""Not Found"")"),"bɪʧɪz")</f>
        <v>bɪʧɪz</v>
      </c>
      <c r="E9237" s="2" t="str">
        <f>IFERROR(__xludf.DUMMYFUNCTION("IFERROR(VLOOKUP(A9237, IMPORTRANGE(""https://docs.google.com/spreadsheets/d/1-3Vjw2Cyy-mry5gbC8ypIR3YVGFfEpyFESummAta6sg/edit"", ""Sheet1!B:D""), 3, FALSE), ""Not Found"")"),"b ɪ ʧ ɪ z ")</f>
        <v>b ɪ ʧ ɪ z </v>
      </c>
    </row>
    <row r="9238">
      <c r="A9238" s="1" t="s">
        <v>9239</v>
      </c>
      <c r="B9238" s="1" t="s">
        <v>6138</v>
      </c>
      <c r="C9238" s="2">
        <f>IFERROR(__xludf.DUMMYFUNCTION("IFERROR(VLOOKUP(A9238, IMPORTRANGE(""https://docs.google.com/spreadsheets/d/1AVX9GT0dgogEBStecCXMMQ29tWz3gBrtNB8yIromXbY/edit?gid=741673867"", ""out1g!A:B""), 2, FALSE), 0)"),58.0)</f>
        <v>58</v>
      </c>
      <c r="D9238" s="2" t="str">
        <f>IFERROR(__xludf.DUMMYFUNCTION("IFERROR(VLOOKUP(A9238, IMPORTRANGE(""https://docs.google.com/spreadsheets/d/1-3Vjw2Cyy-mry5gbC8ypIR3YVGFfEpyFESummAta6sg/edit"", ""Sheet1!B:D""), 2, FALSE), ""Not Found"")"),"fjuzɪz")</f>
        <v>fjuzɪz</v>
      </c>
      <c r="E9238" s="2" t="str">
        <f>IFERROR(__xludf.DUMMYFUNCTION("IFERROR(VLOOKUP(A9238, IMPORTRANGE(""https://docs.google.com/spreadsheets/d/1-3Vjw2Cyy-mry5gbC8ypIR3YVGFfEpyFESummAta6sg/edit"", ""Sheet1!B:D""), 3, FALSE), ""Not Found"")"),"f j u z ɪ z ")</f>
        <v>f j u z ɪ z </v>
      </c>
    </row>
    <row r="9239">
      <c r="A9239" s="1" t="s">
        <v>9240</v>
      </c>
      <c r="B9239" s="1" t="s">
        <v>6138</v>
      </c>
      <c r="C9239" s="2">
        <f>IFERROR(__xludf.DUMMYFUNCTION("IFERROR(VLOOKUP(A9239, IMPORTRANGE(""https://docs.google.com/spreadsheets/d/1AVX9GT0dgogEBStecCXMMQ29tWz3gBrtNB8yIromXbY/edit?gid=741673867"", ""out1g!A:B""), 2, FALSE), 0)"),150.0)</f>
        <v>150</v>
      </c>
      <c r="D9239" s="2" t="str">
        <f>IFERROR(__xludf.DUMMYFUNCTION("IFERROR(VLOOKUP(A9239, IMPORTRANGE(""https://docs.google.com/spreadsheets/d/1-3Vjw2Cyy-mry5gbC8ypIR3YVGFfEpyFESummAta6sg/edit"", ""Sheet1!B:D""), 2, FALSE), ""Not Found"")"),"fɔrənər")</f>
        <v>fɔrənər</v>
      </c>
      <c r="E9239" s="2" t="str">
        <f>IFERROR(__xludf.DUMMYFUNCTION("IFERROR(VLOOKUP(A9239, IMPORTRANGE(""https://docs.google.com/spreadsheets/d/1-3Vjw2Cyy-mry5gbC8ypIR3YVGFfEpyFESummAta6sg/edit"", ""Sheet1!B:D""), 3, FALSE), ""Not Found"")"),"f ɔ r ə n ə r ")</f>
        <v>f ɔ r ə n ə r </v>
      </c>
    </row>
    <row r="9240">
      <c r="A9240" s="1" t="s">
        <v>9241</v>
      </c>
      <c r="B9240" s="1" t="s">
        <v>6138</v>
      </c>
      <c r="C9240" s="2">
        <f>IFERROR(__xludf.DUMMYFUNCTION("IFERROR(VLOOKUP(A9240, IMPORTRANGE(""https://docs.google.com/spreadsheets/d/1AVX9GT0dgogEBStecCXMMQ29tWz3gBrtNB8yIromXbY/edit?gid=741673867"", ""out1g!A:B""), 2, FALSE), 0)"),14.0)</f>
        <v>14</v>
      </c>
      <c r="D9240" s="2" t="str">
        <f>IFERROR(__xludf.DUMMYFUNCTION("IFERROR(VLOOKUP(A9240, IMPORTRANGE(""https://docs.google.com/spreadsheets/d/1-3Vjw2Cyy-mry5gbC8ypIR3YVGFfEpyFESummAta6sg/edit"", ""Sheet1!B:D""), 2, FALSE), ""Not Found"")"),"bɛŋgəl")</f>
        <v>bɛŋgəl</v>
      </c>
      <c r="E9240" s="2" t="str">
        <f>IFERROR(__xludf.DUMMYFUNCTION("IFERROR(VLOOKUP(A9240, IMPORTRANGE(""https://docs.google.com/spreadsheets/d/1-3Vjw2Cyy-mry5gbC8ypIR3YVGFfEpyFESummAta6sg/edit"", ""Sheet1!B:D""), 3, FALSE), ""Not Found"")"),"b ɛ ŋ g ə l ")</f>
        <v>b ɛ ŋ g ə l </v>
      </c>
    </row>
    <row r="9241">
      <c r="A9241" s="1" t="s">
        <v>9242</v>
      </c>
      <c r="B9241" s="1" t="s">
        <v>6138</v>
      </c>
      <c r="C9241" s="2">
        <f>IFERROR(__xludf.DUMMYFUNCTION("IFERROR(VLOOKUP(A9241, IMPORTRANGE(""https://docs.google.com/spreadsheets/d/1AVX9GT0dgogEBStecCXMMQ29tWz3gBrtNB8yIromXbY/edit?gid=741673867"", ""out1g!A:B""), 2, FALSE), 0)"),120.0)</f>
        <v>120</v>
      </c>
      <c r="D9241" s="2" t="str">
        <f>IFERROR(__xludf.DUMMYFUNCTION("IFERROR(VLOOKUP(A9241, IMPORTRANGE(""https://docs.google.com/spreadsheets/d/1-3Vjw2Cyy-mry5gbC8ypIR3YVGFfEpyFESummAta6sg/edit"", ""Sheet1!B:D""), 2, FALSE), ""Not Found"")"),"mjulz")</f>
        <v>mjulz</v>
      </c>
      <c r="E9241" s="2" t="str">
        <f>IFERROR(__xludf.DUMMYFUNCTION("IFERROR(VLOOKUP(A9241, IMPORTRANGE(""https://docs.google.com/spreadsheets/d/1-3Vjw2Cyy-mry5gbC8ypIR3YVGFfEpyFESummAta6sg/edit"", ""Sheet1!B:D""), 3, FALSE), ""Not Found"")"),"m j u l z ")</f>
        <v>m j u l z </v>
      </c>
    </row>
    <row r="9242">
      <c r="A9242" s="1" t="s">
        <v>9243</v>
      </c>
      <c r="B9242" s="1" t="s">
        <v>6138</v>
      </c>
      <c r="C9242" s="2">
        <f>IFERROR(__xludf.DUMMYFUNCTION("IFERROR(VLOOKUP(A9242, IMPORTRANGE(""https://docs.google.com/spreadsheets/d/1AVX9GT0dgogEBStecCXMMQ29tWz3gBrtNB8yIromXbY/edit?gid=741673867"", ""out1g!A:B""), 2, FALSE), 0)"),1347.0)</f>
        <v>1347</v>
      </c>
      <c r="D9242" s="2" t="str">
        <f>IFERROR(__xludf.DUMMYFUNCTION("IFERROR(VLOOKUP(A9242, IMPORTRANGE(""https://docs.google.com/spreadsheets/d/1-3Vjw2Cyy-mry5gbC8ypIR3YVGFfEpyFESummAta6sg/edit"", ""Sheet1!B:D""), 2, FALSE), ""Not Found"")"),"skrim")</f>
        <v>skrim</v>
      </c>
      <c r="E9242" s="2" t="str">
        <f>IFERROR(__xludf.DUMMYFUNCTION("IFERROR(VLOOKUP(A9242, IMPORTRANGE(""https://docs.google.com/spreadsheets/d/1-3Vjw2Cyy-mry5gbC8ypIR3YVGFfEpyFESummAta6sg/edit"", ""Sheet1!B:D""), 3, FALSE), ""Not Found"")"),"s k r i m ")</f>
        <v>s k r i m </v>
      </c>
    </row>
    <row r="9243">
      <c r="A9243" s="1" t="s">
        <v>9244</v>
      </c>
      <c r="B9243" s="1" t="s">
        <v>6138</v>
      </c>
      <c r="C9243" s="2">
        <f>IFERROR(__xludf.DUMMYFUNCTION("IFERROR(VLOOKUP(A9243, IMPORTRANGE(""https://docs.google.com/spreadsheets/d/1AVX9GT0dgogEBStecCXMMQ29tWz3gBrtNB8yIromXbY/edit?gid=741673867"", ""out1g!A:B""), 2, FALSE), 0)"),498.0)</f>
        <v>498</v>
      </c>
      <c r="D9243" s="2" t="str">
        <f>IFERROR(__xludf.DUMMYFUNCTION("IFERROR(VLOOKUP(A9243, IMPORTRANGE(""https://docs.google.com/spreadsheets/d/1-3Vjw2Cyy-mry5gbC8ypIR3YVGFfEpyFESummAta6sg/edit"", ""Sheet1!B:D""), 2, FALSE), ""Not Found"")"),"rænsəm")</f>
        <v>rænsəm</v>
      </c>
      <c r="E9243" s="2" t="str">
        <f>IFERROR(__xludf.DUMMYFUNCTION("IFERROR(VLOOKUP(A9243, IMPORTRANGE(""https://docs.google.com/spreadsheets/d/1-3Vjw2Cyy-mry5gbC8ypIR3YVGFfEpyFESummAta6sg/edit"", ""Sheet1!B:D""), 3, FALSE), ""Not Found"")"),"r æ n s ə m ")</f>
        <v>r æ n s ə m </v>
      </c>
    </row>
    <row r="9244">
      <c r="A9244" s="1" t="s">
        <v>9245</v>
      </c>
      <c r="B9244" s="1" t="s">
        <v>6138</v>
      </c>
      <c r="C9244" s="2">
        <f>IFERROR(__xludf.DUMMYFUNCTION("IFERROR(VLOOKUP(A9244, IMPORTRANGE(""https://docs.google.com/spreadsheets/d/1AVX9GT0dgogEBStecCXMMQ29tWz3gBrtNB8yIromXbY/edit?gid=741673867"", ""out1g!A:B""), 2, FALSE), 0)"),48.0)</f>
        <v>48</v>
      </c>
      <c r="D9244" s="2" t="str">
        <f>IFERROR(__xludf.DUMMYFUNCTION("IFERROR(VLOOKUP(A9244, IMPORTRANGE(""https://docs.google.com/spreadsheets/d/1-3Vjw2Cyy-mry5gbC8ypIR3YVGFfEpyFESummAta6sg/edit"", ""Sheet1!B:D""), 2, FALSE), ""Not Found"")"),"bəlʤ")</f>
        <v>bəlʤ</v>
      </c>
      <c r="E9244" s="2" t="str">
        <f>IFERROR(__xludf.DUMMYFUNCTION("IFERROR(VLOOKUP(A9244, IMPORTRANGE(""https://docs.google.com/spreadsheets/d/1-3Vjw2Cyy-mry5gbC8ypIR3YVGFfEpyFESummAta6sg/edit"", ""Sheet1!B:D""), 3, FALSE), ""Not Found"")"),"b ə l ʤ ")</f>
        <v>b ə l ʤ </v>
      </c>
    </row>
    <row r="9245">
      <c r="A9245" s="1" t="s">
        <v>9246</v>
      </c>
      <c r="B9245" s="1" t="s">
        <v>6138</v>
      </c>
      <c r="C9245" s="2">
        <f>IFERROR(__xludf.DUMMYFUNCTION("IFERROR(VLOOKUP(A9245, IMPORTRANGE(""https://docs.google.com/spreadsheets/d/1AVX9GT0dgogEBStecCXMMQ29tWz3gBrtNB8yIromXbY/edit?gid=741673867"", ""out1g!A:B""), 2, FALSE), 0)"),547.0)</f>
        <v>547</v>
      </c>
      <c r="D9245" s="2" t="str">
        <f>IFERROR(__xludf.DUMMYFUNCTION("IFERROR(VLOOKUP(A9245, IMPORTRANGE(""https://docs.google.com/spreadsheets/d/1-3Vjw2Cyy-mry5gbC8ypIR3YVGFfEpyFESummAta6sg/edit"", ""Sheet1!B:D""), 2, FALSE), ""Not Found"")"),"mɑrkt")</f>
        <v>mɑrkt</v>
      </c>
      <c r="E9245" s="2" t="str">
        <f>IFERROR(__xludf.DUMMYFUNCTION("IFERROR(VLOOKUP(A9245, IMPORTRANGE(""https://docs.google.com/spreadsheets/d/1-3Vjw2Cyy-mry5gbC8ypIR3YVGFfEpyFESummAta6sg/edit"", ""Sheet1!B:D""), 3, FALSE), ""Not Found"")"),"m ɑ r k t ")</f>
        <v>m ɑ r k t </v>
      </c>
    </row>
    <row r="9246">
      <c r="A9246" s="1" t="s">
        <v>9247</v>
      </c>
      <c r="B9246" s="1" t="s">
        <v>6138</v>
      </c>
      <c r="C9246" s="2">
        <f>IFERROR(__xludf.DUMMYFUNCTION("IFERROR(VLOOKUP(A9246, IMPORTRANGE(""https://docs.google.com/spreadsheets/d/1AVX9GT0dgogEBStecCXMMQ29tWz3gBrtNB8yIromXbY/edit?gid=741673867"", ""out1g!A:B""), 2, FALSE), 0)"),115.0)</f>
        <v>115</v>
      </c>
      <c r="D9246" s="2" t="str">
        <f>IFERROR(__xludf.DUMMYFUNCTION("IFERROR(VLOOKUP(A9246, IMPORTRANGE(""https://docs.google.com/spreadsheets/d/1-3Vjw2Cyy-mry5gbC8ypIR3YVGFfEpyFESummAta6sg/edit"", ""Sheet1!B:D""), 2, FALSE), ""Not Found"")"),"baʊndz")</f>
        <v>baʊndz</v>
      </c>
      <c r="E9246" s="2" t="str">
        <f>IFERROR(__xludf.DUMMYFUNCTION("IFERROR(VLOOKUP(A9246, IMPORTRANGE(""https://docs.google.com/spreadsheets/d/1-3Vjw2Cyy-mry5gbC8ypIR3YVGFfEpyFESummAta6sg/edit"", ""Sheet1!B:D""), 3, FALSE), ""Not Found"")"),"b a ʊ n d z ")</f>
        <v>b a ʊ n d z </v>
      </c>
    </row>
    <row r="9247">
      <c r="A9247" s="1" t="s">
        <v>9248</v>
      </c>
      <c r="B9247" s="1" t="s">
        <v>6138</v>
      </c>
      <c r="C9247" s="2">
        <f>IFERROR(__xludf.DUMMYFUNCTION("IFERROR(VLOOKUP(A9247, IMPORTRANGE(""https://docs.google.com/spreadsheets/d/1AVX9GT0dgogEBStecCXMMQ29tWz3gBrtNB8yIromXbY/edit?gid=741673867"", ""out1g!A:B""), 2, FALSE), 0)"),102.0)</f>
        <v>102</v>
      </c>
      <c r="D9247" s="2" t="str">
        <f>IFERROR(__xludf.DUMMYFUNCTION("IFERROR(VLOOKUP(A9247, IMPORTRANGE(""https://docs.google.com/spreadsheets/d/1-3Vjw2Cyy-mry5gbC8ypIR3YVGFfEpyFESummAta6sg/edit"", ""Sheet1!B:D""), 2, FALSE), ""Not Found"")"),"resərz")</f>
        <v>resərz</v>
      </c>
      <c r="E9247" s="2" t="str">
        <f>IFERROR(__xludf.DUMMYFUNCTION("IFERROR(VLOOKUP(A9247, IMPORTRANGE(""https://docs.google.com/spreadsheets/d/1-3Vjw2Cyy-mry5gbC8ypIR3YVGFfEpyFESummAta6sg/edit"", ""Sheet1!B:D""), 3, FALSE), ""Not Found"")"),"r e s ə r z ")</f>
        <v>r e s ə r z </v>
      </c>
    </row>
    <row r="9248">
      <c r="A9248" s="1" t="s">
        <v>9249</v>
      </c>
      <c r="B9248" s="1" t="s">
        <v>6138</v>
      </c>
      <c r="C9248" s="2">
        <f>IFERROR(__xludf.DUMMYFUNCTION("IFERROR(VLOOKUP(A9248, IMPORTRANGE(""https://docs.google.com/spreadsheets/d/1AVX9GT0dgogEBStecCXMMQ29tWz3gBrtNB8yIromXbY/edit?gid=741673867"", ""out1g!A:B""), 2, FALSE), 0)"),46.0)</f>
        <v>46</v>
      </c>
      <c r="D9248" s="2" t="str">
        <f>IFERROR(__xludf.DUMMYFUNCTION("IFERROR(VLOOKUP(A9248, IMPORTRANGE(""https://docs.google.com/spreadsheets/d/1-3Vjw2Cyy-mry5gbC8ypIR3YVGFfEpyFESummAta6sg/edit"", ""Sheet1!B:D""), 2, FALSE), ""Not Found"")"),"swərlɪŋ")</f>
        <v>swərlɪŋ</v>
      </c>
      <c r="E9248" s="2" t="str">
        <f>IFERROR(__xludf.DUMMYFUNCTION("IFERROR(VLOOKUP(A9248, IMPORTRANGE(""https://docs.google.com/spreadsheets/d/1-3Vjw2Cyy-mry5gbC8ypIR3YVGFfEpyFESummAta6sg/edit"", ""Sheet1!B:D""), 3, FALSE), ""Not Found"")"),"s w ə r l ɪ ŋ ")</f>
        <v>s w ə r l ɪ ŋ </v>
      </c>
    </row>
    <row r="9249">
      <c r="A9249" s="1" t="s">
        <v>9250</v>
      </c>
      <c r="B9249" s="1" t="s">
        <v>6138</v>
      </c>
      <c r="C9249" s="2">
        <f>IFERROR(__xludf.DUMMYFUNCTION("IFERROR(VLOOKUP(A9249, IMPORTRANGE(""https://docs.google.com/spreadsheets/d/1AVX9GT0dgogEBStecCXMMQ29tWz3gBrtNB8yIromXbY/edit?gid=741673867"", ""out1g!A:B""), 2, FALSE), 0)"),10.0)</f>
        <v>10</v>
      </c>
      <c r="D9249" s="2" t="str">
        <f>IFERROR(__xludf.DUMMYFUNCTION("IFERROR(VLOOKUP(A9249, IMPORTRANGE(""https://docs.google.com/spreadsheets/d/1-3Vjw2Cyy-mry5gbC8ypIR3YVGFfEpyFESummAta6sg/edit"", ""Sheet1!B:D""), 2, FALSE), ""Not Found"")"),"kæʧərz")</f>
        <v>kæʧərz</v>
      </c>
      <c r="E9249" s="2" t="str">
        <f>IFERROR(__xludf.DUMMYFUNCTION("IFERROR(VLOOKUP(A9249, IMPORTRANGE(""https://docs.google.com/spreadsheets/d/1-3Vjw2Cyy-mry5gbC8ypIR3YVGFfEpyFESummAta6sg/edit"", ""Sheet1!B:D""), 3, FALSE), ""Not Found"")"),"k æ ʧ ə r z ")</f>
        <v>k æ ʧ ə r z </v>
      </c>
    </row>
    <row r="9250">
      <c r="A9250" s="1" t="s">
        <v>9251</v>
      </c>
      <c r="B9250" s="1" t="s">
        <v>6138</v>
      </c>
      <c r="C9250" s="2">
        <f>IFERROR(__xludf.DUMMYFUNCTION("IFERROR(VLOOKUP(A9250, IMPORTRANGE(""https://docs.google.com/spreadsheets/d/1AVX9GT0dgogEBStecCXMMQ29tWz3gBrtNB8yIromXbY/edit?gid=741673867"", ""out1g!A:B""), 2, FALSE), 0)"),860.0)</f>
        <v>860</v>
      </c>
      <c r="D9250" s="2" t="str">
        <f>IFERROR(__xludf.DUMMYFUNCTION("IFERROR(VLOOKUP(A9250, IMPORTRANGE(""https://docs.google.com/spreadsheets/d/1-3Vjw2Cyy-mry5gbC8ypIR3YVGFfEpyFESummAta6sg/edit"", ""Sheet1!B:D""), 2, FALSE), ""Not Found"")"),"ɪvɛnts")</f>
        <v>ɪvɛnts</v>
      </c>
      <c r="E9250" s="2" t="str">
        <f>IFERROR(__xludf.DUMMYFUNCTION("IFERROR(VLOOKUP(A9250, IMPORTRANGE(""https://docs.google.com/spreadsheets/d/1-3Vjw2Cyy-mry5gbC8ypIR3YVGFfEpyFESummAta6sg/edit"", ""Sheet1!B:D""), 3, FALSE), ""Not Found"")"),"ɪ v ɛ n t s ")</f>
        <v>ɪ v ɛ n t s </v>
      </c>
    </row>
    <row r="9251">
      <c r="A9251" s="1" t="s">
        <v>9252</v>
      </c>
      <c r="B9251" s="1" t="s">
        <v>6138</v>
      </c>
      <c r="C9251" s="2">
        <f>IFERROR(__xludf.DUMMYFUNCTION("IFERROR(VLOOKUP(A9251, IMPORTRANGE(""https://docs.google.com/spreadsheets/d/1AVX9GT0dgogEBStecCXMMQ29tWz3gBrtNB8yIromXbY/edit?gid=741673867"", ""out1g!A:B""), 2, FALSE), 0)"),5299.0)</f>
        <v>5299</v>
      </c>
      <c r="D9251" s="2" t="str">
        <f>IFERROR(__xludf.DUMMYFUNCTION("IFERROR(VLOOKUP(A9251, IMPORTRANGE(""https://docs.google.com/spreadsheets/d/1-3Vjw2Cyy-mry5gbC8ypIR3YVGFfEpyFESummAta6sg/edit"", ""Sheet1!B:D""), 2, FALSE), ""Not Found"")"),"ɪkspɛkt")</f>
        <v>ɪkspɛkt</v>
      </c>
      <c r="E9251" s="2" t="str">
        <f>IFERROR(__xludf.DUMMYFUNCTION("IFERROR(VLOOKUP(A9251, IMPORTRANGE(""https://docs.google.com/spreadsheets/d/1-3Vjw2Cyy-mry5gbC8ypIR3YVGFfEpyFESummAta6sg/edit"", ""Sheet1!B:D""), 3, FALSE), ""Not Found"")"),"ɪ k s p ɛ k t ")</f>
        <v>ɪ k s p ɛ k t </v>
      </c>
    </row>
    <row r="9252">
      <c r="A9252" s="1" t="s">
        <v>9253</v>
      </c>
      <c r="B9252" s="1" t="s">
        <v>6138</v>
      </c>
      <c r="C9252" s="2">
        <f>IFERROR(__xludf.DUMMYFUNCTION("IFERROR(VLOOKUP(A9252, IMPORTRANGE(""https://docs.google.com/spreadsheets/d/1AVX9GT0dgogEBStecCXMMQ29tWz3gBrtNB8yIromXbY/edit?gid=741673867"", ""out1g!A:B""), 2, FALSE), 0)"),99.0)</f>
        <v>99</v>
      </c>
      <c r="D9252" s="2" t="str">
        <f>IFERROR(__xludf.DUMMYFUNCTION("IFERROR(VLOOKUP(A9252, IMPORTRANGE(""https://docs.google.com/spreadsheets/d/1-3Vjw2Cyy-mry5gbC8ypIR3YVGFfEpyFESummAta6sg/edit"", ""Sheet1!B:D""), 2, FALSE), ""Not Found"")"),"rɪfərz")</f>
        <v>rɪfərz</v>
      </c>
      <c r="E9252" s="2" t="str">
        <f>IFERROR(__xludf.DUMMYFUNCTION("IFERROR(VLOOKUP(A9252, IMPORTRANGE(""https://docs.google.com/spreadsheets/d/1-3Vjw2Cyy-mry5gbC8ypIR3YVGFfEpyFESummAta6sg/edit"", ""Sheet1!B:D""), 3, FALSE), ""Not Found"")"),"r ɪ f ə r z ")</f>
        <v>r ɪ f ə r z </v>
      </c>
    </row>
    <row r="9253">
      <c r="A9253" s="1" t="s">
        <v>9254</v>
      </c>
      <c r="B9253" s="1" t="s">
        <v>6138</v>
      </c>
      <c r="C9253" s="2">
        <f>IFERROR(__xludf.DUMMYFUNCTION("IFERROR(VLOOKUP(A9253, IMPORTRANGE(""https://docs.google.com/spreadsheets/d/1AVX9GT0dgogEBStecCXMMQ29tWz3gBrtNB8yIromXbY/edit?gid=741673867"", ""out1g!A:B""), 2, FALSE), 0)"),59.0)</f>
        <v>59</v>
      </c>
      <c r="D9253" s="2" t="str">
        <f>IFERROR(__xludf.DUMMYFUNCTION("IFERROR(VLOOKUP(A9253, IMPORTRANGE(""https://docs.google.com/spreadsheets/d/1-3Vjw2Cyy-mry5gbC8ypIR3YVGFfEpyFESummAta6sg/edit"", ""Sheet1!B:D""), 2, FALSE), ""Not Found"")"),"pæʧɪŋ")</f>
        <v>pæʧɪŋ</v>
      </c>
      <c r="E9253" s="2" t="str">
        <f>IFERROR(__xludf.DUMMYFUNCTION("IFERROR(VLOOKUP(A9253, IMPORTRANGE(""https://docs.google.com/spreadsheets/d/1-3Vjw2Cyy-mry5gbC8ypIR3YVGFfEpyFESummAta6sg/edit"", ""Sheet1!B:D""), 3, FALSE), ""Not Found"")"),"p æ ʧ ɪ ŋ ")</f>
        <v>p æ ʧ ɪ ŋ </v>
      </c>
    </row>
    <row r="9254">
      <c r="A9254" s="1" t="s">
        <v>9255</v>
      </c>
      <c r="B9254" s="1" t="s">
        <v>6138</v>
      </c>
      <c r="C9254" s="2">
        <f>IFERROR(__xludf.DUMMYFUNCTION("IFERROR(VLOOKUP(A9254, IMPORTRANGE(""https://docs.google.com/spreadsheets/d/1AVX9GT0dgogEBStecCXMMQ29tWz3gBrtNB8yIromXbY/edit?gid=741673867"", ""out1g!A:B""), 2, FALSE), 0)"),287.0)</f>
        <v>287</v>
      </c>
      <c r="D9254" s="2" t="str">
        <f>IFERROR(__xludf.DUMMYFUNCTION("IFERROR(VLOOKUP(A9254, IMPORTRANGE(""https://docs.google.com/spreadsheets/d/1-3Vjw2Cyy-mry5gbC8ypIR3YVGFfEpyFESummAta6sg/edit"", ""Sheet1!B:D""), 2, FALSE), ""Not Found"")"),"səkʃən")</f>
        <v>səkʃən</v>
      </c>
      <c r="E9254" s="2" t="str">
        <f>IFERROR(__xludf.DUMMYFUNCTION("IFERROR(VLOOKUP(A9254, IMPORTRANGE(""https://docs.google.com/spreadsheets/d/1-3Vjw2Cyy-mry5gbC8ypIR3YVGFfEpyFESummAta6sg/edit"", ""Sheet1!B:D""), 3, FALSE), ""Not Found"")"),"s ə k ʃ ə n ")</f>
        <v>s ə k ʃ ə n </v>
      </c>
    </row>
    <row r="9255">
      <c r="A9255" s="1" t="s">
        <v>9256</v>
      </c>
      <c r="B9255" s="1" t="s">
        <v>6138</v>
      </c>
      <c r="C9255" s="2">
        <f>IFERROR(__xludf.DUMMYFUNCTION("IFERROR(VLOOKUP(A9255, IMPORTRANGE(""https://docs.google.com/spreadsheets/d/1AVX9GT0dgogEBStecCXMMQ29tWz3gBrtNB8yIromXbY/edit?gid=741673867"", ""out1g!A:B""), 2, FALSE), 0)"),116.0)</f>
        <v>116</v>
      </c>
      <c r="D9255" s="2" t="str">
        <f>IFERROR(__xludf.DUMMYFUNCTION("IFERROR(VLOOKUP(A9255, IMPORTRANGE(""https://docs.google.com/spreadsheets/d/1-3Vjw2Cyy-mry5gbC8ypIR3YVGFfEpyFESummAta6sg/edit"", ""Sheet1!B:D""), 2, FALSE), ""Not Found"")"),"bʊkɪŋ")</f>
        <v>bʊkɪŋ</v>
      </c>
      <c r="E9255" s="2" t="str">
        <f>IFERROR(__xludf.DUMMYFUNCTION("IFERROR(VLOOKUP(A9255, IMPORTRANGE(""https://docs.google.com/spreadsheets/d/1-3Vjw2Cyy-mry5gbC8ypIR3YVGFfEpyFESummAta6sg/edit"", ""Sheet1!B:D""), 3, FALSE), ""Not Found"")"),"b ʊ k ɪ ŋ ")</f>
        <v>b ʊ k ɪ ŋ </v>
      </c>
    </row>
    <row r="9256">
      <c r="A9256" s="1" t="s">
        <v>9257</v>
      </c>
      <c r="B9256" s="1" t="s">
        <v>6138</v>
      </c>
      <c r="C9256" s="2">
        <f>IFERROR(__xludf.DUMMYFUNCTION("IFERROR(VLOOKUP(A9256, IMPORTRANGE(""https://docs.google.com/spreadsheets/d/1AVX9GT0dgogEBStecCXMMQ29tWz3gBrtNB8yIromXbY/edit?gid=741673867"", ""out1g!A:B""), 2, FALSE), 0)"),50.0)</f>
        <v>50</v>
      </c>
      <c r="D9256" s="2" t="str">
        <f>IFERROR(__xludf.DUMMYFUNCTION("IFERROR(VLOOKUP(A9256, IMPORTRANGE(""https://docs.google.com/spreadsheets/d/1-3Vjw2Cyy-mry5gbC8ypIR3YVGFfEpyFESummAta6sg/edit"", ""Sheet1!B:D""), 2, FALSE), ""Not Found"")"),"skimɪŋ")</f>
        <v>skimɪŋ</v>
      </c>
      <c r="E9256" s="2" t="str">
        <f>IFERROR(__xludf.DUMMYFUNCTION("IFERROR(VLOOKUP(A9256, IMPORTRANGE(""https://docs.google.com/spreadsheets/d/1-3Vjw2Cyy-mry5gbC8ypIR3YVGFfEpyFESummAta6sg/edit"", ""Sheet1!B:D""), 3, FALSE), ""Not Found"")"),"s k i m ɪ ŋ ")</f>
        <v>s k i m ɪ ŋ </v>
      </c>
    </row>
    <row r="9257">
      <c r="A9257" s="1" t="s">
        <v>9258</v>
      </c>
      <c r="B9257" s="1" t="s">
        <v>6138</v>
      </c>
      <c r="C9257" s="2">
        <f>IFERROR(__xludf.DUMMYFUNCTION("IFERROR(VLOOKUP(A9257, IMPORTRANGE(""https://docs.google.com/spreadsheets/d/1AVX9GT0dgogEBStecCXMMQ29tWz3gBrtNB8yIromXbY/edit?gid=741673867"", ""out1g!A:B""), 2, FALSE), 0)"),46.0)</f>
        <v>46</v>
      </c>
      <c r="D9257" s="2" t="str">
        <f>IFERROR(__xludf.DUMMYFUNCTION("IFERROR(VLOOKUP(A9257, IMPORTRANGE(""https://docs.google.com/spreadsheets/d/1-3Vjw2Cyy-mry5gbC8ypIR3YVGFfEpyFESummAta6sg/edit"", ""Sheet1!B:D""), 2, FALSE), ""Not Found"")"),"snæʧɪŋ")</f>
        <v>snæʧɪŋ</v>
      </c>
      <c r="E9257" s="2" t="str">
        <f>IFERROR(__xludf.DUMMYFUNCTION("IFERROR(VLOOKUP(A9257, IMPORTRANGE(""https://docs.google.com/spreadsheets/d/1-3Vjw2Cyy-mry5gbC8ypIR3YVGFfEpyFESummAta6sg/edit"", ""Sheet1!B:D""), 3, FALSE), ""Not Found"")"),"s n æ ʧ ɪ ŋ ")</f>
        <v>s n æ ʧ ɪ ŋ </v>
      </c>
    </row>
    <row r="9258">
      <c r="A9258" s="1" t="s">
        <v>9259</v>
      </c>
      <c r="B9258" s="1" t="s">
        <v>6138</v>
      </c>
      <c r="C9258" s="2">
        <f>IFERROR(__xludf.DUMMYFUNCTION("IFERROR(VLOOKUP(A9258, IMPORTRANGE(""https://docs.google.com/spreadsheets/d/1AVX9GT0dgogEBStecCXMMQ29tWz3gBrtNB8yIromXbY/edit?gid=741673867"", ""out1g!A:B""), 2, FALSE), 0)"),36.0)</f>
        <v>36</v>
      </c>
      <c r="D9258" s="2" t="str">
        <f>IFERROR(__xludf.DUMMYFUNCTION("IFERROR(VLOOKUP(A9258, IMPORTRANGE(""https://docs.google.com/spreadsheets/d/1-3Vjw2Cyy-mry5gbC8ypIR3YVGFfEpyFESummAta6sg/edit"", ""Sheet1!B:D""), 2, FALSE), ""Not Found"")"),"faɪbrz")</f>
        <v>faɪbrz</v>
      </c>
      <c r="E9258" s="2" t="str">
        <f>IFERROR(__xludf.DUMMYFUNCTION("IFERROR(VLOOKUP(A9258, IMPORTRANGE(""https://docs.google.com/spreadsheets/d/1-3Vjw2Cyy-mry5gbC8ypIR3YVGFfEpyFESummAta6sg/edit"", ""Sheet1!B:D""), 3, FALSE), ""Not Found"")"),"f a ɪ b r z ")</f>
        <v>f a ɪ b r z </v>
      </c>
    </row>
    <row r="9259">
      <c r="A9259" s="1" t="s">
        <v>9260</v>
      </c>
      <c r="B9259" s="1" t="s">
        <v>6138</v>
      </c>
      <c r="C9259" s="2">
        <f>IFERROR(__xludf.DUMMYFUNCTION("IFERROR(VLOOKUP(A9259, IMPORTRANGE(""https://docs.google.com/spreadsheets/d/1AVX9GT0dgogEBStecCXMMQ29tWz3gBrtNB8yIromXbY/edit?gid=741673867"", ""out1g!A:B""), 2, FALSE), 0)"),82.0)</f>
        <v>82</v>
      </c>
      <c r="D9259" s="2" t="str">
        <f>IFERROR(__xludf.DUMMYFUNCTION("IFERROR(VLOOKUP(A9259, IMPORTRANGE(""https://docs.google.com/spreadsheets/d/1-3Vjw2Cyy-mry5gbC8ypIR3YVGFfEpyFESummAta6sg/edit"", ""Sheet1!B:D""), 2, FALSE), ""Not Found"")"),"fɑrmɪŋ")</f>
        <v>fɑrmɪŋ</v>
      </c>
      <c r="E9259" s="2" t="str">
        <f>IFERROR(__xludf.DUMMYFUNCTION("IFERROR(VLOOKUP(A9259, IMPORTRANGE(""https://docs.google.com/spreadsheets/d/1-3Vjw2Cyy-mry5gbC8ypIR3YVGFfEpyFESummAta6sg/edit"", ""Sheet1!B:D""), 3, FALSE), ""Not Found"")"),"f ɑ r m ɪ ŋ ")</f>
        <v>f ɑ r m ɪ ŋ </v>
      </c>
    </row>
    <row r="9260">
      <c r="A9260" s="1" t="s">
        <v>9261</v>
      </c>
      <c r="B9260" s="1" t="s">
        <v>6138</v>
      </c>
      <c r="C9260" s="2">
        <f>IFERROR(__xludf.DUMMYFUNCTION("IFERROR(VLOOKUP(A9260, IMPORTRANGE(""https://docs.google.com/spreadsheets/d/1AVX9GT0dgogEBStecCXMMQ29tWz3gBrtNB8yIromXbY/edit?gid=741673867"", ""out1g!A:B""), 2, FALSE), 0)"),214.0)</f>
        <v>214</v>
      </c>
      <c r="D9260" s="2" t="str">
        <f>IFERROR(__xludf.DUMMYFUNCTION("IFERROR(VLOOKUP(A9260, IMPORTRANGE(""https://docs.google.com/spreadsheets/d/1-3Vjw2Cyy-mry5gbC8ypIR3YVGFfEpyFESummAta6sg/edit"", ""Sheet1!B:D""), 2, FALSE), ""Not Found"")"),"mɔrɑnz")</f>
        <v>mɔrɑnz</v>
      </c>
      <c r="E9260" s="2" t="str">
        <f>IFERROR(__xludf.DUMMYFUNCTION("IFERROR(VLOOKUP(A9260, IMPORTRANGE(""https://docs.google.com/spreadsheets/d/1-3Vjw2Cyy-mry5gbC8ypIR3YVGFfEpyFESummAta6sg/edit"", ""Sheet1!B:D""), 3, FALSE), ""Not Found"")"),"m ɔ r ɑ n z ")</f>
        <v>m ɔ r ɑ n z </v>
      </c>
    </row>
    <row r="9261">
      <c r="A9261" s="1" t="s">
        <v>9262</v>
      </c>
      <c r="B9261" s="1" t="s">
        <v>6138</v>
      </c>
      <c r="C9261" s="2">
        <f>IFERROR(__xludf.DUMMYFUNCTION("IFERROR(VLOOKUP(A9261, IMPORTRANGE(""https://docs.google.com/spreadsheets/d/1AVX9GT0dgogEBStecCXMMQ29tWz3gBrtNB8yIromXbY/edit?gid=741673867"", ""out1g!A:B""), 2, FALSE), 0)"),64.0)</f>
        <v>64</v>
      </c>
      <c r="D9261" s="2" t="str">
        <f>IFERROR(__xludf.DUMMYFUNCTION("IFERROR(VLOOKUP(A9261, IMPORTRANGE(""https://docs.google.com/spreadsheets/d/1-3Vjw2Cyy-mry5gbC8ypIR3YVGFfEpyFESummAta6sg/edit"", ""Sheet1!B:D""), 2, FALSE), ""Not Found"")"),"klɪpɪŋz")</f>
        <v>klɪpɪŋz</v>
      </c>
      <c r="E9261" s="2" t="str">
        <f>IFERROR(__xludf.DUMMYFUNCTION("IFERROR(VLOOKUP(A9261, IMPORTRANGE(""https://docs.google.com/spreadsheets/d/1-3Vjw2Cyy-mry5gbC8ypIR3YVGFfEpyFESummAta6sg/edit"", ""Sheet1!B:D""), 3, FALSE), ""Not Found"")"),"k l ɪ p ɪ ŋ z ")</f>
        <v>k l ɪ p ɪ ŋ z </v>
      </c>
    </row>
    <row r="9262">
      <c r="A9262" s="1" t="s">
        <v>9263</v>
      </c>
      <c r="B9262" s="1" t="s">
        <v>6138</v>
      </c>
      <c r="C9262" s="2">
        <f>IFERROR(__xludf.DUMMYFUNCTION("IFERROR(VLOOKUP(A9262, IMPORTRANGE(""https://docs.google.com/spreadsheets/d/1AVX9GT0dgogEBStecCXMMQ29tWz3gBrtNB8yIromXbY/edit?gid=741673867"", ""out1g!A:B""), 2, FALSE), 0)"),46.0)</f>
        <v>46</v>
      </c>
      <c r="D9262" s="2" t="str">
        <f>IFERROR(__xludf.DUMMYFUNCTION("IFERROR(VLOOKUP(A9262, IMPORTRANGE(""https://docs.google.com/spreadsheets/d/1-3Vjw2Cyy-mry5gbC8ypIR3YVGFfEpyFESummAta6sg/edit"", ""Sheet1!B:D""), 2, FALSE), ""Not Found"")"),"spɑrɪŋ")</f>
        <v>spɑrɪŋ</v>
      </c>
      <c r="E9262" s="2" t="str">
        <f>IFERROR(__xludf.DUMMYFUNCTION("IFERROR(VLOOKUP(A9262, IMPORTRANGE(""https://docs.google.com/spreadsheets/d/1-3Vjw2Cyy-mry5gbC8ypIR3YVGFfEpyFESummAta6sg/edit"", ""Sheet1!B:D""), 3, FALSE), ""Not Found"")"),"s p ɑ r ɪ ŋ ")</f>
        <v>s p ɑ r ɪ ŋ </v>
      </c>
    </row>
    <row r="9263">
      <c r="A9263" s="1" t="s">
        <v>9264</v>
      </c>
      <c r="B9263" s="1" t="s">
        <v>6138</v>
      </c>
      <c r="C9263" s="2">
        <f>IFERROR(__xludf.DUMMYFUNCTION("IFERROR(VLOOKUP(A9263, IMPORTRANGE(""https://docs.google.com/spreadsheets/d/1AVX9GT0dgogEBStecCXMMQ29tWz3gBrtNB8yIromXbY/edit?gid=741673867"", ""out1g!A:B""), 2, FALSE), 0)"),146.0)</f>
        <v>146</v>
      </c>
      <c r="D9263" s="2" t="str">
        <f>IFERROR(__xludf.DUMMYFUNCTION("IFERROR(VLOOKUP(A9263, IMPORTRANGE(""https://docs.google.com/spreadsheets/d/1-3Vjw2Cyy-mry5gbC8ypIR3YVGFfEpyFESummAta6sg/edit"", ""Sheet1!B:D""), 2, FALSE), ""Not Found"")"),"fjumz")</f>
        <v>fjumz</v>
      </c>
      <c r="E9263" s="2" t="str">
        <f>IFERROR(__xludf.DUMMYFUNCTION("IFERROR(VLOOKUP(A9263, IMPORTRANGE(""https://docs.google.com/spreadsheets/d/1-3Vjw2Cyy-mry5gbC8ypIR3YVGFfEpyFESummAta6sg/edit"", ""Sheet1!B:D""), 3, FALSE), ""Not Found"")"),"f j u m z ")</f>
        <v>f j u m z </v>
      </c>
    </row>
    <row r="9264">
      <c r="A9264" s="1" t="s">
        <v>9265</v>
      </c>
      <c r="B9264" s="1" t="s">
        <v>6138</v>
      </c>
      <c r="C9264" s="2">
        <f>IFERROR(__xludf.DUMMYFUNCTION("IFERROR(VLOOKUP(A9264, IMPORTRANGE(""https://docs.google.com/spreadsheets/d/1AVX9GT0dgogEBStecCXMMQ29tWz3gBrtNB8yIromXbY/edit?gid=741673867"", ""out1g!A:B""), 2, FALSE), 0)"),722.0)</f>
        <v>722</v>
      </c>
      <c r="D9264" s="2" t="str">
        <f>IFERROR(__xludf.DUMMYFUNCTION("IFERROR(VLOOKUP(A9264, IMPORTRANGE(""https://docs.google.com/spreadsheets/d/1-3Vjw2Cyy-mry5gbC8ypIR3YVGFfEpyFESummAta6sg/edit"", ""Sheet1!B:D""), 2, FALSE), ""Not Found"")"),"taʊəl")</f>
        <v>taʊəl</v>
      </c>
      <c r="E9264" s="2" t="str">
        <f>IFERROR(__xludf.DUMMYFUNCTION("IFERROR(VLOOKUP(A9264, IMPORTRANGE(""https://docs.google.com/spreadsheets/d/1-3Vjw2Cyy-mry5gbC8ypIR3YVGFfEpyFESummAta6sg/edit"", ""Sheet1!B:D""), 3, FALSE), ""Not Found"")"),"t a ʊ ə l ")</f>
        <v>t a ʊ ə l </v>
      </c>
    </row>
    <row r="9265">
      <c r="A9265" s="1" t="s">
        <v>9266</v>
      </c>
      <c r="B9265" s="1" t="s">
        <v>6138</v>
      </c>
      <c r="C9265" s="2">
        <f>IFERROR(__xludf.DUMMYFUNCTION("IFERROR(VLOOKUP(A9265, IMPORTRANGE(""https://docs.google.com/spreadsheets/d/1AVX9GT0dgogEBStecCXMMQ29tWz3gBrtNB8yIromXbY/edit?gid=741673867"", ""out1g!A:B""), 2, FALSE), 0)"),747.0)</f>
        <v>747</v>
      </c>
      <c r="D9265" s="2" t="str">
        <f>IFERROR(__xludf.DUMMYFUNCTION("IFERROR(VLOOKUP(A9265, IMPORTRANGE(""https://docs.google.com/spreadsheets/d/1-3Vjw2Cyy-mry5gbC8ypIR3YVGFfEpyFESummAta6sg/edit"", ""Sheet1!B:D""), 2, FALSE), ""Not Found"")"),"ɛnərd")</f>
        <v>ɛnərd</v>
      </c>
      <c r="E9265" s="2" t="str">
        <f>IFERROR(__xludf.DUMMYFUNCTION("IFERROR(VLOOKUP(A9265, IMPORTRANGE(""https://docs.google.com/spreadsheets/d/1-3Vjw2Cyy-mry5gbC8ypIR3YVGFfEpyFESummAta6sg/edit"", ""Sheet1!B:D""), 3, FALSE), ""Not Found"")"),"ɛ n ə r d ")</f>
        <v>ɛ n ə r d </v>
      </c>
    </row>
    <row r="9266">
      <c r="A9266" s="1" t="s">
        <v>9267</v>
      </c>
      <c r="B9266" s="1" t="s">
        <v>6138</v>
      </c>
      <c r="C9266" s="2">
        <f>IFERROR(__xludf.DUMMYFUNCTION("IFERROR(VLOOKUP(A9266, IMPORTRANGE(""https://docs.google.com/spreadsheets/d/1AVX9GT0dgogEBStecCXMMQ29tWz3gBrtNB8yIromXbY/edit?gid=741673867"", ""out1g!A:B""), 2, FALSE), 0)"),1251.0)</f>
        <v>1251</v>
      </c>
      <c r="D9266" s="2" t="str">
        <f>IFERROR(__xludf.DUMMYFUNCTION("IFERROR(VLOOKUP(A9266, IMPORTRANGE(""https://docs.google.com/spreadsheets/d/1-3Vjw2Cyy-mry5gbC8ypIR3YVGFfEpyFESummAta6sg/edit"", ""Sheet1!B:D""), 2, FALSE), ""Not Found"")"),"wɑnɪŋ")</f>
        <v>wɑnɪŋ</v>
      </c>
      <c r="E9266" s="2" t="str">
        <f>IFERROR(__xludf.DUMMYFUNCTION("IFERROR(VLOOKUP(A9266, IMPORTRANGE(""https://docs.google.com/spreadsheets/d/1-3Vjw2Cyy-mry5gbC8ypIR3YVGFfEpyFESummAta6sg/edit"", ""Sheet1!B:D""), 3, FALSE), ""Not Found"")"),"w ɑ n ɪ ŋ ")</f>
        <v>w ɑ n ɪ ŋ </v>
      </c>
    </row>
    <row r="9267">
      <c r="A9267" s="1" t="s">
        <v>9268</v>
      </c>
      <c r="B9267" s="1" t="s">
        <v>6138</v>
      </c>
      <c r="C9267" s="2">
        <f>IFERROR(__xludf.DUMMYFUNCTION("IFERROR(VLOOKUP(A9267, IMPORTRANGE(""https://docs.google.com/spreadsheets/d/1AVX9GT0dgogEBStecCXMMQ29tWz3gBrtNB8yIromXbY/edit?gid=741673867"", ""out1g!A:B""), 2, FALSE), 0)"),176.0)</f>
        <v>176</v>
      </c>
      <c r="D9267" s="2" t="str">
        <f>IFERROR(__xludf.DUMMYFUNCTION("IFERROR(VLOOKUP(A9267, IMPORTRANGE(""https://docs.google.com/spreadsheets/d/1-3Vjw2Cyy-mry5gbC8ypIR3YVGFfEpyFESummAta6sg/edit"", ""Sheet1!B:D""), 2, FALSE), ""Not Found"")"),"rɛsəl")</f>
        <v>rɛsəl</v>
      </c>
      <c r="E9267" s="2" t="str">
        <f>IFERROR(__xludf.DUMMYFUNCTION("IFERROR(VLOOKUP(A9267, IMPORTRANGE(""https://docs.google.com/spreadsheets/d/1-3Vjw2Cyy-mry5gbC8ypIR3YVGFfEpyFESummAta6sg/edit"", ""Sheet1!B:D""), 3, FALSE), ""Not Found"")"),"r ɛ s ə l ")</f>
        <v>r ɛ s ə l </v>
      </c>
    </row>
    <row r="9268">
      <c r="A9268" s="1" t="s">
        <v>9269</v>
      </c>
      <c r="B9268" s="1" t="s">
        <v>6138</v>
      </c>
      <c r="C9268" s="2">
        <f>IFERROR(__xludf.DUMMYFUNCTION("IFERROR(VLOOKUP(A9268, IMPORTRANGE(""https://docs.google.com/spreadsheets/d/1AVX9GT0dgogEBStecCXMMQ29tWz3gBrtNB8yIromXbY/edit?gid=741673867"", ""out1g!A:B""), 2, FALSE), 0)"),285.0)</f>
        <v>285</v>
      </c>
      <c r="D9268" s="2" t="str">
        <f>IFERROR(__xludf.DUMMYFUNCTION("IFERROR(VLOOKUP(A9268, IMPORTRANGE(""https://docs.google.com/spreadsheets/d/1-3Vjw2Cyy-mry5gbC8ypIR3YVGFfEpyFESummAta6sg/edit"", ""Sheet1!B:D""), 2, FALSE), ""Not Found"")"),"spiʧɪz")</f>
        <v>spiʧɪz</v>
      </c>
      <c r="E9268" s="2" t="str">
        <f>IFERROR(__xludf.DUMMYFUNCTION("IFERROR(VLOOKUP(A9268, IMPORTRANGE(""https://docs.google.com/spreadsheets/d/1-3Vjw2Cyy-mry5gbC8ypIR3YVGFfEpyFESummAta6sg/edit"", ""Sheet1!B:D""), 3, FALSE), ""Not Found"")"),"s p i ʧ ɪ z ")</f>
        <v>s p i ʧ ɪ z </v>
      </c>
    </row>
    <row r="9269">
      <c r="A9269" s="1" t="s">
        <v>9270</v>
      </c>
      <c r="B9269" s="1" t="s">
        <v>6138</v>
      </c>
      <c r="C9269" s="2">
        <f>IFERROR(__xludf.DUMMYFUNCTION("IFERROR(VLOOKUP(A9269, IMPORTRANGE(""https://docs.google.com/spreadsheets/d/1AVX9GT0dgogEBStecCXMMQ29tWz3gBrtNB8yIromXbY/edit?gid=741673867"", ""out1g!A:B""), 2, FALSE), 0)"),149.0)</f>
        <v>149</v>
      </c>
      <c r="D9269" s="2" t="str">
        <f>IFERROR(__xludf.DUMMYFUNCTION("IFERROR(VLOOKUP(A9269, IMPORTRANGE(""https://docs.google.com/spreadsheets/d/1-3Vjw2Cyy-mry5gbC8ypIR3YVGFfEpyFESummAta6sg/edit"", ""Sheet1!B:D""), 2, FALSE), ""Not Found"")"),"bɑrkər")</f>
        <v>bɑrkər</v>
      </c>
      <c r="E9269" s="2" t="str">
        <f>IFERROR(__xludf.DUMMYFUNCTION("IFERROR(VLOOKUP(A9269, IMPORTRANGE(""https://docs.google.com/spreadsheets/d/1-3Vjw2Cyy-mry5gbC8ypIR3YVGFfEpyFESummAta6sg/edit"", ""Sheet1!B:D""), 3, FALSE), ""Not Found"")"),"b ɑ r k ə r ")</f>
        <v>b ɑ r k ə r </v>
      </c>
    </row>
    <row r="9270">
      <c r="A9270" s="1" t="s">
        <v>9271</v>
      </c>
      <c r="B9270" s="1" t="s">
        <v>6138</v>
      </c>
      <c r="C9270" s="2">
        <f>IFERROR(__xludf.DUMMYFUNCTION("IFERROR(VLOOKUP(A9270, IMPORTRANGE(""https://docs.google.com/spreadsheets/d/1AVX9GT0dgogEBStecCXMMQ29tWz3gBrtNB8yIromXbY/edit?gid=741673867"", ""out1g!A:B""), 2, FALSE), 0)"),155.0)</f>
        <v>155</v>
      </c>
      <c r="D9270" s="2" t="str">
        <f>IFERROR(__xludf.DUMMYFUNCTION("IFERROR(VLOOKUP(A9270, IMPORTRANGE(""https://docs.google.com/spreadsheets/d/1-3Vjw2Cyy-mry5gbC8ypIR3YVGFfEpyFESummAta6sg/edit"", ""Sheet1!B:D""), 2, FALSE), ""Not Found"")"),"mɑrbəlz")</f>
        <v>mɑrbəlz</v>
      </c>
      <c r="E9270" s="2" t="str">
        <f>IFERROR(__xludf.DUMMYFUNCTION("IFERROR(VLOOKUP(A9270, IMPORTRANGE(""https://docs.google.com/spreadsheets/d/1-3Vjw2Cyy-mry5gbC8ypIR3YVGFfEpyFESummAta6sg/edit"", ""Sheet1!B:D""), 3, FALSE), ""Not Found"")"),"m ɑ r b ə l z ")</f>
        <v>m ɑ r b ə l z </v>
      </c>
    </row>
    <row r="9271">
      <c r="A9271" s="1" t="s">
        <v>9272</v>
      </c>
      <c r="B9271" s="1" t="s">
        <v>6138</v>
      </c>
      <c r="C9271" s="2">
        <f>IFERROR(__xludf.DUMMYFUNCTION("IFERROR(VLOOKUP(A9271, IMPORTRANGE(""https://docs.google.com/spreadsheets/d/1AVX9GT0dgogEBStecCXMMQ29tWz3gBrtNB8yIromXbY/edit?gid=741673867"", ""out1g!A:B""), 2, FALSE), 0)"),10.0)</f>
        <v>10</v>
      </c>
      <c r="D9271" s="2" t="str">
        <f>IFERROR(__xludf.DUMMYFUNCTION("IFERROR(VLOOKUP(A9271, IMPORTRANGE(""https://docs.google.com/spreadsheets/d/1-3Vjw2Cyy-mry5gbC8ypIR3YVGFfEpyFESummAta6sg/edit"", ""Sheet1!B:D""), 2, FALSE), ""Not Found"")"),"kroʊkɪŋ")</f>
        <v>kroʊkɪŋ</v>
      </c>
      <c r="E9271" s="2" t="str">
        <f>IFERROR(__xludf.DUMMYFUNCTION("IFERROR(VLOOKUP(A9271, IMPORTRANGE(""https://docs.google.com/spreadsheets/d/1-3Vjw2Cyy-mry5gbC8ypIR3YVGFfEpyFESummAta6sg/edit"", ""Sheet1!B:D""), 3, FALSE), ""Not Found"")"),"k r o ʊ k ɪ ŋ ")</f>
        <v>k r o ʊ k ɪ ŋ </v>
      </c>
    </row>
    <row r="9272">
      <c r="A9272" s="1" t="s">
        <v>9273</v>
      </c>
      <c r="B9272" s="1" t="s">
        <v>6138</v>
      </c>
      <c r="C9272" s="2">
        <f>IFERROR(__xludf.DUMMYFUNCTION("IFERROR(VLOOKUP(A9272, IMPORTRANGE(""https://docs.google.com/spreadsheets/d/1AVX9GT0dgogEBStecCXMMQ29tWz3gBrtNB8yIromXbY/edit?gid=741673867"", ""out1g!A:B""), 2, FALSE), 0)"),379.0)</f>
        <v>379</v>
      </c>
      <c r="D9272" s="2" t="str">
        <f>IFERROR(__xludf.DUMMYFUNCTION("IFERROR(VLOOKUP(A9272, IMPORTRANGE(""https://docs.google.com/spreadsheets/d/1-3Vjw2Cyy-mry5gbC8ypIR3YVGFfEpyFESummAta6sg/edit"", ""Sheet1!B:D""), 2, FALSE), ""Not Found"")"),"renʤər")</f>
        <v>renʤər</v>
      </c>
      <c r="E9272" s="2" t="str">
        <f>IFERROR(__xludf.DUMMYFUNCTION("IFERROR(VLOOKUP(A9272, IMPORTRANGE(""https://docs.google.com/spreadsheets/d/1-3Vjw2Cyy-mry5gbC8ypIR3YVGFfEpyFESummAta6sg/edit"", ""Sheet1!B:D""), 3, FALSE), ""Not Found"")"),"r e n ʤ ə r ")</f>
        <v>r e n ʤ ə r </v>
      </c>
    </row>
    <row r="9273">
      <c r="A9273" s="1" t="s">
        <v>9274</v>
      </c>
      <c r="B9273" s="1" t="s">
        <v>6138</v>
      </c>
      <c r="C9273" s="2">
        <f>IFERROR(__xludf.DUMMYFUNCTION("IFERROR(VLOOKUP(A9273, IMPORTRANGE(""https://docs.google.com/spreadsheets/d/1AVX9GT0dgogEBStecCXMMQ29tWz3gBrtNB8yIromXbY/edit?gid=741673867"", ""out1g!A:B""), 2, FALSE), 0)"),613.0)</f>
        <v>613</v>
      </c>
      <c r="D9273" s="2" t="str">
        <f>IFERROR(__xludf.DUMMYFUNCTION("IFERROR(VLOOKUP(A9273, IMPORTRANGE(""https://docs.google.com/spreadsheets/d/1-3Vjw2Cyy-mry5gbC8ypIR3YVGFfEpyFESummAta6sg/edit"", ""Sheet1!B:D""), 2, FALSE), ""Not Found"")"),"hel")</f>
        <v>hel</v>
      </c>
      <c r="E9273" s="2" t="str">
        <f>IFERROR(__xludf.DUMMYFUNCTION("IFERROR(VLOOKUP(A9273, IMPORTRANGE(""https://docs.google.com/spreadsheets/d/1-3Vjw2Cyy-mry5gbC8ypIR3YVGFfEpyFESummAta6sg/edit"", ""Sheet1!B:D""), 3, FALSE), ""Not Found"")"),"h e l ")</f>
        <v>h e l </v>
      </c>
    </row>
    <row r="9274">
      <c r="A9274" s="1" t="s">
        <v>9275</v>
      </c>
      <c r="B9274" s="1" t="s">
        <v>6138</v>
      </c>
      <c r="C9274" s="2">
        <f>IFERROR(__xludf.DUMMYFUNCTION("IFERROR(VLOOKUP(A9274, IMPORTRANGE(""https://docs.google.com/spreadsheets/d/1AVX9GT0dgogEBStecCXMMQ29tWz3gBrtNB8yIromXbY/edit?gid=741673867"", ""out1g!A:B""), 2, FALSE), 0)"),120.0)</f>
        <v>120</v>
      </c>
      <c r="D9274" s="2" t="str">
        <f>IFERROR(__xludf.DUMMYFUNCTION("IFERROR(VLOOKUP(A9274, IMPORTRANGE(""https://docs.google.com/spreadsheets/d/1-3Vjw2Cyy-mry5gbC8ypIR3YVGFfEpyFESummAta6sg/edit"", ""Sheet1!B:D""), 2, FALSE), ""Not Found"")"),"taɪtəlz")</f>
        <v>taɪtəlz</v>
      </c>
      <c r="E9274" s="2" t="str">
        <f>IFERROR(__xludf.DUMMYFUNCTION("IFERROR(VLOOKUP(A9274, IMPORTRANGE(""https://docs.google.com/spreadsheets/d/1-3Vjw2Cyy-mry5gbC8ypIR3YVGFfEpyFESummAta6sg/edit"", ""Sheet1!B:D""), 3, FALSE), ""Not Found"")"),"t a ɪ t ə l z ")</f>
        <v>t a ɪ t ə l z </v>
      </c>
    </row>
    <row r="9275">
      <c r="A9275" s="1" t="s">
        <v>9276</v>
      </c>
      <c r="B9275" s="1" t="s">
        <v>6138</v>
      </c>
      <c r="C9275" s="2">
        <f>IFERROR(__xludf.DUMMYFUNCTION("IFERROR(VLOOKUP(A9275, IMPORTRANGE(""https://docs.google.com/spreadsheets/d/1AVX9GT0dgogEBStecCXMMQ29tWz3gBrtNB8yIromXbY/edit?gid=741673867"", ""out1g!A:B""), 2, FALSE), 0)"),2215.0)</f>
        <v>2215</v>
      </c>
      <c r="D9275" s="2" t="str">
        <f>IFERROR(__xludf.DUMMYFUNCTION("IFERROR(VLOOKUP(A9275, IMPORTRANGE(""https://docs.google.com/spreadsheets/d/1-3Vjw2Cyy-mry5gbC8ypIR3YVGFfEpyFESummAta6sg/edit"", ""Sheet1!B:D""), 2, FALSE), ""Not Found"")"),"stɔriz")</f>
        <v>stɔriz</v>
      </c>
      <c r="E9275" s="2" t="str">
        <f>IFERROR(__xludf.DUMMYFUNCTION("IFERROR(VLOOKUP(A9275, IMPORTRANGE(""https://docs.google.com/spreadsheets/d/1-3Vjw2Cyy-mry5gbC8ypIR3YVGFfEpyFESummAta6sg/edit"", ""Sheet1!B:D""), 3, FALSE), ""Not Found"")"),"s t ɔ r i z ")</f>
        <v>s t ɔ r i z </v>
      </c>
    </row>
    <row r="9276">
      <c r="A9276" s="1" t="s">
        <v>9277</v>
      </c>
      <c r="B9276" s="1" t="s">
        <v>6138</v>
      </c>
      <c r="C9276" s="2">
        <f>IFERROR(__xludf.DUMMYFUNCTION("IFERROR(VLOOKUP(A9276, IMPORTRANGE(""https://docs.google.com/spreadsheets/d/1AVX9GT0dgogEBStecCXMMQ29tWz3gBrtNB8yIromXbY/edit?gid=741673867"", ""out1g!A:B""), 2, FALSE), 0)"),152.0)</f>
        <v>152</v>
      </c>
      <c r="D9276" s="2" t="str">
        <f>IFERROR(__xludf.DUMMYFUNCTION("IFERROR(VLOOKUP(A9276, IMPORTRANGE(""https://docs.google.com/spreadsheets/d/1-3Vjw2Cyy-mry5gbC8ypIR3YVGFfEpyFESummAta6sg/edit"", ""Sheet1!B:D""), 2, FALSE), ""Not Found"")"),"ʧinoʊ")</f>
        <v>ʧinoʊ</v>
      </c>
      <c r="E9276" s="2" t="str">
        <f>IFERROR(__xludf.DUMMYFUNCTION("IFERROR(VLOOKUP(A9276, IMPORTRANGE(""https://docs.google.com/spreadsheets/d/1-3Vjw2Cyy-mry5gbC8ypIR3YVGFfEpyFESummAta6sg/edit"", ""Sheet1!B:D""), 3, FALSE), ""Not Found"")"),"ʧ i n o ʊ ")</f>
        <v>ʧ i n o ʊ </v>
      </c>
    </row>
    <row r="9277">
      <c r="A9277" s="1" t="s">
        <v>9278</v>
      </c>
      <c r="B9277" s="1" t="s">
        <v>6138</v>
      </c>
      <c r="C9277" s="2">
        <f>IFERROR(__xludf.DUMMYFUNCTION("IFERROR(VLOOKUP(A9277, IMPORTRANGE(""https://docs.google.com/spreadsheets/d/1AVX9GT0dgogEBStecCXMMQ29tWz3gBrtNB8yIromXbY/edit?gid=741673867"", ""out1g!A:B""), 2, FALSE), 0)"),408.0)</f>
        <v>408</v>
      </c>
      <c r="D9277" s="2" t="str">
        <f>IFERROR(__xludf.DUMMYFUNCTION("IFERROR(VLOOKUP(A9277, IMPORTRANGE(""https://docs.google.com/spreadsheets/d/1-3Vjw2Cyy-mry5gbC8ypIR3YVGFfEpyFESummAta6sg/edit"", ""Sheet1!B:D""), 2, FALSE), ""Not Found"")"),"sərkəlz")</f>
        <v>sərkəlz</v>
      </c>
      <c r="E9277" s="2" t="str">
        <f>IFERROR(__xludf.DUMMYFUNCTION("IFERROR(VLOOKUP(A9277, IMPORTRANGE(""https://docs.google.com/spreadsheets/d/1-3Vjw2Cyy-mry5gbC8ypIR3YVGFfEpyFESummAta6sg/edit"", ""Sheet1!B:D""), 3, FALSE), ""Not Found"")"),"s ə r k ə l z ")</f>
        <v>s ə r k ə l z </v>
      </c>
    </row>
    <row r="9278">
      <c r="A9278" s="1" t="s">
        <v>9279</v>
      </c>
      <c r="B9278" s="1" t="s">
        <v>6138</v>
      </c>
      <c r="C9278" s="2">
        <f>IFERROR(__xludf.DUMMYFUNCTION("IFERROR(VLOOKUP(A9278, IMPORTRANGE(""https://docs.google.com/spreadsheets/d/1AVX9GT0dgogEBStecCXMMQ29tWz3gBrtNB8yIromXbY/edit?gid=741673867"", ""out1g!A:B""), 2, FALSE), 0)"),957.0)</f>
        <v>957</v>
      </c>
      <c r="D9278" s="2" t="str">
        <f>IFERROR(__xludf.DUMMYFUNCTION("IFERROR(VLOOKUP(A9278, IMPORTRANGE(""https://docs.google.com/spreadsheets/d/1-3Vjw2Cyy-mry5gbC8ypIR3YVGFfEpyFESummAta6sg/edit"", ""Sheet1!B:D""), 2, FALSE), ""Not Found"")"),"fæʃən")</f>
        <v>fæʃən</v>
      </c>
      <c r="E9278" s="2" t="str">
        <f>IFERROR(__xludf.DUMMYFUNCTION("IFERROR(VLOOKUP(A9278, IMPORTRANGE(""https://docs.google.com/spreadsheets/d/1-3Vjw2Cyy-mry5gbC8ypIR3YVGFfEpyFESummAta6sg/edit"", ""Sheet1!B:D""), 3, FALSE), ""Not Found"")"),"f æ ʃ ə n ")</f>
        <v>f æ ʃ ə n </v>
      </c>
    </row>
    <row r="9279">
      <c r="A9279" s="1" t="s">
        <v>9280</v>
      </c>
      <c r="B9279" s="1" t="s">
        <v>6138</v>
      </c>
      <c r="C9279" s="2">
        <f>IFERROR(__xludf.DUMMYFUNCTION("IFERROR(VLOOKUP(A9279, IMPORTRANGE(""https://docs.google.com/spreadsheets/d/1AVX9GT0dgogEBStecCXMMQ29tWz3gBrtNB8yIromXbY/edit?gid=741673867"", ""out1g!A:B""), 2, FALSE), 0)"),669.0)</f>
        <v>669</v>
      </c>
      <c r="D9279" s="2" t="str">
        <f>IFERROR(__xludf.DUMMYFUNCTION("IFERROR(VLOOKUP(A9279, IMPORTRANGE(""https://docs.google.com/spreadsheets/d/1-3Vjw2Cyy-mry5gbC8ypIR3YVGFfEpyFESummAta6sg/edit"", ""Sheet1!B:D""), 2, FALSE), ""Not Found"")"),"risənt")</f>
        <v>risənt</v>
      </c>
      <c r="E9279" s="2" t="str">
        <f>IFERROR(__xludf.DUMMYFUNCTION("IFERROR(VLOOKUP(A9279, IMPORTRANGE(""https://docs.google.com/spreadsheets/d/1-3Vjw2Cyy-mry5gbC8ypIR3YVGFfEpyFESummAta6sg/edit"", ""Sheet1!B:D""), 3, FALSE), ""Not Found"")"),"r i s ə n t ")</f>
        <v>r i s ə n t </v>
      </c>
    </row>
    <row r="9280">
      <c r="A9280" s="1" t="s">
        <v>9281</v>
      </c>
      <c r="B9280" s="1" t="s">
        <v>6138</v>
      </c>
      <c r="C9280" s="2">
        <f>IFERROR(__xludf.DUMMYFUNCTION("IFERROR(VLOOKUP(A9280, IMPORTRANGE(""https://docs.google.com/spreadsheets/d/1AVX9GT0dgogEBStecCXMMQ29tWz3gBrtNB8yIromXbY/edit?gid=741673867"", ""out1g!A:B""), 2, FALSE), 0)"),241.0)</f>
        <v>241</v>
      </c>
      <c r="D9280" s="2" t="str">
        <f>IFERROR(__xludf.DUMMYFUNCTION("IFERROR(VLOOKUP(A9280, IMPORTRANGE(""https://docs.google.com/spreadsheets/d/1-3Vjw2Cyy-mry5gbC8ypIR3YVGFfEpyFESummAta6sg/edit"", ""Sheet1!B:D""), 2, FALSE), ""Not Found"")"),"fɔrmd")</f>
        <v>fɔrmd</v>
      </c>
      <c r="E9280" s="2" t="str">
        <f>IFERROR(__xludf.DUMMYFUNCTION("IFERROR(VLOOKUP(A9280, IMPORTRANGE(""https://docs.google.com/spreadsheets/d/1-3Vjw2Cyy-mry5gbC8ypIR3YVGFfEpyFESummAta6sg/edit"", ""Sheet1!B:D""), 3, FALSE), ""Not Found"")"),"f ɔ r m d ")</f>
        <v>f ɔ r m d </v>
      </c>
    </row>
    <row r="9281">
      <c r="A9281" s="1" t="s">
        <v>9282</v>
      </c>
      <c r="B9281" s="1" t="s">
        <v>6138</v>
      </c>
      <c r="C9281" s="2">
        <f>IFERROR(__xludf.DUMMYFUNCTION("IFERROR(VLOOKUP(A9281, IMPORTRANGE(""https://docs.google.com/spreadsheets/d/1AVX9GT0dgogEBStecCXMMQ29tWz3gBrtNB8yIromXbY/edit?gid=741673867"", ""out1g!A:B""), 2, FALSE), 0)"),2281.0)</f>
        <v>2281</v>
      </c>
      <c r="D9281" s="2" t="str">
        <f>IFERROR(__xludf.DUMMYFUNCTION("IFERROR(VLOOKUP(A9281, IMPORTRANGE(""https://docs.google.com/spreadsheets/d/1-3Vjw2Cyy-mry5gbC8ypIR3YVGFfEpyFESummAta6sg/edit"", ""Sheet1!B:D""), 2, FALSE), ""Not Found"")"),"hirɪŋ")</f>
        <v>hirɪŋ</v>
      </c>
      <c r="E9281" s="2" t="str">
        <f>IFERROR(__xludf.DUMMYFUNCTION("IFERROR(VLOOKUP(A9281, IMPORTRANGE(""https://docs.google.com/spreadsheets/d/1-3Vjw2Cyy-mry5gbC8ypIR3YVGFfEpyFESummAta6sg/edit"", ""Sheet1!B:D""), 3, FALSE), ""Not Found"")"),"h i r ɪ ŋ ")</f>
        <v>h i r ɪ ŋ </v>
      </c>
    </row>
    <row r="9282">
      <c r="A9282" s="1" t="s">
        <v>9283</v>
      </c>
      <c r="B9282" s="1" t="s">
        <v>6138</v>
      </c>
      <c r="C9282" s="2">
        <f>IFERROR(__xludf.DUMMYFUNCTION("IFERROR(VLOOKUP(A9282, IMPORTRANGE(""https://docs.google.com/spreadsheets/d/1AVX9GT0dgogEBStecCXMMQ29tWz3gBrtNB8yIromXbY/edit?gid=741673867"", ""out1g!A:B""), 2, FALSE), 0)"),48.0)</f>
        <v>48</v>
      </c>
      <c r="D9282" s="2" t="str">
        <f>IFERROR(__xludf.DUMMYFUNCTION("IFERROR(VLOOKUP(A9282, IMPORTRANGE(""https://docs.google.com/spreadsheets/d/1-3Vjw2Cyy-mry5gbC8ypIR3YVGFfEpyFESummAta6sg/edit"", ""Sheet1!B:D""), 2, FALSE), ""Not Found"")"),"striks")</f>
        <v>striks</v>
      </c>
      <c r="E9282" s="2" t="str">
        <f>IFERROR(__xludf.DUMMYFUNCTION("IFERROR(VLOOKUP(A9282, IMPORTRANGE(""https://docs.google.com/spreadsheets/d/1-3Vjw2Cyy-mry5gbC8ypIR3YVGFfEpyFESummAta6sg/edit"", ""Sheet1!B:D""), 3, FALSE), ""Not Found"")"),"s t r i k s ")</f>
        <v>s t r i k s </v>
      </c>
    </row>
    <row r="9283">
      <c r="A9283" s="1" t="s">
        <v>9284</v>
      </c>
      <c r="B9283" s="1" t="s">
        <v>6138</v>
      </c>
      <c r="C9283" s="2">
        <f>IFERROR(__xludf.DUMMYFUNCTION("IFERROR(VLOOKUP(A9283, IMPORTRANGE(""https://docs.google.com/spreadsheets/d/1AVX9GT0dgogEBStecCXMMQ29tWz3gBrtNB8yIromXbY/edit?gid=741673867"", ""out1g!A:B""), 2, FALSE), 0)"),3348.0)</f>
        <v>3348</v>
      </c>
      <c r="D9283" s="2" t="str">
        <f>IFERROR(__xludf.DUMMYFUNCTION("IFERROR(VLOOKUP(A9283, IMPORTRANGE(""https://docs.google.com/spreadsheets/d/1-3Vjw2Cyy-mry5gbC8ypIR3YVGFfEpyFESummAta6sg/edit"", ""Sheet1!B:D""), 2, FALSE), ""Not Found"")"),"bæstərd")</f>
        <v>bæstərd</v>
      </c>
      <c r="E9283" s="2" t="str">
        <f>IFERROR(__xludf.DUMMYFUNCTION("IFERROR(VLOOKUP(A9283, IMPORTRANGE(""https://docs.google.com/spreadsheets/d/1-3Vjw2Cyy-mry5gbC8ypIR3YVGFfEpyFESummAta6sg/edit"", ""Sheet1!B:D""), 3, FALSE), ""Not Found"")"),"b æ s t ə r d ")</f>
        <v>b æ s t ə r d </v>
      </c>
    </row>
    <row r="9284">
      <c r="A9284" s="1" t="s">
        <v>9285</v>
      </c>
      <c r="B9284" s="1" t="s">
        <v>6138</v>
      </c>
      <c r="C9284" s="2">
        <f>IFERROR(__xludf.DUMMYFUNCTION("IFERROR(VLOOKUP(A9284, IMPORTRANGE(""https://docs.google.com/spreadsheets/d/1AVX9GT0dgogEBStecCXMMQ29tWz3gBrtNB8yIromXbY/edit?gid=741673867"", ""out1g!A:B""), 2, FALSE), 0)"),108.0)</f>
        <v>108</v>
      </c>
      <c r="D9284" s="2" t="str">
        <f>IFERROR(__xludf.DUMMYFUNCTION("IFERROR(VLOOKUP(A9284, IMPORTRANGE(""https://docs.google.com/spreadsheets/d/1-3Vjw2Cyy-mry5gbC8ypIR3YVGFfEpyFESummAta6sg/edit"", ""Sheet1!B:D""), 2, FALSE), ""Not Found"")"),"wɑfəl")</f>
        <v>wɑfəl</v>
      </c>
      <c r="E9284" s="2" t="str">
        <f>IFERROR(__xludf.DUMMYFUNCTION("IFERROR(VLOOKUP(A9284, IMPORTRANGE(""https://docs.google.com/spreadsheets/d/1-3Vjw2Cyy-mry5gbC8ypIR3YVGFfEpyFESummAta6sg/edit"", ""Sheet1!B:D""), 3, FALSE), ""Not Found"")"),"w ɑ f ə l ")</f>
        <v>w ɑ f ə l </v>
      </c>
    </row>
    <row r="9285">
      <c r="A9285" s="1" t="s">
        <v>9286</v>
      </c>
      <c r="B9285" s="1" t="s">
        <v>6138</v>
      </c>
      <c r="C9285" s="2">
        <f>IFERROR(__xludf.DUMMYFUNCTION("IFERROR(VLOOKUP(A9285, IMPORTRANGE(""https://docs.google.com/spreadsheets/d/1AVX9GT0dgogEBStecCXMMQ29tWz3gBrtNB8yIromXbY/edit?gid=741673867"", ""out1g!A:B""), 2, FALSE), 0)"),13.0)</f>
        <v>13</v>
      </c>
      <c r="D9285" s="2" t="str">
        <f>IFERROR(__xludf.DUMMYFUNCTION("IFERROR(VLOOKUP(A9285, IMPORTRANGE(""https://docs.google.com/spreadsheets/d/1-3Vjw2Cyy-mry5gbC8ypIR3YVGFfEpyFESummAta6sg/edit"", ""Sheet1!B:D""), 2, FALSE), ""Not Found"")"),"bʊʧəri")</f>
        <v>bʊʧəri</v>
      </c>
      <c r="E9285" s="2" t="str">
        <f>IFERROR(__xludf.DUMMYFUNCTION("IFERROR(VLOOKUP(A9285, IMPORTRANGE(""https://docs.google.com/spreadsheets/d/1-3Vjw2Cyy-mry5gbC8ypIR3YVGFfEpyFESummAta6sg/edit"", ""Sheet1!B:D""), 3, FALSE), ""Not Found"")"),"b ʊ ʧ ə r i ")</f>
        <v>b ʊ ʧ ə r i </v>
      </c>
    </row>
    <row r="9286">
      <c r="A9286" s="1" t="s">
        <v>9287</v>
      </c>
      <c r="B9286" s="1" t="s">
        <v>6138</v>
      </c>
      <c r="C9286" s="2">
        <f>IFERROR(__xludf.DUMMYFUNCTION("IFERROR(VLOOKUP(A9286, IMPORTRANGE(""https://docs.google.com/spreadsheets/d/1AVX9GT0dgogEBStecCXMMQ29tWz3gBrtNB8yIromXbY/edit?gid=741673867"", ""out1g!A:B""), 2, FALSE), 0)"),940.0)</f>
        <v>940</v>
      </c>
      <c r="D9286" s="2" t="str">
        <f>IFERROR(__xludf.DUMMYFUNCTION("IFERROR(VLOOKUP(A9286, IMPORTRANGE(""https://docs.google.com/spreadsheets/d/1-3Vjw2Cyy-mry5gbC8ypIR3YVGFfEpyFESummAta6sg/edit"", ""Sheet1!B:D""), 2, FALSE), ""Not Found"")"),"wɪʃɪz")</f>
        <v>wɪʃɪz</v>
      </c>
      <c r="E9286" s="2" t="str">
        <f>IFERROR(__xludf.DUMMYFUNCTION("IFERROR(VLOOKUP(A9286, IMPORTRANGE(""https://docs.google.com/spreadsheets/d/1-3Vjw2Cyy-mry5gbC8ypIR3YVGFfEpyFESummAta6sg/edit"", ""Sheet1!B:D""), 3, FALSE), ""Not Found"")"),"w ɪ ʃ ɪ z ")</f>
        <v>w ɪ ʃ ɪ z </v>
      </c>
    </row>
    <row r="9287">
      <c r="A9287" s="1" t="s">
        <v>9288</v>
      </c>
      <c r="B9287" s="1" t="s">
        <v>6138</v>
      </c>
      <c r="C9287" s="2">
        <f>IFERROR(__xludf.DUMMYFUNCTION("IFERROR(VLOOKUP(A9287, IMPORTRANGE(""https://docs.google.com/spreadsheets/d/1AVX9GT0dgogEBStecCXMMQ29tWz3gBrtNB8yIromXbY/edit?gid=741673867"", ""out1g!A:B""), 2, FALSE), 0)"),237.0)</f>
        <v>237</v>
      </c>
      <c r="D9287" s="2" t="str">
        <f>IFERROR(__xludf.DUMMYFUNCTION("IFERROR(VLOOKUP(A9287, IMPORTRANGE(""https://docs.google.com/spreadsheets/d/1-3Vjw2Cyy-mry5gbC8ypIR3YVGFfEpyFESummAta6sg/edit"", ""Sheet1!B:D""), 2, FALSE), ""Not Found"")"),"səpɔrtɪv")</f>
        <v>səpɔrtɪv</v>
      </c>
      <c r="E9287" s="2" t="str">
        <f>IFERROR(__xludf.DUMMYFUNCTION("IFERROR(VLOOKUP(A9287, IMPORTRANGE(""https://docs.google.com/spreadsheets/d/1-3Vjw2Cyy-mry5gbC8ypIR3YVGFfEpyFESummAta6sg/edit"", ""Sheet1!B:D""), 3, FALSE), ""Not Found"")"),"s ə p ɔ r t ɪ v ")</f>
        <v>s ə p ɔ r t ɪ v </v>
      </c>
    </row>
    <row r="9288">
      <c r="A9288" s="1" t="s">
        <v>9289</v>
      </c>
      <c r="B9288" s="1" t="s">
        <v>6138</v>
      </c>
      <c r="C9288" s="2">
        <f>IFERROR(__xludf.DUMMYFUNCTION("IFERROR(VLOOKUP(A9288, IMPORTRANGE(""https://docs.google.com/spreadsheets/d/1AVX9GT0dgogEBStecCXMMQ29tWz3gBrtNB8yIromXbY/edit?gid=741673867"", ""out1g!A:B""), 2, FALSE), 0)"),1666.0)</f>
        <v>1666</v>
      </c>
      <c r="D9288" s="2" t="str">
        <f>IFERROR(__xludf.DUMMYFUNCTION("IFERROR(VLOOKUP(A9288, IMPORTRANGE(""https://docs.google.com/spreadsheets/d/1-3Vjw2Cyy-mry5gbC8ypIR3YVGFfEpyFESummAta6sg/edit"", ""Sheet1!B:D""), 2, FALSE), ""Not Found"")"),"ʤæksən")</f>
        <v>ʤæksən</v>
      </c>
      <c r="E9288" s="2" t="str">
        <f>IFERROR(__xludf.DUMMYFUNCTION("IFERROR(VLOOKUP(A9288, IMPORTRANGE(""https://docs.google.com/spreadsheets/d/1-3Vjw2Cyy-mry5gbC8ypIR3YVGFfEpyFESummAta6sg/edit"", ""Sheet1!B:D""), 3, FALSE), ""Not Found"")"),"ʤ æ k s ə n ")</f>
        <v>ʤ æ k s ə n </v>
      </c>
    </row>
    <row r="9289">
      <c r="A9289" s="1" t="s">
        <v>9290</v>
      </c>
      <c r="B9289" s="1" t="s">
        <v>6138</v>
      </c>
      <c r="C9289" s="2">
        <f>IFERROR(__xludf.DUMMYFUNCTION("IFERROR(VLOOKUP(A9289, IMPORTRANGE(""https://docs.google.com/spreadsheets/d/1AVX9GT0dgogEBStecCXMMQ29tWz3gBrtNB8yIromXbY/edit?gid=741673867"", ""out1g!A:B""), 2, FALSE), 0)"),80.0)</f>
        <v>80</v>
      </c>
      <c r="D9289" s="2" t="str">
        <f>IFERROR(__xludf.DUMMYFUNCTION("IFERROR(VLOOKUP(A9289, IMPORTRANGE(""https://docs.google.com/spreadsheets/d/1-3Vjw2Cyy-mry5gbC8ypIR3YVGFfEpyFESummAta6sg/edit"", ""Sheet1!B:D""), 2, FALSE), ""Not Found"")"),"kələrd")</f>
        <v>kələrd</v>
      </c>
      <c r="E9289" s="2" t="str">
        <f>IFERROR(__xludf.DUMMYFUNCTION("IFERROR(VLOOKUP(A9289, IMPORTRANGE(""https://docs.google.com/spreadsheets/d/1-3Vjw2Cyy-mry5gbC8ypIR3YVGFfEpyFESummAta6sg/edit"", ""Sheet1!B:D""), 3, FALSE), ""Not Found"")"),"k ə l ə r d ")</f>
        <v>k ə l ə r d </v>
      </c>
    </row>
    <row r="9290">
      <c r="A9290" s="1" t="s">
        <v>9291</v>
      </c>
      <c r="B9290" s="1" t="s">
        <v>6138</v>
      </c>
      <c r="C9290" s="2">
        <f>IFERROR(__xludf.DUMMYFUNCTION("IFERROR(VLOOKUP(A9290, IMPORTRANGE(""https://docs.google.com/spreadsheets/d/1AVX9GT0dgogEBStecCXMMQ29tWz3gBrtNB8yIromXbY/edit?gid=741673867"", ""out1g!A:B""), 2, FALSE), 0)"),68.0)</f>
        <v>68</v>
      </c>
      <c r="D9290" s="2" t="str">
        <f>IFERROR(__xludf.DUMMYFUNCTION("IFERROR(VLOOKUP(A9290, IMPORTRANGE(""https://docs.google.com/spreadsheets/d/1-3Vjw2Cyy-mry5gbC8ypIR3YVGFfEpyFESummAta6sg/edit"", ""Sheet1!B:D""), 2, FALSE), ""Not Found"")"),"lɔrən")</f>
        <v>lɔrən</v>
      </c>
      <c r="E9290" s="2" t="str">
        <f>IFERROR(__xludf.DUMMYFUNCTION("IFERROR(VLOOKUP(A9290, IMPORTRANGE(""https://docs.google.com/spreadsheets/d/1-3Vjw2Cyy-mry5gbC8ypIR3YVGFfEpyFESummAta6sg/edit"", ""Sheet1!B:D""), 3, FALSE), ""Not Found"")"),"l ɔ r ə n ")</f>
        <v>l ɔ r ə n </v>
      </c>
    </row>
    <row r="9291">
      <c r="A9291" s="1" t="s">
        <v>9292</v>
      </c>
      <c r="B9291" s="1" t="s">
        <v>6138</v>
      </c>
      <c r="C9291" s="2">
        <f>IFERROR(__xludf.DUMMYFUNCTION("IFERROR(VLOOKUP(A9291, IMPORTRANGE(""https://docs.google.com/spreadsheets/d/1AVX9GT0dgogEBStecCXMMQ29tWz3gBrtNB8yIromXbY/edit?gid=741673867"", ""out1g!A:B""), 2, FALSE), 0)"),47.0)</f>
        <v>47</v>
      </c>
      <c r="D9291" s="2" t="str">
        <f>IFERROR(__xludf.DUMMYFUNCTION("IFERROR(VLOOKUP(A9291, IMPORTRANGE(""https://docs.google.com/spreadsheets/d/1-3Vjw2Cyy-mry5gbC8ypIR3YVGFfEpyFESummAta6sg/edit"", ""Sheet1!B:D""), 2, FALSE), ""Not Found"")"),"snɔrtɪŋ")</f>
        <v>snɔrtɪŋ</v>
      </c>
      <c r="E9291" s="2" t="str">
        <f>IFERROR(__xludf.DUMMYFUNCTION("IFERROR(VLOOKUP(A9291, IMPORTRANGE(""https://docs.google.com/spreadsheets/d/1-3Vjw2Cyy-mry5gbC8ypIR3YVGFfEpyFESummAta6sg/edit"", ""Sheet1!B:D""), 3, FALSE), ""Not Found"")"),"s n ɔ r t ɪ ŋ ")</f>
        <v>s n ɔ r t ɪ ŋ </v>
      </c>
    </row>
    <row r="9292">
      <c r="A9292" s="1" t="s">
        <v>9293</v>
      </c>
      <c r="B9292" s="1" t="s">
        <v>6138</v>
      </c>
      <c r="C9292" s="2">
        <f>IFERROR(__xludf.DUMMYFUNCTION("IFERROR(VLOOKUP(A9292, IMPORTRANGE(""https://docs.google.com/spreadsheets/d/1AVX9GT0dgogEBStecCXMMQ29tWz3gBrtNB8yIromXbY/edit?gid=741673867"", ""out1g!A:B""), 2, FALSE), 0)"),51.0)</f>
        <v>51</v>
      </c>
      <c r="D9292" s="2" t="str">
        <f>IFERROR(__xludf.DUMMYFUNCTION("IFERROR(VLOOKUP(A9292, IMPORTRANGE(""https://docs.google.com/spreadsheets/d/1-3Vjw2Cyy-mry5gbC8ypIR3YVGFfEpyFESummAta6sg/edit"", ""Sheet1!B:D""), 2, FALSE), ""Not Found"")"),"ɪresər")</f>
        <v>ɪresər</v>
      </c>
      <c r="E9292" s="2" t="str">
        <f>IFERROR(__xludf.DUMMYFUNCTION("IFERROR(VLOOKUP(A9292, IMPORTRANGE(""https://docs.google.com/spreadsheets/d/1-3Vjw2Cyy-mry5gbC8ypIR3YVGFfEpyFESummAta6sg/edit"", ""Sheet1!B:D""), 3, FALSE), ""Not Found"")"),"ɪ r e s ə r ")</f>
        <v>ɪ r e s ə r </v>
      </c>
    </row>
    <row r="9293">
      <c r="A9293" s="1" t="s">
        <v>9294</v>
      </c>
      <c r="B9293" s="1" t="s">
        <v>6138</v>
      </c>
      <c r="C9293" s="2">
        <f>IFERROR(__xludf.DUMMYFUNCTION("IFERROR(VLOOKUP(A9293, IMPORTRANGE(""https://docs.google.com/spreadsheets/d/1AVX9GT0dgogEBStecCXMMQ29tWz3gBrtNB8yIromXbY/edit?gid=741673867"", ""out1g!A:B""), 2, FALSE), 0)"),225.0)</f>
        <v>225</v>
      </c>
      <c r="D9293" s="2" t="str">
        <f>IFERROR(__xludf.DUMMYFUNCTION("IFERROR(VLOOKUP(A9293, IMPORTRANGE(""https://docs.google.com/spreadsheets/d/1-3Vjw2Cyy-mry5gbC8ypIR3YVGFfEpyFESummAta6sg/edit"", ""Sheet1!B:D""), 2, FALSE), ""Not Found"")"),"ɪndʊr")</f>
        <v>ɪndʊr</v>
      </c>
      <c r="E9293" s="2" t="str">
        <f>IFERROR(__xludf.DUMMYFUNCTION("IFERROR(VLOOKUP(A9293, IMPORTRANGE(""https://docs.google.com/spreadsheets/d/1-3Vjw2Cyy-mry5gbC8ypIR3YVGFfEpyFESummAta6sg/edit"", ""Sheet1!B:D""), 3, FALSE), ""Not Found"")"),"ɪ n d ʊ r ")</f>
        <v>ɪ n d ʊ r </v>
      </c>
    </row>
    <row r="9294">
      <c r="A9294" s="1" t="s">
        <v>9295</v>
      </c>
      <c r="B9294" s="1" t="s">
        <v>6138</v>
      </c>
      <c r="C9294" s="2">
        <f>IFERROR(__xludf.DUMMYFUNCTION("IFERROR(VLOOKUP(A9294, IMPORTRANGE(""https://docs.google.com/spreadsheets/d/1AVX9GT0dgogEBStecCXMMQ29tWz3gBrtNB8yIromXbY/edit?gid=741673867"", ""out1g!A:B""), 2, FALSE), 0)"),58.0)</f>
        <v>58</v>
      </c>
      <c r="D9294" s="2" t="str">
        <f>IFERROR(__xludf.DUMMYFUNCTION("IFERROR(VLOOKUP(A9294, IMPORTRANGE(""https://docs.google.com/spreadsheets/d/1-3Vjw2Cyy-mry5gbC8ypIR3YVGFfEpyFESummAta6sg/edit"", ""Sheet1!B:D""), 2, FALSE), ""Not Found"")"),"fækʃən")</f>
        <v>fækʃən</v>
      </c>
      <c r="E9294" s="2" t="str">
        <f>IFERROR(__xludf.DUMMYFUNCTION("IFERROR(VLOOKUP(A9294, IMPORTRANGE(""https://docs.google.com/spreadsheets/d/1-3Vjw2Cyy-mry5gbC8ypIR3YVGFfEpyFESummAta6sg/edit"", ""Sheet1!B:D""), 3, FALSE), ""Not Found"")"),"f æ k ʃ ə n ")</f>
        <v>f æ k ʃ ə n </v>
      </c>
    </row>
    <row r="9295">
      <c r="A9295" s="1" t="s">
        <v>9296</v>
      </c>
      <c r="B9295" s="1" t="s">
        <v>6138</v>
      </c>
      <c r="C9295" s="2">
        <f>IFERROR(__xludf.DUMMYFUNCTION("IFERROR(VLOOKUP(A9295, IMPORTRANGE(""https://docs.google.com/spreadsheets/d/1AVX9GT0dgogEBStecCXMMQ29tWz3gBrtNB8yIromXbY/edit?gid=741673867"", ""out1g!A:B""), 2, FALSE), 0)"),2506.0)</f>
        <v>2506</v>
      </c>
      <c r="D9295" s="2" t="str">
        <f>IFERROR(__xludf.DUMMYFUNCTION("IFERROR(VLOOKUP(A9295, IMPORTRANGE(""https://docs.google.com/spreadsheets/d/1-3Vjw2Cyy-mry5gbC8ypIR3YVGFfEpyFESummAta6sg/edit"", ""Sheet1!B:D""), 2, FALSE), ""Not Found"")"),"ju")</f>
        <v>ju</v>
      </c>
      <c r="E9295" s="2" t="str">
        <f>IFERROR(__xludf.DUMMYFUNCTION("IFERROR(VLOOKUP(A9295, IMPORTRANGE(""https://docs.google.com/spreadsheets/d/1-3Vjw2Cyy-mry5gbC8ypIR3YVGFfEpyFESummAta6sg/edit"", ""Sheet1!B:D""), 3, FALSE), ""Not Found"")"),"j u ")</f>
        <v>j u </v>
      </c>
    </row>
    <row r="9296">
      <c r="A9296" s="1" t="s">
        <v>9297</v>
      </c>
      <c r="B9296" s="1" t="s">
        <v>6138</v>
      </c>
      <c r="C9296" s="2">
        <f>IFERROR(__xludf.DUMMYFUNCTION("IFERROR(VLOOKUP(A9296, IMPORTRANGE(""https://docs.google.com/spreadsheets/d/1AVX9GT0dgogEBStecCXMMQ29tWz3gBrtNB8yIromXbY/edit?gid=741673867"", ""out1g!A:B""), 2, FALSE), 0)"),53.0)</f>
        <v>53</v>
      </c>
      <c r="D9296" s="2" t="str">
        <f>IFERROR(__xludf.DUMMYFUNCTION("IFERROR(VLOOKUP(A9296, IMPORTRANGE(""https://docs.google.com/spreadsheets/d/1-3Vjw2Cyy-mry5gbC8ypIR3YVGFfEpyFESummAta6sg/edit"", ""Sheet1!B:D""), 2, FALSE), ""Not Found"")"),"vjud")</f>
        <v>vjud</v>
      </c>
      <c r="E9296" s="2" t="str">
        <f>IFERROR(__xludf.DUMMYFUNCTION("IFERROR(VLOOKUP(A9296, IMPORTRANGE(""https://docs.google.com/spreadsheets/d/1-3Vjw2Cyy-mry5gbC8ypIR3YVGFfEpyFESummAta6sg/edit"", ""Sheet1!B:D""), 3, FALSE), ""Not Found"")"),"v j u d ")</f>
        <v>v j u d </v>
      </c>
    </row>
    <row r="9297">
      <c r="A9297" s="1" t="s">
        <v>9298</v>
      </c>
      <c r="B9297" s="1" t="s">
        <v>6138</v>
      </c>
      <c r="C9297" s="2">
        <f>IFERROR(__xludf.DUMMYFUNCTION("IFERROR(VLOOKUP(A9297, IMPORTRANGE(""https://docs.google.com/spreadsheets/d/1AVX9GT0dgogEBStecCXMMQ29tWz3gBrtNB8yIromXbY/edit?gid=741673867"", ""out1g!A:B""), 2, FALSE), 0)"),55.0)</f>
        <v>55</v>
      </c>
      <c r="D9297" s="2" t="str">
        <f>IFERROR(__xludf.DUMMYFUNCTION("IFERROR(VLOOKUP(A9297, IMPORTRANGE(""https://docs.google.com/spreadsheets/d/1-3Vjw2Cyy-mry5gbC8ypIR3YVGFfEpyFESummAta6sg/edit"", ""Sheet1!B:D""), 2, FALSE), ""Not Found"")"),"klæmps")</f>
        <v>klæmps</v>
      </c>
      <c r="E9297" s="2" t="str">
        <f>IFERROR(__xludf.DUMMYFUNCTION("IFERROR(VLOOKUP(A9297, IMPORTRANGE(""https://docs.google.com/spreadsheets/d/1-3Vjw2Cyy-mry5gbC8ypIR3YVGFfEpyFESummAta6sg/edit"", ""Sheet1!B:D""), 3, FALSE), ""Not Found"")"),"k l æ m p s ")</f>
        <v>k l æ m p s </v>
      </c>
    </row>
    <row r="9298">
      <c r="A9298" s="1" t="s">
        <v>9299</v>
      </c>
      <c r="B9298" s="1" t="s">
        <v>6138</v>
      </c>
      <c r="C9298" s="2">
        <f>IFERROR(__xludf.DUMMYFUNCTION("IFERROR(VLOOKUP(A9298, IMPORTRANGE(""https://docs.google.com/spreadsheets/d/1AVX9GT0dgogEBStecCXMMQ29tWz3gBrtNB8yIromXbY/edit?gid=741673867"", ""out1g!A:B""), 2, FALSE), 0)"),9087.0)</f>
        <v>9087</v>
      </c>
      <c r="D9298" s="2" t="str">
        <f>IFERROR(__xludf.DUMMYFUNCTION("IFERROR(VLOOKUP(A9298, IMPORTRANGE(""https://docs.google.com/spreadsheets/d/1-3Vjw2Cyy-mry5gbC8ypIR3YVGFfEpyFESummAta6sg/edit"", ""Sheet1!B:D""), 2, FALSE), ""Not Found"")"),"trəst")</f>
        <v>trəst</v>
      </c>
      <c r="E9298" s="2" t="str">
        <f>IFERROR(__xludf.DUMMYFUNCTION("IFERROR(VLOOKUP(A9298, IMPORTRANGE(""https://docs.google.com/spreadsheets/d/1-3Vjw2Cyy-mry5gbC8ypIR3YVGFfEpyFESummAta6sg/edit"", ""Sheet1!B:D""), 3, FALSE), ""Not Found"")"),"t r ə s t ")</f>
        <v>t r ə s t </v>
      </c>
    </row>
    <row r="9299">
      <c r="A9299" s="1" t="s">
        <v>9300</v>
      </c>
      <c r="B9299" s="1" t="s">
        <v>6138</v>
      </c>
      <c r="C9299" s="2">
        <f>IFERROR(__xludf.DUMMYFUNCTION("IFERROR(VLOOKUP(A9299, IMPORTRANGE(""https://docs.google.com/spreadsheets/d/1AVX9GT0dgogEBStecCXMMQ29tWz3gBrtNB8yIromXbY/edit?gid=741673867"", ""out1g!A:B""), 2, FALSE), 0)"),240.0)</f>
        <v>240</v>
      </c>
      <c r="D9299" s="2" t="str">
        <f>IFERROR(__xludf.DUMMYFUNCTION("IFERROR(VLOOKUP(A9299, IMPORTRANGE(""https://docs.google.com/spreadsheets/d/1-3Vjw2Cyy-mry5gbC8ypIR3YVGFfEpyFESummAta6sg/edit"", ""Sheet1!B:D""), 2, FALSE), ""Not Found"")"),"pəmpɪŋ")</f>
        <v>pəmpɪŋ</v>
      </c>
      <c r="E9299" s="2" t="str">
        <f>IFERROR(__xludf.DUMMYFUNCTION("IFERROR(VLOOKUP(A9299, IMPORTRANGE(""https://docs.google.com/spreadsheets/d/1-3Vjw2Cyy-mry5gbC8ypIR3YVGFfEpyFESummAta6sg/edit"", ""Sheet1!B:D""), 3, FALSE), ""Not Found"")"),"p ə m p ɪ ŋ ")</f>
        <v>p ə m p ɪ ŋ </v>
      </c>
    </row>
    <row r="9300">
      <c r="A9300" s="1" t="s">
        <v>9301</v>
      </c>
      <c r="B9300" s="1" t="s">
        <v>6138</v>
      </c>
      <c r="C9300" s="2">
        <f>IFERROR(__xludf.DUMMYFUNCTION("IFERROR(VLOOKUP(A9300, IMPORTRANGE(""https://docs.google.com/spreadsheets/d/1AVX9GT0dgogEBStecCXMMQ29tWz3gBrtNB8yIromXbY/edit?gid=741673867"", ""out1g!A:B""), 2, FALSE), 0)"),404.0)</f>
        <v>404</v>
      </c>
      <c r="D9300" s="2" t="str">
        <f>IFERROR(__xludf.DUMMYFUNCTION("IFERROR(VLOOKUP(A9300, IMPORTRANGE(""https://docs.google.com/spreadsheets/d/1-3Vjw2Cyy-mry5gbC8ypIR3YVGFfEpyFESummAta6sg/edit"", ""Sheet1!B:D""), 2, FALSE), ""Not Found"")"),"pruvz")</f>
        <v>pruvz</v>
      </c>
      <c r="E9300" s="2" t="str">
        <f>IFERROR(__xludf.DUMMYFUNCTION("IFERROR(VLOOKUP(A9300, IMPORTRANGE(""https://docs.google.com/spreadsheets/d/1-3Vjw2Cyy-mry5gbC8ypIR3YVGFfEpyFESummAta6sg/edit"", ""Sheet1!B:D""), 3, FALSE), ""Not Found"")"),"p r u v z ")</f>
        <v>p r u v z </v>
      </c>
    </row>
    <row r="9301">
      <c r="A9301" s="1" t="s">
        <v>9302</v>
      </c>
      <c r="B9301" s="1" t="s">
        <v>6138</v>
      </c>
      <c r="C9301" s="2">
        <f>IFERROR(__xludf.DUMMYFUNCTION("IFERROR(VLOOKUP(A9301, IMPORTRANGE(""https://docs.google.com/spreadsheets/d/1AVX9GT0dgogEBStecCXMMQ29tWz3gBrtNB8yIromXbY/edit?gid=741673867"", ""out1g!A:B""), 2, FALSE), 0)"),886.0)</f>
        <v>886</v>
      </c>
      <c r="D9301" s="2" t="str">
        <f>IFERROR(__xludf.DUMMYFUNCTION("IFERROR(VLOOKUP(A9301, IMPORTRANGE(""https://docs.google.com/spreadsheets/d/1-3Vjw2Cyy-mry5gbC8ypIR3YVGFfEpyFESummAta6sg/edit"", ""Sheet1!B:D""), 2, FALSE), ""Not Found"")"),"devɪs")</f>
        <v>devɪs</v>
      </c>
      <c r="E9301" s="2" t="str">
        <f>IFERROR(__xludf.DUMMYFUNCTION("IFERROR(VLOOKUP(A9301, IMPORTRANGE(""https://docs.google.com/spreadsheets/d/1-3Vjw2Cyy-mry5gbC8ypIR3YVGFfEpyFESummAta6sg/edit"", ""Sheet1!B:D""), 3, FALSE), ""Not Found"")"),"d e v ɪ s ")</f>
        <v>d e v ɪ s </v>
      </c>
    </row>
    <row r="9302">
      <c r="A9302" s="1" t="s">
        <v>9303</v>
      </c>
      <c r="B9302" s="1" t="s">
        <v>6138</v>
      </c>
      <c r="C9302" s="2">
        <f>IFERROR(__xludf.DUMMYFUNCTION("IFERROR(VLOOKUP(A9302, IMPORTRANGE(""https://docs.google.com/spreadsheets/d/1AVX9GT0dgogEBStecCXMMQ29tWz3gBrtNB8yIromXbY/edit?gid=741673867"", ""out1g!A:B""), 2, FALSE), 0)"),1789.0)</f>
        <v>1789</v>
      </c>
      <c r="D9302" s="2" t="str">
        <f>IFERROR(__xludf.DUMMYFUNCTION("IFERROR(VLOOKUP(A9302, IMPORTRANGE(""https://docs.google.com/spreadsheets/d/1-3Vjw2Cyy-mry5gbC8ypIR3YVGFfEpyFESummAta6sg/edit"", ""Sheet1!B:D""), 2, FALSE), ""Not Found"")"),"wu")</f>
        <v>wu</v>
      </c>
      <c r="E9302" s="2" t="str">
        <f>IFERROR(__xludf.DUMMYFUNCTION("IFERROR(VLOOKUP(A9302, IMPORTRANGE(""https://docs.google.com/spreadsheets/d/1-3Vjw2Cyy-mry5gbC8ypIR3YVGFfEpyFESummAta6sg/edit"", ""Sheet1!B:D""), 3, FALSE), ""Not Found"")"),"w u ")</f>
        <v>w u </v>
      </c>
    </row>
    <row r="9303">
      <c r="A9303" s="1" t="s">
        <v>9304</v>
      </c>
      <c r="B9303" s="1" t="s">
        <v>6138</v>
      </c>
      <c r="C9303" s="2">
        <f>IFERROR(__xludf.DUMMYFUNCTION("IFERROR(VLOOKUP(A9303, IMPORTRANGE(""https://docs.google.com/spreadsheets/d/1AVX9GT0dgogEBStecCXMMQ29tWz3gBrtNB8yIromXbY/edit?gid=741673867"", ""out1g!A:B""), 2, FALSE), 0)"),394.0)</f>
        <v>394</v>
      </c>
      <c r="D9303" s="2" t="str">
        <f>IFERROR(__xludf.DUMMYFUNCTION("IFERROR(VLOOKUP(A9303, IMPORTRANGE(""https://docs.google.com/spreadsheets/d/1-3Vjw2Cyy-mry5gbC8ypIR3YVGFfEpyFESummAta6sg/edit"", ""Sheet1!B:D""), 2, FALSE), ""Not Found"")"),"əraɪvɪŋ")</f>
        <v>əraɪvɪŋ</v>
      </c>
      <c r="E9303" s="2" t="str">
        <f>IFERROR(__xludf.DUMMYFUNCTION("IFERROR(VLOOKUP(A9303, IMPORTRANGE(""https://docs.google.com/spreadsheets/d/1-3Vjw2Cyy-mry5gbC8ypIR3YVGFfEpyFESummAta6sg/edit"", ""Sheet1!B:D""), 3, FALSE), ""Not Found"")"),"ə r a ɪ v ɪ ŋ ")</f>
        <v>ə r a ɪ v ɪ ŋ </v>
      </c>
    </row>
    <row r="9304">
      <c r="A9304" s="1" t="s">
        <v>9305</v>
      </c>
      <c r="B9304" s="1" t="s">
        <v>6138</v>
      </c>
      <c r="C9304" s="2">
        <f>IFERROR(__xludf.DUMMYFUNCTION("IFERROR(VLOOKUP(A9304, IMPORTRANGE(""https://docs.google.com/spreadsheets/d/1AVX9GT0dgogEBStecCXMMQ29tWz3gBrtNB8yIromXbY/edit?gid=741673867"", ""out1g!A:B""), 2, FALSE), 0)"),220.0)</f>
        <v>220</v>
      </c>
      <c r="D9304" s="2" t="str">
        <f>IFERROR(__xludf.DUMMYFUNCTION("IFERROR(VLOOKUP(A9304, IMPORTRANGE(""https://docs.google.com/spreadsheets/d/1-3Vjw2Cyy-mry5gbC8ypIR3YVGFfEpyFESummAta6sg/edit"", ""Sheet1!B:D""), 2, FALSE), ""Not Found"")"),"du")</f>
        <v>du</v>
      </c>
      <c r="E9304" s="2" t="str">
        <f>IFERROR(__xludf.DUMMYFUNCTION("IFERROR(VLOOKUP(A9304, IMPORTRANGE(""https://docs.google.com/spreadsheets/d/1-3Vjw2Cyy-mry5gbC8ypIR3YVGFfEpyFESummAta6sg/edit"", ""Sheet1!B:D""), 3, FALSE), ""Not Found"")"),"d u ")</f>
        <v>d u </v>
      </c>
    </row>
    <row r="9305">
      <c r="A9305" s="1" t="s">
        <v>9306</v>
      </c>
      <c r="B9305" s="1" t="s">
        <v>6138</v>
      </c>
      <c r="C9305" s="2">
        <f>IFERROR(__xludf.DUMMYFUNCTION("IFERROR(VLOOKUP(A9305, IMPORTRANGE(""https://docs.google.com/spreadsheets/d/1AVX9GT0dgogEBStecCXMMQ29tWz3gBrtNB8yIromXbY/edit?gid=741673867"", ""out1g!A:B""), 2, FALSE), 0)"),72.0)</f>
        <v>72</v>
      </c>
      <c r="D9305" s="2" t="str">
        <f>IFERROR(__xludf.DUMMYFUNCTION("IFERROR(VLOOKUP(A9305, IMPORTRANGE(""https://docs.google.com/spreadsheets/d/1-3Vjw2Cyy-mry5gbC8ypIR3YVGFfEpyFESummAta6sg/edit"", ""Sheet1!B:D""), 2, FALSE), ""Not Found"")"),"droʊnz")</f>
        <v>droʊnz</v>
      </c>
      <c r="E9305" s="2" t="str">
        <f>IFERROR(__xludf.DUMMYFUNCTION("IFERROR(VLOOKUP(A9305, IMPORTRANGE(""https://docs.google.com/spreadsheets/d/1-3Vjw2Cyy-mry5gbC8ypIR3YVGFfEpyFESummAta6sg/edit"", ""Sheet1!B:D""), 3, FALSE), ""Not Found"")"),"d r o ʊ n z ")</f>
        <v>d r o ʊ n z </v>
      </c>
    </row>
    <row r="9306">
      <c r="A9306" s="1" t="s">
        <v>9307</v>
      </c>
      <c r="B9306" s="1" t="s">
        <v>6138</v>
      </c>
      <c r="C9306" s="2">
        <f>IFERROR(__xludf.DUMMYFUNCTION("IFERROR(VLOOKUP(A9306, IMPORTRANGE(""https://docs.google.com/spreadsheets/d/1AVX9GT0dgogEBStecCXMMQ29tWz3gBrtNB8yIromXbY/edit?gid=741673867"", ""out1g!A:B""), 2, FALSE), 0)"),47.0)</f>
        <v>47</v>
      </c>
      <c r="D9306" s="2" t="str">
        <f>IFERROR(__xludf.DUMMYFUNCTION("IFERROR(VLOOKUP(A9306, IMPORTRANGE(""https://docs.google.com/spreadsheets/d/1-3Vjw2Cyy-mry5gbC8ypIR3YVGFfEpyFESummAta6sg/edit"", ""Sheet1!B:D""), 2, FALSE), ""Not Found"")"),"dəmboʊ")</f>
        <v>dəmboʊ</v>
      </c>
      <c r="E9306" s="2" t="str">
        <f>IFERROR(__xludf.DUMMYFUNCTION("IFERROR(VLOOKUP(A9306, IMPORTRANGE(""https://docs.google.com/spreadsheets/d/1-3Vjw2Cyy-mry5gbC8ypIR3YVGFfEpyFESummAta6sg/edit"", ""Sheet1!B:D""), 3, FALSE), ""Not Found"")"),"d ə m b o ʊ ")</f>
        <v>d ə m b o ʊ </v>
      </c>
    </row>
    <row r="9307">
      <c r="A9307" s="1" t="s">
        <v>9308</v>
      </c>
      <c r="B9307" s="1" t="s">
        <v>6138</v>
      </c>
      <c r="C9307" s="2">
        <f>IFERROR(__xludf.DUMMYFUNCTION("IFERROR(VLOOKUP(A9307, IMPORTRANGE(""https://docs.google.com/spreadsheets/d/1AVX9GT0dgogEBStecCXMMQ29tWz3gBrtNB8yIromXbY/edit?gid=741673867"", ""out1g!A:B""), 2, FALSE), 0)"),313.0)</f>
        <v>313</v>
      </c>
      <c r="D9307" s="2" t="str">
        <f>IFERROR(__xludf.DUMMYFUNCTION("IFERROR(VLOOKUP(A9307, IMPORTRANGE(""https://docs.google.com/spreadsheets/d/1-3Vjw2Cyy-mry5gbC8ypIR3YVGFfEpyFESummAta6sg/edit"", ""Sheet1!B:D""), 2, FALSE), ""Not Found"")"),"kɑrzən")</f>
        <v>kɑrzən</v>
      </c>
      <c r="E9307" s="2" t="str">
        <f>IFERROR(__xludf.DUMMYFUNCTION("IFERROR(VLOOKUP(A9307, IMPORTRANGE(""https://docs.google.com/spreadsheets/d/1-3Vjw2Cyy-mry5gbC8ypIR3YVGFfEpyFESummAta6sg/edit"", ""Sheet1!B:D""), 3, FALSE), ""Not Found"")"),"k ɑ r z ə n ")</f>
        <v>k ɑ r z ə n </v>
      </c>
    </row>
    <row r="9308">
      <c r="A9308" s="1" t="s">
        <v>9309</v>
      </c>
      <c r="B9308" s="1" t="s">
        <v>6138</v>
      </c>
      <c r="C9308" s="2">
        <f>IFERROR(__xludf.DUMMYFUNCTION("IFERROR(VLOOKUP(A9308, IMPORTRANGE(""https://docs.google.com/spreadsheets/d/1AVX9GT0dgogEBStecCXMMQ29tWz3gBrtNB8yIromXbY/edit?gid=741673867"", ""out1g!A:B""), 2, FALSE), 0)"),454.0)</f>
        <v>454</v>
      </c>
      <c r="D9308" s="2" t="str">
        <f>IFERROR(__xludf.DUMMYFUNCTION("IFERROR(VLOOKUP(A9308, IMPORTRANGE(""https://docs.google.com/spreadsheets/d/1-3Vjw2Cyy-mry5gbC8ypIR3YVGFfEpyFESummAta6sg/edit"", ""Sheet1!B:D""), 2, FALSE), ""Not Found"")"),"ʤrɑ")</f>
        <v>ʤrɑ</v>
      </c>
      <c r="E9308" s="2" t="str">
        <f>IFERROR(__xludf.DUMMYFUNCTION("IFERROR(VLOOKUP(A9308, IMPORTRANGE(""https://docs.google.com/spreadsheets/d/1-3Vjw2Cyy-mry5gbC8ypIR3YVGFfEpyFESummAta6sg/edit"", ""Sheet1!B:D""), 3, FALSE), ""Not Found"")"),"ʤ r ɑ ")</f>
        <v>ʤ r ɑ </v>
      </c>
    </row>
    <row r="9309">
      <c r="A9309" s="1" t="s">
        <v>9310</v>
      </c>
      <c r="B9309" s="1" t="s">
        <v>6138</v>
      </c>
      <c r="C9309" s="2">
        <f>IFERROR(__xludf.DUMMYFUNCTION("IFERROR(VLOOKUP(A9309, IMPORTRANGE(""https://docs.google.com/spreadsheets/d/1AVX9GT0dgogEBStecCXMMQ29tWz3gBrtNB8yIromXbY/edit?gid=741673867"", ""out1g!A:B""), 2, FALSE), 0)"),222.0)</f>
        <v>222</v>
      </c>
      <c r="D9309" s="2" t="str">
        <f>IFERROR(__xludf.DUMMYFUNCTION("IFERROR(VLOOKUP(A9309, IMPORTRANGE(""https://docs.google.com/spreadsheets/d/1-3Vjw2Cyy-mry5gbC8ypIR3YVGFfEpyFESummAta6sg/edit"", ""Sheet1!B:D""), 2, FALSE), ""Not Found"")"),"pɔrtəl")</f>
        <v>pɔrtəl</v>
      </c>
      <c r="E9309" s="2" t="str">
        <f>IFERROR(__xludf.DUMMYFUNCTION("IFERROR(VLOOKUP(A9309, IMPORTRANGE(""https://docs.google.com/spreadsheets/d/1-3Vjw2Cyy-mry5gbC8ypIR3YVGFfEpyFESummAta6sg/edit"", ""Sheet1!B:D""), 3, FALSE), ""Not Found"")"),"p ɔ r t ə l ")</f>
        <v>p ɔ r t ə l </v>
      </c>
    </row>
    <row r="9310">
      <c r="A9310" s="1" t="s">
        <v>9311</v>
      </c>
      <c r="B9310" s="1" t="s">
        <v>6138</v>
      </c>
      <c r="C9310" s="2">
        <f>IFERROR(__xludf.DUMMYFUNCTION("IFERROR(VLOOKUP(A9310, IMPORTRANGE(""https://docs.google.com/spreadsheets/d/1AVX9GT0dgogEBStecCXMMQ29tWz3gBrtNB8yIromXbY/edit?gid=741673867"", ""out1g!A:B""), 2, FALSE), 0)"),92.0)</f>
        <v>92</v>
      </c>
      <c r="D9310" s="2" t="str">
        <f>IFERROR(__xludf.DUMMYFUNCTION("IFERROR(VLOOKUP(A9310, IMPORTRANGE(""https://docs.google.com/spreadsheets/d/1-3Vjw2Cyy-mry5gbC8ypIR3YVGFfEpyFESummAta6sg/edit"", ""Sheet1!B:D""), 2, FALSE), ""Not Found"")"),"fləŋk")</f>
        <v>fləŋk</v>
      </c>
      <c r="E9310" s="2" t="str">
        <f>IFERROR(__xludf.DUMMYFUNCTION("IFERROR(VLOOKUP(A9310, IMPORTRANGE(""https://docs.google.com/spreadsheets/d/1-3Vjw2Cyy-mry5gbC8ypIR3YVGFfEpyFESummAta6sg/edit"", ""Sheet1!B:D""), 3, FALSE), ""Not Found"")"),"f l ə ŋ k ")</f>
        <v>f l ə ŋ k </v>
      </c>
    </row>
    <row r="9311">
      <c r="A9311" s="1" t="s">
        <v>9312</v>
      </c>
      <c r="B9311" s="1" t="s">
        <v>6138</v>
      </c>
      <c r="C9311" s="2">
        <f>IFERROR(__xludf.DUMMYFUNCTION("IFERROR(VLOOKUP(A9311, IMPORTRANGE(""https://docs.google.com/spreadsheets/d/1AVX9GT0dgogEBStecCXMMQ29tWz3gBrtNB8yIromXbY/edit?gid=741673867"", ""out1g!A:B""), 2, FALSE), 0)"),459.0)</f>
        <v>459</v>
      </c>
      <c r="D9311" s="2" t="str">
        <f>IFERROR(__xludf.DUMMYFUNCTION("IFERROR(VLOOKUP(A9311, IMPORTRANGE(""https://docs.google.com/spreadsheets/d/1-3Vjw2Cyy-mry5gbC8ypIR3YVGFfEpyFESummAta6sg/edit"", ""Sheet1!B:D""), 2, FALSE), ""Not Found"")"),"bɑrkɪŋ")</f>
        <v>bɑrkɪŋ</v>
      </c>
      <c r="E9311" s="2" t="str">
        <f>IFERROR(__xludf.DUMMYFUNCTION("IFERROR(VLOOKUP(A9311, IMPORTRANGE(""https://docs.google.com/spreadsheets/d/1-3Vjw2Cyy-mry5gbC8ypIR3YVGFfEpyFESummAta6sg/edit"", ""Sheet1!B:D""), 3, FALSE), ""Not Found"")"),"b ɑ r k ɪ ŋ ")</f>
        <v>b ɑ r k ɪ ŋ </v>
      </c>
    </row>
    <row r="9312">
      <c r="A9312" s="1" t="s">
        <v>9313</v>
      </c>
      <c r="B9312" s="1" t="s">
        <v>6138</v>
      </c>
      <c r="C9312" s="2">
        <f>IFERROR(__xludf.DUMMYFUNCTION("IFERROR(VLOOKUP(A9312, IMPORTRANGE(""https://docs.google.com/spreadsheets/d/1AVX9GT0dgogEBStecCXMMQ29tWz3gBrtNB8yIromXbY/edit?gid=741673867"", ""out1g!A:B""), 2, FALSE), 0)"),60.0)</f>
        <v>60</v>
      </c>
      <c r="D9312" s="2" t="str">
        <f>IFERROR(__xludf.DUMMYFUNCTION("IFERROR(VLOOKUP(A9312, IMPORTRANGE(""https://docs.google.com/spreadsheets/d/1-3Vjw2Cyy-mry5gbC8ypIR3YVGFfEpyFESummAta6sg/edit"", ""Sheet1!B:D""), 2, FALSE), ""Not Found"")"),"θɪŋkər")</f>
        <v>θɪŋkər</v>
      </c>
      <c r="E9312" s="2" t="str">
        <f>IFERROR(__xludf.DUMMYFUNCTION("IFERROR(VLOOKUP(A9312, IMPORTRANGE(""https://docs.google.com/spreadsheets/d/1-3Vjw2Cyy-mry5gbC8ypIR3YVGFfEpyFESummAta6sg/edit"", ""Sheet1!B:D""), 3, FALSE), ""Not Found"")"),"θ ɪ ŋ k ə r ")</f>
        <v>θ ɪ ŋ k ə r </v>
      </c>
    </row>
    <row r="9313">
      <c r="A9313" s="1" t="s">
        <v>9314</v>
      </c>
      <c r="B9313" s="1" t="s">
        <v>6138</v>
      </c>
      <c r="C9313" s="2">
        <f>IFERROR(__xludf.DUMMYFUNCTION("IFERROR(VLOOKUP(A9313, IMPORTRANGE(""https://docs.google.com/spreadsheets/d/1AVX9GT0dgogEBStecCXMMQ29tWz3gBrtNB8yIromXbY/edit?gid=741673867"", ""out1g!A:B""), 2, FALSE), 0)"),256.0)</f>
        <v>256</v>
      </c>
      <c r="D9313" s="2" t="str">
        <f>IFERROR(__xludf.DUMMYFUNCTION("IFERROR(VLOOKUP(A9313, IMPORTRANGE(""https://docs.google.com/spreadsheets/d/1-3Vjw2Cyy-mry5gbC8ypIR3YVGFfEpyFESummAta6sg/edit"", ""Sheet1!B:D""), 2, FALSE), ""Not Found"")"),"spɑrks")</f>
        <v>spɑrks</v>
      </c>
      <c r="E9313" s="2" t="str">
        <f>IFERROR(__xludf.DUMMYFUNCTION("IFERROR(VLOOKUP(A9313, IMPORTRANGE(""https://docs.google.com/spreadsheets/d/1-3Vjw2Cyy-mry5gbC8ypIR3YVGFfEpyFESummAta6sg/edit"", ""Sheet1!B:D""), 3, FALSE), ""Not Found"")"),"s p ɑ r k s ")</f>
        <v>s p ɑ r k s </v>
      </c>
    </row>
    <row r="9314">
      <c r="A9314" s="1" t="s">
        <v>9315</v>
      </c>
      <c r="B9314" s="1" t="s">
        <v>6138</v>
      </c>
      <c r="C9314" s="2">
        <f>IFERROR(__xludf.DUMMYFUNCTION("IFERROR(VLOOKUP(A9314, IMPORTRANGE(""https://docs.google.com/spreadsheets/d/1AVX9GT0dgogEBStecCXMMQ29tWz3gBrtNB8yIromXbY/edit?gid=741673867"", ""out1g!A:B""), 2, FALSE), 0)"),240.0)</f>
        <v>240</v>
      </c>
      <c r="D9314" s="2" t="str">
        <f>IFERROR(__xludf.DUMMYFUNCTION("IFERROR(VLOOKUP(A9314, IMPORTRANGE(""https://docs.google.com/spreadsheets/d/1-3Vjw2Cyy-mry5gbC8ypIR3YVGFfEpyFESummAta6sg/edit"", ""Sheet1!B:D""), 2, FALSE), ""Not Found"")"),"sædli")</f>
        <v>sædli</v>
      </c>
      <c r="E9314" s="2" t="str">
        <f>IFERROR(__xludf.DUMMYFUNCTION("IFERROR(VLOOKUP(A9314, IMPORTRANGE(""https://docs.google.com/spreadsheets/d/1-3Vjw2Cyy-mry5gbC8ypIR3YVGFfEpyFESummAta6sg/edit"", ""Sheet1!B:D""), 3, FALSE), ""Not Found"")"),"s æ d l i ")</f>
        <v>s æ d l i </v>
      </c>
    </row>
    <row r="9315">
      <c r="A9315" s="1" t="s">
        <v>9316</v>
      </c>
      <c r="B9315" s="1" t="s">
        <v>6138</v>
      </c>
      <c r="C9315" s="2">
        <f>IFERROR(__xludf.DUMMYFUNCTION("IFERROR(VLOOKUP(A9315, IMPORTRANGE(""https://docs.google.com/spreadsheets/d/1AVX9GT0dgogEBStecCXMMQ29tWz3gBrtNB8yIromXbY/edit?gid=741673867"", ""out1g!A:B""), 2, FALSE), 0)"),411.0)</f>
        <v>411</v>
      </c>
      <c r="D9315" s="2" t="str">
        <f>IFERROR(__xludf.DUMMYFUNCTION("IFERROR(VLOOKUP(A9315, IMPORTRANGE(""https://docs.google.com/spreadsheets/d/1-3Vjw2Cyy-mry5gbC8ypIR3YVGFfEpyFESummAta6sg/edit"", ""Sheet1!B:D""), 2, FALSE), ""Not Found"")"),"sɔndərz")</f>
        <v>sɔndərz</v>
      </c>
      <c r="E9315" s="2" t="str">
        <f>IFERROR(__xludf.DUMMYFUNCTION("IFERROR(VLOOKUP(A9315, IMPORTRANGE(""https://docs.google.com/spreadsheets/d/1-3Vjw2Cyy-mry5gbC8ypIR3YVGFfEpyFESummAta6sg/edit"", ""Sheet1!B:D""), 3, FALSE), ""Not Found"")"),"s ɔ n d ə r z ")</f>
        <v>s ɔ n d ə r z </v>
      </c>
    </row>
    <row r="9316">
      <c r="A9316" s="1" t="s">
        <v>9317</v>
      </c>
      <c r="B9316" s="1" t="s">
        <v>6138</v>
      </c>
      <c r="C9316" s="2">
        <f>IFERROR(__xludf.DUMMYFUNCTION("IFERROR(VLOOKUP(A9316, IMPORTRANGE(""https://docs.google.com/spreadsheets/d/1AVX9GT0dgogEBStecCXMMQ29tWz3gBrtNB8yIromXbY/edit?gid=741673867"", ""out1g!A:B""), 2, FALSE), 0)"),58.0)</f>
        <v>58</v>
      </c>
      <c r="D9316" s="2" t="str">
        <f>IFERROR(__xludf.DUMMYFUNCTION("IFERROR(VLOOKUP(A9316, IMPORTRANGE(""https://docs.google.com/spreadsheets/d/1-3Vjw2Cyy-mry5gbC8ypIR3YVGFfEpyFESummAta6sg/edit"", ""Sheet1!B:D""), 2, FALSE), ""Not Found"")"),"rigəl")</f>
        <v>rigəl</v>
      </c>
      <c r="E9316" s="2" t="str">
        <f>IFERROR(__xludf.DUMMYFUNCTION("IFERROR(VLOOKUP(A9316, IMPORTRANGE(""https://docs.google.com/spreadsheets/d/1-3Vjw2Cyy-mry5gbC8ypIR3YVGFfEpyFESummAta6sg/edit"", ""Sheet1!B:D""), 3, FALSE), ""Not Found"")"),"r i g ə l ")</f>
        <v>r i g ə l </v>
      </c>
    </row>
    <row r="9317">
      <c r="A9317" s="1" t="s">
        <v>9318</v>
      </c>
      <c r="B9317" s="1" t="s">
        <v>6138</v>
      </c>
      <c r="C9317" s="2">
        <f>IFERROR(__xludf.DUMMYFUNCTION("IFERROR(VLOOKUP(A9317, IMPORTRANGE(""https://docs.google.com/spreadsheets/d/1AVX9GT0dgogEBStecCXMMQ29tWz3gBrtNB8yIromXbY/edit?gid=741673867"", ""out1g!A:B""), 2, FALSE), 0)"),1219.0)</f>
        <v>1219</v>
      </c>
      <c r="D9317" s="2" t="str">
        <f>IFERROR(__xludf.DUMMYFUNCTION("IFERROR(VLOOKUP(A9317, IMPORTRANGE(""https://docs.google.com/spreadsheets/d/1-3Vjw2Cyy-mry5gbC8ypIR3YVGFfEpyFESummAta6sg/edit"", ""Sheet1!B:D""), 2, FALSE), ""Not Found"")"),"tel")</f>
        <v>tel</v>
      </c>
      <c r="E9317" s="2" t="str">
        <f>IFERROR(__xludf.DUMMYFUNCTION("IFERROR(VLOOKUP(A9317, IMPORTRANGE(""https://docs.google.com/spreadsheets/d/1-3Vjw2Cyy-mry5gbC8ypIR3YVGFfEpyFESummAta6sg/edit"", ""Sheet1!B:D""), 3, FALSE), ""Not Found"")"),"t e l ")</f>
        <v>t e l </v>
      </c>
    </row>
    <row r="9318">
      <c r="A9318" s="1" t="s">
        <v>9319</v>
      </c>
      <c r="B9318" s="1" t="s">
        <v>6138</v>
      </c>
      <c r="C9318" s="2">
        <f>IFERROR(__xludf.DUMMYFUNCTION("IFERROR(VLOOKUP(A9318, IMPORTRANGE(""https://docs.google.com/spreadsheets/d/1AVX9GT0dgogEBStecCXMMQ29tWz3gBrtNB8yIromXbY/edit?gid=741673867"", ""out1g!A:B""), 2, FALSE), 0)"),140.0)</f>
        <v>140</v>
      </c>
      <c r="D9318" s="2" t="str">
        <f>IFERROR(__xludf.DUMMYFUNCTION("IFERROR(VLOOKUP(A9318, IMPORTRANGE(""https://docs.google.com/spreadsheets/d/1-3Vjw2Cyy-mry5gbC8ypIR3YVGFfEpyFESummAta6sg/edit"", ""Sheet1!B:D""), 2, FALSE), ""Not Found"")"),"dɑrkər")</f>
        <v>dɑrkər</v>
      </c>
      <c r="E9318" s="2" t="str">
        <f>IFERROR(__xludf.DUMMYFUNCTION("IFERROR(VLOOKUP(A9318, IMPORTRANGE(""https://docs.google.com/spreadsheets/d/1-3Vjw2Cyy-mry5gbC8ypIR3YVGFfEpyFESummAta6sg/edit"", ""Sheet1!B:D""), 3, FALSE), ""Not Found"")"),"d ɑ r k ə r ")</f>
        <v>d ɑ r k ə r </v>
      </c>
    </row>
    <row r="9319">
      <c r="A9319" s="1" t="s">
        <v>9320</v>
      </c>
      <c r="B9319" s="1" t="s">
        <v>6138</v>
      </c>
      <c r="C9319" s="2">
        <f>IFERROR(__xludf.DUMMYFUNCTION("IFERROR(VLOOKUP(A9319, IMPORTRANGE(""https://docs.google.com/spreadsheets/d/1AVX9GT0dgogEBStecCXMMQ29tWz3gBrtNB8yIromXbY/edit?gid=741673867"", ""out1g!A:B""), 2, FALSE), 0)"),183.0)</f>
        <v>183</v>
      </c>
      <c r="D9319" s="2" t="str">
        <f>IFERROR(__xludf.DUMMYFUNCTION("IFERROR(VLOOKUP(A9319, IMPORTRANGE(""https://docs.google.com/spreadsheets/d/1-3Vjw2Cyy-mry5gbC8ypIR3YVGFfEpyFESummAta6sg/edit"", ""Sheet1!B:D""), 2, FALSE), ""Not Found"")"),"baʊəl")</f>
        <v>baʊəl</v>
      </c>
      <c r="E9319" s="2" t="str">
        <f>IFERROR(__xludf.DUMMYFUNCTION("IFERROR(VLOOKUP(A9319, IMPORTRANGE(""https://docs.google.com/spreadsheets/d/1-3Vjw2Cyy-mry5gbC8ypIR3YVGFfEpyFESummAta6sg/edit"", ""Sheet1!B:D""), 3, FALSE), ""Not Found"")"),"b a ʊ ə l ")</f>
        <v>b a ʊ ə l </v>
      </c>
    </row>
    <row r="9320">
      <c r="A9320" s="1" t="s">
        <v>9321</v>
      </c>
      <c r="B9320" s="1" t="s">
        <v>6138</v>
      </c>
      <c r="C9320" s="2">
        <f>IFERROR(__xludf.DUMMYFUNCTION("IFERROR(VLOOKUP(A9320, IMPORTRANGE(""https://docs.google.com/spreadsheets/d/1AVX9GT0dgogEBStecCXMMQ29tWz3gBrtNB8yIromXbY/edit?gid=741673867"", ""out1g!A:B""), 2, FALSE), 0)"),346.0)</f>
        <v>346</v>
      </c>
      <c r="D9320" s="2" t="str">
        <f>IFERROR(__xludf.DUMMYFUNCTION("IFERROR(VLOOKUP(A9320, IMPORTRANGE(""https://docs.google.com/spreadsheets/d/1-3Vjw2Cyy-mry5gbC8ypIR3YVGFfEpyFESummAta6sg/edit"", ""Sheet1!B:D""), 2, FALSE), ""Not Found"")"),"blɑkt")</f>
        <v>blɑkt</v>
      </c>
      <c r="E9320" s="2" t="str">
        <f>IFERROR(__xludf.DUMMYFUNCTION("IFERROR(VLOOKUP(A9320, IMPORTRANGE(""https://docs.google.com/spreadsheets/d/1-3Vjw2Cyy-mry5gbC8ypIR3YVGFfEpyFESummAta6sg/edit"", ""Sheet1!B:D""), 3, FALSE), ""Not Found"")"),"b l ɑ k t ")</f>
        <v>b l ɑ k t </v>
      </c>
    </row>
    <row r="9321">
      <c r="A9321" s="1" t="s">
        <v>9322</v>
      </c>
      <c r="B9321" s="1" t="s">
        <v>6138</v>
      </c>
      <c r="C9321" s="2">
        <f>IFERROR(__xludf.DUMMYFUNCTION("IFERROR(VLOOKUP(A9321, IMPORTRANGE(""https://docs.google.com/spreadsheets/d/1AVX9GT0dgogEBStecCXMMQ29tWz3gBrtNB8yIromXbY/edit?gid=741673867"", ""out1g!A:B""), 2, FALSE), 0)"),10.0)</f>
        <v>10</v>
      </c>
      <c r="D9321" s="2" t="str">
        <f>IFERROR(__xludf.DUMMYFUNCTION("IFERROR(VLOOKUP(A9321, IMPORTRANGE(""https://docs.google.com/spreadsheets/d/1-3Vjw2Cyy-mry5gbC8ypIR3YVGFfEpyFESummAta6sg/edit"", ""Sheet1!B:D""), 2, FALSE), ""Not Found"")"),"hɛʃən")</f>
        <v>hɛʃən</v>
      </c>
      <c r="E9321" s="2" t="str">
        <f>IFERROR(__xludf.DUMMYFUNCTION("IFERROR(VLOOKUP(A9321, IMPORTRANGE(""https://docs.google.com/spreadsheets/d/1-3Vjw2Cyy-mry5gbC8ypIR3YVGFfEpyFESummAta6sg/edit"", ""Sheet1!B:D""), 3, FALSE), ""Not Found"")"),"h ɛ ʃ ə n ")</f>
        <v>h ɛ ʃ ə n </v>
      </c>
    </row>
    <row r="9322">
      <c r="A9322" s="1" t="s">
        <v>9323</v>
      </c>
      <c r="B9322" s="1" t="s">
        <v>6138</v>
      </c>
      <c r="C9322" s="2">
        <f>IFERROR(__xludf.DUMMYFUNCTION("IFERROR(VLOOKUP(A9322, IMPORTRANGE(""https://docs.google.com/spreadsheets/d/1AVX9GT0dgogEBStecCXMMQ29tWz3gBrtNB8yIromXbY/edit?gid=741673867"", ""out1g!A:B""), 2, FALSE), 0)"),113.0)</f>
        <v>113</v>
      </c>
      <c r="D9322" s="2" t="str">
        <f>IFERROR(__xludf.DUMMYFUNCTION("IFERROR(VLOOKUP(A9322, IMPORTRANGE(""https://docs.google.com/spreadsheets/d/1-3Vjw2Cyy-mry5gbC8ypIR3YVGFfEpyFESummAta6sg/edit"", ""Sheet1!B:D""), 2, FALSE), ""Not Found"")"),"ɪligəli")</f>
        <v>ɪligəli</v>
      </c>
      <c r="E9322" s="2" t="str">
        <f>IFERROR(__xludf.DUMMYFUNCTION("IFERROR(VLOOKUP(A9322, IMPORTRANGE(""https://docs.google.com/spreadsheets/d/1-3Vjw2Cyy-mry5gbC8ypIR3YVGFfEpyFESummAta6sg/edit"", ""Sheet1!B:D""), 3, FALSE), ""Not Found"")"),"ɪ l i g ə l i ")</f>
        <v>ɪ l i g ə l i </v>
      </c>
    </row>
    <row r="9323">
      <c r="A9323" s="1" t="s">
        <v>9324</v>
      </c>
      <c r="B9323" s="1" t="s">
        <v>6138</v>
      </c>
      <c r="C9323" s="2">
        <f>IFERROR(__xludf.DUMMYFUNCTION("IFERROR(VLOOKUP(A9323, IMPORTRANGE(""https://docs.google.com/spreadsheets/d/1AVX9GT0dgogEBStecCXMMQ29tWz3gBrtNB8yIromXbY/edit?gid=741673867"", ""out1g!A:B""), 2, FALSE), 0)"),67.0)</f>
        <v>67</v>
      </c>
      <c r="D9323" s="2" t="str">
        <f>IFERROR(__xludf.DUMMYFUNCTION("IFERROR(VLOOKUP(A9323, IMPORTRANGE(""https://docs.google.com/spreadsheets/d/1-3Vjw2Cyy-mry5gbC8ypIR3YVGFfEpyFESummAta6sg/edit"", ""Sheet1!B:D""), 2, FALSE), ""Not Found"")"),"trəstiz")</f>
        <v>trəstiz</v>
      </c>
      <c r="E9323" s="2" t="str">
        <f>IFERROR(__xludf.DUMMYFUNCTION("IFERROR(VLOOKUP(A9323, IMPORTRANGE(""https://docs.google.com/spreadsheets/d/1-3Vjw2Cyy-mry5gbC8ypIR3YVGFfEpyFESummAta6sg/edit"", ""Sheet1!B:D""), 3, FALSE), ""Not Found"")"),"t r ə s t i z ")</f>
        <v>t r ə s t i z </v>
      </c>
    </row>
    <row r="9324">
      <c r="A9324" s="1" t="s">
        <v>9325</v>
      </c>
      <c r="B9324" s="1" t="s">
        <v>6138</v>
      </c>
      <c r="C9324" s="2">
        <f>IFERROR(__xludf.DUMMYFUNCTION("IFERROR(VLOOKUP(A9324, IMPORTRANGE(""https://docs.google.com/spreadsheets/d/1AVX9GT0dgogEBStecCXMMQ29tWz3gBrtNB8yIromXbY/edit?gid=741673867"", ""out1g!A:B""), 2, FALSE), 0)"),404.0)</f>
        <v>404</v>
      </c>
      <c r="D9324" s="2" t="str">
        <f>IFERROR(__xludf.DUMMYFUNCTION("IFERROR(VLOOKUP(A9324, IMPORTRANGE(""https://docs.google.com/spreadsheets/d/1-3Vjw2Cyy-mry5gbC8ypIR3YVGFfEpyFESummAta6sg/edit"", ""Sheet1!B:D""), 2, FALSE), ""Not Found"")"),"snikɪŋ")</f>
        <v>snikɪŋ</v>
      </c>
      <c r="E9324" s="2" t="str">
        <f>IFERROR(__xludf.DUMMYFUNCTION("IFERROR(VLOOKUP(A9324, IMPORTRANGE(""https://docs.google.com/spreadsheets/d/1-3Vjw2Cyy-mry5gbC8ypIR3YVGFfEpyFESummAta6sg/edit"", ""Sheet1!B:D""), 3, FALSE), ""Not Found"")"),"s n i k ɪ ŋ ")</f>
        <v>s n i k ɪ ŋ </v>
      </c>
    </row>
    <row r="9325">
      <c r="A9325" s="1" t="s">
        <v>9326</v>
      </c>
      <c r="B9325" s="1" t="s">
        <v>6138</v>
      </c>
      <c r="C9325" s="2">
        <f>IFERROR(__xludf.DUMMYFUNCTION("IFERROR(VLOOKUP(A9325, IMPORTRANGE(""https://docs.google.com/spreadsheets/d/1AVX9GT0dgogEBStecCXMMQ29tWz3gBrtNB8yIromXbY/edit?gid=741673867"", ""out1g!A:B""), 2, FALSE), 0)"),214.0)</f>
        <v>214</v>
      </c>
      <c r="D9325" s="2" t="str">
        <f>IFERROR(__xludf.DUMMYFUNCTION("IFERROR(VLOOKUP(A9325, IMPORTRANGE(""https://docs.google.com/spreadsheets/d/1-3Vjw2Cyy-mry5gbC8ypIR3YVGFfEpyFESummAta6sg/edit"", ""Sheet1!B:D""), 2, FALSE), ""Not Found"")"),"ʃætərd")</f>
        <v>ʃætərd</v>
      </c>
      <c r="E9325" s="2" t="str">
        <f>IFERROR(__xludf.DUMMYFUNCTION("IFERROR(VLOOKUP(A9325, IMPORTRANGE(""https://docs.google.com/spreadsheets/d/1-3Vjw2Cyy-mry5gbC8ypIR3YVGFfEpyFESummAta6sg/edit"", ""Sheet1!B:D""), 3, FALSE), ""Not Found"")"),"ʃ æ t ə r d ")</f>
        <v>ʃ æ t ə r d </v>
      </c>
    </row>
    <row r="9326">
      <c r="A9326" s="1" t="s">
        <v>9327</v>
      </c>
      <c r="B9326" s="1" t="s">
        <v>6138</v>
      </c>
      <c r="C9326" s="2">
        <f>IFERROR(__xludf.DUMMYFUNCTION("IFERROR(VLOOKUP(A9326, IMPORTRANGE(""https://docs.google.com/spreadsheets/d/1AVX9GT0dgogEBStecCXMMQ29tWz3gBrtNB8yIromXbY/edit?gid=741673867"", ""out1g!A:B""), 2, FALSE), 0)"),52.0)</f>
        <v>52</v>
      </c>
      <c r="D9326" s="2" t="str">
        <f>IFERROR(__xludf.DUMMYFUNCTION("IFERROR(VLOOKUP(A9326, IMPORTRANGE(""https://docs.google.com/spreadsheets/d/1-3Vjw2Cyy-mry5gbC8ypIR3YVGFfEpyFESummAta6sg/edit"", ""Sheet1!B:D""), 2, FALSE), ""Not Found"")"),"wɪmps")</f>
        <v>wɪmps</v>
      </c>
      <c r="E9326" s="2" t="str">
        <f>IFERROR(__xludf.DUMMYFUNCTION("IFERROR(VLOOKUP(A9326, IMPORTRANGE(""https://docs.google.com/spreadsheets/d/1-3Vjw2Cyy-mry5gbC8ypIR3YVGFfEpyFESummAta6sg/edit"", ""Sheet1!B:D""), 3, FALSE), ""Not Found"")"),"w ɪ m p s ")</f>
        <v>w ɪ m p s </v>
      </c>
    </row>
    <row r="9327">
      <c r="A9327" s="1" t="s">
        <v>9328</v>
      </c>
      <c r="B9327" s="1" t="s">
        <v>6138</v>
      </c>
      <c r="C9327" s="2">
        <f>IFERROR(__xludf.DUMMYFUNCTION("IFERROR(VLOOKUP(A9327, IMPORTRANGE(""https://docs.google.com/spreadsheets/d/1AVX9GT0dgogEBStecCXMMQ29tWz3gBrtNB8yIromXbY/edit?gid=741673867"", ""out1g!A:B""), 2, FALSE), 0)"),223.0)</f>
        <v>223</v>
      </c>
      <c r="D9327" s="2" t="str">
        <f>IFERROR(__xludf.DUMMYFUNCTION("IFERROR(VLOOKUP(A9327, IMPORTRANGE(""https://docs.google.com/spreadsheets/d/1-3Vjw2Cyy-mry5gbC8ypIR3YVGFfEpyFESummAta6sg/edit"", ""Sheet1!B:D""), 2, FALSE), ""Not Found"")"),"skræp")</f>
        <v>skræp</v>
      </c>
      <c r="E9327" s="2" t="str">
        <f>IFERROR(__xludf.DUMMYFUNCTION("IFERROR(VLOOKUP(A9327, IMPORTRANGE(""https://docs.google.com/spreadsheets/d/1-3Vjw2Cyy-mry5gbC8ypIR3YVGFfEpyFESummAta6sg/edit"", ""Sheet1!B:D""), 3, FALSE), ""Not Found"")"),"s k r æ p ")</f>
        <v>s k r æ p </v>
      </c>
    </row>
    <row r="9328">
      <c r="A9328" s="1" t="s">
        <v>9329</v>
      </c>
      <c r="B9328" s="1" t="s">
        <v>6138</v>
      </c>
      <c r="C9328" s="2">
        <f>IFERROR(__xludf.DUMMYFUNCTION("IFERROR(VLOOKUP(A9328, IMPORTRANGE(""https://docs.google.com/spreadsheets/d/1AVX9GT0dgogEBStecCXMMQ29tWz3gBrtNB8yIromXbY/edit?gid=741673867"", ""out1g!A:B""), 2, FALSE), 0)"),256.0)</f>
        <v>256</v>
      </c>
      <c r="D9328" s="2" t="str">
        <f>IFERROR(__xludf.DUMMYFUNCTION("IFERROR(VLOOKUP(A9328, IMPORTRANGE(""https://docs.google.com/spreadsheets/d/1-3Vjw2Cyy-mry5gbC8ypIR3YVGFfEpyFESummAta6sg/edit"", ""Sheet1!B:D""), 2, FALSE), ""Not Found"")"),"kæməl")</f>
        <v>kæməl</v>
      </c>
      <c r="E9328" s="2" t="str">
        <f>IFERROR(__xludf.DUMMYFUNCTION("IFERROR(VLOOKUP(A9328, IMPORTRANGE(""https://docs.google.com/spreadsheets/d/1-3Vjw2Cyy-mry5gbC8ypIR3YVGFfEpyFESummAta6sg/edit"", ""Sheet1!B:D""), 3, FALSE), ""Not Found"")"),"k æ m ə l ")</f>
        <v>k æ m ə l </v>
      </c>
    </row>
    <row r="9329">
      <c r="A9329" s="1" t="s">
        <v>9330</v>
      </c>
      <c r="B9329" s="1" t="s">
        <v>6138</v>
      </c>
      <c r="C9329" s="2">
        <f>IFERROR(__xludf.DUMMYFUNCTION("IFERROR(VLOOKUP(A9329, IMPORTRANGE(""https://docs.google.com/spreadsheets/d/1AVX9GT0dgogEBStecCXMMQ29tWz3gBrtNB8yIromXbY/edit?gid=741673867"", ""out1g!A:B""), 2, FALSE), 0)"),117.0)</f>
        <v>117</v>
      </c>
      <c r="D9329" s="2" t="str">
        <f>IFERROR(__xludf.DUMMYFUNCTION("IFERROR(VLOOKUP(A9329, IMPORTRANGE(""https://docs.google.com/spreadsheets/d/1-3Vjw2Cyy-mry5gbC8ypIR3YVGFfEpyFESummAta6sg/edit"", ""Sheet1!B:D""), 2, FALSE), ""Not Found"")"),"mərsər")</f>
        <v>mərsər</v>
      </c>
      <c r="E9329" s="2" t="str">
        <f>IFERROR(__xludf.DUMMYFUNCTION("IFERROR(VLOOKUP(A9329, IMPORTRANGE(""https://docs.google.com/spreadsheets/d/1-3Vjw2Cyy-mry5gbC8ypIR3YVGFfEpyFESummAta6sg/edit"", ""Sheet1!B:D""), 3, FALSE), ""Not Found"")"),"m ə r s ə r ")</f>
        <v>m ə r s ə r </v>
      </c>
    </row>
    <row r="9330">
      <c r="A9330" s="1" t="s">
        <v>9331</v>
      </c>
      <c r="B9330" s="1" t="s">
        <v>6138</v>
      </c>
      <c r="C9330" s="2">
        <f>IFERROR(__xludf.DUMMYFUNCTION("IFERROR(VLOOKUP(A9330, IMPORTRANGE(""https://docs.google.com/spreadsheets/d/1AVX9GT0dgogEBStecCXMMQ29tWz3gBrtNB8yIromXbY/edit?gid=741673867"", ""out1g!A:B""), 2, FALSE), 0)"),163.0)</f>
        <v>163</v>
      </c>
      <c r="D9330" s="2" t="str">
        <f>IFERROR(__xludf.DUMMYFUNCTION("IFERROR(VLOOKUP(A9330, IMPORTRANGE(""https://docs.google.com/spreadsheets/d/1-3Vjw2Cyy-mry5gbC8ypIR3YVGFfEpyFESummAta6sg/edit"", ""Sheet1!B:D""), 2, FALSE), ""Not Found"")"),"tu")</f>
        <v>tu</v>
      </c>
      <c r="E9330" s="2" t="str">
        <f>IFERROR(__xludf.DUMMYFUNCTION("IFERROR(VLOOKUP(A9330, IMPORTRANGE(""https://docs.google.com/spreadsheets/d/1-3Vjw2Cyy-mry5gbC8ypIR3YVGFfEpyFESummAta6sg/edit"", ""Sheet1!B:D""), 3, FALSE), ""Not Found"")"),"t u ")</f>
        <v>t u </v>
      </c>
    </row>
    <row r="9331">
      <c r="A9331" s="1" t="s">
        <v>9332</v>
      </c>
      <c r="B9331" s="1" t="s">
        <v>6138</v>
      </c>
      <c r="C9331" s="2">
        <f>IFERROR(__xludf.DUMMYFUNCTION("IFERROR(VLOOKUP(A9331, IMPORTRANGE(""https://docs.google.com/spreadsheets/d/1AVX9GT0dgogEBStecCXMMQ29tWz3gBrtNB8yIromXbY/edit?gid=741673867"", ""out1g!A:B""), 2, FALSE), 0)"),60.0)</f>
        <v>60</v>
      </c>
      <c r="D9331" s="2" t="str">
        <f>IFERROR(__xludf.DUMMYFUNCTION("IFERROR(VLOOKUP(A9331, IMPORTRANGE(""https://docs.google.com/spreadsheets/d/1-3Vjw2Cyy-mry5gbC8ypIR3YVGFfEpyFESummAta6sg/edit"", ""Sheet1!B:D""), 2, FALSE), ""Not Found"")"),"stɑrtəl")</f>
        <v>stɑrtəl</v>
      </c>
      <c r="E9331" s="2" t="str">
        <f>IFERROR(__xludf.DUMMYFUNCTION("IFERROR(VLOOKUP(A9331, IMPORTRANGE(""https://docs.google.com/spreadsheets/d/1-3Vjw2Cyy-mry5gbC8ypIR3YVGFfEpyFESummAta6sg/edit"", ""Sheet1!B:D""), 3, FALSE), ""Not Found"")"),"s t ɑ r t ə l ")</f>
        <v>s t ɑ r t ə l </v>
      </c>
    </row>
    <row r="9332">
      <c r="A9332" s="1" t="s">
        <v>9333</v>
      </c>
      <c r="B9332" s="1" t="s">
        <v>6138</v>
      </c>
      <c r="C9332" s="2">
        <f>IFERROR(__xludf.DUMMYFUNCTION("IFERROR(VLOOKUP(A9332, IMPORTRANGE(""https://docs.google.com/spreadsheets/d/1AVX9GT0dgogEBStecCXMMQ29tWz3gBrtNB8yIromXbY/edit?gid=741673867"", ""out1g!A:B""), 2, FALSE), 0)"),164.0)</f>
        <v>164</v>
      </c>
      <c r="D9332" s="2" t="str">
        <f>IFERROR(__xludf.DUMMYFUNCTION("IFERROR(VLOOKUP(A9332, IMPORTRANGE(""https://docs.google.com/spreadsheets/d/1-3Vjw2Cyy-mry5gbC8ypIR3YVGFfEpyFESummAta6sg/edit"", ""Sheet1!B:D""), 2, FALSE), ""Not Found"")"),"tæpɪŋ")</f>
        <v>tæpɪŋ</v>
      </c>
      <c r="E9332" s="2" t="str">
        <f>IFERROR(__xludf.DUMMYFUNCTION("IFERROR(VLOOKUP(A9332, IMPORTRANGE(""https://docs.google.com/spreadsheets/d/1-3Vjw2Cyy-mry5gbC8ypIR3YVGFfEpyFESummAta6sg/edit"", ""Sheet1!B:D""), 3, FALSE), ""Not Found"")"),"t æ p ɪ ŋ ")</f>
        <v>t æ p ɪ ŋ </v>
      </c>
    </row>
    <row r="9333">
      <c r="A9333" s="1" t="s">
        <v>9334</v>
      </c>
      <c r="B9333" s="1" t="s">
        <v>6138</v>
      </c>
      <c r="C9333" s="2">
        <f>IFERROR(__xludf.DUMMYFUNCTION("IFERROR(VLOOKUP(A9333, IMPORTRANGE(""https://docs.google.com/spreadsheets/d/1AVX9GT0dgogEBStecCXMMQ29tWz3gBrtNB8yIromXbY/edit?gid=741673867"", ""out1g!A:B""), 2, FALSE), 0)"),106.0)</f>
        <v>106</v>
      </c>
      <c r="D9333" s="2" t="str">
        <f>IFERROR(__xludf.DUMMYFUNCTION("IFERROR(VLOOKUP(A9333, IMPORTRANGE(""https://docs.google.com/spreadsheets/d/1-3Vjw2Cyy-mry5gbC8ypIR3YVGFfEpyFESummAta6sg/edit"", ""Sheet1!B:D""), 2, FALSE), ""Not Found"")"),"bɔrdɪd")</f>
        <v>bɔrdɪd</v>
      </c>
      <c r="E9333" s="2" t="str">
        <f>IFERROR(__xludf.DUMMYFUNCTION("IFERROR(VLOOKUP(A9333, IMPORTRANGE(""https://docs.google.com/spreadsheets/d/1-3Vjw2Cyy-mry5gbC8ypIR3YVGFfEpyFESummAta6sg/edit"", ""Sheet1!B:D""), 3, FALSE), ""Not Found"")"),"b ɔ r d ɪ d ")</f>
        <v>b ɔ r d ɪ d </v>
      </c>
    </row>
    <row r="9334">
      <c r="A9334" s="1" t="s">
        <v>9335</v>
      </c>
      <c r="B9334" s="1" t="s">
        <v>6138</v>
      </c>
      <c r="C9334" s="2">
        <f>IFERROR(__xludf.DUMMYFUNCTION("IFERROR(VLOOKUP(A9334, IMPORTRANGE(""https://docs.google.com/spreadsheets/d/1AVX9GT0dgogEBStecCXMMQ29tWz3gBrtNB8yIromXbY/edit?gid=741673867"", ""out1g!A:B""), 2, FALSE), 0)"),1563.0)</f>
        <v>1563</v>
      </c>
      <c r="D9334" s="2" t="str">
        <f>IFERROR(__xludf.DUMMYFUNCTION("IFERROR(VLOOKUP(A9334, IMPORTRANGE(""https://docs.google.com/spreadsheets/d/1-3Vjw2Cyy-mry5gbC8ypIR3YVGFfEpyFESummAta6sg/edit"", ""Sheet1!B:D""), 2, FALSE), ""Not Found"")"),"ɛndz")</f>
        <v>ɛndz</v>
      </c>
      <c r="E9334" s="2" t="str">
        <f>IFERROR(__xludf.DUMMYFUNCTION("IFERROR(VLOOKUP(A9334, IMPORTRANGE(""https://docs.google.com/spreadsheets/d/1-3Vjw2Cyy-mry5gbC8ypIR3YVGFfEpyFESummAta6sg/edit"", ""Sheet1!B:D""), 3, FALSE), ""Not Found"")"),"ɛ n d z ")</f>
        <v>ɛ n d z </v>
      </c>
    </row>
    <row r="9335">
      <c r="A9335" s="1" t="s">
        <v>9336</v>
      </c>
      <c r="B9335" s="1" t="s">
        <v>6138</v>
      </c>
      <c r="C9335" s="2">
        <f>IFERROR(__xludf.DUMMYFUNCTION("IFERROR(VLOOKUP(A9335, IMPORTRANGE(""https://docs.google.com/spreadsheets/d/1AVX9GT0dgogEBStecCXMMQ29tWz3gBrtNB8yIromXbY/edit?gid=741673867"", ""out1g!A:B""), 2, FALSE), 0)"),171.0)</f>
        <v>171</v>
      </c>
      <c r="D9335" s="2" t="str">
        <f>IFERROR(__xludf.DUMMYFUNCTION("IFERROR(VLOOKUP(A9335, IMPORTRANGE(""https://docs.google.com/spreadsheets/d/1-3Vjw2Cyy-mry5gbC8ypIR3YVGFfEpyFESummAta6sg/edit"", ""Sheet1!B:D""), 2, FALSE), ""Not Found"")"),"ʧætɪŋ")</f>
        <v>ʧætɪŋ</v>
      </c>
      <c r="E9335" s="2" t="str">
        <f>IFERROR(__xludf.DUMMYFUNCTION("IFERROR(VLOOKUP(A9335, IMPORTRANGE(""https://docs.google.com/spreadsheets/d/1-3Vjw2Cyy-mry5gbC8ypIR3YVGFfEpyFESummAta6sg/edit"", ""Sheet1!B:D""), 3, FALSE), ""Not Found"")"),"ʧ æ t ɪ ŋ ")</f>
        <v>ʧ æ t ɪ ŋ </v>
      </c>
    </row>
    <row r="9336">
      <c r="A9336" s="1" t="s">
        <v>9337</v>
      </c>
      <c r="B9336" s="1" t="s">
        <v>6138</v>
      </c>
      <c r="C9336" s="2">
        <f>IFERROR(__xludf.DUMMYFUNCTION("IFERROR(VLOOKUP(A9336, IMPORTRANGE(""https://docs.google.com/spreadsheets/d/1AVX9GT0dgogEBStecCXMMQ29tWz3gBrtNB8yIromXbY/edit?gid=741673867"", ""out1g!A:B""), 2, FALSE), 0)"),58.0)</f>
        <v>58</v>
      </c>
      <c r="D9336" s="2" t="str">
        <f>IFERROR(__xludf.DUMMYFUNCTION("IFERROR(VLOOKUP(A9336, IMPORTRANGE(""https://docs.google.com/spreadsheets/d/1-3Vjw2Cyy-mry5gbC8ypIR3YVGFfEpyFESummAta6sg/edit"", ""Sheet1!B:D""), 2, FALSE), ""Not Found"")"),"gægz")</f>
        <v>gægz</v>
      </c>
      <c r="E9336" s="2" t="str">
        <f>IFERROR(__xludf.DUMMYFUNCTION("IFERROR(VLOOKUP(A9336, IMPORTRANGE(""https://docs.google.com/spreadsheets/d/1-3Vjw2Cyy-mry5gbC8ypIR3YVGFfEpyFESummAta6sg/edit"", ""Sheet1!B:D""), 3, FALSE), ""Not Found"")"),"g æ g z ")</f>
        <v>g æ g z </v>
      </c>
    </row>
    <row r="9337">
      <c r="A9337" s="1" t="s">
        <v>9338</v>
      </c>
      <c r="B9337" s="1" t="s">
        <v>6138</v>
      </c>
      <c r="C9337" s="2">
        <f>IFERROR(__xludf.DUMMYFUNCTION("IFERROR(VLOOKUP(A9337, IMPORTRANGE(""https://docs.google.com/spreadsheets/d/1AVX9GT0dgogEBStecCXMMQ29tWz3gBrtNB8yIromXbY/edit?gid=741673867"", ""out1g!A:B""), 2, FALSE), 0)"),176.0)</f>
        <v>176</v>
      </c>
      <c r="D9337" s="2" t="str">
        <f>IFERROR(__xludf.DUMMYFUNCTION("IFERROR(VLOOKUP(A9337, IMPORTRANGE(""https://docs.google.com/spreadsheets/d/1-3Vjw2Cyy-mry5gbC8ypIR3YVGFfEpyFESummAta6sg/edit"", ""Sheet1!B:D""), 2, FALSE), ""Not Found"")"),"rɪsits")</f>
        <v>rɪsits</v>
      </c>
      <c r="E9337" s="2" t="str">
        <f>IFERROR(__xludf.DUMMYFUNCTION("IFERROR(VLOOKUP(A9337, IMPORTRANGE(""https://docs.google.com/spreadsheets/d/1-3Vjw2Cyy-mry5gbC8ypIR3YVGFfEpyFESummAta6sg/edit"", ""Sheet1!B:D""), 3, FALSE), ""Not Found"")"),"r ɪ s i t s ")</f>
        <v>r ɪ s i t s </v>
      </c>
    </row>
    <row r="9338">
      <c r="A9338" s="1" t="s">
        <v>9339</v>
      </c>
      <c r="B9338" s="1" t="s">
        <v>6138</v>
      </c>
      <c r="C9338" s="2">
        <f>IFERROR(__xludf.DUMMYFUNCTION("IFERROR(VLOOKUP(A9338, IMPORTRANGE(""https://docs.google.com/spreadsheets/d/1AVX9GT0dgogEBStecCXMMQ29tWz3gBrtNB8yIromXbY/edit?gid=741673867"", ""out1g!A:B""), 2, FALSE), 0)"),136.0)</f>
        <v>136</v>
      </c>
      <c r="D9338" s="2" t="str">
        <f>IFERROR(__xludf.DUMMYFUNCTION("IFERROR(VLOOKUP(A9338, IMPORTRANGE(""https://docs.google.com/spreadsheets/d/1-3Vjw2Cyy-mry5gbC8ypIR3YVGFfEpyFESummAta6sg/edit"", ""Sheet1!B:D""), 2, FALSE), ""Not Found"")"),"taɪərz")</f>
        <v>taɪərz</v>
      </c>
      <c r="E9338" s="2" t="str">
        <f>IFERROR(__xludf.DUMMYFUNCTION("IFERROR(VLOOKUP(A9338, IMPORTRANGE(""https://docs.google.com/spreadsheets/d/1-3Vjw2Cyy-mry5gbC8ypIR3YVGFfEpyFESummAta6sg/edit"", ""Sheet1!B:D""), 3, FALSE), ""Not Found"")"),"t a ɪ ə r z ")</f>
        <v>t a ɪ ə r z </v>
      </c>
    </row>
    <row r="9339">
      <c r="A9339" s="1" t="s">
        <v>9340</v>
      </c>
      <c r="B9339" s="1" t="s">
        <v>6138</v>
      </c>
      <c r="C9339" s="2">
        <f>IFERROR(__xludf.DUMMYFUNCTION("IFERROR(VLOOKUP(A9339, IMPORTRANGE(""https://docs.google.com/spreadsheets/d/1AVX9GT0dgogEBStecCXMMQ29tWz3gBrtNB8yIromXbY/edit?gid=741673867"", ""out1g!A:B""), 2, FALSE), 0)"),102.0)</f>
        <v>102</v>
      </c>
      <c r="D9339" s="2" t="str">
        <f>IFERROR(__xludf.DUMMYFUNCTION("IFERROR(VLOOKUP(A9339, IMPORTRANGE(""https://docs.google.com/spreadsheets/d/1-3Vjw2Cyy-mry5gbC8ypIR3YVGFfEpyFESummAta6sg/edit"", ""Sheet1!B:D""), 2, FALSE), ""Not Found"")"),"sɪmbə")</f>
        <v>sɪmbə</v>
      </c>
      <c r="E9339" s="2" t="str">
        <f>IFERROR(__xludf.DUMMYFUNCTION("IFERROR(VLOOKUP(A9339, IMPORTRANGE(""https://docs.google.com/spreadsheets/d/1-3Vjw2Cyy-mry5gbC8ypIR3YVGFfEpyFESummAta6sg/edit"", ""Sheet1!B:D""), 3, FALSE), ""Not Found"")"),"s ɪ m b ə ")</f>
        <v>s ɪ m b ə </v>
      </c>
    </row>
    <row r="9340">
      <c r="A9340" s="1" t="s">
        <v>9341</v>
      </c>
      <c r="B9340" s="1" t="s">
        <v>6138</v>
      </c>
      <c r="C9340" s="2">
        <f>IFERROR(__xludf.DUMMYFUNCTION("IFERROR(VLOOKUP(A9340, IMPORTRANGE(""https://docs.google.com/spreadsheets/d/1AVX9GT0dgogEBStecCXMMQ29tWz3gBrtNB8yIromXbY/edit?gid=741673867"", ""out1g!A:B""), 2, FALSE), 0)"),590.0)</f>
        <v>590</v>
      </c>
      <c r="D9340" s="2" t="str">
        <f>IFERROR(__xludf.DUMMYFUNCTION("IFERROR(VLOOKUP(A9340, IMPORTRANGE(""https://docs.google.com/spreadsheets/d/1-3Vjw2Cyy-mry5gbC8ypIR3YVGFfEpyFESummAta6sg/edit"", ""Sheet1!B:D""), 2, FALSE), ""Not Found"")"),"mɛdəl")</f>
        <v>mɛdəl</v>
      </c>
      <c r="E9340" s="2" t="str">
        <f>IFERROR(__xludf.DUMMYFUNCTION("IFERROR(VLOOKUP(A9340, IMPORTRANGE(""https://docs.google.com/spreadsheets/d/1-3Vjw2Cyy-mry5gbC8ypIR3YVGFfEpyFESummAta6sg/edit"", ""Sheet1!B:D""), 3, FALSE), ""Not Found"")"),"m ɛ d ə l ")</f>
        <v>m ɛ d ə l </v>
      </c>
    </row>
    <row r="9341">
      <c r="A9341" s="1" t="s">
        <v>9342</v>
      </c>
      <c r="B9341" s="1" t="s">
        <v>6138</v>
      </c>
      <c r="C9341" s="2">
        <f>IFERROR(__xludf.DUMMYFUNCTION("IFERROR(VLOOKUP(A9341, IMPORTRANGE(""https://docs.google.com/spreadsheets/d/1AVX9GT0dgogEBStecCXMMQ29tWz3gBrtNB8yIromXbY/edit?gid=741673867"", ""out1g!A:B""), 2, FALSE), 0)"),72.0)</f>
        <v>72</v>
      </c>
      <c r="D9341" s="2" t="str">
        <f>IFERROR(__xludf.DUMMYFUNCTION("IFERROR(VLOOKUP(A9341, IMPORTRANGE(""https://docs.google.com/spreadsheets/d/1-3Vjw2Cyy-mry5gbC8ypIR3YVGFfEpyFESummAta6sg/edit"", ""Sheet1!B:D""), 2, FALSE), ""Not Found"")"),"mæsuz")</f>
        <v>mæsuz</v>
      </c>
      <c r="E9341" s="2" t="str">
        <f>IFERROR(__xludf.DUMMYFUNCTION("IFERROR(VLOOKUP(A9341, IMPORTRANGE(""https://docs.google.com/spreadsheets/d/1-3Vjw2Cyy-mry5gbC8ypIR3YVGFfEpyFESummAta6sg/edit"", ""Sheet1!B:D""), 3, FALSE), ""Not Found"")"),"m æ s u z ")</f>
        <v>m æ s u z </v>
      </c>
    </row>
    <row r="9342">
      <c r="A9342" s="1" t="s">
        <v>9343</v>
      </c>
      <c r="B9342" s="1" t="s">
        <v>6138</v>
      </c>
      <c r="C9342" s="2">
        <f>IFERROR(__xludf.DUMMYFUNCTION("IFERROR(VLOOKUP(A9342, IMPORTRANGE(""https://docs.google.com/spreadsheets/d/1AVX9GT0dgogEBStecCXMMQ29tWz3gBrtNB8yIromXbY/edit?gid=741673867"", ""out1g!A:B""), 2, FALSE), 0)"),53.0)</f>
        <v>53</v>
      </c>
      <c r="D9342" s="2" t="str">
        <f>IFERROR(__xludf.DUMMYFUNCTION("IFERROR(VLOOKUP(A9342, IMPORTRANGE(""https://docs.google.com/spreadsheets/d/1-3Vjw2Cyy-mry5gbC8ypIR3YVGFfEpyFESummAta6sg/edit"", ""Sheet1!B:D""), 2, FALSE), ""Not Found"")"),"pju")</f>
        <v>pju</v>
      </c>
      <c r="E9342" s="2" t="str">
        <f>IFERROR(__xludf.DUMMYFUNCTION("IFERROR(VLOOKUP(A9342, IMPORTRANGE(""https://docs.google.com/spreadsheets/d/1-3Vjw2Cyy-mry5gbC8ypIR3YVGFfEpyFESummAta6sg/edit"", ""Sheet1!B:D""), 3, FALSE), ""Not Found"")"),"p j u ")</f>
        <v>p j u </v>
      </c>
    </row>
    <row r="9343">
      <c r="A9343" s="1" t="s">
        <v>9344</v>
      </c>
      <c r="B9343" s="1" t="s">
        <v>6138</v>
      </c>
      <c r="C9343" s="2">
        <f>IFERROR(__xludf.DUMMYFUNCTION("IFERROR(VLOOKUP(A9343, IMPORTRANGE(""https://docs.google.com/spreadsheets/d/1AVX9GT0dgogEBStecCXMMQ29tWz3gBrtNB8yIromXbY/edit?gid=741673867"", ""out1g!A:B""), 2, FALSE), 0)"),1045.0)</f>
        <v>1045</v>
      </c>
      <c r="D9343" s="2" t="str">
        <f>IFERROR(__xludf.DUMMYFUNCTION("IFERROR(VLOOKUP(A9343, IMPORTRANGE(""https://docs.google.com/spreadsheets/d/1-3Vjw2Cyy-mry5gbC8ypIR3YVGFfEpyFESummAta6sg/edit"", ""Sheet1!B:D""), 2, FALSE), ""Not Found"")"),"neʃən")</f>
        <v>neʃən</v>
      </c>
      <c r="E9343" s="2" t="str">
        <f>IFERROR(__xludf.DUMMYFUNCTION("IFERROR(VLOOKUP(A9343, IMPORTRANGE(""https://docs.google.com/spreadsheets/d/1-3Vjw2Cyy-mry5gbC8ypIR3YVGFfEpyFESummAta6sg/edit"", ""Sheet1!B:D""), 3, FALSE), ""Not Found"")"),"n e ʃ ə n ")</f>
        <v>n e ʃ ə n </v>
      </c>
    </row>
    <row r="9344">
      <c r="A9344" s="1" t="s">
        <v>9345</v>
      </c>
      <c r="B9344" s="1" t="s">
        <v>6138</v>
      </c>
      <c r="C9344" s="2">
        <f>IFERROR(__xludf.DUMMYFUNCTION("IFERROR(VLOOKUP(A9344, IMPORTRANGE(""https://docs.google.com/spreadsheets/d/1AVX9GT0dgogEBStecCXMMQ29tWz3gBrtNB8yIromXbY/edit?gid=741673867"", ""out1g!A:B""), 2, FALSE), 0)"),51.0)</f>
        <v>51</v>
      </c>
      <c r="D9344" s="2" t="str">
        <f>IFERROR(__xludf.DUMMYFUNCTION("IFERROR(VLOOKUP(A9344, IMPORTRANGE(""https://docs.google.com/spreadsheets/d/1-3Vjw2Cyy-mry5gbC8ypIR3YVGFfEpyFESummAta6sg/edit"", ""Sheet1!B:D""), 2, FALSE), ""Not Found"")"),"stræpɪŋ")</f>
        <v>stræpɪŋ</v>
      </c>
      <c r="E9344" s="2" t="str">
        <f>IFERROR(__xludf.DUMMYFUNCTION("IFERROR(VLOOKUP(A9344, IMPORTRANGE(""https://docs.google.com/spreadsheets/d/1-3Vjw2Cyy-mry5gbC8ypIR3YVGFfEpyFESummAta6sg/edit"", ""Sheet1!B:D""), 3, FALSE), ""Not Found"")"),"s t r æ p ɪ ŋ ")</f>
        <v>s t r æ p ɪ ŋ </v>
      </c>
    </row>
    <row r="9345">
      <c r="A9345" s="1" t="s">
        <v>9346</v>
      </c>
      <c r="B9345" s="1" t="s">
        <v>6138</v>
      </c>
      <c r="C9345" s="2">
        <f>IFERROR(__xludf.DUMMYFUNCTION("IFERROR(VLOOKUP(A9345, IMPORTRANGE(""https://docs.google.com/spreadsheets/d/1AVX9GT0dgogEBStecCXMMQ29tWz3gBrtNB8yIromXbY/edit?gid=741673867"", ""out1g!A:B""), 2, FALSE), 0)"),598.0)</f>
        <v>598</v>
      </c>
      <c r="D9345" s="2" t="str">
        <f>IFERROR(__xludf.DUMMYFUNCTION("IFERROR(VLOOKUP(A9345, IMPORTRANGE(""https://docs.google.com/spreadsheets/d/1-3Vjw2Cyy-mry5gbC8ypIR3YVGFfEpyFESummAta6sg/edit"", ""Sheet1!B:D""), 2, FALSE), ""Not Found"")"),"daɪnɪŋ")</f>
        <v>daɪnɪŋ</v>
      </c>
      <c r="E9345" s="2" t="str">
        <f>IFERROR(__xludf.DUMMYFUNCTION("IFERROR(VLOOKUP(A9345, IMPORTRANGE(""https://docs.google.com/spreadsheets/d/1-3Vjw2Cyy-mry5gbC8ypIR3YVGFfEpyFESummAta6sg/edit"", ""Sheet1!B:D""), 3, FALSE), ""Not Found"")"),"d a ɪ n ɪ ŋ ")</f>
        <v>d a ɪ n ɪ ŋ </v>
      </c>
    </row>
    <row r="9346">
      <c r="A9346" s="1" t="s">
        <v>9347</v>
      </c>
      <c r="B9346" s="1" t="s">
        <v>6138</v>
      </c>
      <c r="C9346" s="2">
        <f>IFERROR(__xludf.DUMMYFUNCTION("IFERROR(VLOOKUP(A9346, IMPORTRANGE(""https://docs.google.com/spreadsheets/d/1AVX9GT0dgogEBStecCXMMQ29tWz3gBrtNB8yIromXbY/edit?gid=741673867"", ""out1g!A:B""), 2, FALSE), 0)"),100.0)</f>
        <v>100</v>
      </c>
      <c r="D9346" s="2" t="str">
        <f>IFERROR(__xludf.DUMMYFUNCTION("IFERROR(VLOOKUP(A9346, IMPORTRANGE(""https://docs.google.com/spreadsheets/d/1-3Vjw2Cyy-mry5gbC8ypIR3YVGFfEpyFESummAta6sg/edit"", ""Sheet1!B:D""), 2, FALSE), ""Not Found"")"),"lu")</f>
        <v>lu</v>
      </c>
      <c r="E9346" s="2" t="str">
        <f>IFERROR(__xludf.DUMMYFUNCTION("IFERROR(VLOOKUP(A9346, IMPORTRANGE(""https://docs.google.com/spreadsheets/d/1-3Vjw2Cyy-mry5gbC8ypIR3YVGFfEpyFESummAta6sg/edit"", ""Sheet1!B:D""), 3, FALSE), ""Not Found"")"),"l u ")</f>
        <v>l u </v>
      </c>
    </row>
    <row r="9347">
      <c r="A9347" s="1" t="s">
        <v>9348</v>
      </c>
      <c r="B9347" s="1" t="s">
        <v>6138</v>
      </c>
      <c r="C9347" s="2">
        <f>IFERROR(__xludf.DUMMYFUNCTION("IFERROR(VLOOKUP(A9347, IMPORTRANGE(""https://docs.google.com/spreadsheets/d/1AVX9GT0dgogEBStecCXMMQ29tWz3gBrtNB8yIromXbY/edit?gid=741673867"", ""out1g!A:B""), 2, FALSE), 0)"),64.0)</f>
        <v>64</v>
      </c>
      <c r="D9347" s="2" t="str">
        <f>IFERROR(__xludf.DUMMYFUNCTION("IFERROR(VLOOKUP(A9347, IMPORTRANGE(""https://docs.google.com/spreadsheets/d/1-3Vjw2Cyy-mry5gbC8ypIR3YVGFfEpyFESummAta6sg/edit"", ""Sheet1!B:D""), 2, FALSE), ""Not Found"")"),"bigəl")</f>
        <v>bigəl</v>
      </c>
      <c r="E9347" s="2" t="str">
        <f>IFERROR(__xludf.DUMMYFUNCTION("IFERROR(VLOOKUP(A9347, IMPORTRANGE(""https://docs.google.com/spreadsheets/d/1-3Vjw2Cyy-mry5gbC8ypIR3YVGFfEpyFESummAta6sg/edit"", ""Sheet1!B:D""), 3, FALSE), ""Not Found"")"),"b i g ə l ")</f>
        <v>b i g ə l </v>
      </c>
    </row>
    <row r="9348">
      <c r="A9348" s="1" t="s">
        <v>9349</v>
      </c>
      <c r="B9348" s="1" t="s">
        <v>6138</v>
      </c>
      <c r="C9348" s="2">
        <f>IFERROR(__xludf.DUMMYFUNCTION("IFERROR(VLOOKUP(A9348, IMPORTRANGE(""https://docs.google.com/spreadsheets/d/1AVX9GT0dgogEBStecCXMMQ29tWz3gBrtNB8yIromXbY/edit?gid=741673867"", ""out1g!A:B""), 2, FALSE), 0)"),55.0)</f>
        <v>55</v>
      </c>
      <c r="D9348" s="2" t="str">
        <f>IFERROR(__xludf.DUMMYFUNCTION("IFERROR(VLOOKUP(A9348, IMPORTRANGE(""https://docs.google.com/spreadsheets/d/1-3Vjw2Cyy-mry5gbC8ypIR3YVGFfEpyFESummAta6sg/edit"", ""Sheet1!B:D""), 2, FALSE), ""Not Found"")"),"gɔr")</f>
        <v>gɔr</v>
      </c>
      <c r="E9348" s="2" t="str">
        <f>IFERROR(__xludf.DUMMYFUNCTION("IFERROR(VLOOKUP(A9348, IMPORTRANGE(""https://docs.google.com/spreadsheets/d/1-3Vjw2Cyy-mry5gbC8ypIR3YVGFfEpyFESummAta6sg/edit"", ""Sheet1!B:D""), 3, FALSE), ""Not Found"")"),"g ɔ r ")</f>
        <v>g ɔ r </v>
      </c>
    </row>
    <row r="9349">
      <c r="A9349" s="1" t="s">
        <v>9350</v>
      </c>
      <c r="B9349" s="1" t="s">
        <v>6138</v>
      </c>
      <c r="C9349" s="2">
        <f>IFERROR(__xludf.DUMMYFUNCTION("IFERROR(VLOOKUP(A9349, IMPORTRANGE(""https://docs.google.com/spreadsheets/d/1AVX9GT0dgogEBStecCXMMQ29tWz3gBrtNB8yIromXbY/edit?gid=741673867"", ""out1g!A:B""), 2, FALSE), 0)"),54.0)</f>
        <v>54</v>
      </c>
      <c r="D9349" s="2" t="str">
        <f>IFERROR(__xludf.DUMMYFUNCTION("IFERROR(VLOOKUP(A9349, IMPORTRANGE(""https://docs.google.com/spreadsheets/d/1-3Vjw2Cyy-mry5gbC8ypIR3YVGFfEpyFESummAta6sg/edit"", ""Sheet1!B:D""), 2, FALSE), ""Not Found"")"),"nɛstər")</f>
        <v>nɛstər</v>
      </c>
      <c r="E9349" s="2" t="str">
        <f>IFERROR(__xludf.DUMMYFUNCTION("IFERROR(VLOOKUP(A9349, IMPORTRANGE(""https://docs.google.com/spreadsheets/d/1-3Vjw2Cyy-mry5gbC8ypIR3YVGFfEpyFESummAta6sg/edit"", ""Sheet1!B:D""), 3, FALSE), ""Not Found"")"),"n ɛ s t ə r ")</f>
        <v>n ɛ s t ə r </v>
      </c>
    </row>
    <row r="9350">
      <c r="A9350" s="1" t="s">
        <v>9351</v>
      </c>
      <c r="B9350" s="1" t="s">
        <v>6138</v>
      </c>
      <c r="C9350" s="2">
        <f>IFERROR(__xludf.DUMMYFUNCTION("IFERROR(VLOOKUP(A9350, IMPORTRANGE(""https://docs.google.com/spreadsheets/d/1AVX9GT0dgogEBStecCXMMQ29tWz3gBrtNB8yIromXbY/edit?gid=741673867"", ""out1g!A:B""), 2, FALSE), 0)"),233.0)</f>
        <v>233</v>
      </c>
      <c r="D9350" s="2" t="str">
        <f>IFERROR(__xludf.DUMMYFUNCTION("IFERROR(VLOOKUP(A9350, IMPORTRANGE(""https://docs.google.com/spreadsheets/d/1-3Vjw2Cyy-mry5gbC8ypIR3YVGFfEpyFESummAta6sg/edit"", ""Sheet1!B:D""), 2, FALSE), ""Not Found"")"),"brifɪŋ")</f>
        <v>brifɪŋ</v>
      </c>
      <c r="E9350" s="2" t="str">
        <f>IFERROR(__xludf.DUMMYFUNCTION("IFERROR(VLOOKUP(A9350, IMPORTRANGE(""https://docs.google.com/spreadsheets/d/1-3Vjw2Cyy-mry5gbC8ypIR3YVGFfEpyFESummAta6sg/edit"", ""Sheet1!B:D""), 3, FALSE), ""Not Found"")"),"b r i f ɪ ŋ ")</f>
        <v>b r i f ɪ ŋ </v>
      </c>
    </row>
    <row r="9351">
      <c r="A9351" s="1" t="s">
        <v>9352</v>
      </c>
      <c r="B9351" s="1" t="s">
        <v>6138</v>
      </c>
      <c r="C9351" s="2">
        <f>IFERROR(__xludf.DUMMYFUNCTION("IFERROR(VLOOKUP(A9351, IMPORTRANGE(""https://docs.google.com/spreadsheets/d/1AVX9GT0dgogEBStecCXMMQ29tWz3gBrtNB8yIromXbY/edit?gid=741673867"", ""out1g!A:B""), 2, FALSE), 0)"),65.0)</f>
        <v>65</v>
      </c>
      <c r="D9351" s="2" t="str">
        <f>IFERROR(__xludf.DUMMYFUNCTION("IFERROR(VLOOKUP(A9351, IMPORTRANGE(""https://docs.google.com/spreadsheets/d/1-3Vjw2Cyy-mry5gbC8ypIR3YVGFfEpyFESummAta6sg/edit"", ""Sheet1!B:D""), 2, FALSE), ""Not Found"")"),"lɪvəri")</f>
        <v>lɪvəri</v>
      </c>
      <c r="E9351" s="2" t="str">
        <f>IFERROR(__xludf.DUMMYFUNCTION("IFERROR(VLOOKUP(A9351, IMPORTRANGE(""https://docs.google.com/spreadsheets/d/1-3Vjw2Cyy-mry5gbC8ypIR3YVGFfEpyFESummAta6sg/edit"", ""Sheet1!B:D""), 3, FALSE), ""Not Found"")"),"l ɪ v ə r i ")</f>
        <v>l ɪ v ə r i </v>
      </c>
    </row>
    <row r="9352">
      <c r="A9352" s="1" t="s">
        <v>9353</v>
      </c>
      <c r="B9352" s="1" t="s">
        <v>6138</v>
      </c>
      <c r="C9352" s="2">
        <f>IFERROR(__xludf.DUMMYFUNCTION("IFERROR(VLOOKUP(A9352, IMPORTRANGE(""https://docs.google.com/spreadsheets/d/1AVX9GT0dgogEBStecCXMMQ29tWz3gBrtNB8yIromXbY/edit?gid=741673867"", ""out1g!A:B""), 2, FALSE), 0)"),243.0)</f>
        <v>243</v>
      </c>
      <c r="D9352" s="2" t="str">
        <f>IFERROR(__xludf.DUMMYFUNCTION("IFERROR(VLOOKUP(A9352, IMPORTRANGE(""https://docs.google.com/spreadsheets/d/1-3Vjw2Cyy-mry5gbC8ypIR3YVGFfEpyFESummAta6sg/edit"", ""Sheet1!B:D""), 2, FALSE), ""Not Found"")"),"noʊzɪz")</f>
        <v>noʊzɪz</v>
      </c>
      <c r="E9352" s="2" t="str">
        <f>IFERROR(__xludf.DUMMYFUNCTION("IFERROR(VLOOKUP(A9352, IMPORTRANGE(""https://docs.google.com/spreadsheets/d/1-3Vjw2Cyy-mry5gbC8ypIR3YVGFfEpyFESummAta6sg/edit"", ""Sheet1!B:D""), 3, FALSE), ""Not Found"")"),"n o ʊ z ɪ z ")</f>
        <v>n o ʊ z ɪ z </v>
      </c>
    </row>
    <row r="9353">
      <c r="A9353" s="1" t="s">
        <v>9354</v>
      </c>
      <c r="B9353" s="1" t="s">
        <v>6138</v>
      </c>
      <c r="C9353" s="2">
        <f>IFERROR(__xludf.DUMMYFUNCTION("IFERROR(VLOOKUP(A9353, IMPORTRANGE(""https://docs.google.com/spreadsheets/d/1AVX9GT0dgogEBStecCXMMQ29tWz3gBrtNB8yIromXbY/edit?gid=741673867"", ""out1g!A:B""), 2, FALSE), 0)"),50.0)</f>
        <v>50</v>
      </c>
      <c r="D9353" s="2" t="str">
        <f>IFERROR(__xludf.DUMMYFUNCTION("IFERROR(VLOOKUP(A9353, IMPORTRANGE(""https://docs.google.com/spreadsheets/d/1-3Vjw2Cyy-mry5gbC8ypIR3YVGFfEpyFESummAta6sg/edit"", ""Sheet1!B:D""), 2, FALSE), ""Not Found"")"),"kænən")</f>
        <v>kænən</v>
      </c>
      <c r="E9353" s="2" t="str">
        <f>IFERROR(__xludf.DUMMYFUNCTION("IFERROR(VLOOKUP(A9353, IMPORTRANGE(""https://docs.google.com/spreadsheets/d/1-3Vjw2Cyy-mry5gbC8ypIR3YVGFfEpyFESummAta6sg/edit"", ""Sheet1!B:D""), 3, FALSE), ""Not Found"")"),"k æ n ə n ")</f>
        <v>k æ n ə n </v>
      </c>
    </row>
    <row r="9354">
      <c r="A9354" s="1" t="s">
        <v>9355</v>
      </c>
      <c r="B9354" s="1" t="s">
        <v>6138</v>
      </c>
      <c r="C9354" s="2">
        <f>IFERROR(__xludf.DUMMYFUNCTION("IFERROR(VLOOKUP(A9354, IMPORTRANGE(""https://docs.google.com/spreadsheets/d/1AVX9GT0dgogEBStecCXMMQ29tWz3gBrtNB8yIromXbY/edit?gid=741673867"", ""out1g!A:B""), 2, FALSE), 0)"),491.0)</f>
        <v>491</v>
      </c>
      <c r="D9354" s="2" t="str">
        <f>IFERROR(__xludf.DUMMYFUNCTION("IFERROR(VLOOKUP(A9354, IMPORTRANGE(""https://docs.google.com/spreadsheets/d/1-3Vjw2Cyy-mry5gbC8ypIR3YVGFfEpyFESummAta6sg/edit"", ""Sheet1!B:D""), 2, FALSE), ""Not Found"")"),"mərinz")</f>
        <v>mərinz</v>
      </c>
      <c r="E9354" s="2" t="str">
        <f>IFERROR(__xludf.DUMMYFUNCTION("IFERROR(VLOOKUP(A9354, IMPORTRANGE(""https://docs.google.com/spreadsheets/d/1-3Vjw2Cyy-mry5gbC8ypIR3YVGFfEpyFESummAta6sg/edit"", ""Sheet1!B:D""), 3, FALSE), ""Not Found"")"),"m ə r i n z ")</f>
        <v>m ə r i n z </v>
      </c>
    </row>
    <row r="9355">
      <c r="A9355" s="1" t="s">
        <v>9356</v>
      </c>
      <c r="B9355" s="1" t="s">
        <v>6138</v>
      </c>
      <c r="C9355" s="2">
        <f>IFERROR(__xludf.DUMMYFUNCTION("IFERROR(VLOOKUP(A9355, IMPORTRANGE(""https://docs.google.com/spreadsheets/d/1AVX9GT0dgogEBStecCXMMQ29tWz3gBrtNB8yIromXbY/edit?gid=741673867"", ""out1g!A:B""), 2, FALSE), 0)"),83.0)</f>
        <v>83</v>
      </c>
      <c r="D9355" s="2" t="str">
        <f>IFERROR(__xludf.DUMMYFUNCTION("IFERROR(VLOOKUP(A9355, IMPORTRANGE(""https://docs.google.com/spreadsheets/d/1-3Vjw2Cyy-mry5gbC8ypIR3YVGFfEpyFESummAta6sg/edit"", ""Sheet1!B:D""), 2, FALSE), ""Not Found"")"),"trækər")</f>
        <v>trækər</v>
      </c>
      <c r="E9355" s="2" t="str">
        <f>IFERROR(__xludf.DUMMYFUNCTION("IFERROR(VLOOKUP(A9355, IMPORTRANGE(""https://docs.google.com/spreadsheets/d/1-3Vjw2Cyy-mry5gbC8ypIR3YVGFfEpyFESummAta6sg/edit"", ""Sheet1!B:D""), 3, FALSE), ""Not Found"")"),"t r æ k ə r ")</f>
        <v>t r æ k ə r </v>
      </c>
    </row>
    <row r="9356">
      <c r="A9356" s="1" t="s">
        <v>9357</v>
      </c>
      <c r="B9356" s="1" t="s">
        <v>6138</v>
      </c>
      <c r="C9356" s="2">
        <f>IFERROR(__xludf.DUMMYFUNCTION("IFERROR(VLOOKUP(A9356, IMPORTRANGE(""https://docs.google.com/spreadsheets/d/1AVX9GT0dgogEBStecCXMMQ29tWz3gBrtNB8yIromXbY/edit?gid=741673867"", ""out1g!A:B""), 2, FALSE), 0)"),74.0)</f>
        <v>74</v>
      </c>
      <c r="D9356" s="2" t="str">
        <f>IFERROR(__xludf.DUMMYFUNCTION("IFERROR(VLOOKUP(A9356, IMPORTRANGE(""https://docs.google.com/spreadsheets/d/1-3Vjw2Cyy-mry5gbC8ypIR3YVGFfEpyFESummAta6sg/edit"", ""Sheet1!B:D""), 2, FALSE), ""Not Found"")"),"gɛsɪz")</f>
        <v>gɛsɪz</v>
      </c>
      <c r="E9356" s="2" t="str">
        <f>IFERROR(__xludf.DUMMYFUNCTION("IFERROR(VLOOKUP(A9356, IMPORTRANGE(""https://docs.google.com/spreadsheets/d/1-3Vjw2Cyy-mry5gbC8ypIR3YVGFfEpyFESummAta6sg/edit"", ""Sheet1!B:D""), 3, FALSE), ""Not Found"")"),"g ɛ s ɪ z ")</f>
        <v>g ɛ s ɪ z </v>
      </c>
    </row>
    <row r="9357">
      <c r="A9357" s="1" t="s">
        <v>9358</v>
      </c>
      <c r="B9357" s="1" t="s">
        <v>6138</v>
      </c>
      <c r="C9357" s="2">
        <f>IFERROR(__xludf.DUMMYFUNCTION("IFERROR(VLOOKUP(A9357, IMPORTRANGE(""https://docs.google.com/spreadsheets/d/1AVX9GT0dgogEBStecCXMMQ29tWz3gBrtNB8yIromXbY/edit?gid=741673867"", ""out1g!A:B""), 2, FALSE), 0)"),11394.0)</f>
        <v>11394</v>
      </c>
      <c r="D9357" s="2" t="str">
        <f>IFERROR(__xludf.DUMMYFUNCTION("IFERROR(VLOOKUP(A9357, IMPORTRANGE(""https://docs.google.com/spreadsheets/d/1-3Vjw2Cyy-mry5gbC8ypIR3YVGFfEpyFESummAta6sg/edit"", ""Sheet1!B:D""), 2, FALSE), ""Not Found"")"),"kəpəl")</f>
        <v>kəpəl</v>
      </c>
      <c r="E9357" s="2" t="str">
        <f>IFERROR(__xludf.DUMMYFUNCTION("IFERROR(VLOOKUP(A9357, IMPORTRANGE(""https://docs.google.com/spreadsheets/d/1-3Vjw2Cyy-mry5gbC8ypIR3YVGFfEpyFESummAta6sg/edit"", ""Sheet1!B:D""), 3, FALSE), ""Not Found"")"),"k ə p ə l ")</f>
        <v>k ə p ə l </v>
      </c>
    </row>
    <row r="9358">
      <c r="A9358" s="1" t="s">
        <v>9359</v>
      </c>
      <c r="B9358" s="1" t="s">
        <v>6138</v>
      </c>
      <c r="C9358" s="2">
        <f>IFERROR(__xludf.DUMMYFUNCTION("IFERROR(VLOOKUP(A9358, IMPORTRANGE(""https://docs.google.com/spreadsheets/d/1AVX9GT0dgogEBStecCXMMQ29tWz3gBrtNB8yIromXbY/edit?gid=741673867"", ""out1g!A:B""), 2, FALSE), 0)"),2412.0)</f>
        <v>2412</v>
      </c>
      <c r="D9358" s="2" t="str">
        <f>IFERROR(__xludf.DUMMYFUNCTION("IFERROR(VLOOKUP(A9358, IMPORTRANGE(""https://docs.google.com/spreadsheets/d/1-3Vjw2Cyy-mry5gbC8ypIR3YVGFfEpyFESummAta6sg/edit"", ""Sheet1!B:D""), 2, FALSE), ""Not Found"")"),"hɛvi")</f>
        <v>hɛvi</v>
      </c>
      <c r="E9358" s="2" t="str">
        <f>IFERROR(__xludf.DUMMYFUNCTION("IFERROR(VLOOKUP(A9358, IMPORTRANGE(""https://docs.google.com/spreadsheets/d/1-3Vjw2Cyy-mry5gbC8ypIR3YVGFfEpyFESummAta6sg/edit"", ""Sheet1!B:D""), 3, FALSE), ""Not Found"")"),"h ɛ v i ")</f>
        <v>h ɛ v i </v>
      </c>
    </row>
    <row r="9359">
      <c r="A9359" s="1" t="s">
        <v>9360</v>
      </c>
      <c r="B9359" s="1" t="s">
        <v>6138</v>
      </c>
      <c r="C9359" s="2">
        <f>IFERROR(__xludf.DUMMYFUNCTION("IFERROR(VLOOKUP(A9359, IMPORTRANGE(""https://docs.google.com/spreadsheets/d/1AVX9GT0dgogEBStecCXMMQ29tWz3gBrtNB8yIromXbY/edit?gid=741673867"", ""out1g!A:B""), 2, FALSE), 0)"),144.0)</f>
        <v>144</v>
      </c>
      <c r="D9359" s="2" t="str">
        <f>IFERROR(__xludf.DUMMYFUNCTION("IFERROR(VLOOKUP(A9359, IMPORTRANGE(""https://docs.google.com/spreadsheets/d/1-3Vjw2Cyy-mry5gbC8ypIR3YVGFfEpyFESummAta6sg/edit"", ""Sheet1!B:D""), 2, FALSE), ""Not Found"")"),"boʊboʊ")</f>
        <v>boʊboʊ</v>
      </c>
      <c r="E9359" s="2" t="str">
        <f>IFERROR(__xludf.DUMMYFUNCTION("IFERROR(VLOOKUP(A9359, IMPORTRANGE(""https://docs.google.com/spreadsheets/d/1-3Vjw2Cyy-mry5gbC8ypIR3YVGFfEpyFESummAta6sg/edit"", ""Sheet1!B:D""), 3, FALSE), ""Not Found"")"),"b o ʊ b o ʊ ")</f>
        <v>b o ʊ b o ʊ </v>
      </c>
    </row>
    <row r="9360">
      <c r="A9360" s="1" t="s">
        <v>9361</v>
      </c>
      <c r="B9360" s="1" t="s">
        <v>6138</v>
      </c>
      <c r="C9360" s="2">
        <f>IFERROR(__xludf.DUMMYFUNCTION("IFERROR(VLOOKUP(A9360, IMPORTRANGE(""https://docs.google.com/spreadsheets/d/1AVX9GT0dgogEBStecCXMMQ29tWz3gBrtNB8yIromXbY/edit?gid=741673867"", ""out1g!A:B""), 2, FALSE), 0)"),35.0)</f>
        <v>35</v>
      </c>
      <c r="D9360" s="2" t="str">
        <f>IFERROR(__xludf.DUMMYFUNCTION("IFERROR(VLOOKUP(A9360, IMPORTRANGE(""https://docs.google.com/spreadsheets/d/1-3Vjw2Cyy-mry5gbC8ypIR3YVGFfEpyFESummAta6sg/edit"", ""Sheet1!B:D""), 2, FALSE), ""Not Found"")"),"rezərz")</f>
        <v>rezərz</v>
      </c>
      <c r="E9360" s="2" t="str">
        <f>IFERROR(__xludf.DUMMYFUNCTION("IFERROR(VLOOKUP(A9360, IMPORTRANGE(""https://docs.google.com/spreadsheets/d/1-3Vjw2Cyy-mry5gbC8ypIR3YVGFfEpyFESummAta6sg/edit"", ""Sheet1!B:D""), 3, FALSE), ""Not Found"")"),"r e z ə r z ")</f>
        <v>r e z ə r z </v>
      </c>
    </row>
    <row r="9361">
      <c r="A9361" s="1" t="s">
        <v>9362</v>
      </c>
      <c r="B9361" s="1" t="s">
        <v>6138</v>
      </c>
      <c r="C9361" s="2">
        <f>IFERROR(__xludf.DUMMYFUNCTION("IFERROR(VLOOKUP(A9361, IMPORTRANGE(""https://docs.google.com/spreadsheets/d/1AVX9GT0dgogEBStecCXMMQ29tWz3gBrtNB8yIromXbY/edit?gid=741673867"", ""out1g!A:B""), 2, FALSE), 0)"),501.0)</f>
        <v>501</v>
      </c>
      <c r="D9361" s="2" t="str">
        <f>IFERROR(__xludf.DUMMYFUNCTION("IFERROR(VLOOKUP(A9361, IMPORTRANGE(""https://docs.google.com/spreadsheets/d/1-3Vjw2Cyy-mry5gbC8ypIR3YVGFfEpyFESummAta6sg/edit"", ""Sheet1!B:D""), 2, FALSE), ""Not Found"")"),"ʃaɪnɪŋ")</f>
        <v>ʃaɪnɪŋ</v>
      </c>
      <c r="E9361" s="2" t="str">
        <f>IFERROR(__xludf.DUMMYFUNCTION("IFERROR(VLOOKUP(A9361, IMPORTRANGE(""https://docs.google.com/spreadsheets/d/1-3Vjw2Cyy-mry5gbC8ypIR3YVGFfEpyFESummAta6sg/edit"", ""Sheet1!B:D""), 3, FALSE), ""Not Found"")"),"ʃ a ɪ n ɪ ŋ ")</f>
        <v>ʃ a ɪ n ɪ ŋ </v>
      </c>
    </row>
    <row r="9362">
      <c r="A9362" s="1" t="s">
        <v>9363</v>
      </c>
      <c r="B9362" s="1" t="s">
        <v>6138</v>
      </c>
      <c r="C9362" s="2">
        <f>IFERROR(__xludf.DUMMYFUNCTION("IFERROR(VLOOKUP(A9362, IMPORTRANGE(""https://docs.google.com/spreadsheets/d/1AVX9GT0dgogEBStecCXMMQ29tWz3gBrtNB8yIromXbY/edit?gid=741673867"", ""out1g!A:B""), 2, FALSE), 0)"),175.0)</f>
        <v>175</v>
      </c>
      <c r="D9362" s="2" t="str">
        <f>IFERROR(__xludf.DUMMYFUNCTION("IFERROR(VLOOKUP(A9362, IMPORTRANGE(""https://docs.google.com/spreadsheets/d/1-3Vjw2Cyy-mry5gbC8ypIR3YVGFfEpyFESummAta6sg/edit"", ""Sheet1!B:D""), 2, FALSE), ""Not Found"")"),"ɪndiən")</f>
        <v>ɪndiən</v>
      </c>
      <c r="E9362" s="2" t="str">
        <f>IFERROR(__xludf.DUMMYFUNCTION("IFERROR(VLOOKUP(A9362, IMPORTRANGE(""https://docs.google.com/spreadsheets/d/1-3Vjw2Cyy-mry5gbC8ypIR3YVGFfEpyFESummAta6sg/edit"", ""Sheet1!B:D""), 3, FALSE), ""Not Found"")"),"ɪ n d i ə n ")</f>
        <v>ɪ n d i ə n </v>
      </c>
    </row>
    <row r="9363">
      <c r="A9363" s="1" t="s">
        <v>9364</v>
      </c>
      <c r="B9363" s="1" t="s">
        <v>6138</v>
      </c>
      <c r="C9363" s="2">
        <f>IFERROR(__xludf.DUMMYFUNCTION("IFERROR(VLOOKUP(A9363, IMPORTRANGE(""https://docs.google.com/spreadsheets/d/1AVX9GT0dgogEBStecCXMMQ29tWz3gBrtNB8yIromXbY/edit?gid=741673867"", ""out1g!A:B""), 2, FALSE), 0)"),420.0)</f>
        <v>420</v>
      </c>
      <c r="D9363" s="2" t="str">
        <f>IFERROR(__xludf.DUMMYFUNCTION("IFERROR(VLOOKUP(A9363, IMPORTRANGE(""https://docs.google.com/spreadsheets/d/1-3Vjw2Cyy-mry5gbC8ypIR3YVGFfEpyFESummAta6sg/edit"", ""Sheet1!B:D""), 2, FALSE), ""Not Found"")"),"brʊks")</f>
        <v>brʊks</v>
      </c>
      <c r="E9363" s="2" t="str">
        <f>IFERROR(__xludf.DUMMYFUNCTION("IFERROR(VLOOKUP(A9363, IMPORTRANGE(""https://docs.google.com/spreadsheets/d/1-3Vjw2Cyy-mry5gbC8ypIR3YVGFfEpyFESummAta6sg/edit"", ""Sheet1!B:D""), 3, FALSE), ""Not Found"")"),"b r ʊ k s ")</f>
        <v>b r ʊ k s </v>
      </c>
    </row>
    <row r="9364">
      <c r="A9364" s="1" t="s">
        <v>9365</v>
      </c>
      <c r="B9364" s="1" t="s">
        <v>6138</v>
      </c>
      <c r="C9364" s="2">
        <f>IFERROR(__xludf.DUMMYFUNCTION("IFERROR(VLOOKUP(A9364, IMPORTRANGE(""https://docs.google.com/spreadsheets/d/1AVX9GT0dgogEBStecCXMMQ29tWz3gBrtNB8yIromXbY/edit?gid=741673867"", ""out1g!A:B""), 2, FALSE), 0)"),143.0)</f>
        <v>143</v>
      </c>
      <c r="D9364" s="2" t="str">
        <f>IFERROR(__xludf.DUMMYFUNCTION("IFERROR(VLOOKUP(A9364, IMPORTRANGE(""https://docs.google.com/spreadsheets/d/1-3Vjw2Cyy-mry5gbC8ypIR3YVGFfEpyFESummAta6sg/edit"", ""Sheet1!B:D""), 2, FALSE), ""Not Found"")"),"staɪlz")</f>
        <v>staɪlz</v>
      </c>
      <c r="E9364" s="2" t="str">
        <f>IFERROR(__xludf.DUMMYFUNCTION("IFERROR(VLOOKUP(A9364, IMPORTRANGE(""https://docs.google.com/spreadsheets/d/1-3Vjw2Cyy-mry5gbC8ypIR3YVGFfEpyFESummAta6sg/edit"", ""Sheet1!B:D""), 3, FALSE), ""Not Found"")"),"s t a ɪ l z ")</f>
        <v>s t a ɪ l z </v>
      </c>
    </row>
    <row r="9365">
      <c r="A9365" s="1" t="s">
        <v>9366</v>
      </c>
      <c r="B9365" s="1" t="s">
        <v>6138</v>
      </c>
      <c r="C9365" s="2">
        <f>IFERROR(__xludf.DUMMYFUNCTION("IFERROR(VLOOKUP(A9365, IMPORTRANGE(""https://docs.google.com/spreadsheets/d/1AVX9GT0dgogEBStecCXMMQ29tWz3gBrtNB8yIromXbY/edit?gid=741673867"", ""out1g!A:B""), 2, FALSE), 0)"),365.0)</f>
        <v>365</v>
      </c>
      <c r="D9365" s="2" t="str">
        <f>IFERROR(__xludf.DUMMYFUNCTION("IFERROR(VLOOKUP(A9365, IMPORTRANGE(""https://docs.google.com/spreadsheets/d/1-3Vjw2Cyy-mry5gbC8ypIR3YVGFfEpyFESummAta6sg/edit"", ""Sheet1!B:D""), 2, FALSE), ""Not Found"")"),"nɔɪzɪz")</f>
        <v>nɔɪzɪz</v>
      </c>
      <c r="E9365" s="2" t="str">
        <f>IFERROR(__xludf.DUMMYFUNCTION("IFERROR(VLOOKUP(A9365, IMPORTRANGE(""https://docs.google.com/spreadsheets/d/1-3Vjw2Cyy-mry5gbC8ypIR3YVGFfEpyFESummAta6sg/edit"", ""Sheet1!B:D""), 3, FALSE), ""Not Found"")"),"n ɔ ɪ z ɪ z ")</f>
        <v>n ɔ ɪ z ɪ z </v>
      </c>
    </row>
    <row r="9366">
      <c r="A9366" s="1" t="s">
        <v>9367</v>
      </c>
      <c r="B9366" s="1" t="s">
        <v>6138</v>
      </c>
      <c r="C9366" s="2">
        <f>IFERROR(__xludf.DUMMYFUNCTION("IFERROR(VLOOKUP(A9366, IMPORTRANGE(""https://docs.google.com/spreadsheets/d/1AVX9GT0dgogEBStecCXMMQ29tWz3gBrtNB8yIromXbY/edit?gid=741673867"", ""out1g!A:B""), 2, FALSE), 0)"),2329.0)</f>
        <v>2329</v>
      </c>
      <c r="D9366" s="2" t="str">
        <f>IFERROR(__xludf.DUMMYFUNCTION("IFERROR(VLOOKUP(A9366, IMPORTRANGE(""https://docs.google.com/spreadsheets/d/1-3Vjw2Cyy-mry5gbC8ypIR3YVGFfEpyFESummAta6sg/edit"", ""Sheet1!B:D""), 2, FALSE), ""Not Found"")"),"kloʊzər")</f>
        <v>kloʊzər</v>
      </c>
      <c r="E9366" s="2" t="str">
        <f>IFERROR(__xludf.DUMMYFUNCTION("IFERROR(VLOOKUP(A9366, IMPORTRANGE(""https://docs.google.com/spreadsheets/d/1-3Vjw2Cyy-mry5gbC8ypIR3YVGFfEpyFESummAta6sg/edit"", ""Sheet1!B:D""), 3, FALSE), ""Not Found"")"),"k l o ʊ z ə r ")</f>
        <v>k l o ʊ z ə r </v>
      </c>
    </row>
    <row r="9367">
      <c r="A9367" s="1" t="s">
        <v>9368</v>
      </c>
      <c r="B9367" s="1" t="s">
        <v>6138</v>
      </c>
      <c r="C9367" s="2">
        <f>IFERROR(__xludf.DUMMYFUNCTION("IFERROR(VLOOKUP(A9367, IMPORTRANGE(""https://docs.google.com/spreadsheets/d/1AVX9GT0dgogEBStecCXMMQ29tWz3gBrtNB8yIromXbY/edit?gid=741673867"", ""out1g!A:B""), 2, FALSE), 0)"),81.0)</f>
        <v>81</v>
      </c>
      <c r="D9367" s="2" t="str">
        <f>IFERROR(__xludf.DUMMYFUNCTION("IFERROR(VLOOKUP(A9367, IMPORTRANGE(""https://docs.google.com/spreadsheets/d/1-3Vjw2Cyy-mry5gbC8ypIR3YVGFfEpyFESummAta6sg/edit"", ""Sheet1!B:D""), 2, FALSE), ""Not Found"")"),"ʧəkəl")</f>
        <v>ʧəkəl</v>
      </c>
      <c r="E9367" s="2" t="str">
        <f>IFERROR(__xludf.DUMMYFUNCTION("IFERROR(VLOOKUP(A9367, IMPORTRANGE(""https://docs.google.com/spreadsheets/d/1-3Vjw2Cyy-mry5gbC8ypIR3YVGFfEpyFESummAta6sg/edit"", ""Sheet1!B:D""), 3, FALSE), ""Not Found"")"),"ʧ ə k ə l ")</f>
        <v>ʧ ə k ə l </v>
      </c>
    </row>
    <row r="9368">
      <c r="A9368" s="1" t="s">
        <v>9369</v>
      </c>
      <c r="B9368" s="1" t="s">
        <v>6138</v>
      </c>
      <c r="C9368" s="2">
        <f>IFERROR(__xludf.DUMMYFUNCTION("IFERROR(VLOOKUP(A9368, IMPORTRANGE(""https://docs.google.com/spreadsheets/d/1AVX9GT0dgogEBStecCXMMQ29tWz3gBrtNB8yIromXbY/edit?gid=741673867"", ""out1g!A:B""), 2, FALSE), 0)"),854.0)</f>
        <v>854</v>
      </c>
      <c r="D9368" s="2" t="str">
        <f>IFERROR(__xludf.DUMMYFUNCTION("IFERROR(VLOOKUP(A9368, IMPORTRANGE(""https://docs.google.com/spreadsheets/d/1-3Vjw2Cyy-mry5gbC8ypIR3YVGFfEpyFESummAta6sg/edit"", ""Sheet1!B:D""), 2, FALSE), ""Not Found"")"),"dɛnɪs")</f>
        <v>dɛnɪs</v>
      </c>
      <c r="E9368" s="2" t="str">
        <f>IFERROR(__xludf.DUMMYFUNCTION("IFERROR(VLOOKUP(A9368, IMPORTRANGE(""https://docs.google.com/spreadsheets/d/1-3Vjw2Cyy-mry5gbC8ypIR3YVGFfEpyFESummAta6sg/edit"", ""Sheet1!B:D""), 3, FALSE), ""Not Found"")"),"d ɛ n ɪ s ")</f>
        <v>d ɛ n ɪ s </v>
      </c>
    </row>
    <row r="9369">
      <c r="A9369" s="1" t="s">
        <v>9370</v>
      </c>
      <c r="B9369" s="1" t="s">
        <v>6138</v>
      </c>
      <c r="C9369" s="2">
        <f>IFERROR(__xludf.DUMMYFUNCTION("IFERROR(VLOOKUP(A9369, IMPORTRANGE(""https://docs.google.com/spreadsheets/d/1AVX9GT0dgogEBStecCXMMQ29tWz3gBrtNB8yIromXbY/edit?gid=741673867"", ""out1g!A:B""), 2, FALSE), 0)"),128.0)</f>
        <v>128</v>
      </c>
      <c r="D9369" s="2" t="str">
        <f>IFERROR(__xludf.DUMMYFUNCTION("IFERROR(VLOOKUP(A9369, IMPORTRANGE(""https://docs.google.com/spreadsheets/d/1-3Vjw2Cyy-mry5gbC8ypIR3YVGFfEpyFESummAta6sg/edit"", ""Sheet1!B:D""), 2, FALSE), ""Not Found"")"),"pækɪt")</f>
        <v>pækɪt</v>
      </c>
      <c r="E9369" s="2" t="str">
        <f>IFERROR(__xludf.DUMMYFUNCTION("IFERROR(VLOOKUP(A9369, IMPORTRANGE(""https://docs.google.com/spreadsheets/d/1-3Vjw2Cyy-mry5gbC8ypIR3YVGFfEpyFESummAta6sg/edit"", ""Sheet1!B:D""), 3, FALSE), ""Not Found"")"),"p æ k ɪ t ")</f>
        <v>p æ k ɪ t </v>
      </c>
    </row>
    <row r="9370">
      <c r="A9370" s="1" t="s">
        <v>9371</v>
      </c>
      <c r="B9370" s="1" t="s">
        <v>6138</v>
      </c>
      <c r="C9370" s="2">
        <f>IFERROR(__xludf.DUMMYFUNCTION("IFERROR(VLOOKUP(A9370, IMPORTRANGE(""https://docs.google.com/spreadsheets/d/1AVX9GT0dgogEBStecCXMMQ29tWz3gBrtNB8yIromXbY/edit?gid=741673867"", ""out1g!A:B""), 2, FALSE), 0)"),534.0)</f>
        <v>534</v>
      </c>
      <c r="D9370" s="2" t="str">
        <f>IFERROR(__xludf.DUMMYFUNCTION("IFERROR(VLOOKUP(A9370, IMPORTRANGE(""https://docs.google.com/spreadsheets/d/1-3Vjw2Cyy-mry5gbC8ypIR3YVGFfEpyFESummAta6sg/edit"", ""Sheet1!B:D""), 2, FALSE), ""Not Found"")"),"roʊmən")</f>
        <v>roʊmən</v>
      </c>
      <c r="E9370" s="2" t="str">
        <f>IFERROR(__xludf.DUMMYFUNCTION("IFERROR(VLOOKUP(A9370, IMPORTRANGE(""https://docs.google.com/spreadsheets/d/1-3Vjw2Cyy-mry5gbC8ypIR3YVGFfEpyFESummAta6sg/edit"", ""Sheet1!B:D""), 3, FALSE), ""Not Found"")"),"r o ʊ m ə n ")</f>
        <v>r o ʊ m ə n </v>
      </c>
    </row>
    <row r="9371">
      <c r="A9371" s="1" t="s">
        <v>9372</v>
      </c>
      <c r="B9371" s="1" t="s">
        <v>6138</v>
      </c>
      <c r="C9371" s="2">
        <f>IFERROR(__xludf.DUMMYFUNCTION("IFERROR(VLOOKUP(A9371, IMPORTRANGE(""https://docs.google.com/spreadsheets/d/1AVX9GT0dgogEBStecCXMMQ29tWz3gBrtNB8yIromXbY/edit?gid=741673867"", ""out1g!A:B""), 2, FALSE), 0)"),54.0)</f>
        <v>54</v>
      </c>
      <c r="D9371" s="2" t="str">
        <f>IFERROR(__xludf.DUMMYFUNCTION("IFERROR(VLOOKUP(A9371, IMPORTRANGE(""https://docs.google.com/spreadsheets/d/1-3Vjw2Cyy-mry5gbC8ypIR3YVGFfEpyFESummAta6sg/edit"", ""Sheet1!B:D""), 2, FALSE), ""Not Found"")"),"æktən")</f>
        <v>æktən</v>
      </c>
      <c r="E9371" s="2" t="str">
        <f>IFERROR(__xludf.DUMMYFUNCTION("IFERROR(VLOOKUP(A9371, IMPORTRANGE(""https://docs.google.com/spreadsheets/d/1-3Vjw2Cyy-mry5gbC8ypIR3YVGFfEpyFESummAta6sg/edit"", ""Sheet1!B:D""), 3, FALSE), ""Not Found"")"),"æ k t ə n ")</f>
        <v>æ k t ə n </v>
      </c>
    </row>
    <row r="9372">
      <c r="A9372" s="1" t="s">
        <v>9373</v>
      </c>
      <c r="B9372" s="1" t="s">
        <v>6138</v>
      </c>
      <c r="C9372" s="2">
        <f>IFERROR(__xludf.DUMMYFUNCTION("IFERROR(VLOOKUP(A9372, IMPORTRANGE(""https://docs.google.com/spreadsheets/d/1AVX9GT0dgogEBStecCXMMQ29tWz3gBrtNB8yIromXbY/edit?gid=741673867"", ""out1g!A:B""), 2, FALSE), 0)"),395.0)</f>
        <v>395</v>
      </c>
      <c r="D9372" s="2" t="str">
        <f>IFERROR(__xludf.DUMMYFUNCTION("IFERROR(VLOOKUP(A9372, IMPORTRANGE(""https://docs.google.com/spreadsheets/d/1-3Vjw2Cyy-mry5gbC8ypIR3YVGFfEpyFESummAta6sg/edit"", ""Sheet1!B:D""), 2, FALSE), ""Not Found"")"),"bɔr")</f>
        <v>bɔr</v>
      </c>
      <c r="E9372" s="2" t="str">
        <f>IFERROR(__xludf.DUMMYFUNCTION("IFERROR(VLOOKUP(A9372, IMPORTRANGE(""https://docs.google.com/spreadsheets/d/1-3Vjw2Cyy-mry5gbC8ypIR3YVGFfEpyFESummAta6sg/edit"", ""Sheet1!B:D""), 3, FALSE), ""Not Found"")"),"b ɔ r ")</f>
        <v>b ɔ r </v>
      </c>
    </row>
    <row r="9373">
      <c r="A9373" s="1" t="s">
        <v>9374</v>
      </c>
      <c r="B9373" s="1" t="s">
        <v>6138</v>
      </c>
      <c r="C9373" s="2">
        <f>IFERROR(__xludf.DUMMYFUNCTION("IFERROR(VLOOKUP(A9373, IMPORTRANGE(""https://docs.google.com/spreadsheets/d/1AVX9GT0dgogEBStecCXMMQ29tWz3gBrtNB8yIromXbY/edit?gid=741673867"", ""out1g!A:B""), 2, FALSE), 0)"),65.0)</f>
        <v>65</v>
      </c>
      <c r="D9373" s="2" t="str">
        <f>IFERROR(__xludf.DUMMYFUNCTION("IFERROR(VLOOKUP(A9373, IMPORTRANGE(""https://docs.google.com/spreadsheets/d/1-3Vjw2Cyy-mry5gbC8ypIR3YVGFfEpyFESummAta6sg/edit"", ""Sheet1!B:D""), 2, FALSE), ""Not Found"")"),"maɪnərz")</f>
        <v>maɪnərz</v>
      </c>
      <c r="E9373" s="2" t="str">
        <f>IFERROR(__xludf.DUMMYFUNCTION("IFERROR(VLOOKUP(A9373, IMPORTRANGE(""https://docs.google.com/spreadsheets/d/1-3Vjw2Cyy-mry5gbC8ypIR3YVGFfEpyFESummAta6sg/edit"", ""Sheet1!B:D""), 3, FALSE), ""Not Found"")"),"m a ɪ n ə r z ")</f>
        <v>m a ɪ n ə r z </v>
      </c>
    </row>
    <row r="9374">
      <c r="A9374" s="1" t="s">
        <v>9375</v>
      </c>
      <c r="B9374" s="1" t="s">
        <v>6138</v>
      </c>
      <c r="C9374" s="2">
        <f>IFERROR(__xludf.DUMMYFUNCTION("IFERROR(VLOOKUP(A9374, IMPORTRANGE(""https://docs.google.com/spreadsheets/d/1AVX9GT0dgogEBStecCXMMQ29tWz3gBrtNB8yIromXbY/edit?gid=741673867"", ""out1g!A:B""), 2, FALSE), 0)"),141.0)</f>
        <v>141</v>
      </c>
      <c r="D9374" s="2" t="str">
        <f>IFERROR(__xludf.DUMMYFUNCTION("IFERROR(VLOOKUP(A9374, IMPORTRANGE(""https://docs.google.com/spreadsheets/d/1-3Vjw2Cyy-mry5gbC8ypIR3YVGFfEpyFESummAta6sg/edit"", ""Sheet1!B:D""), 2, FALSE), ""Not Found"")"),"vaɪkɪŋ")</f>
        <v>vaɪkɪŋ</v>
      </c>
      <c r="E9374" s="2" t="str">
        <f>IFERROR(__xludf.DUMMYFUNCTION("IFERROR(VLOOKUP(A9374, IMPORTRANGE(""https://docs.google.com/spreadsheets/d/1-3Vjw2Cyy-mry5gbC8ypIR3YVGFfEpyFESummAta6sg/edit"", ""Sheet1!B:D""), 3, FALSE), ""Not Found"")"),"v a ɪ k ɪ ŋ ")</f>
        <v>v a ɪ k ɪ ŋ </v>
      </c>
    </row>
    <row r="9375">
      <c r="A9375" s="1" t="s">
        <v>9376</v>
      </c>
      <c r="B9375" s="1" t="s">
        <v>6138</v>
      </c>
      <c r="C9375" s="2">
        <f>IFERROR(__xludf.DUMMYFUNCTION("IFERROR(VLOOKUP(A9375, IMPORTRANGE(""https://docs.google.com/spreadsheets/d/1AVX9GT0dgogEBStecCXMMQ29tWz3gBrtNB8yIromXbY/edit?gid=741673867"", ""out1g!A:B""), 2, FALSE), 0)"),65.0)</f>
        <v>65</v>
      </c>
      <c r="D9375" s="2" t="str">
        <f>IFERROR(__xludf.DUMMYFUNCTION("IFERROR(VLOOKUP(A9375, IMPORTRANGE(""https://docs.google.com/spreadsheets/d/1-3Vjw2Cyy-mry5gbC8ypIR3YVGFfEpyFESummAta6sg/edit"", ""Sheet1!B:D""), 2, FALSE), ""Not Found"")"),"bitəlz")</f>
        <v>bitəlz</v>
      </c>
      <c r="E9375" s="2" t="str">
        <f>IFERROR(__xludf.DUMMYFUNCTION("IFERROR(VLOOKUP(A9375, IMPORTRANGE(""https://docs.google.com/spreadsheets/d/1-3Vjw2Cyy-mry5gbC8ypIR3YVGFfEpyFESummAta6sg/edit"", ""Sheet1!B:D""), 3, FALSE), ""Not Found"")"),"b i t ə l z ")</f>
        <v>b i t ə l z </v>
      </c>
    </row>
    <row r="9376">
      <c r="A9376" s="1" t="s">
        <v>9377</v>
      </c>
      <c r="B9376" s="1" t="s">
        <v>6138</v>
      </c>
      <c r="C9376" s="2">
        <f>IFERROR(__xludf.DUMMYFUNCTION("IFERROR(VLOOKUP(A9376, IMPORTRANGE(""https://docs.google.com/spreadsheets/d/1AVX9GT0dgogEBStecCXMMQ29tWz3gBrtNB8yIromXbY/edit?gid=741673867"", ""out1g!A:B""), 2, FALSE), 0)"),549.0)</f>
        <v>549</v>
      </c>
      <c r="D9376" s="2" t="str">
        <f>IFERROR(__xludf.DUMMYFUNCTION("IFERROR(VLOOKUP(A9376, IMPORTRANGE(""https://docs.google.com/spreadsheets/d/1-3Vjw2Cyy-mry5gbC8ypIR3YVGFfEpyFESummAta6sg/edit"", ""Sheet1!B:D""), 2, FALSE), ""Not Found"")"),"ʤu")</f>
        <v>ʤu</v>
      </c>
      <c r="E9376" s="2" t="str">
        <f>IFERROR(__xludf.DUMMYFUNCTION("IFERROR(VLOOKUP(A9376, IMPORTRANGE(""https://docs.google.com/spreadsheets/d/1-3Vjw2Cyy-mry5gbC8ypIR3YVGFfEpyFESummAta6sg/edit"", ""Sheet1!B:D""), 3, FALSE), ""Not Found"")"),"ʤ u ")</f>
        <v>ʤ u </v>
      </c>
    </row>
    <row r="9377">
      <c r="A9377" s="1" t="s">
        <v>9378</v>
      </c>
      <c r="B9377" s="1" t="s">
        <v>6138</v>
      </c>
      <c r="C9377" s="2">
        <f>IFERROR(__xludf.DUMMYFUNCTION("IFERROR(VLOOKUP(A9377, IMPORTRANGE(""https://docs.google.com/spreadsheets/d/1AVX9GT0dgogEBStecCXMMQ29tWz3gBrtNB8yIromXbY/edit?gid=741673867"", ""out1g!A:B""), 2, FALSE), 0)"),56.0)</f>
        <v>56</v>
      </c>
      <c r="D9377" s="2" t="str">
        <f>IFERROR(__xludf.DUMMYFUNCTION("IFERROR(VLOOKUP(A9377, IMPORTRANGE(""https://docs.google.com/spreadsheets/d/1-3Vjw2Cyy-mry5gbC8ypIR3YVGFfEpyFESummAta6sg/edit"", ""Sheet1!B:D""), 2, FALSE), ""Not Found"")"),"əfɛndɪŋ")</f>
        <v>əfɛndɪŋ</v>
      </c>
      <c r="E9377" s="2" t="str">
        <f>IFERROR(__xludf.DUMMYFUNCTION("IFERROR(VLOOKUP(A9377, IMPORTRANGE(""https://docs.google.com/spreadsheets/d/1-3Vjw2Cyy-mry5gbC8ypIR3YVGFfEpyFESummAta6sg/edit"", ""Sheet1!B:D""), 3, FALSE), ""Not Found"")"),"ə f ɛ n d ɪ ŋ ")</f>
        <v>ə f ɛ n d ɪ ŋ </v>
      </c>
    </row>
    <row r="9378">
      <c r="A9378" s="1" t="s">
        <v>9379</v>
      </c>
      <c r="B9378" s="1" t="s">
        <v>6138</v>
      </c>
      <c r="C9378" s="2">
        <f>IFERROR(__xludf.DUMMYFUNCTION("IFERROR(VLOOKUP(A9378, IMPORTRANGE(""https://docs.google.com/spreadsheets/d/1AVX9GT0dgogEBStecCXMMQ29tWz3gBrtNB8yIromXbY/edit?gid=741673867"", ""out1g!A:B""), 2, FALSE), 0)"),48.0)</f>
        <v>48</v>
      </c>
      <c r="D9378" s="2" t="str">
        <f>IFERROR(__xludf.DUMMYFUNCTION("IFERROR(VLOOKUP(A9378, IMPORTRANGE(""https://docs.google.com/spreadsheets/d/1-3Vjw2Cyy-mry5gbC8ypIR3YVGFfEpyFESummAta6sg/edit"", ""Sheet1!B:D""), 2, FALSE), ""Not Found"")"),"hæŋərz")</f>
        <v>hæŋərz</v>
      </c>
      <c r="E9378" s="2" t="str">
        <f>IFERROR(__xludf.DUMMYFUNCTION("IFERROR(VLOOKUP(A9378, IMPORTRANGE(""https://docs.google.com/spreadsheets/d/1-3Vjw2Cyy-mry5gbC8ypIR3YVGFfEpyFESummAta6sg/edit"", ""Sheet1!B:D""), 3, FALSE), ""Not Found"")"),"h æ ŋ ə r z ")</f>
        <v>h æ ŋ ə r z </v>
      </c>
    </row>
    <row r="9379">
      <c r="A9379" s="1" t="s">
        <v>9380</v>
      </c>
      <c r="B9379" s="1" t="s">
        <v>6138</v>
      </c>
      <c r="C9379" s="2">
        <f>IFERROR(__xludf.DUMMYFUNCTION("IFERROR(VLOOKUP(A9379, IMPORTRANGE(""https://docs.google.com/spreadsheets/d/1AVX9GT0dgogEBStecCXMMQ29tWz3gBrtNB8yIromXbY/edit?gid=741673867"", ""out1g!A:B""), 2, FALSE), 0)"),153.0)</f>
        <v>153</v>
      </c>
      <c r="D9379" s="2" t="str">
        <f>IFERROR(__xludf.DUMMYFUNCTION("IFERROR(VLOOKUP(A9379, IMPORTRANGE(""https://docs.google.com/spreadsheets/d/1-3Vjw2Cyy-mry5gbC8ypIR3YVGFfEpyFESummAta6sg/edit"", ""Sheet1!B:D""), 2, FALSE), ""Not Found"")"),"krʊks")</f>
        <v>krʊks</v>
      </c>
      <c r="E9379" s="2" t="str">
        <f>IFERROR(__xludf.DUMMYFUNCTION("IFERROR(VLOOKUP(A9379, IMPORTRANGE(""https://docs.google.com/spreadsheets/d/1-3Vjw2Cyy-mry5gbC8ypIR3YVGFfEpyFESummAta6sg/edit"", ""Sheet1!B:D""), 3, FALSE), ""Not Found"")"),"k r ʊ k s ")</f>
        <v>k r ʊ k s </v>
      </c>
    </row>
    <row r="9380">
      <c r="A9380" s="1" t="s">
        <v>9381</v>
      </c>
      <c r="B9380" s="1" t="s">
        <v>6138</v>
      </c>
      <c r="C9380" s="2">
        <f>IFERROR(__xludf.DUMMYFUNCTION("IFERROR(VLOOKUP(A9380, IMPORTRANGE(""https://docs.google.com/spreadsheets/d/1AVX9GT0dgogEBStecCXMMQ29tWz3gBrtNB8yIromXbY/edit?gid=741673867"", ""out1g!A:B""), 2, FALSE), 0)"),531.0)</f>
        <v>531</v>
      </c>
      <c r="D9380" s="2" t="str">
        <f>IFERROR(__xludf.DUMMYFUNCTION("IFERROR(VLOOKUP(A9380, IMPORTRANGE(""https://docs.google.com/spreadsheets/d/1-3Vjw2Cyy-mry5gbC8ypIR3YVGFfEpyFESummAta6sg/edit"", ""Sheet1!B:D""), 2, FALSE), ""Not Found"")"),"sɪdni")</f>
        <v>sɪdni</v>
      </c>
      <c r="E9380" s="2" t="str">
        <f>IFERROR(__xludf.DUMMYFUNCTION("IFERROR(VLOOKUP(A9380, IMPORTRANGE(""https://docs.google.com/spreadsheets/d/1-3Vjw2Cyy-mry5gbC8ypIR3YVGFfEpyFESummAta6sg/edit"", ""Sheet1!B:D""), 3, FALSE), ""Not Found"")"),"s ɪ d n i ")</f>
        <v>s ɪ d n i </v>
      </c>
    </row>
    <row r="9381">
      <c r="A9381" s="1" t="s">
        <v>9382</v>
      </c>
      <c r="B9381" s="1" t="s">
        <v>6138</v>
      </c>
      <c r="C9381" s="2">
        <f>IFERROR(__xludf.DUMMYFUNCTION("IFERROR(VLOOKUP(A9381, IMPORTRANGE(""https://docs.google.com/spreadsheets/d/1AVX9GT0dgogEBStecCXMMQ29tWz3gBrtNB8yIromXbY/edit?gid=741673867"", ""out1g!A:B""), 2, FALSE), 0)"),178.0)</f>
        <v>178</v>
      </c>
      <c r="D9381" s="2" t="str">
        <f>IFERROR(__xludf.DUMMYFUNCTION("IFERROR(VLOOKUP(A9381, IMPORTRANGE(""https://docs.google.com/spreadsheets/d/1-3Vjw2Cyy-mry5gbC8ypIR3YVGFfEpyFESummAta6sg/edit"", ""Sheet1!B:D""), 2, FALSE), ""Not Found"")"),"skruz")</f>
        <v>skruz</v>
      </c>
      <c r="E9381" s="2" t="str">
        <f>IFERROR(__xludf.DUMMYFUNCTION("IFERROR(VLOOKUP(A9381, IMPORTRANGE(""https://docs.google.com/spreadsheets/d/1-3Vjw2Cyy-mry5gbC8ypIR3YVGFfEpyFESummAta6sg/edit"", ""Sheet1!B:D""), 3, FALSE), ""Not Found"")"),"s k r u z ")</f>
        <v>s k r u z </v>
      </c>
    </row>
    <row r="9382">
      <c r="A9382" s="1" t="s">
        <v>9383</v>
      </c>
      <c r="B9382" s="1" t="s">
        <v>6138</v>
      </c>
      <c r="C9382" s="2">
        <f>IFERROR(__xludf.DUMMYFUNCTION("IFERROR(VLOOKUP(A9382, IMPORTRANGE(""https://docs.google.com/spreadsheets/d/1AVX9GT0dgogEBStecCXMMQ29tWz3gBrtNB8yIromXbY/edit?gid=741673867"", ""out1g!A:B""), 2, FALSE), 0)"),961.0)</f>
        <v>961</v>
      </c>
      <c r="D9382" s="2" t="str">
        <f>IFERROR(__xludf.DUMMYFUNCTION("IFERROR(VLOOKUP(A9382, IMPORTRANGE(""https://docs.google.com/spreadsheets/d/1-3Vjw2Cyy-mry5gbC8ypIR3YVGFfEpyFESummAta6sg/edit"", ""Sheet1!B:D""), 2, FALSE), ""Not Found"")"),"skræʧ")</f>
        <v>skræʧ</v>
      </c>
      <c r="E9382" s="2" t="str">
        <f>IFERROR(__xludf.DUMMYFUNCTION("IFERROR(VLOOKUP(A9382, IMPORTRANGE(""https://docs.google.com/spreadsheets/d/1-3Vjw2Cyy-mry5gbC8ypIR3YVGFfEpyFESummAta6sg/edit"", ""Sheet1!B:D""), 3, FALSE), ""Not Found"")"),"s k r æ ʧ ")</f>
        <v>s k r æ ʧ </v>
      </c>
    </row>
    <row r="9383">
      <c r="A9383" s="1" t="s">
        <v>9384</v>
      </c>
      <c r="B9383" s="1" t="s">
        <v>6138</v>
      </c>
      <c r="C9383" s="2">
        <f>IFERROR(__xludf.DUMMYFUNCTION("IFERROR(VLOOKUP(A9383, IMPORTRANGE(""https://docs.google.com/spreadsheets/d/1AVX9GT0dgogEBStecCXMMQ29tWz3gBrtNB8yIromXbY/edit?gid=741673867"", ""out1g!A:B""), 2, FALSE), 0)"),364.0)</f>
        <v>364</v>
      </c>
      <c r="D9383" s="2" t="str">
        <f>IFERROR(__xludf.DUMMYFUNCTION("IFERROR(VLOOKUP(A9383, IMPORTRANGE(""https://docs.google.com/spreadsheets/d/1-3Vjw2Cyy-mry5gbC8ypIR3YVGFfEpyFESummAta6sg/edit"", ""Sheet1!B:D""), 2, FALSE), ""Not Found"")"),"ətɛndɪŋ")</f>
        <v>ətɛndɪŋ</v>
      </c>
      <c r="E9383" s="2" t="str">
        <f>IFERROR(__xludf.DUMMYFUNCTION("IFERROR(VLOOKUP(A9383, IMPORTRANGE(""https://docs.google.com/spreadsheets/d/1-3Vjw2Cyy-mry5gbC8ypIR3YVGFfEpyFESummAta6sg/edit"", ""Sheet1!B:D""), 3, FALSE), ""Not Found"")"),"ə t ɛ n d ɪ ŋ ")</f>
        <v>ə t ɛ n d ɪ ŋ </v>
      </c>
    </row>
    <row r="9384">
      <c r="A9384" s="1" t="s">
        <v>9385</v>
      </c>
      <c r="B9384" s="1" t="s">
        <v>6138</v>
      </c>
      <c r="C9384" s="2">
        <f>IFERROR(__xludf.DUMMYFUNCTION("IFERROR(VLOOKUP(A9384, IMPORTRANGE(""https://docs.google.com/spreadsheets/d/1AVX9GT0dgogEBStecCXMMQ29tWz3gBrtNB8yIromXbY/edit?gid=741673867"", ""out1g!A:B""), 2, FALSE), 0)"),60.0)</f>
        <v>60</v>
      </c>
      <c r="D9384" s="2" t="str">
        <f>IFERROR(__xludf.DUMMYFUNCTION("IFERROR(VLOOKUP(A9384, IMPORTRANGE(""https://docs.google.com/spreadsheets/d/1-3Vjw2Cyy-mry5gbC8ypIR3YVGFfEpyFESummAta6sg/edit"", ""Sheet1!B:D""), 2, FALSE), ""Not Found"")"),"kju")</f>
        <v>kju</v>
      </c>
      <c r="E9384" s="2" t="str">
        <f>IFERROR(__xludf.DUMMYFUNCTION("IFERROR(VLOOKUP(A9384, IMPORTRANGE(""https://docs.google.com/spreadsheets/d/1-3Vjw2Cyy-mry5gbC8ypIR3YVGFfEpyFESummAta6sg/edit"", ""Sheet1!B:D""), 3, FALSE), ""Not Found"")"),"k j u ")</f>
        <v>k j u </v>
      </c>
    </row>
    <row r="9385">
      <c r="A9385" s="1" t="s">
        <v>9386</v>
      </c>
      <c r="B9385" s="1" t="s">
        <v>6138</v>
      </c>
      <c r="C9385" s="2">
        <f>IFERROR(__xludf.DUMMYFUNCTION("IFERROR(VLOOKUP(A9385, IMPORTRANGE(""https://docs.google.com/spreadsheets/d/1AVX9GT0dgogEBStecCXMMQ29tWz3gBrtNB8yIromXbY/edit?gid=741673867"", ""out1g!A:B""), 2, FALSE), 0)"),140.0)</f>
        <v>140</v>
      </c>
      <c r="D9385" s="2" t="str">
        <f>IFERROR(__xludf.DUMMYFUNCTION("IFERROR(VLOOKUP(A9385, IMPORTRANGE(""https://docs.google.com/spreadsheets/d/1-3Vjw2Cyy-mry5gbC8ypIR3YVGFfEpyFESummAta6sg/edit"", ""Sheet1!B:D""), 2, FALSE), ""Not Found"")"),"krɪsti")</f>
        <v>krɪsti</v>
      </c>
      <c r="E9385" s="2" t="str">
        <f>IFERROR(__xludf.DUMMYFUNCTION("IFERROR(VLOOKUP(A9385, IMPORTRANGE(""https://docs.google.com/spreadsheets/d/1-3Vjw2Cyy-mry5gbC8ypIR3YVGFfEpyFESummAta6sg/edit"", ""Sheet1!B:D""), 3, FALSE), ""Not Found"")"),"k r ɪ s t i ")</f>
        <v>k r ɪ s t i </v>
      </c>
    </row>
    <row r="9386">
      <c r="A9386" s="1" t="s">
        <v>9387</v>
      </c>
      <c r="B9386" s="1" t="s">
        <v>6138</v>
      </c>
      <c r="C9386" s="2">
        <f>IFERROR(__xludf.DUMMYFUNCTION("IFERROR(VLOOKUP(A9386, IMPORTRANGE(""https://docs.google.com/spreadsheets/d/1AVX9GT0dgogEBStecCXMMQ29tWz3gBrtNB8yIromXbY/edit?gid=741673867"", ""out1g!A:B""), 2, FALSE), 0)"),485.0)</f>
        <v>485</v>
      </c>
      <c r="D9386" s="2" t="str">
        <f>IFERROR(__xludf.DUMMYFUNCTION("IFERROR(VLOOKUP(A9386, IMPORTRANGE(""https://docs.google.com/spreadsheets/d/1-3Vjw2Cyy-mry5gbC8ypIR3YVGFfEpyFESummAta6sg/edit"", ""Sheet1!B:D""), 2, FALSE), ""Not Found"")"),"prɛrz")</f>
        <v>prɛrz</v>
      </c>
      <c r="E9386" s="2" t="str">
        <f>IFERROR(__xludf.DUMMYFUNCTION("IFERROR(VLOOKUP(A9386, IMPORTRANGE(""https://docs.google.com/spreadsheets/d/1-3Vjw2Cyy-mry5gbC8ypIR3YVGFfEpyFESummAta6sg/edit"", ""Sheet1!B:D""), 3, FALSE), ""Not Found"")"),"p r ɛ r z ")</f>
        <v>p r ɛ r z </v>
      </c>
    </row>
    <row r="9387">
      <c r="A9387" s="1" t="s">
        <v>9388</v>
      </c>
      <c r="B9387" s="1" t="s">
        <v>6138</v>
      </c>
      <c r="C9387" s="2">
        <f>IFERROR(__xludf.DUMMYFUNCTION("IFERROR(VLOOKUP(A9387, IMPORTRANGE(""https://docs.google.com/spreadsheets/d/1AVX9GT0dgogEBStecCXMMQ29tWz3gBrtNB8yIromXbY/edit?gid=741673867"", ""out1g!A:B""), 2, FALSE), 0)"),62.0)</f>
        <v>62</v>
      </c>
      <c r="D9387" s="2" t="str">
        <f>IFERROR(__xludf.DUMMYFUNCTION("IFERROR(VLOOKUP(A9387, IMPORTRANGE(""https://docs.google.com/spreadsheets/d/1-3Vjw2Cyy-mry5gbC8ypIR3YVGFfEpyFESummAta6sg/edit"", ""Sheet1!B:D""), 2, FALSE), ""Not Found"")"),"mæməl")</f>
        <v>mæməl</v>
      </c>
      <c r="E9387" s="2" t="str">
        <f>IFERROR(__xludf.DUMMYFUNCTION("IFERROR(VLOOKUP(A9387, IMPORTRANGE(""https://docs.google.com/spreadsheets/d/1-3Vjw2Cyy-mry5gbC8ypIR3YVGFfEpyFESummAta6sg/edit"", ""Sheet1!B:D""), 3, FALSE), ""Not Found"")"),"m æ m ə l ")</f>
        <v>m æ m ə l </v>
      </c>
    </row>
    <row r="9388">
      <c r="A9388" s="1" t="s">
        <v>9389</v>
      </c>
      <c r="B9388" s="1" t="s">
        <v>6138</v>
      </c>
      <c r="C9388" s="2">
        <f>IFERROR(__xludf.DUMMYFUNCTION("IFERROR(VLOOKUP(A9388, IMPORTRANGE(""https://docs.google.com/spreadsheets/d/1AVX9GT0dgogEBStecCXMMQ29tWz3gBrtNB8yIromXbY/edit?gid=741673867"", ""out1g!A:B""), 2, FALSE), 0)"),134.0)</f>
        <v>134</v>
      </c>
      <c r="D9388" s="2" t="str">
        <f>IFERROR(__xludf.DUMMYFUNCTION("IFERROR(VLOOKUP(A9388, IMPORTRANGE(""https://docs.google.com/spreadsheets/d/1-3Vjw2Cyy-mry5gbC8ypIR3YVGFfEpyFESummAta6sg/edit"", ""Sheet1!B:D""), 2, FALSE), ""Not Found"")"),"swɪʧɪz")</f>
        <v>swɪʧɪz</v>
      </c>
      <c r="E9388" s="2" t="str">
        <f>IFERROR(__xludf.DUMMYFUNCTION("IFERROR(VLOOKUP(A9388, IMPORTRANGE(""https://docs.google.com/spreadsheets/d/1-3Vjw2Cyy-mry5gbC8ypIR3YVGFfEpyFESummAta6sg/edit"", ""Sheet1!B:D""), 3, FALSE), ""Not Found"")"),"s w ɪ ʧ ɪ z ")</f>
        <v>s w ɪ ʧ ɪ z </v>
      </c>
    </row>
    <row r="9389">
      <c r="A9389" s="1" t="s">
        <v>9390</v>
      </c>
      <c r="B9389" s="1" t="s">
        <v>6138</v>
      </c>
      <c r="C9389" s="2">
        <f>IFERROR(__xludf.DUMMYFUNCTION("IFERROR(VLOOKUP(A9389, IMPORTRANGE(""https://docs.google.com/spreadsheets/d/1AVX9GT0dgogEBStecCXMMQ29tWz3gBrtNB8yIromXbY/edit?gid=741673867"", ""out1g!A:B""), 2, FALSE), 0)"),71.0)</f>
        <v>71</v>
      </c>
      <c r="D9389" s="2" t="str">
        <f>IFERROR(__xludf.DUMMYFUNCTION("IFERROR(VLOOKUP(A9389, IMPORTRANGE(""https://docs.google.com/spreadsheets/d/1-3Vjw2Cyy-mry5gbC8ypIR3YVGFfEpyFESummAta6sg/edit"", ""Sheet1!B:D""), 2, FALSE), ""Not Found"")"),"mɑrʧɪz")</f>
        <v>mɑrʧɪz</v>
      </c>
      <c r="E9389" s="2" t="str">
        <f>IFERROR(__xludf.DUMMYFUNCTION("IFERROR(VLOOKUP(A9389, IMPORTRANGE(""https://docs.google.com/spreadsheets/d/1-3Vjw2Cyy-mry5gbC8ypIR3YVGFfEpyFESummAta6sg/edit"", ""Sheet1!B:D""), 3, FALSE), ""Not Found"")"),"m ɑ r ʧ ɪ z ")</f>
        <v>m ɑ r ʧ ɪ z </v>
      </c>
    </row>
    <row r="9390">
      <c r="A9390" s="1" t="s">
        <v>9391</v>
      </c>
      <c r="B9390" s="1" t="s">
        <v>6138</v>
      </c>
      <c r="C9390" s="2">
        <f>IFERROR(__xludf.DUMMYFUNCTION("IFERROR(VLOOKUP(A9390, IMPORTRANGE(""https://docs.google.com/spreadsheets/d/1AVX9GT0dgogEBStecCXMMQ29tWz3gBrtNB8yIromXbY/edit?gid=741673867"", ""out1g!A:B""), 2, FALSE), 0)"),197.0)</f>
        <v>197</v>
      </c>
      <c r="D9390" s="2" t="str">
        <f>IFERROR(__xludf.DUMMYFUNCTION("IFERROR(VLOOKUP(A9390, IMPORTRANGE(""https://docs.google.com/spreadsheets/d/1-3Vjw2Cyy-mry5gbC8ypIR3YVGFfEpyFESummAta6sg/edit"", ""Sheet1!B:D""), 2, FALSE), ""Not Found"")"),"ʧuzɪz")</f>
        <v>ʧuzɪz</v>
      </c>
      <c r="E9390" s="2" t="str">
        <f>IFERROR(__xludf.DUMMYFUNCTION("IFERROR(VLOOKUP(A9390, IMPORTRANGE(""https://docs.google.com/spreadsheets/d/1-3Vjw2Cyy-mry5gbC8ypIR3YVGFfEpyFESummAta6sg/edit"", ""Sheet1!B:D""), 3, FALSE), ""Not Found"")"),"ʧ u z ɪ z ")</f>
        <v>ʧ u z ɪ z </v>
      </c>
    </row>
    <row r="9391">
      <c r="A9391" s="1" t="s">
        <v>9392</v>
      </c>
      <c r="B9391" s="1" t="s">
        <v>6138</v>
      </c>
      <c r="C9391" s="2">
        <f>IFERROR(__xludf.DUMMYFUNCTION("IFERROR(VLOOKUP(A9391, IMPORTRANGE(""https://docs.google.com/spreadsheets/d/1AVX9GT0dgogEBStecCXMMQ29tWz3gBrtNB8yIromXbY/edit?gid=741673867"", ""out1g!A:B""), 2, FALSE), 0)"),191.0)</f>
        <v>191</v>
      </c>
      <c r="D9391" s="2" t="str">
        <f>IFERROR(__xludf.DUMMYFUNCTION("IFERROR(VLOOKUP(A9391, IMPORTRANGE(""https://docs.google.com/spreadsheets/d/1-3Vjw2Cyy-mry5gbC8ypIR3YVGFfEpyFESummAta6sg/edit"", ""Sheet1!B:D""), 2, FALSE), ""Not Found"")"),"sɪrəm")</f>
        <v>sɪrəm</v>
      </c>
      <c r="E9391" s="2" t="str">
        <f>IFERROR(__xludf.DUMMYFUNCTION("IFERROR(VLOOKUP(A9391, IMPORTRANGE(""https://docs.google.com/spreadsheets/d/1-3Vjw2Cyy-mry5gbC8ypIR3YVGFfEpyFESummAta6sg/edit"", ""Sheet1!B:D""), 3, FALSE), ""Not Found"")"),"s ɪ r ə m ")</f>
        <v>s ɪ r ə m </v>
      </c>
    </row>
    <row r="9392">
      <c r="A9392" s="1" t="s">
        <v>9393</v>
      </c>
      <c r="B9392" s="1" t="s">
        <v>6138</v>
      </c>
      <c r="C9392" s="2">
        <f>IFERROR(__xludf.DUMMYFUNCTION("IFERROR(VLOOKUP(A9392, IMPORTRANGE(""https://docs.google.com/spreadsheets/d/1AVX9GT0dgogEBStecCXMMQ29tWz3gBrtNB8yIromXbY/edit?gid=741673867"", ""out1g!A:B""), 2, FALSE), 0)"),260.0)</f>
        <v>260</v>
      </c>
      <c r="D9392" s="2" t="str">
        <f>IFERROR(__xludf.DUMMYFUNCTION("IFERROR(VLOOKUP(A9392, IMPORTRANGE(""https://docs.google.com/spreadsheets/d/1-3Vjw2Cyy-mry5gbC8ypIR3YVGFfEpyFESummAta6sg/edit"", ""Sheet1!B:D""), 2, FALSE), ""Not Found"")"),"ɪmɔrtəl")</f>
        <v>ɪmɔrtəl</v>
      </c>
      <c r="E9392" s="2" t="str">
        <f>IFERROR(__xludf.DUMMYFUNCTION("IFERROR(VLOOKUP(A9392, IMPORTRANGE(""https://docs.google.com/spreadsheets/d/1-3Vjw2Cyy-mry5gbC8ypIR3YVGFfEpyFESummAta6sg/edit"", ""Sheet1!B:D""), 3, FALSE), ""Not Found"")"),"ɪ m ɔ r t ə l ")</f>
        <v>ɪ m ɔ r t ə l </v>
      </c>
    </row>
    <row r="9393">
      <c r="A9393" s="1" t="s">
        <v>9394</v>
      </c>
      <c r="B9393" s="1" t="s">
        <v>6138</v>
      </c>
      <c r="C9393" s="2">
        <f>IFERROR(__xludf.DUMMYFUNCTION("IFERROR(VLOOKUP(A9393, IMPORTRANGE(""https://docs.google.com/spreadsheets/d/1AVX9GT0dgogEBStecCXMMQ29tWz3gBrtNB8yIromXbY/edit?gid=741673867"", ""out1g!A:B""), 2, FALSE), 0)"),275.0)</f>
        <v>275</v>
      </c>
      <c r="D9393" s="2" t="str">
        <f>IFERROR(__xludf.DUMMYFUNCTION("IFERROR(VLOOKUP(A9393, IMPORTRANGE(""https://docs.google.com/spreadsheets/d/1-3Vjw2Cyy-mry5gbC8ypIR3YVGFfEpyFESummAta6sg/edit"", ""Sheet1!B:D""), 2, FALSE), ""Not Found"")"),"pɑpɪŋ")</f>
        <v>pɑpɪŋ</v>
      </c>
      <c r="E9393" s="2" t="str">
        <f>IFERROR(__xludf.DUMMYFUNCTION("IFERROR(VLOOKUP(A9393, IMPORTRANGE(""https://docs.google.com/spreadsheets/d/1-3Vjw2Cyy-mry5gbC8ypIR3YVGFfEpyFESummAta6sg/edit"", ""Sheet1!B:D""), 3, FALSE), ""Not Found"")"),"p ɑ p ɪ ŋ ")</f>
        <v>p ɑ p ɪ ŋ </v>
      </c>
    </row>
    <row r="9394">
      <c r="A9394" s="1" t="s">
        <v>9395</v>
      </c>
      <c r="B9394" s="1" t="s">
        <v>6138</v>
      </c>
      <c r="C9394" s="2">
        <f>IFERROR(__xludf.DUMMYFUNCTION("IFERROR(VLOOKUP(A9394, IMPORTRANGE(""https://docs.google.com/spreadsheets/d/1AVX9GT0dgogEBStecCXMMQ29tWz3gBrtNB8yIromXbY/edit?gid=741673867"", ""out1g!A:B""), 2, FALSE), 0)"),166.0)</f>
        <v>166</v>
      </c>
      <c r="D9394" s="2" t="str">
        <f>IFERROR(__xludf.DUMMYFUNCTION("IFERROR(VLOOKUP(A9394, IMPORTRANGE(""https://docs.google.com/spreadsheets/d/1-3Vjw2Cyy-mry5gbC8ypIR3YVGFfEpyFESummAta6sg/edit"", ""Sheet1!B:D""), 2, FALSE), ""Not Found"")"),"rigən")</f>
        <v>rigən</v>
      </c>
      <c r="E9394" s="2" t="str">
        <f>IFERROR(__xludf.DUMMYFUNCTION("IFERROR(VLOOKUP(A9394, IMPORTRANGE(""https://docs.google.com/spreadsheets/d/1-3Vjw2Cyy-mry5gbC8ypIR3YVGFfEpyFESummAta6sg/edit"", ""Sheet1!B:D""), 3, FALSE), ""Not Found"")"),"r i g ə n ")</f>
        <v>r i g ə n </v>
      </c>
    </row>
    <row r="9395">
      <c r="A9395" s="1" t="s">
        <v>9396</v>
      </c>
      <c r="B9395" s="1" t="s">
        <v>6138</v>
      </c>
      <c r="C9395" s="2">
        <f>IFERROR(__xludf.DUMMYFUNCTION("IFERROR(VLOOKUP(A9395, IMPORTRANGE(""https://docs.google.com/spreadsheets/d/1AVX9GT0dgogEBStecCXMMQ29tWz3gBrtNB8yIromXbY/edit?gid=741673867"", ""out1g!A:B""), 2, FALSE), 0)"),423.0)</f>
        <v>423</v>
      </c>
      <c r="D9395" s="2" t="str">
        <f>IFERROR(__xludf.DUMMYFUNCTION("IFERROR(VLOOKUP(A9395, IMPORTRANGE(""https://docs.google.com/spreadsheets/d/1-3Vjw2Cyy-mry5gbC8ypIR3YVGFfEpyFESummAta6sg/edit"", ""Sheet1!B:D""), 2, FALSE), ""Not Found"")"),"tɔr")</f>
        <v>tɔr</v>
      </c>
      <c r="E9395" s="2" t="str">
        <f>IFERROR(__xludf.DUMMYFUNCTION("IFERROR(VLOOKUP(A9395, IMPORTRANGE(""https://docs.google.com/spreadsheets/d/1-3Vjw2Cyy-mry5gbC8ypIR3YVGFfEpyFESummAta6sg/edit"", ""Sheet1!B:D""), 3, FALSE), ""Not Found"")"),"t ɔ r ")</f>
        <v>t ɔ r </v>
      </c>
    </row>
    <row r="9396">
      <c r="A9396" s="1" t="s">
        <v>9397</v>
      </c>
      <c r="B9396" s="1" t="s">
        <v>6138</v>
      </c>
      <c r="C9396" s="2">
        <f>IFERROR(__xludf.DUMMYFUNCTION("IFERROR(VLOOKUP(A9396, IMPORTRANGE(""https://docs.google.com/spreadsheets/d/1AVX9GT0dgogEBStecCXMMQ29tWz3gBrtNB8yIromXbY/edit?gid=741673867"", ""out1g!A:B""), 2, FALSE), 0)"),38.0)</f>
        <v>38</v>
      </c>
      <c r="D9396" s="2" t="str">
        <f>IFERROR(__xludf.DUMMYFUNCTION("IFERROR(VLOOKUP(A9396, IMPORTRANGE(""https://docs.google.com/spreadsheets/d/1-3Vjw2Cyy-mry5gbC8ypIR3YVGFfEpyFESummAta6sg/edit"", ""Sheet1!B:D""), 2, FALSE), ""Not Found"")"),"dɔnɪŋ")</f>
        <v>dɔnɪŋ</v>
      </c>
      <c r="E9396" s="2" t="str">
        <f>IFERROR(__xludf.DUMMYFUNCTION("IFERROR(VLOOKUP(A9396, IMPORTRANGE(""https://docs.google.com/spreadsheets/d/1-3Vjw2Cyy-mry5gbC8ypIR3YVGFfEpyFESummAta6sg/edit"", ""Sheet1!B:D""), 3, FALSE), ""Not Found"")"),"d ɔ n ɪ ŋ ")</f>
        <v>d ɔ n ɪ ŋ </v>
      </c>
    </row>
    <row r="9397">
      <c r="A9397" s="1" t="s">
        <v>9398</v>
      </c>
      <c r="B9397" s="1" t="s">
        <v>6138</v>
      </c>
      <c r="C9397" s="2">
        <f>IFERROR(__xludf.DUMMYFUNCTION("IFERROR(VLOOKUP(A9397, IMPORTRANGE(""https://docs.google.com/spreadsheets/d/1AVX9GT0dgogEBStecCXMMQ29tWz3gBrtNB8yIromXbY/edit?gid=741673867"", ""out1g!A:B""), 2, FALSE), 0)"),314.0)</f>
        <v>314</v>
      </c>
      <c r="D9397" s="2" t="str">
        <f>IFERROR(__xludf.DUMMYFUNCTION("IFERROR(VLOOKUP(A9397, IMPORTRANGE(""https://docs.google.com/spreadsheets/d/1-3Vjw2Cyy-mry5gbC8ypIR3YVGFfEpyFESummAta6sg/edit"", ""Sheet1!B:D""), 2, FALSE), ""Not Found"")"),"əplaɪd")</f>
        <v>əplaɪd</v>
      </c>
      <c r="E9397" s="2" t="str">
        <f>IFERROR(__xludf.DUMMYFUNCTION("IFERROR(VLOOKUP(A9397, IMPORTRANGE(""https://docs.google.com/spreadsheets/d/1-3Vjw2Cyy-mry5gbC8ypIR3YVGFfEpyFESummAta6sg/edit"", ""Sheet1!B:D""), 3, FALSE), ""Not Found"")"),"ə p l a ɪ d ")</f>
        <v>ə p l a ɪ d </v>
      </c>
    </row>
    <row r="9398">
      <c r="A9398" s="1" t="s">
        <v>9399</v>
      </c>
      <c r="B9398" s="1" t="s">
        <v>6138</v>
      </c>
      <c r="C9398" s="2">
        <f>IFERROR(__xludf.DUMMYFUNCTION("IFERROR(VLOOKUP(A9398, IMPORTRANGE(""https://docs.google.com/spreadsheets/d/1AVX9GT0dgogEBStecCXMMQ29tWz3gBrtNB8yIromXbY/edit?gid=741673867"", ""out1g!A:B""), 2, FALSE), 0)"),676.0)</f>
        <v>676</v>
      </c>
      <c r="D9398" s="2" t="str">
        <f>IFERROR(__xludf.DUMMYFUNCTION("IFERROR(VLOOKUP(A9398, IMPORTRANGE(""https://docs.google.com/spreadsheets/d/1-3Vjw2Cyy-mry5gbC8ypIR3YVGFfEpyFESummAta6sg/edit"", ""Sheet1!B:D""), 2, FALSE), ""Not Found"")"),"dɪgɪŋ")</f>
        <v>dɪgɪŋ</v>
      </c>
      <c r="E9398" s="2" t="str">
        <f>IFERROR(__xludf.DUMMYFUNCTION("IFERROR(VLOOKUP(A9398, IMPORTRANGE(""https://docs.google.com/spreadsheets/d/1-3Vjw2Cyy-mry5gbC8ypIR3YVGFfEpyFESummAta6sg/edit"", ""Sheet1!B:D""), 3, FALSE), ""Not Found"")"),"d ɪ g ɪ ŋ ")</f>
        <v>d ɪ g ɪ ŋ </v>
      </c>
    </row>
    <row r="9399">
      <c r="A9399" s="1" t="s">
        <v>9400</v>
      </c>
      <c r="B9399" s="1" t="s">
        <v>6138</v>
      </c>
      <c r="C9399" s="2">
        <f>IFERROR(__xludf.DUMMYFUNCTION("IFERROR(VLOOKUP(A9399, IMPORTRANGE(""https://docs.google.com/spreadsheets/d/1AVX9GT0dgogEBStecCXMMQ29tWz3gBrtNB8yIromXbY/edit?gid=741673867"", ""out1g!A:B""), 2, FALSE), 0)"),1380.0)</f>
        <v>1380</v>
      </c>
      <c r="D9399" s="2" t="str">
        <f>IFERROR(__xludf.DUMMYFUNCTION("IFERROR(VLOOKUP(A9399, IMPORTRANGE(""https://docs.google.com/spreadsheets/d/1-3Vjw2Cyy-mry5gbC8ypIR3YVGFfEpyFESummAta6sg/edit"", ""Sheet1!B:D""), 2, FALSE), ""Not Found"")"),"fræns")</f>
        <v>fræns</v>
      </c>
      <c r="E9399" s="2" t="str">
        <f>IFERROR(__xludf.DUMMYFUNCTION("IFERROR(VLOOKUP(A9399, IMPORTRANGE(""https://docs.google.com/spreadsheets/d/1-3Vjw2Cyy-mry5gbC8ypIR3YVGFfEpyFESummAta6sg/edit"", ""Sheet1!B:D""), 3, FALSE), ""Not Found"")"),"f r æ n s ")</f>
        <v>f r æ n s </v>
      </c>
    </row>
    <row r="9400">
      <c r="A9400" s="1" t="s">
        <v>9401</v>
      </c>
      <c r="B9400" s="1" t="s">
        <v>6138</v>
      </c>
      <c r="C9400" s="2">
        <f>IFERROR(__xludf.DUMMYFUNCTION("IFERROR(VLOOKUP(A9400, IMPORTRANGE(""https://docs.google.com/spreadsheets/d/1AVX9GT0dgogEBStecCXMMQ29tWz3gBrtNB8yIromXbY/edit?gid=741673867"", ""out1g!A:B""), 2, FALSE), 0)"),1904.0)</f>
        <v>1904</v>
      </c>
      <c r="D9400" s="2" t="str">
        <f>IFERROR(__xludf.DUMMYFUNCTION("IFERROR(VLOOKUP(A9400, IMPORTRANGE(""https://docs.google.com/spreadsheets/d/1-3Vjw2Cyy-mry5gbC8ypIR3YVGFfEpyFESummAta6sg/edit"", ""Sheet1!B:D""), 2, FALSE), ""Not Found"")"),"minɪŋ")</f>
        <v>minɪŋ</v>
      </c>
      <c r="E9400" s="2" t="str">
        <f>IFERROR(__xludf.DUMMYFUNCTION("IFERROR(VLOOKUP(A9400, IMPORTRANGE(""https://docs.google.com/spreadsheets/d/1-3Vjw2Cyy-mry5gbC8ypIR3YVGFfEpyFESummAta6sg/edit"", ""Sheet1!B:D""), 3, FALSE), ""Not Found"")"),"m i n ɪ ŋ ")</f>
        <v>m i n ɪ ŋ </v>
      </c>
    </row>
    <row r="9401">
      <c r="A9401" s="1" t="s">
        <v>9402</v>
      </c>
      <c r="B9401" s="1" t="s">
        <v>6138</v>
      </c>
      <c r="C9401" s="2">
        <f>IFERROR(__xludf.DUMMYFUNCTION("IFERROR(VLOOKUP(A9401, IMPORTRANGE(""https://docs.google.com/spreadsheets/d/1AVX9GT0dgogEBStecCXMMQ29tWz3gBrtNB8yIromXbY/edit?gid=741673867"", ""out1g!A:B""), 2, FALSE), 0)"),111.0)</f>
        <v>111</v>
      </c>
      <c r="D9401" s="2" t="str">
        <f>IFERROR(__xludf.DUMMYFUNCTION("IFERROR(VLOOKUP(A9401, IMPORTRANGE(""https://docs.google.com/spreadsheets/d/1-3Vjw2Cyy-mry5gbC8ypIR3YVGFfEpyFESummAta6sg/edit"", ""Sheet1!B:D""), 2, FALSE), ""Not Found"")"),"kɑrmaɪn")</f>
        <v>kɑrmaɪn</v>
      </c>
      <c r="E9401" s="2" t="str">
        <f>IFERROR(__xludf.DUMMYFUNCTION("IFERROR(VLOOKUP(A9401, IMPORTRANGE(""https://docs.google.com/spreadsheets/d/1-3Vjw2Cyy-mry5gbC8ypIR3YVGFfEpyFESummAta6sg/edit"", ""Sheet1!B:D""), 3, FALSE), ""Not Found"")"),"k ɑ r m a ɪ n ")</f>
        <v>k ɑ r m a ɪ n </v>
      </c>
    </row>
    <row r="9402">
      <c r="A9402" s="1" t="s">
        <v>9403</v>
      </c>
      <c r="B9402" s="1" t="s">
        <v>6138</v>
      </c>
      <c r="C9402" s="2">
        <f>IFERROR(__xludf.DUMMYFUNCTION("IFERROR(VLOOKUP(A9402, IMPORTRANGE(""https://docs.google.com/spreadsheets/d/1AVX9GT0dgogEBStecCXMMQ29tWz3gBrtNB8yIromXbY/edit?gid=741673867"", ""out1g!A:B""), 2, FALSE), 0)"),129.0)</f>
        <v>129</v>
      </c>
      <c r="D9402" s="2" t="str">
        <f>IFERROR(__xludf.DUMMYFUNCTION("IFERROR(VLOOKUP(A9402, IMPORTRANGE(""https://docs.google.com/spreadsheets/d/1-3Vjw2Cyy-mry5gbC8ypIR3YVGFfEpyFESummAta6sg/edit"", ""Sheet1!B:D""), 2, FALSE), ""Not Found"")"),"hʊkɪŋ")</f>
        <v>hʊkɪŋ</v>
      </c>
      <c r="E9402" s="2" t="str">
        <f>IFERROR(__xludf.DUMMYFUNCTION("IFERROR(VLOOKUP(A9402, IMPORTRANGE(""https://docs.google.com/spreadsheets/d/1-3Vjw2Cyy-mry5gbC8ypIR3YVGFfEpyFESummAta6sg/edit"", ""Sheet1!B:D""), 3, FALSE), ""Not Found"")"),"h ʊ k ɪ ŋ ")</f>
        <v>h ʊ k ɪ ŋ </v>
      </c>
    </row>
    <row r="9403">
      <c r="A9403" s="1" t="s">
        <v>9404</v>
      </c>
      <c r="B9403" s="1" t="s">
        <v>6138</v>
      </c>
      <c r="C9403" s="2">
        <f>IFERROR(__xludf.DUMMYFUNCTION("IFERROR(VLOOKUP(A9403, IMPORTRANGE(""https://docs.google.com/spreadsheets/d/1AVX9GT0dgogEBStecCXMMQ29tWz3gBrtNB8yIromXbY/edit?gid=741673867"", ""out1g!A:B""), 2, FALSE), 0)"),1721.0)</f>
        <v>1721</v>
      </c>
      <c r="D9403" s="2" t="str">
        <f>IFERROR(__xludf.DUMMYFUNCTION("IFERROR(VLOOKUP(A9403, IMPORTRANGE(""https://docs.google.com/spreadsheets/d/1-3Vjw2Cyy-mry5gbC8ypIR3YVGFfEpyFESummAta6sg/edit"", ""Sheet1!B:D""), 2, FALSE), ""Not Found"")"),"nɪrli")</f>
        <v>nɪrli</v>
      </c>
      <c r="E9403" s="2" t="str">
        <f>IFERROR(__xludf.DUMMYFUNCTION("IFERROR(VLOOKUP(A9403, IMPORTRANGE(""https://docs.google.com/spreadsheets/d/1-3Vjw2Cyy-mry5gbC8ypIR3YVGFfEpyFESummAta6sg/edit"", ""Sheet1!B:D""), 3, FALSE), ""Not Found"")"),"n ɪ r l i ")</f>
        <v>n ɪ r l i </v>
      </c>
    </row>
    <row r="9404">
      <c r="A9404" s="1" t="s">
        <v>9405</v>
      </c>
      <c r="B9404" s="1" t="s">
        <v>6138</v>
      </c>
      <c r="C9404" s="2">
        <f>IFERROR(__xludf.DUMMYFUNCTION("IFERROR(VLOOKUP(A9404, IMPORTRANGE(""https://docs.google.com/spreadsheets/d/1AVX9GT0dgogEBStecCXMMQ29tWz3gBrtNB8yIromXbY/edit?gid=741673867"", ""out1g!A:B""), 2, FALSE), 0)"),175.0)</f>
        <v>175</v>
      </c>
      <c r="D9404" s="2" t="str">
        <f>IFERROR(__xludf.DUMMYFUNCTION("IFERROR(VLOOKUP(A9404, IMPORTRANGE(""https://docs.google.com/spreadsheets/d/1-3Vjw2Cyy-mry5gbC8ypIR3YVGFfEpyFESummAta6sg/edit"", ""Sheet1!B:D""), 2, FALSE), ""Not Found"")"),"lɔrdz")</f>
        <v>lɔrdz</v>
      </c>
      <c r="E9404" s="2" t="str">
        <f>IFERROR(__xludf.DUMMYFUNCTION("IFERROR(VLOOKUP(A9404, IMPORTRANGE(""https://docs.google.com/spreadsheets/d/1-3Vjw2Cyy-mry5gbC8ypIR3YVGFfEpyFESummAta6sg/edit"", ""Sheet1!B:D""), 3, FALSE), ""Not Found"")"),"l ɔ r d z ")</f>
        <v>l ɔ r d z </v>
      </c>
    </row>
    <row r="9405">
      <c r="A9405" s="1" t="s">
        <v>9406</v>
      </c>
      <c r="B9405" s="1" t="s">
        <v>6138</v>
      </c>
      <c r="C9405" s="2">
        <f>IFERROR(__xludf.DUMMYFUNCTION("IFERROR(VLOOKUP(A9405, IMPORTRANGE(""https://docs.google.com/spreadsheets/d/1AVX9GT0dgogEBStecCXMMQ29tWz3gBrtNB8yIromXbY/edit?gid=741673867"", ""out1g!A:B""), 2, FALSE), 0)"),86.0)</f>
        <v>86</v>
      </c>
      <c r="D9405" s="2" t="str">
        <f>IFERROR(__xludf.DUMMYFUNCTION("IFERROR(VLOOKUP(A9405, IMPORTRANGE(""https://docs.google.com/spreadsheets/d/1-3Vjw2Cyy-mry5gbC8ypIR3YVGFfEpyFESummAta6sg/edit"", ""Sheet1!B:D""), 2, FALSE), ""Not Found"")"),"kræmps")</f>
        <v>kræmps</v>
      </c>
      <c r="E9405" s="2" t="str">
        <f>IFERROR(__xludf.DUMMYFUNCTION("IFERROR(VLOOKUP(A9405, IMPORTRANGE(""https://docs.google.com/spreadsheets/d/1-3Vjw2Cyy-mry5gbC8ypIR3YVGFfEpyFESummAta6sg/edit"", ""Sheet1!B:D""), 3, FALSE), ""Not Found"")"),"k r æ m p s ")</f>
        <v>k r æ m p s </v>
      </c>
    </row>
    <row r="9406">
      <c r="A9406" s="1" t="s">
        <v>9407</v>
      </c>
      <c r="B9406" s="1" t="s">
        <v>6138</v>
      </c>
      <c r="C9406" s="2">
        <f>IFERROR(__xludf.DUMMYFUNCTION("IFERROR(VLOOKUP(A9406, IMPORTRANGE(""https://docs.google.com/spreadsheets/d/1AVX9GT0dgogEBStecCXMMQ29tWz3gBrtNB8yIromXbY/edit?gid=741673867"", ""out1g!A:B""), 2, FALSE), 0)"),81.0)</f>
        <v>81</v>
      </c>
      <c r="D9406" s="2" t="str">
        <f>IFERROR(__xludf.DUMMYFUNCTION("IFERROR(VLOOKUP(A9406, IMPORTRANGE(""https://docs.google.com/spreadsheets/d/1-3Vjw2Cyy-mry5gbC8ypIR3YVGFfEpyFESummAta6sg/edit"", ""Sheet1!B:D""), 2, FALSE), ""Not Found"")"),"truθs")</f>
        <v>truθs</v>
      </c>
      <c r="E9406" s="2" t="str">
        <f>IFERROR(__xludf.DUMMYFUNCTION("IFERROR(VLOOKUP(A9406, IMPORTRANGE(""https://docs.google.com/spreadsheets/d/1-3Vjw2Cyy-mry5gbC8ypIR3YVGFfEpyFESummAta6sg/edit"", ""Sheet1!B:D""), 3, FALSE), ""Not Found"")"),"t r u θ s ")</f>
        <v>t r u θ s </v>
      </c>
    </row>
    <row r="9407">
      <c r="A9407" s="1" t="s">
        <v>9408</v>
      </c>
      <c r="B9407" s="1" t="s">
        <v>6138</v>
      </c>
      <c r="C9407" s="2">
        <f>IFERROR(__xludf.DUMMYFUNCTION("IFERROR(VLOOKUP(A9407, IMPORTRANGE(""https://docs.google.com/spreadsheets/d/1AVX9GT0dgogEBStecCXMMQ29tWz3gBrtNB8yIromXbY/edit?gid=741673867"", ""out1g!A:B""), 2, FALSE), 0)"),197.0)</f>
        <v>197</v>
      </c>
      <c r="D9407" s="2" t="str">
        <f>IFERROR(__xludf.DUMMYFUNCTION("IFERROR(VLOOKUP(A9407, IMPORTRANGE(""https://docs.google.com/spreadsheets/d/1-3Vjw2Cyy-mry5gbC8ypIR3YVGFfEpyFESummAta6sg/edit"", ""Sheet1!B:D""), 2, FALSE), ""Not Found"")"),"rustər")</f>
        <v>rustər</v>
      </c>
      <c r="E9407" s="2" t="str">
        <f>IFERROR(__xludf.DUMMYFUNCTION("IFERROR(VLOOKUP(A9407, IMPORTRANGE(""https://docs.google.com/spreadsheets/d/1-3Vjw2Cyy-mry5gbC8ypIR3YVGFfEpyFESummAta6sg/edit"", ""Sheet1!B:D""), 3, FALSE), ""Not Found"")"),"r u s t ə r ")</f>
        <v>r u s t ə r </v>
      </c>
    </row>
    <row r="9408">
      <c r="A9408" s="1" t="s">
        <v>9409</v>
      </c>
      <c r="B9408" s="1" t="s">
        <v>6138</v>
      </c>
      <c r="C9408" s="2">
        <f>IFERROR(__xludf.DUMMYFUNCTION("IFERROR(VLOOKUP(A9408, IMPORTRANGE(""https://docs.google.com/spreadsheets/d/1AVX9GT0dgogEBStecCXMMQ29tWz3gBrtNB8yIromXbY/edit?gid=741673867"", ""out1g!A:B""), 2, FALSE), 0)"),973.0)</f>
        <v>973</v>
      </c>
      <c r="D9408" s="2" t="str">
        <f>IFERROR(__xludf.DUMMYFUNCTION("IFERROR(VLOOKUP(A9408, IMPORTRANGE(""https://docs.google.com/spreadsheets/d/1-3Vjw2Cyy-mry5gbC8ypIR3YVGFfEpyFESummAta6sg/edit"", ""Sheet1!B:D""), 2, FALSE), ""Not Found"")"),"prɛzənts")</f>
        <v>prɛzənts</v>
      </c>
      <c r="E9408" s="2" t="str">
        <f>IFERROR(__xludf.DUMMYFUNCTION("IFERROR(VLOOKUP(A9408, IMPORTRANGE(""https://docs.google.com/spreadsheets/d/1-3Vjw2Cyy-mry5gbC8ypIR3YVGFfEpyFESummAta6sg/edit"", ""Sheet1!B:D""), 3, FALSE), ""Not Found"")"),"p r ɛ z ə n t s ")</f>
        <v>p r ɛ z ə n t s </v>
      </c>
    </row>
    <row r="9409">
      <c r="A9409" s="1" t="s">
        <v>9410</v>
      </c>
      <c r="B9409" s="1" t="s">
        <v>6138</v>
      </c>
      <c r="C9409" s="2">
        <f>IFERROR(__xludf.DUMMYFUNCTION("IFERROR(VLOOKUP(A9409, IMPORTRANGE(""https://docs.google.com/spreadsheets/d/1AVX9GT0dgogEBStecCXMMQ29tWz3gBrtNB8yIromXbY/edit?gid=741673867"", ""out1g!A:B""), 2, FALSE), 0)"),62.0)</f>
        <v>62</v>
      </c>
      <c r="D9409" s="2" t="str">
        <f>IFERROR(__xludf.DUMMYFUNCTION("IFERROR(VLOOKUP(A9409, IMPORTRANGE(""https://docs.google.com/spreadsheets/d/1-3Vjw2Cyy-mry5gbC8ypIR3YVGFfEpyFESummAta6sg/edit"", ""Sheet1!B:D""), 2, FALSE), ""Not Found"")"),"bəzɪz")</f>
        <v>bəzɪz</v>
      </c>
      <c r="E9409" s="2" t="str">
        <f>IFERROR(__xludf.DUMMYFUNCTION("IFERROR(VLOOKUP(A9409, IMPORTRANGE(""https://docs.google.com/spreadsheets/d/1-3Vjw2Cyy-mry5gbC8ypIR3YVGFfEpyFESummAta6sg/edit"", ""Sheet1!B:D""), 3, FALSE), ""Not Found"")"),"b ə z ɪ z ")</f>
        <v>b ə z ɪ z </v>
      </c>
    </row>
    <row r="9410">
      <c r="A9410" s="1" t="s">
        <v>9411</v>
      </c>
      <c r="B9410" s="1" t="s">
        <v>6138</v>
      </c>
      <c r="C9410" s="2">
        <f>IFERROR(__xludf.DUMMYFUNCTION("IFERROR(VLOOKUP(A9410, IMPORTRANGE(""https://docs.google.com/spreadsheets/d/1AVX9GT0dgogEBStecCXMMQ29tWz3gBrtNB8yIromXbY/edit?gid=741673867"", ""out1g!A:B""), 2, FALSE), 0)"),1193.0)</f>
        <v>1193</v>
      </c>
      <c r="D9410" s="2" t="str">
        <f>IFERROR(__xludf.DUMMYFUNCTION("IFERROR(VLOOKUP(A9410, IMPORTRANGE(""https://docs.google.com/spreadsheets/d/1-3Vjw2Cyy-mry5gbC8ypIR3YVGFfEpyFESummAta6sg/edit"", ""Sheet1!B:D""), 2, FALSE), ""Not Found"")"),"skrin")</f>
        <v>skrin</v>
      </c>
      <c r="E9410" s="2" t="str">
        <f>IFERROR(__xludf.DUMMYFUNCTION("IFERROR(VLOOKUP(A9410, IMPORTRANGE(""https://docs.google.com/spreadsheets/d/1-3Vjw2Cyy-mry5gbC8ypIR3YVGFfEpyFESummAta6sg/edit"", ""Sheet1!B:D""), 3, FALSE), ""Not Found"")"),"s k r i n ")</f>
        <v>s k r i n </v>
      </c>
    </row>
    <row r="9411">
      <c r="A9411" s="1" t="s">
        <v>9412</v>
      </c>
      <c r="B9411" s="1" t="s">
        <v>6138</v>
      </c>
      <c r="C9411" s="2">
        <f>IFERROR(__xludf.DUMMYFUNCTION("IFERROR(VLOOKUP(A9411, IMPORTRANGE(""https://docs.google.com/spreadsheets/d/1AVX9GT0dgogEBStecCXMMQ29tWz3gBrtNB8yIromXbY/edit?gid=741673867"", ""out1g!A:B""), 2, FALSE), 0)"),256.0)</f>
        <v>256</v>
      </c>
      <c r="D9411" s="2" t="str">
        <f>IFERROR(__xludf.DUMMYFUNCTION("IFERROR(VLOOKUP(A9411, IMPORTRANGE(""https://docs.google.com/spreadsheets/d/1-3Vjw2Cyy-mry5gbC8ypIR3YVGFfEpyFESummAta6sg/edit"", ""Sheet1!B:D""), 2, FALSE), ""Not Found"")"),"spɛlɪŋ")</f>
        <v>spɛlɪŋ</v>
      </c>
      <c r="E9411" s="2" t="str">
        <f>IFERROR(__xludf.DUMMYFUNCTION("IFERROR(VLOOKUP(A9411, IMPORTRANGE(""https://docs.google.com/spreadsheets/d/1-3Vjw2Cyy-mry5gbC8ypIR3YVGFfEpyFESummAta6sg/edit"", ""Sheet1!B:D""), 3, FALSE), ""Not Found"")"),"s p ɛ l ɪ ŋ ")</f>
        <v>s p ɛ l ɪ ŋ </v>
      </c>
    </row>
    <row r="9412">
      <c r="A9412" s="1" t="s">
        <v>9413</v>
      </c>
      <c r="B9412" s="1" t="s">
        <v>6138</v>
      </c>
      <c r="C9412" s="2">
        <f>IFERROR(__xludf.DUMMYFUNCTION("IFERROR(VLOOKUP(A9412, IMPORTRANGE(""https://docs.google.com/spreadsheets/d/1AVX9GT0dgogEBStecCXMMQ29tWz3gBrtNB8yIromXbY/edit?gid=741673867"", ""out1g!A:B""), 2, FALSE), 0)"),60.0)</f>
        <v>60</v>
      </c>
      <c r="D9412" s="2" t="str">
        <f>IFERROR(__xludf.DUMMYFUNCTION("IFERROR(VLOOKUP(A9412, IMPORTRANGE(""https://docs.google.com/spreadsheets/d/1-3Vjw2Cyy-mry5gbC8ypIR3YVGFfEpyFESummAta6sg/edit"", ""Sheet1!B:D""), 2, FALSE), ""Not Found"")"),"baʊərz")</f>
        <v>baʊərz</v>
      </c>
      <c r="E9412" s="2" t="str">
        <f>IFERROR(__xludf.DUMMYFUNCTION("IFERROR(VLOOKUP(A9412, IMPORTRANGE(""https://docs.google.com/spreadsheets/d/1-3Vjw2Cyy-mry5gbC8ypIR3YVGFfEpyFESummAta6sg/edit"", ""Sheet1!B:D""), 3, FALSE), ""Not Found"")"),"b a ʊ ə r z ")</f>
        <v>b a ʊ ə r z </v>
      </c>
    </row>
    <row r="9413">
      <c r="A9413" s="1" t="s">
        <v>9414</v>
      </c>
      <c r="B9413" s="1" t="s">
        <v>6138</v>
      </c>
      <c r="C9413" s="2">
        <f>IFERROR(__xludf.DUMMYFUNCTION("IFERROR(VLOOKUP(A9413, IMPORTRANGE(""https://docs.google.com/spreadsheets/d/1AVX9GT0dgogEBStecCXMMQ29tWz3gBrtNB8yIromXbY/edit?gid=741673867"", ""out1g!A:B""), 2, FALSE), 0)"),719.0)</f>
        <v>719</v>
      </c>
      <c r="D9413" s="2" t="str">
        <f>IFERROR(__xludf.DUMMYFUNCTION("IFERROR(VLOOKUP(A9413, IMPORTRANGE(""https://docs.google.com/spreadsheets/d/1-3Vjw2Cyy-mry5gbC8ypIR3YVGFfEpyFESummAta6sg/edit"", ""Sheet1!B:D""), 2, FALSE), ""Not Found"")"),"æŋʃəs")</f>
        <v>æŋʃəs</v>
      </c>
      <c r="E9413" s="2" t="str">
        <f>IFERROR(__xludf.DUMMYFUNCTION("IFERROR(VLOOKUP(A9413, IMPORTRANGE(""https://docs.google.com/spreadsheets/d/1-3Vjw2Cyy-mry5gbC8ypIR3YVGFfEpyFESummAta6sg/edit"", ""Sheet1!B:D""), 3, FALSE), ""Not Found"")"),"æ ŋ ʃ ə s ")</f>
        <v>æ ŋ ʃ ə s </v>
      </c>
    </row>
    <row r="9414">
      <c r="A9414" s="1" t="s">
        <v>9415</v>
      </c>
      <c r="B9414" s="1" t="s">
        <v>6138</v>
      </c>
      <c r="C9414" s="2">
        <f>IFERROR(__xludf.DUMMYFUNCTION("IFERROR(VLOOKUP(A9414, IMPORTRANGE(""https://docs.google.com/spreadsheets/d/1AVX9GT0dgogEBStecCXMMQ29tWz3gBrtNB8yIromXbY/edit?gid=741673867"", ""out1g!A:B""), 2, FALSE), 0)"),99.0)</f>
        <v>99</v>
      </c>
      <c r="D9414" s="2" t="str">
        <f>IFERROR(__xludf.DUMMYFUNCTION("IFERROR(VLOOKUP(A9414, IMPORTRANGE(""https://docs.google.com/spreadsheets/d/1-3Vjw2Cyy-mry5gbC8ypIR3YVGFfEpyFESummAta6sg/edit"", ""Sheet1!B:D""), 2, FALSE), ""Not Found"")"),"hɑrti")</f>
        <v>hɑrti</v>
      </c>
      <c r="E9414" s="2" t="str">
        <f>IFERROR(__xludf.DUMMYFUNCTION("IFERROR(VLOOKUP(A9414, IMPORTRANGE(""https://docs.google.com/spreadsheets/d/1-3Vjw2Cyy-mry5gbC8ypIR3YVGFfEpyFESummAta6sg/edit"", ""Sheet1!B:D""), 3, FALSE), ""Not Found"")"),"h ɑ r t i ")</f>
        <v>h ɑ r t i </v>
      </c>
    </row>
    <row r="9415">
      <c r="A9415" s="1" t="s">
        <v>9416</v>
      </c>
      <c r="B9415" s="1" t="s">
        <v>6138</v>
      </c>
      <c r="C9415" s="2">
        <f>IFERROR(__xludf.DUMMYFUNCTION("IFERROR(VLOOKUP(A9415, IMPORTRANGE(""https://docs.google.com/spreadsheets/d/1AVX9GT0dgogEBStecCXMMQ29tWz3gBrtNB8yIromXbY/edit?gid=741673867"", ""out1g!A:B""), 2, FALSE), 0)"),123.0)</f>
        <v>123</v>
      </c>
      <c r="D9415" s="2" t="str">
        <f>IFERROR(__xludf.DUMMYFUNCTION("IFERROR(VLOOKUP(A9415, IMPORTRANGE(""https://docs.google.com/spreadsheets/d/1-3Vjw2Cyy-mry5gbC8ypIR3YVGFfEpyFESummAta6sg/edit"", ""Sheet1!B:D""), 2, FALSE), ""Not Found"")"),"lɑte")</f>
        <v>lɑte</v>
      </c>
      <c r="E9415" s="2" t="str">
        <f>IFERROR(__xludf.DUMMYFUNCTION("IFERROR(VLOOKUP(A9415, IMPORTRANGE(""https://docs.google.com/spreadsheets/d/1-3Vjw2Cyy-mry5gbC8ypIR3YVGFfEpyFESummAta6sg/edit"", ""Sheet1!B:D""), 3, FALSE), ""Not Found"")"),"l ɑ t e ")</f>
        <v>l ɑ t e </v>
      </c>
    </row>
    <row r="9416">
      <c r="A9416" s="1" t="s">
        <v>9417</v>
      </c>
      <c r="B9416" s="1" t="s">
        <v>6138</v>
      </c>
      <c r="C9416" s="2">
        <f>IFERROR(__xludf.DUMMYFUNCTION("IFERROR(VLOOKUP(A9416, IMPORTRANGE(""https://docs.google.com/spreadsheets/d/1AVX9GT0dgogEBStecCXMMQ29tWz3gBrtNB8yIromXbY/edit?gid=741673867"", ""out1g!A:B""), 2, FALSE), 0)"),1485.0)</f>
        <v>1485</v>
      </c>
      <c r="D9416" s="2" t="str">
        <f>IFERROR(__xludf.DUMMYFUNCTION("IFERROR(VLOOKUP(A9416, IMPORTRANGE(""https://docs.google.com/spreadsheets/d/1-3Vjw2Cyy-mry5gbC8ypIR3YVGFfEpyFESummAta6sg/edit"", ""Sheet1!B:D""), 2, FALSE), ""Not Found"")"),"wetɪd")</f>
        <v>wetɪd</v>
      </c>
      <c r="E9416" s="2" t="str">
        <f>IFERROR(__xludf.DUMMYFUNCTION("IFERROR(VLOOKUP(A9416, IMPORTRANGE(""https://docs.google.com/spreadsheets/d/1-3Vjw2Cyy-mry5gbC8ypIR3YVGFfEpyFESummAta6sg/edit"", ""Sheet1!B:D""), 3, FALSE), ""Not Found"")"),"w e t ɪ d ")</f>
        <v>w e t ɪ d </v>
      </c>
    </row>
    <row r="9417">
      <c r="A9417" s="1" t="s">
        <v>9418</v>
      </c>
      <c r="B9417" s="1" t="s">
        <v>6138</v>
      </c>
      <c r="C9417" s="2">
        <f>IFERROR(__xludf.DUMMYFUNCTION("IFERROR(VLOOKUP(A9417, IMPORTRANGE(""https://docs.google.com/spreadsheets/d/1AVX9GT0dgogEBStecCXMMQ29tWz3gBrtNB8yIromXbY/edit?gid=741673867"", ""out1g!A:B""), 2, FALSE), 0)"),71.0)</f>
        <v>71</v>
      </c>
      <c r="D9417" s="2" t="str">
        <f>IFERROR(__xludf.DUMMYFUNCTION("IFERROR(VLOOKUP(A9417, IMPORTRANGE(""https://docs.google.com/spreadsheets/d/1-3Vjw2Cyy-mry5gbC8ypIR3YVGFfEpyFESummAta6sg/edit"", ""Sheet1!B:D""), 2, FALSE), ""Not Found"")"),"hɛʤɪz")</f>
        <v>hɛʤɪz</v>
      </c>
      <c r="E9417" s="2" t="str">
        <f>IFERROR(__xludf.DUMMYFUNCTION("IFERROR(VLOOKUP(A9417, IMPORTRANGE(""https://docs.google.com/spreadsheets/d/1-3Vjw2Cyy-mry5gbC8ypIR3YVGFfEpyFESummAta6sg/edit"", ""Sheet1!B:D""), 3, FALSE), ""Not Found"")"),"h ɛ ʤ ɪ z ")</f>
        <v>h ɛ ʤ ɪ z </v>
      </c>
    </row>
    <row r="9418">
      <c r="A9418" s="1" t="s">
        <v>9419</v>
      </c>
      <c r="B9418" s="1" t="s">
        <v>6138</v>
      </c>
      <c r="C9418" s="2">
        <f>IFERROR(__xludf.DUMMYFUNCTION("IFERROR(VLOOKUP(A9418, IMPORTRANGE(""https://docs.google.com/spreadsheets/d/1AVX9GT0dgogEBStecCXMMQ29tWz3gBrtNB8yIromXbY/edit?gid=741673867"", ""out1g!A:B""), 2, FALSE), 0)"),56.0)</f>
        <v>56</v>
      </c>
      <c r="D9418" s="2" t="str">
        <f>IFERROR(__xludf.DUMMYFUNCTION("IFERROR(VLOOKUP(A9418, IMPORTRANGE(""https://docs.google.com/spreadsheets/d/1-3Vjw2Cyy-mry5gbC8ypIR3YVGFfEpyFESummAta6sg/edit"", ""Sheet1!B:D""), 2, FALSE), ""Not Found"")"),"kesɪŋz")</f>
        <v>kesɪŋz</v>
      </c>
      <c r="E9418" s="2" t="str">
        <f>IFERROR(__xludf.DUMMYFUNCTION("IFERROR(VLOOKUP(A9418, IMPORTRANGE(""https://docs.google.com/spreadsheets/d/1-3Vjw2Cyy-mry5gbC8ypIR3YVGFfEpyFESummAta6sg/edit"", ""Sheet1!B:D""), 3, FALSE), ""Not Found"")"),"k e s ɪ ŋ z ")</f>
        <v>k e s ɪ ŋ z </v>
      </c>
    </row>
    <row r="9419">
      <c r="A9419" s="1" t="s">
        <v>9420</v>
      </c>
      <c r="B9419" s="1" t="s">
        <v>6138</v>
      </c>
      <c r="C9419" s="2">
        <f>IFERROR(__xludf.DUMMYFUNCTION("IFERROR(VLOOKUP(A9419, IMPORTRANGE(""https://docs.google.com/spreadsheets/d/1AVX9GT0dgogEBStecCXMMQ29tWz3gBrtNB8yIromXbY/edit?gid=741673867"", ""out1g!A:B""), 2, FALSE), 0)"),47.0)</f>
        <v>47</v>
      </c>
      <c r="D9419" s="2" t="str">
        <f>IFERROR(__xludf.DUMMYFUNCTION("IFERROR(VLOOKUP(A9419, IMPORTRANGE(""https://docs.google.com/spreadsheets/d/1-3Vjw2Cyy-mry5gbC8ypIR3YVGFfEpyFESummAta6sg/edit"", ""Sheet1!B:D""), 2, FALSE), ""Not Found"")"),"skɑlərz")</f>
        <v>skɑlərz</v>
      </c>
      <c r="E9419" s="2" t="str">
        <f>IFERROR(__xludf.DUMMYFUNCTION("IFERROR(VLOOKUP(A9419, IMPORTRANGE(""https://docs.google.com/spreadsheets/d/1-3Vjw2Cyy-mry5gbC8ypIR3YVGFfEpyFESummAta6sg/edit"", ""Sheet1!B:D""), 3, FALSE), ""Not Found"")"),"s k ɑ l ə r z ")</f>
        <v>s k ɑ l ə r z </v>
      </c>
    </row>
    <row r="9420">
      <c r="A9420" s="1" t="s">
        <v>9421</v>
      </c>
      <c r="B9420" s="1" t="s">
        <v>6138</v>
      </c>
      <c r="C9420" s="2">
        <f>IFERROR(__xludf.DUMMYFUNCTION("IFERROR(VLOOKUP(A9420, IMPORTRANGE(""https://docs.google.com/spreadsheets/d/1AVX9GT0dgogEBStecCXMMQ29tWz3gBrtNB8yIromXbY/edit?gid=741673867"", ""out1g!A:B""), 2, FALSE), 0)"),2335.0)</f>
        <v>2335</v>
      </c>
      <c r="D9420" s="2" t="str">
        <f>IFERROR(__xludf.DUMMYFUNCTION("IFERROR(VLOOKUP(A9420, IMPORTRANGE(""https://docs.google.com/spreadsheets/d/1-3Vjw2Cyy-mry5gbC8ypIR3YVGFfEpyFESummAta6sg/edit"", ""Sheet1!B:D""), 2, FALSE), ""Not Found"")"),"stɑrts")</f>
        <v>stɑrts</v>
      </c>
      <c r="E9420" s="2" t="str">
        <f>IFERROR(__xludf.DUMMYFUNCTION("IFERROR(VLOOKUP(A9420, IMPORTRANGE(""https://docs.google.com/spreadsheets/d/1-3Vjw2Cyy-mry5gbC8ypIR3YVGFfEpyFESummAta6sg/edit"", ""Sheet1!B:D""), 3, FALSE), ""Not Found"")"),"s t ɑ r t s ")</f>
        <v>s t ɑ r t s </v>
      </c>
    </row>
    <row r="9421">
      <c r="A9421" s="1" t="s">
        <v>9422</v>
      </c>
      <c r="B9421" s="1" t="s">
        <v>6138</v>
      </c>
      <c r="C9421" s="2">
        <f>IFERROR(__xludf.DUMMYFUNCTION("IFERROR(VLOOKUP(A9421, IMPORTRANGE(""https://docs.google.com/spreadsheets/d/1AVX9GT0dgogEBStecCXMMQ29tWz3gBrtNB8yIromXbY/edit?gid=741673867"", ""out1g!A:B""), 2, FALSE), 0)"),19.0)</f>
        <v>19</v>
      </c>
      <c r="D9421" s="2" t="str">
        <f>IFERROR(__xludf.DUMMYFUNCTION("IFERROR(VLOOKUP(A9421, IMPORTRANGE(""https://docs.google.com/spreadsheets/d/1-3Vjw2Cyy-mry5gbC8ypIR3YVGFfEpyFESummAta6sg/edit"", ""Sheet1!B:D""), 2, FALSE), ""Not Found"")"),"əfɔr")</f>
        <v>əfɔr</v>
      </c>
      <c r="E9421" s="2" t="str">
        <f>IFERROR(__xludf.DUMMYFUNCTION("IFERROR(VLOOKUP(A9421, IMPORTRANGE(""https://docs.google.com/spreadsheets/d/1-3Vjw2Cyy-mry5gbC8ypIR3YVGFfEpyFESummAta6sg/edit"", ""Sheet1!B:D""), 3, FALSE), ""Not Found"")"),"ə f ɔ r ")</f>
        <v>ə f ɔ r </v>
      </c>
    </row>
    <row r="9422">
      <c r="A9422" s="1" t="s">
        <v>9423</v>
      </c>
      <c r="B9422" s="1" t="s">
        <v>6138</v>
      </c>
      <c r="C9422" s="2">
        <f>IFERROR(__xludf.DUMMYFUNCTION("IFERROR(VLOOKUP(A9422, IMPORTRANGE(""https://docs.google.com/spreadsheets/d/1AVX9GT0dgogEBStecCXMMQ29tWz3gBrtNB8yIromXbY/edit?gid=741673867"", ""out1g!A:B""), 2, FALSE), 0)"),99.0)</f>
        <v>99</v>
      </c>
      <c r="D9422" s="2" t="str">
        <f>IFERROR(__xludf.DUMMYFUNCTION("IFERROR(VLOOKUP(A9422, IMPORTRANGE(""https://docs.google.com/spreadsheets/d/1-3Vjw2Cyy-mry5gbC8ypIR3YVGFfEpyFESummAta6sg/edit"", ""Sheet1!B:D""), 2, FALSE), ""Not Found"")"),"steʤɪŋ")</f>
        <v>steʤɪŋ</v>
      </c>
      <c r="E9422" s="2" t="str">
        <f>IFERROR(__xludf.DUMMYFUNCTION("IFERROR(VLOOKUP(A9422, IMPORTRANGE(""https://docs.google.com/spreadsheets/d/1-3Vjw2Cyy-mry5gbC8ypIR3YVGFfEpyFESummAta6sg/edit"", ""Sheet1!B:D""), 3, FALSE), ""Not Found"")"),"s t e ʤ ɪ ŋ ")</f>
        <v>s t e ʤ ɪ ŋ </v>
      </c>
    </row>
    <row r="9423">
      <c r="A9423" s="1" t="s">
        <v>9424</v>
      </c>
      <c r="B9423" s="1" t="s">
        <v>6138</v>
      </c>
      <c r="C9423" s="2">
        <f>IFERROR(__xludf.DUMMYFUNCTION("IFERROR(VLOOKUP(A9423, IMPORTRANGE(""https://docs.google.com/spreadsheets/d/1AVX9GT0dgogEBStecCXMMQ29tWz3gBrtNB8yIromXbY/edit?gid=741673867"", ""out1g!A:B""), 2, FALSE), 0)"),272.0)</f>
        <v>272</v>
      </c>
      <c r="D9423" s="2" t="str">
        <f>IFERROR(__xludf.DUMMYFUNCTION("IFERROR(VLOOKUP(A9423, IMPORTRANGE(""https://docs.google.com/spreadsheets/d/1-3Vjw2Cyy-mry5gbC8ypIR3YVGFfEpyFESummAta6sg/edit"", ""Sheet1!B:D""), 2, FALSE), ""Not Found"")"),"wɔrnər")</f>
        <v>wɔrnər</v>
      </c>
      <c r="E9423" s="2" t="str">
        <f>IFERROR(__xludf.DUMMYFUNCTION("IFERROR(VLOOKUP(A9423, IMPORTRANGE(""https://docs.google.com/spreadsheets/d/1-3Vjw2Cyy-mry5gbC8ypIR3YVGFfEpyFESummAta6sg/edit"", ""Sheet1!B:D""), 3, FALSE), ""Not Found"")"),"w ɔ r n ə r ")</f>
        <v>w ɔ r n ə r </v>
      </c>
    </row>
    <row r="9424">
      <c r="A9424" s="1" t="s">
        <v>9425</v>
      </c>
      <c r="B9424" s="1" t="s">
        <v>6138</v>
      </c>
      <c r="C9424" s="2">
        <f>IFERROR(__xludf.DUMMYFUNCTION("IFERROR(VLOOKUP(A9424, IMPORTRANGE(""https://docs.google.com/spreadsheets/d/1AVX9GT0dgogEBStecCXMMQ29tWz3gBrtNB8yIromXbY/edit?gid=741673867"", ""out1g!A:B""), 2, FALSE), 0)"),130.0)</f>
        <v>130</v>
      </c>
      <c r="D9424" s="2" t="str">
        <f>IFERROR(__xludf.DUMMYFUNCTION("IFERROR(VLOOKUP(A9424, IMPORTRANGE(""https://docs.google.com/spreadsheets/d/1-3Vjw2Cyy-mry5gbC8ypIR3YVGFfEpyFESummAta6sg/edit"", ""Sheet1!B:D""), 2, FALSE), ""Not Found"")"),"kæpsəl")</f>
        <v>kæpsəl</v>
      </c>
      <c r="E9424" s="2" t="str">
        <f>IFERROR(__xludf.DUMMYFUNCTION("IFERROR(VLOOKUP(A9424, IMPORTRANGE(""https://docs.google.com/spreadsheets/d/1-3Vjw2Cyy-mry5gbC8ypIR3YVGFfEpyFESummAta6sg/edit"", ""Sheet1!B:D""), 3, FALSE), ""Not Found"")"),"k æ p s ə l ")</f>
        <v>k æ p s ə l </v>
      </c>
    </row>
    <row r="9425">
      <c r="A9425" s="1" t="s">
        <v>9426</v>
      </c>
      <c r="B9425" s="1" t="s">
        <v>6138</v>
      </c>
      <c r="C9425" s="2">
        <f>IFERROR(__xludf.DUMMYFUNCTION("IFERROR(VLOOKUP(A9425, IMPORTRANGE(""https://docs.google.com/spreadsheets/d/1AVX9GT0dgogEBStecCXMMQ29tWz3gBrtNB8yIromXbY/edit?gid=741673867"", ""out1g!A:B""), 2, FALSE), 0)"),10.0)</f>
        <v>10</v>
      </c>
      <c r="D9425" s="2" t="str">
        <f>IFERROR(__xludf.DUMMYFUNCTION("IFERROR(VLOOKUP(A9425, IMPORTRANGE(""https://docs.google.com/spreadsheets/d/1-3Vjw2Cyy-mry5gbC8ypIR3YVGFfEpyFESummAta6sg/edit"", ""Sheet1!B:D""), 2, FALSE), ""Not Found"")"),"skelɪŋ")</f>
        <v>skelɪŋ</v>
      </c>
      <c r="E9425" s="2" t="str">
        <f>IFERROR(__xludf.DUMMYFUNCTION("IFERROR(VLOOKUP(A9425, IMPORTRANGE(""https://docs.google.com/spreadsheets/d/1-3Vjw2Cyy-mry5gbC8ypIR3YVGFfEpyFESummAta6sg/edit"", ""Sheet1!B:D""), 3, FALSE), ""Not Found"")"),"s k e l ɪ ŋ ")</f>
        <v>s k e l ɪ ŋ </v>
      </c>
    </row>
    <row r="9426">
      <c r="A9426" s="1" t="s">
        <v>9427</v>
      </c>
      <c r="B9426" s="1" t="s">
        <v>6138</v>
      </c>
      <c r="C9426" s="2">
        <f>IFERROR(__xludf.DUMMYFUNCTION("IFERROR(VLOOKUP(A9426, IMPORTRANGE(""https://docs.google.com/spreadsheets/d/1AVX9GT0dgogEBStecCXMMQ29tWz3gBrtNB8yIromXbY/edit?gid=741673867"", ""out1g!A:B""), 2, FALSE), 0)"),54622.0)</f>
        <v>54622</v>
      </c>
      <c r="D9426" s="2" t="str">
        <f>IFERROR(__xludf.DUMMYFUNCTION("IFERROR(VLOOKUP(A9426, IMPORTRANGE(""https://docs.google.com/spreadsheets/d/1-3Vjw2Cyy-mry5gbC8ypIR3YVGFfEpyFESummAta6sg/edit"", ""Sheet1!B:D""), 2, FALSE), ""Not Found"")"),"bɪkəz")</f>
        <v>bɪkəz</v>
      </c>
      <c r="E9426" s="2" t="str">
        <f>IFERROR(__xludf.DUMMYFUNCTION("IFERROR(VLOOKUP(A9426, IMPORTRANGE(""https://docs.google.com/spreadsheets/d/1-3Vjw2Cyy-mry5gbC8ypIR3YVGFfEpyFESummAta6sg/edit"", ""Sheet1!B:D""), 3, FALSE), ""Not Found"")"),"b ɪ k ə z ")</f>
        <v>b ɪ k ə z </v>
      </c>
    </row>
    <row r="9427">
      <c r="A9427" s="1" t="s">
        <v>9428</v>
      </c>
      <c r="B9427" s="1" t="s">
        <v>6138</v>
      </c>
      <c r="C9427" s="2">
        <f>IFERROR(__xludf.DUMMYFUNCTION("IFERROR(VLOOKUP(A9427, IMPORTRANGE(""https://docs.google.com/spreadsheets/d/1AVX9GT0dgogEBStecCXMMQ29tWz3gBrtNB8yIromXbY/edit?gid=741673867"", ""out1g!A:B""), 2, FALSE), 0)"),379.0)</f>
        <v>379</v>
      </c>
      <c r="D9427" s="2" t="str">
        <f>IFERROR(__xludf.DUMMYFUNCTION("IFERROR(VLOOKUP(A9427, IMPORTRANGE(""https://docs.google.com/spreadsheets/d/1-3Vjw2Cyy-mry5gbC8ypIR3YVGFfEpyFESummAta6sg/edit"", ""Sheet1!B:D""), 2, FALSE), ""Not Found"")"),"əkər")</f>
        <v>əkər</v>
      </c>
      <c r="E9427" s="2" t="str">
        <f>IFERROR(__xludf.DUMMYFUNCTION("IFERROR(VLOOKUP(A9427, IMPORTRANGE(""https://docs.google.com/spreadsheets/d/1-3Vjw2Cyy-mry5gbC8ypIR3YVGFfEpyFESummAta6sg/edit"", ""Sheet1!B:D""), 3, FALSE), ""Not Found"")"),"ə k ə r ")</f>
        <v>ə k ə r </v>
      </c>
    </row>
    <row r="9428">
      <c r="A9428" s="1" t="s">
        <v>9429</v>
      </c>
      <c r="B9428" s="1" t="s">
        <v>6138</v>
      </c>
      <c r="C9428" s="2">
        <f>IFERROR(__xludf.DUMMYFUNCTION("IFERROR(VLOOKUP(A9428, IMPORTRANGE(""https://docs.google.com/spreadsheets/d/1AVX9GT0dgogEBStecCXMMQ29tWz3gBrtNB8yIromXbY/edit?gid=741673867"", ""out1g!A:B""), 2, FALSE), 0)"),59.0)</f>
        <v>59</v>
      </c>
      <c r="D9428" s="2" t="str">
        <f>IFERROR(__xludf.DUMMYFUNCTION("IFERROR(VLOOKUP(A9428, IMPORTRANGE(""https://docs.google.com/spreadsheets/d/1-3Vjw2Cyy-mry5gbC8ypIR3YVGFfEpyFESummAta6sg/edit"", ""Sheet1!B:D""), 2, FALSE), ""Not Found"")"),"miər")</f>
        <v>miər</v>
      </c>
      <c r="E9428" s="2" t="str">
        <f>IFERROR(__xludf.DUMMYFUNCTION("IFERROR(VLOOKUP(A9428, IMPORTRANGE(""https://docs.google.com/spreadsheets/d/1-3Vjw2Cyy-mry5gbC8ypIR3YVGFfEpyFESummAta6sg/edit"", ""Sheet1!B:D""), 3, FALSE), ""Not Found"")"),"m i ə r ")</f>
        <v>m i ə r </v>
      </c>
    </row>
    <row r="9429">
      <c r="A9429" s="1" t="s">
        <v>9430</v>
      </c>
      <c r="B9429" s="1" t="s">
        <v>6138</v>
      </c>
      <c r="C9429" s="2">
        <f>IFERROR(__xludf.DUMMYFUNCTION("IFERROR(VLOOKUP(A9429, IMPORTRANGE(""https://docs.google.com/spreadsheets/d/1AVX9GT0dgogEBStecCXMMQ29tWz3gBrtNB8yIromXbY/edit?gid=741673867"", ""out1g!A:B""), 2, FALSE), 0)"),1114.0)</f>
        <v>1114</v>
      </c>
      <c r="D9429" s="2" t="str">
        <f>IFERROR(__xludf.DUMMYFUNCTION("IFERROR(VLOOKUP(A9429, IMPORTRANGE(""https://docs.google.com/spreadsheets/d/1-3Vjw2Cyy-mry5gbC8ypIR3YVGFfEpyFESummAta6sg/edit"", ""Sheet1!B:D""), 2, FALSE), ""Not Found"")"),"pænɪk")</f>
        <v>pænɪk</v>
      </c>
      <c r="E9429" s="2" t="str">
        <f>IFERROR(__xludf.DUMMYFUNCTION("IFERROR(VLOOKUP(A9429, IMPORTRANGE(""https://docs.google.com/spreadsheets/d/1-3Vjw2Cyy-mry5gbC8ypIR3YVGFfEpyFESummAta6sg/edit"", ""Sheet1!B:D""), 3, FALSE), ""Not Found"")"),"p æ n ɪ k ")</f>
        <v>p æ n ɪ k </v>
      </c>
    </row>
    <row r="9430">
      <c r="A9430" s="1" t="s">
        <v>9431</v>
      </c>
      <c r="B9430" s="1" t="s">
        <v>6138</v>
      </c>
      <c r="C9430" s="2">
        <f>IFERROR(__xludf.DUMMYFUNCTION("IFERROR(VLOOKUP(A9430, IMPORTRANGE(""https://docs.google.com/spreadsheets/d/1AVX9GT0dgogEBStecCXMMQ29tWz3gBrtNB8yIromXbY/edit?gid=741673867"", ""out1g!A:B""), 2, FALSE), 0)"),100.0)</f>
        <v>100</v>
      </c>
      <c r="D9430" s="2" t="str">
        <f>IFERROR(__xludf.DUMMYFUNCTION("IFERROR(VLOOKUP(A9430, IMPORTRANGE(""https://docs.google.com/spreadsheets/d/1-3Vjw2Cyy-mry5gbC8ypIR3YVGFfEpyFESummAta6sg/edit"", ""Sheet1!B:D""), 2, FALSE), ""Not Found"")"),"ɪndi")</f>
        <v>ɪndi</v>
      </c>
      <c r="E9430" s="2" t="str">
        <f>IFERROR(__xludf.DUMMYFUNCTION("IFERROR(VLOOKUP(A9430, IMPORTRANGE(""https://docs.google.com/spreadsheets/d/1-3Vjw2Cyy-mry5gbC8ypIR3YVGFfEpyFESummAta6sg/edit"", ""Sheet1!B:D""), 3, FALSE), ""Not Found"")"),"ɪ n d i ")</f>
        <v>ɪ n d i </v>
      </c>
    </row>
    <row r="9431">
      <c r="A9431" s="1" t="s">
        <v>9432</v>
      </c>
      <c r="B9431" s="1" t="s">
        <v>6138</v>
      </c>
      <c r="C9431" s="2">
        <f>IFERROR(__xludf.DUMMYFUNCTION("IFERROR(VLOOKUP(A9431, IMPORTRANGE(""https://docs.google.com/spreadsheets/d/1AVX9GT0dgogEBStecCXMMQ29tWz3gBrtNB8yIromXbY/edit?gid=741673867"", ""out1g!A:B""), 2, FALSE), 0)"),53.0)</f>
        <v>53</v>
      </c>
      <c r="D9431" s="2" t="str">
        <f>IFERROR(__xludf.DUMMYFUNCTION("IFERROR(VLOOKUP(A9431, IMPORTRANGE(""https://docs.google.com/spreadsheets/d/1-3Vjw2Cyy-mry5gbC8ypIR3YVGFfEpyFESummAta6sg/edit"", ""Sheet1!B:D""), 2, FALSE), ""Not Found"")"),"swɔrmɪŋ")</f>
        <v>swɔrmɪŋ</v>
      </c>
      <c r="E9431" s="2" t="str">
        <f>IFERROR(__xludf.DUMMYFUNCTION("IFERROR(VLOOKUP(A9431, IMPORTRANGE(""https://docs.google.com/spreadsheets/d/1-3Vjw2Cyy-mry5gbC8ypIR3YVGFfEpyFESummAta6sg/edit"", ""Sheet1!B:D""), 3, FALSE), ""Not Found"")"),"s w ɔ r m ɪ ŋ ")</f>
        <v>s w ɔ r m ɪ ŋ </v>
      </c>
    </row>
    <row r="9432">
      <c r="A9432" s="1" t="s">
        <v>9433</v>
      </c>
      <c r="B9432" s="1" t="s">
        <v>6138</v>
      </c>
      <c r="C9432" s="2">
        <f>IFERROR(__xludf.DUMMYFUNCTION("IFERROR(VLOOKUP(A9432, IMPORTRANGE(""https://docs.google.com/spreadsheets/d/1AVX9GT0dgogEBStecCXMMQ29tWz3gBrtNB8yIromXbY/edit?gid=741673867"", ""out1g!A:B""), 2, FALSE), 0)"),4334.0)</f>
        <v>4334</v>
      </c>
      <c r="D9432" s="2" t="str">
        <f>IFERROR(__xludf.DUMMYFUNCTION("IFERROR(VLOOKUP(A9432, IMPORTRANGE(""https://docs.google.com/spreadsheets/d/1-3Vjw2Cyy-mry5gbC8ypIR3YVGFfEpyFESummAta6sg/edit"", ""Sheet1!B:D""), 2, FALSE), ""Not Found"")"),"bæŋk")</f>
        <v>bæŋk</v>
      </c>
      <c r="E9432" s="2" t="str">
        <f>IFERROR(__xludf.DUMMYFUNCTION("IFERROR(VLOOKUP(A9432, IMPORTRANGE(""https://docs.google.com/spreadsheets/d/1-3Vjw2Cyy-mry5gbC8ypIR3YVGFfEpyFESummAta6sg/edit"", ""Sheet1!B:D""), 3, FALSE), ""Not Found"")"),"b æ ŋ k ")</f>
        <v>b æ ŋ k </v>
      </c>
    </row>
    <row r="9433">
      <c r="A9433" s="1" t="s">
        <v>9434</v>
      </c>
      <c r="B9433" s="1" t="s">
        <v>6138</v>
      </c>
      <c r="C9433" s="2">
        <f>IFERROR(__xludf.DUMMYFUNCTION("IFERROR(VLOOKUP(A9433, IMPORTRANGE(""https://docs.google.com/spreadsheets/d/1AVX9GT0dgogEBStecCXMMQ29tWz3gBrtNB8yIromXbY/edit?gid=741673867"", ""out1g!A:B""), 2, FALSE), 0)"),116.0)</f>
        <v>116</v>
      </c>
      <c r="D9433" s="2" t="str">
        <f>IFERROR(__xludf.DUMMYFUNCTION("IFERROR(VLOOKUP(A9433, IMPORTRANGE(""https://docs.google.com/spreadsheets/d/1-3Vjw2Cyy-mry5gbC8ypIR3YVGFfEpyFESummAta6sg/edit"", ""Sheet1!B:D""), 2, FALSE), ""Not Found"")"),"plidɪŋ")</f>
        <v>plidɪŋ</v>
      </c>
      <c r="E9433" s="2" t="str">
        <f>IFERROR(__xludf.DUMMYFUNCTION("IFERROR(VLOOKUP(A9433, IMPORTRANGE(""https://docs.google.com/spreadsheets/d/1-3Vjw2Cyy-mry5gbC8ypIR3YVGFfEpyFESummAta6sg/edit"", ""Sheet1!B:D""), 3, FALSE), ""Not Found"")"),"p l i d ɪ ŋ ")</f>
        <v>p l i d ɪ ŋ </v>
      </c>
    </row>
    <row r="9434">
      <c r="A9434" s="1" t="s">
        <v>9435</v>
      </c>
      <c r="B9434" s="1" t="s">
        <v>6138</v>
      </c>
      <c r="C9434" s="2">
        <f>IFERROR(__xludf.DUMMYFUNCTION("IFERROR(VLOOKUP(A9434, IMPORTRANGE(""https://docs.google.com/spreadsheets/d/1AVX9GT0dgogEBStecCXMMQ29tWz3gBrtNB8yIromXbY/edit?gid=741673867"", ""out1g!A:B""), 2, FALSE), 0)"),52.0)</f>
        <v>52</v>
      </c>
      <c r="D9434" s="2" t="str">
        <f>IFERROR(__xludf.DUMMYFUNCTION("IFERROR(VLOOKUP(A9434, IMPORTRANGE(""https://docs.google.com/spreadsheets/d/1-3Vjw2Cyy-mry5gbC8ypIR3YVGFfEpyFESummAta6sg/edit"", ""Sheet1!B:D""), 2, FALSE), ""Not Found"")"),"taɪkun")</f>
        <v>taɪkun</v>
      </c>
      <c r="E9434" s="2" t="str">
        <f>IFERROR(__xludf.DUMMYFUNCTION("IFERROR(VLOOKUP(A9434, IMPORTRANGE(""https://docs.google.com/spreadsheets/d/1-3Vjw2Cyy-mry5gbC8ypIR3YVGFfEpyFESummAta6sg/edit"", ""Sheet1!B:D""), 3, FALSE), ""Not Found"")"),"t a ɪ k u n ")</f>
        <v>t a ɪ k u n </v>
      </c>
    </row>
    <row r="9435">
      <c r="A9435" s="1" t="s">
        <v>9436</v>
      </c>
      <c r="B9435" s="1" t="s">
        <v>6138</v>
      </c>
      <c r="C9435" s="2">
        <f>IFERROR(__xludf.DUMMYFUNCTION("IFERROR(VLOOKUP(A9435, IMPORTRANGE(""https://docs.google.com/spreadsheets/d/1AVX9GT0dgogEBStecCXMMQ29tWz3gBrtNB8yIromXbY/edit?gid=741673867"", ""out1g!A:B""), 2, FALSE), 0)"),386.0)</f>
        <v>386</v>
      </c>
      <c r="D9435" s="2" t="str">
        <f>IFERROR(__xludf.DUMMYFUNCTION("IFERROR(VLOOKUP(A9435, IMPORTRANGE(""https://docs.google.com/spreadsheets/d/1-3Vjw2Cyy-mry5gbC8ypIR3YVGFfEpyFESummAta6sg/edit"", ""Sheet1!B:D""), 2, FALSE), ""Not Found"")"),"mæstərz")</f>
        <v>mæstərz</v>
      </c>
      <c r="E9435" s="2" t="str">
        <f>IFERROR(__xludf.DUMMYFUNCTION("IFERROR(VLOOKUP(A9435, IMPORTRANGE(""https://docs.google.com/spreadsheets/d/1-3Vjw2Cyy-mry5gbC8ypIR3YVGFfEpyFESummAta6sg/edit"", ""Sheet1!B:D""), 3, FALSE), ""Not Found"")"),"m æ s t ə r z ")</f>
        <v>m æ s t ə r z </v>
      </c>
    </row>
    <row r="9436">
      <c r="A9436" s="1" t="s">
        <v>9437</v>
      </c>
      <c r="B9436" s="1" t="s">
        <v>6138</v>
      </c>
      <c r="C9436" s="2">
        <f>IFERROR(__xludf.DUMMYFUNCTION("IFERROR(VLOOKUP(A9436, IMPORTRANGE(""https://docs.google.com/spreadsheets/d/1AVX9GT0dgogEBStecCXMMQ29tWz3gBrtNB8yIromXbY/edit?gid=741673867"", ""out1g!A:B""), 2, FALSE), 0)"),209.0)</f>
        <v>209</v>
      </c>
      <c r="D9436" s="2" t="str">
        <f>IFERROR(__xludf.DUMMYFUNCTION("IFERROR(VLOOKUP(A9436, IMPORTRANGE(""https://docs.google.com/spreadsheets/d/1-3Vjw2Cyy-mry5gbC8ypIR3YVGFfEpyFESummAta6sg/edit"", ""Sheet1!B:D""), 2, FALSE), ""Not Found"")"),"biʧɪz")</f>
        <v>biʧɪz</v>
      </c>
      <c r="E9436" s="2" t="str">
        <f>IFERROR(__xludf.DUMMYFUNCTION("IFERROR(VLOOKUP(A9436, IMPORTRANGE(""https://docs.google.com/spreadsheets/d/1-3Vjw2Cyy-mry5gbC8ypIR3YVGFfEpyFESummAta6sg/edit"", ""Sheet1!B:D""), 3, FALSE), ""Not Found"")"),"b i ʧ ɪ z ")</f>
        <v>b i ʧ ɪ z </v>
      </c>
    </row>
    <row r="9437">
      <c r="A9437" s="1" t="s">
        <v>9438</v>
      </c>
      <c r="B9437" s="1" t="s">
        <v>6138</v>
      </c>
      <c r="C9437" s="2">
        <f>IFERROR(__xludf.DUMMYFUNCTION("IFERROR(VLOOKUP(A9437, IMPORTRANGE(""https://docs.google.com/spreadsheets/d/1AVX9GT0dgogEBStecCXMMQ29tWz3gBrtNB8yIromXbY/edit?gid=741673867"", ""out1g!A:B""), 2, FALSE), 0)"),819.0)</f>
        <v>819</v>
      </c>
      <c r="D9437" s="2" t="str">
        <f>IFERROR(__xludf.DUMMYFUNCTION("IFERROR(VLOOKUP(A9437, IMPORTRANGE(""https://docs.google.com/spreadsheets/d/1-3Vjw2Cyy-mry5gbC8ypIR3YVGFfEpyFESummAta6sg/edit"", ""Sheet1!B:D""), 2, FALSE), ""Not Found"")"),"poʊkər")</f>
        <v>poʊkər</v>
      </c>
      <c r="E9437" s="2" t="str">
        <f>IFERROR(__xludf.DUMMYFUNCTION("IFERROR(VLOOKUP(A9437, IMPORTRANGE(""https://docs.google.com/spreadsheets/d/1-3Vjw2Cyy-mry5gbC8ypIR3YVGFfEpyFESummAta6sg/edit"", ""Sheet1!B:D""), 3, FALSE), ""Not Found"")"),"p o ʊ k ə r ")</f>
        <v>p o ʊ k ə r </v>
      </c>
    </row>
    <row r="9438">
      <c r="A9438" s="1" t="s">
        <v>9439</v>
      </c>
      <c r="B9438" s="1" t="s">
        <v>6138</v>
      </c>
      <c r="C9438" s="2">
        <f>IFERROR(__xludf.DUMMYFUNCTION("IFERROR(VLOOKUP(A9438, IMPORTRANGE(""https://docs.google.com/spreadsheets/d/1AVX9GT0dgogEBStecCXMMQ29tWz3gBrtNB8yIromXbY/edit?gid=741673867"", ""out1g!A:B""), 2, FALSE), 0)"),253.0)</f>
        <v>253</v>
      </c>
      <c r="D9438" s="2" t="str">
        <f>IFERROR(__xludf.DUMMYFUNCTION("IFERROR(VLOOKUP(A9438, IMPORTRANGE(""https://docs.google.com/spreadsheets/d/1-3Vjw2Cyy-mry5gbC8ypIR3YVGFfEpyFESummAta6sg/edit"", ""Sheet1!B:D""), 2, FALSE), ""Not Found"")"),"ʤəmps")</f>
        <v>ʤəmps</v>
      </c>
      <c r="E9438" s="2" t="str">
        <f>IFERROR(__xludf.DUMMYFUNCTION("IFERROR(VLOOKUP(A9438, IMPORTRANGE(""https://docs.google.com/spreadsheets/d/1-3Vjw2Cyy-mry5gbC8ypIR3YVGFfEpyFESummAta6sg/edit"", ""Sheet1!B:D""), 3, FALSE), ""Not Found"")"),"ʤ ə m p s ")</f>
        <v>ʤ ə m p s </v>
      </c>
    </row>
    <row r="9439">
      <c r="A9439" s="1" t="s">
        <v>9440</v>
      </c>
      <c r="B9439" s="1" t="s">
        <v>6138</v>
      </c>
      <c r="C9439" s="2">
        <f>IFERROR(__xludf.DUMMYFUNCTION("IFERROR(VLOOKUP(A9439, IMPORTRANGE(""https://docs.google.com/spreadsheets/d/1AVX9GT0dgogEBStecCXMMQ29tWz3gBrtNB8yIromXbY/edit?gid=741673867"", ""out1g!A:B""), 2, FALSE), 0)"),49.0)</f>
        <v>49</v>
      </c>
      <c r="D9439" s="2" t="str">
        <f>IFERROR(__xludf.DUMMYFUNCTION("IFERROR(VLOOKUP(A9439, IMPORTRANGE(""https://docs.google.com/spreadsheets/d/1-3Vjw2Cyy-mry5gbC8ypIR3YVGFfEpyFESummAta6sg/edit"", ""Sheet1!B:D""), 2, FALSE), ""Not Found"")"),"pædɪŋ")</f>
        <v>pædɪŋ</v>
      </c>
      <c r="E9439" s="2" t="str">
        <f>IFERROR(__xludf.DUMMYFUNCTION("IFERROR(VLOOKUP(A9439, IMPORTRANGE(""https://docs.google.com/spreadsheets/d/1-3Vjw2Cyy-mry5gbC8ypIR3YVGFfEpyFESummAta6sg/edit"", ""Sheet1!B:D""), 3, FALSE), ""Not Found"")"),"p æ d ɪ ŋ ")</f>
        <v>p æ d ɪ ŋ </v>
      </c>
    </row>
    <row r="9440">
      <c r="A9440" s="1" t="s">
        <v>9441</v>
      </c>
      <c r="B9440" s="1" t="s">
        <v>6138</v>
      </c>
      <c r="C9440" s="2">
        <f>IFERROR(__xludf.DUMMYFUNCTION("IFERROR(VLOOKUP(A9440, IMPORTRANGE(""https://docs.google.com/spreadsheets/d/1AVX9GT0dgogEBStecCXMMQ29tWz3gBrtNB8yIromXbY/edit?gid=741673867"", ""out1g!A:B""), 2, FALSE), 0)"),69.0)</f>
        <v>69</v>
      </c>
      <c r="D9440" s="2" t="str">
        <f>IFERROR(__xludf.DUMMYFUNCTION("IFERROR(VLOOKUP(A9440, IMPORTRANGE(""https://docs.google.com/spreadsheets/d/1-3Vjw2Cyy-mry5gbC8ypIR3YVGFfEpyFESummAta6sg/edit"", ""Sheet1!B:D""), 2, FALSE), ""Not Found"")"),"skwilz")</f>
        <v>skwilz</v>
      </c>
      <c r="E9440" s="2" t="str">
        <f>IFERROR(__xludf.DUMMYFUNCTION("IFERROR(VLOOKUP(A9440, IMPORTRANGE(""https://docs.google.com/spreadsheets/d/1-3Vjw2Cyy-mry5gbC8ypIR3YVGFfEpyFESummAta6sg/edit"", ""Sheet1!B:D""), 3, FALSE), ""Not Found"")"),"s k w i l z ")</f>
        <v>s k w i l z </v>
      </c>
    </row>
    <row r="9441">
      <c r="A9441" s="1" t="s">
        <v>9442</v>
      </c>
      <c r="B9441" s="1" t="s">
        <v>6138</v>
      </c>
      <c r="C9441" s="2">
        <f>IFERROR(__xludf.DUMMYFUNCTION("IFERROR(VLOOKUP(A9441, IMPORTRANGE(""https://docs.google.com/spreadsheets/d/1AVX9GT0dgogEBStecCXMMQ29tWz3gBrtNB8yIromXbY/edit?gid=741673867"", ""out1g!A:B""), 2, FALSE), 0)"),1434.0)</f>
        <v>1434</v>
      </c>
      <c r="D9441" s="2" t="str">
        <f>IFERROR(__xludf.DUMMYFUNCTION("IFERROR(VLOOKUP(A9441, IMPORTRANGE(""https://docs.google.com/spreadsheets/d/1-3Vjw2Cyy-mry5gbC8ypIR3YVGFfEpyFESummAta6sg/edit"", ""Sheet1!B:D""), 2, FALSE), ""Not Found"")"),"ʧɑrmɪŋ")</f>
        <v>ʧɑrmɪŋ</v>
      </c>
      <c r="E9441" s="2" t="str">
        <f>IFERROR(__xludf.DUMMYFUNCTION("IFERROR(VLOOKUP(A9441, IMPORTRANGE(""https://docs.google.com/spreadsheets/d/1-3Vjw2Cyy-mry5gbC8ypIR3YVGFfEpyFESummAta6sg/edit"", ""Sheet1!B:D""), 3, FALSE), ""Not Found"")"),"ʧ ɑ r m ɪ ŋ ")</f>
        <v>ʧ ɑ r m ɪ ŋ </v>
      </c>
    </row>
    <row r="9442">
      <c r="A9442" s="1" t="s">
        <v>9443</v>
      </c>
      <c r="B9442" s="1" t="s">
        <v>6138</v>
      </c>
      <c r="C9442" s="2">
        <f>IFERROR(__xludf.DUMMYFUNCTION("IFERROR(VLOOKUP(A9442, IMPORTRANGE(""https://docs.google.com/spreadsheets/d/1AVX9GT0dgogEBStecCXMMQ29tWz3gBrtNB8yIromXbY/edit?gid=741673867"", ""out1g!A:B""), 2, FALSE), 0)"),863.0)</f>
        <v>863</v>
      </c>
      <c r="D9442" s="2" t="str">
        <f>IFERROR(__xludf.DUMMYFUNCTION("IFERROR(VLOOKUP(A9442, IMPORTRANGE(""https://docs.google.com/spreadsheets/d/1-3Vjw2Cyy-mry5gbC8ypIR3YVGFfEpyFESummAta6sg/edit"", ""Sheet1!B:D""), 2, FALSE), ""Not Found"")"),"kaʊnsəl")</f>
        <v>kaʊnsəl</v>
      </c>
      <c r="E9442" s="2" t="str">
        <f>IFERROR(__xludf.DUMMYFUNCTION("IFERROR(VLOOKUP(A9442, IMPORTRANGE(""https://docs.google.com/spreadsheets/d/1-3Vjw2Cyy-mry5gbC8ypIR3YVGFfEpyFESummAta6sg/edit"", ""Sheet1!B:D""), 3, FALSE), ""Not Found"")"),"k a ʊ n s ə l ")</f>
        <v>k a ʊ n s ə l </v>
      </c>
    </row>
    <row r="9443">
      <c r="A9443" s="1" t="s">
        <v>9444</v>
      </c>
      <c r="B9443" s="1" t="s">
        <v>6138</v>
      </c>
      <c r="C9443" s="2">
        <f>IFERROR(__xludf.DUMMYFUNCTION("IFERROR(VLOOKUP(A9443, IMPORTRANGE(""https://docs.google.com/spreadsheets/d/1AVX9GT0dgogEBStecCXMMQ29tWz3gBrtNB8yIromXbY/edit?gid=741673867"", ""out1g!A:B""), 2, FALSE), 0)"),978.0)</f>
        <v>978</v>
      </c>
      <c r="D9443" s="2" t="str">
        <f>IFERROR(__xludf.DUMMYFUNCTION("IFERROR(VLOOKUP(A9443, IMPORTRANGE(""https://docs.google.com/spreadsheets/d/1-3Vjw2Cyy-mry5gbC8ypIR3YVGFfEpyFESummAta6sg/edit"", ""Sheet1!B:D""), 2, FALSE), ""Not Found"")"),"pʊʃɪŋ")</f>
        <v>pʊʃɪŋ</v>
      </c>
      <c r="E9443" s="2" t="str">
        <f>IFERROR(__xludf.DUMMYFUNCTION("IFERROR(VLOOKUP(A9443, IMPORTRANGE(""https://docs.google.com/spreadsheets/d/1-3Vjw2Cyy-mry5gbC8ypIR3YVGFfEpyFESummAta6sg/edit"", ""Sheet1!B:D""), 3, FALSE), ""Not Found"")"),"p ʊ ʃ ɪ ŋ ")</f>
        <v>p ʊ ʃ ɪ ŋ </v>
      </c>
    </row>
    <row r="9444">
      <c r="A9444" s="1" t="s">
        <v>9445</v>
      </c>
      <c r="B9444" s="1" t="s">
        <v>6138</v>
      </c>
      <c r="C9444" s="2">
        <f>IFERROR(__xludf.DUMMYFUNCTION("IFERROR(VLOOKUP(A9444, IMPORTRANGE(""https://docs.google.com/spreadsheets/d/1AVX9GT0dgogEBStecCXMMQ29tWz3gBrtNB8yIromXbY/edit?gid=741673867"", ""out1g!A:B""), 2, FALSE), 0)"),267.0)</f>
        <v>267</v>
      </c>
      <c r="D9444" s="2" t="str">
        <f>IFERROR(__xludf.DUMMYFUNCTION("IFERROR(VLOOKUP(A9444, IMPORTRANGE(""https://docs.google.com/spreadsheets/d/1-3Vjw2Cyy-mry5gbC8ypIR3YVGFfEpyFESummAta6sg/edit"", ""Sheet1!B:D""), 2, FALSE), ""Not Found"")"),"kɑrbən")</f>
        <v>kɑrbən</v>
      </c>
      <c r="E9444" s="2" t="str">
        <f>IFERROR(__xludf.DUMMYFUNCTION("IFERROR(VLOOKUP(A9444, IMPORTRANGE(""https://docs.google.com/spreadsheets/d/1-3Vjw2Cyy-mry5gbC8ypIR3YVGFfEpyFESummAta6sg/edit"", ""Sheet1!B:D""), 3, FALSE), ""Not Found"")"),"k ɑ r b ə n ")</f>
        <v>k ɑ r b ə n </v>
      </c>
    </row>
    <row r="9445">
      <c r="A9445" s="1" t="s">
        <v>9446</v>
      </c>
      <c r="B9445" s="1" t="s">
        <v>6138</v>
      </c>
      <c r="C9445" s="2">
        <f>IFERROR(__xludf.DUMMYFUNCTION("IFERROR(VLOOKUP(A9445, IMPORTRANGE(""https://docs.google.com/spreadsheets/d/1AVX9GT0dgogEBStecCXMMQ29tWz3gBrtNB8yIromXbY/edit?gid=741673867"", ""out1g!A:B""), 2, FALSE), 0)"),156.0)</f>
        <v>156</v>
      </c>
      <c r="D9445" s="2" t="str">
        <f>IFERROR(__xludf.DUMMYFUNCTION("IFERROR(VLOOKUP(A9445, IMPORTRANGE(""https://docs.google.com/spreadsheets/d/1-3Vjw2Cyy-mry5gbC8ypIR3YVGFfEpyFESummAta6sg/edit"", ""Sheet1!B:D""), 2, FALSE), ""Not Found"")"),"rɔrɪŋ")</f>
        <v>rɔrɪŋ</v>
      </c>
      <c r="E9445" s="2" t="str">
        <f>IFERROR(__xludf.DUMMYFUNCTION("IFERROR(VLOOKUP(A9445, IMPORTRANGE(""https://docs.google.com/spreadsheets/d/1-3Vjw2Cyy-mry5gbC8ypIR3YVGFfEpyFESummAta6sg/edit"", ""Sheet1!B:D""), 3, FALSE), ""Not Found"")"),"r ɔ r ɪ ŋ ")</f>
        <v>r ɔ r ɪ ŋ </v>
      </c>
    </row>
    <row r="9446">
      <c r="A9446" s="1" t="s">
        <v>9447</v>
      </c>
      <c r="B9446" s="1" t="s">
        <v>6138</v>
      </c>
      <c r="C9446" s="2">
        <f>IFERROR(__xludf.DUMMYFUNCTION("IFERROR(VLOOKUP(A9446, IMPORTRANGE(""https://docs.google.com/spreadsheets/d/1AVX9GT0dgogEBStecCXMMQ29tWz3gBrtNB8yIromXbY/edit?gid=741673867"", ""out1g!A:B""), 2, FALSE), 0)"),698.0)</f>
        <v>698</v>
      </c>
      <c r="D9446" s="2" t="str">
        <f>IFERROR(__xludf.DUMMYFUNCTION("IFERROR(VLOOKUP(A9446, IMPORTRANGE(""https://docs.google.com/spreadsheets/d/1-3Vjw2Cyy-mry5gbC8ypIR3YVGFfEpyFESummAta6sg/edit"", ""Sheet1!B:D""), 2, FALSE), ""Not Found"")"),"bekər")</f>
        <v>bekər</v>
      </c>
      <c r="E9446" s="2" t="str">
        <f>IFERROR(__xludf.DUMMYFUNCTION("IFERROR(VLOOKUP(A9446, IMPORTRANGE(""https://docs.google.com/spreadsheets/d/1-3Vjw2Cyy-mry5gbC8ypIR3YVGFfEpyFESummAta6sg/edit"", ""Sheet1!B:D""), 3, FALSE), ""Not Found"")"),"b e k ə r ")</f>
        <v>b e k ə r </v>
      </c>
    </row>
    <row r="9447">
      <c r="A9447" s="1" t="s">
        <v>9448</v>
      </c>
      <c r="B9447" s="1" t="s">
        <v>6138</v>
      </c>
      <c r="C9447" s="2">
        <f>IFERROR(__xludf.DUMMYFUNCTION("IFERROR(VLOOKUP(A9447, IMPORTRANGE(""https://docs.google.com/spreadsheets/d/1AVX9GT0dgogEBStecCXMMQ29tWz3gBrtNB8yIromXbY/edit?gid=741673867"", ""out1g!A:B""), 2, FALSE), 0)"),57.0)</f>
        <v>57</v>
      </c>
      <c r="D9447" s="2" t="str">
        <f>IFERROR(__xludf.DUMMYFUNCTION("IFERROR(VLOOKUP(A9447, IMPORTRANGE(""https://docs.google.com/spreadsheets/d/1-3Vjw2Cyy-mry5gbC8ypIR3YVGFfEpyFESummAta6sg/edit"", ""Sheet1!B:D""), 2, FALSE), ""Not Found"")"),"pitə")</f>
        <v>pitə</v>
      </c>
      <c r="E9447" s="2" t="str">
        <f>IFERROR(__xludf.DUMMYFUNCTION("IFERROR(VLOOKUP(A9447, IMPORTRANGE(""https://docs.google.com/spreadsheets/d/1-3Vjw2Cyy-mry5gbC8ypIR3YVGFfEpyFESummAta6sg/edit"", ""Sheet1!B:D""), 3, FALSE), ""Not Found"")"),"p i t ə ")</f>
        <v>p i t ə </v>
      </c>
    </row>
    <row r="9448">
      <c r="A9448" s="1" t="s">
        <v>9449</v>
      </c>
      <c r="B9448" s="1" t="s">
        <v>6138</v>
      </c>
      <c r="C9448" s="2">
        <f>IFERROR(__xludf.DUMMYFUNCTION("IFERROR(VLOOKUP(A9448, IMPORTRANGE(""https://docs.google.com/spreadsheets/d/1AVX9GT0dgogEBStecCXMMQ29tWz3gBrtNB8yIromXbY/edit?gid=741673867"", ""out1g!A:B""), 2, FALSE), 0)"),921.0)</f>
        <v>921</v>
      </c>
      <c r="D9448" s="2" t="str">
        <f>IFERROR(__xludf.DUMMYFUNCTION("IFERROR(VLOOKUP(A9448, IMPORTRANGE(""https://docs.google.com/spreadsheets/d/1-3Vjw2Cyy-mry5gbC8ypIR3YVGFfEpyFESummAta6sg/edit"", ""Sheet1!B:D""), 2, FALSE), ""Not Found"")"),"bloʊɪŋ")</f>
        <v>bloʊɪŋ</v>
      </c>
      <c r="E9448" s="2" t="str">
        <f>IFERROR(__xludf.DUMMYFUNCTION("IFERROR(VLOOKUP(A9448, IMPORTRANGE(""https://docs.google.com/spreadsheets/d/1-3Vjw2Cyy-mry5gbC8ypIR3YVGFfEpyFESummAta6sg/edit"", ""Sheet1!B:D""), 3, FALSE), ""Not Found"")"),"b l o ʊ ɪ ŋ ")</f>
        <v>b l o ʊ ɪ ŋ </v>
      </c>
    </row>
    <row r="9449">
      <c r="A9449" s="1" t="s">
        <v>9450</v>
      </c>
      <c r="B9449" s="1" t="s">
        <v>6138</v>
      </c>
      <c r="C9449" s="2">
        <f>IFERROR(__xludf.DUMMYFUNCTION("IFERROR(VLOOKUP(A9449, IMPORTRANGE(""https://docs.google.com/spreadsheets/d/1AVX9GT0dgogEBStecCXMMQ29tWz3gBrtNB8yIromXbY/edit?gid=741673867"", ""out1g!A:B""), 2, FALSE), 0)"),94.0)</f>
        <v>94</v>
      </c>
      <c r="D9449" s="2" t="str">
        <f>IFERROR(__xludf.DUMMYFUNCTION("IFERROR(VLOOKUP(A9449, IMPORTRANGE(""https://docs.google.com/spreadsheets/d/1-3Vjw2Cyy-mry5gbC8ypIR3YVGFfEpyFESummAta6sg/edit"", ""Sheet1!B:D""), 2, FALSE), ""Not Found"")"),"braʊ")</f>
        <v>braʊ</v>
      </c>
      <c r="E9449" s="2" t="str">
        <f>IFERROR(__xludf.DUMMYFUNCTION("IFERROR(VLOOKUP(A9449, IMPORTRANGE(""https://docs.google.com/spreadsheets/d/1-3Vjw2Cyy-mry5gbC8ypIR3YVGFfEpyFESummAta6sg/edit"", ""Sheet1!B:D""), 3, FALSE), ""Not Found"")"),"b r a ʊ ")</f>
        <v>b r a ʊ </v>
      </c>
    </row>
    <row r="9450">
      <c r="A9450" s="1" t="s">
        <v>9451</v>
      </c>
      <c r="B9450" s="1" t="s">
        <v>6138</v>
      </c>
      <c r="C9450" s="2">
        <f>IFERROR(__xludf.DUMMYFUNCTION("IFERROR(VLOOKUP(A9450, IMPORTRANGE(""https://docs.google.com/spreadsheets/d/1AVX9GT0dgogEBStecCXMMQ29tWz3gBrtNB8yIromXbY/edit?gid=741673867"", ""out1g!A:B""), 2, FALSE), 0)"),82.0)</f>
        <v>82</v>
      </c>
      <c r="D9450" s="2" t="str">
        <f>IFERROR(__xludf.DUMMYFUNCTION("IFERROR(VLOOKUP(A9450, IMPORTRANGE(""https://docs.google.com/spreadsheets/d/1-3Vjw2Cyy-mry5gbC8ypIR3YVGFfEpyFESummAta6sg/edit"", ""Sheet1!B:D""), 2, FALSE), ""Not Found"")"),"læk")</f>
        <v>læk</v>
      </c>
      <c r="E9450" s="2" t="str">
        <f>IFERROR(__xludf.DUMMYFUNCTION("IFERROR(VLOOKUP(A9450, IMPORTRANGE(""https://docs.google.com/spreadsheets/d/1-3Vjw2Cyy-mry5gbC8ypIR3YVGFfEpyFESummAta6sg/edit"", ""Sheet1!B:D""), 3, FALSE), ""Not Found"")"),"l æ k ")</f>
        <v>l æ k </v>
      </c>
    </row>
    <row r="9451">
      <c r="A9451" s="1" t="s">
        <v>9452</v>
      </c>
      <c r="B9451" s="1" t="s">
        <v>6138</v>
      </c>
      <c r="C9451" s="2">
        <f>IFERROR(__xludf.DUMMYFUNCTION("IFERROR(VLOOKUP(A9451, IMPORTRANGE(""https://docs.google.com/spreadsheets/d/1AVX9GT0dgogEBStecCXMMQ29tWz3gBrtNB8yIromXbY/edit?gid=741673867"", ""out1g!A:B""), 2, FALSE), 0)"),133.0)</f>
        <v>133</v>
      </c>
      <c r="D9451" s="2" t="str">
        <f>IFERROR(__xludf.DUMMYFUNCTION("IFERROR(VLOOKUP(A9451, IMPORTRANGE(""https://docs.google.com/spreadsheets/d/1-3Vjw2Cyy-mry5gbC8ypIR3YVGFfEpyFESummAta6sg/edit"", ""Sheet1!B:D""), 2, FALSE), ""Not Found"")"),"ku")</f>
        <v>ku</v>
      </c>
      <c r="E9451" s="2" t="str">
        <f>IFERROR(__xludf.DUMMYFUNCTION("IFERROR(VLOOKUP(A9451, IMPORTRANGE(""https://docs.google.com/spreadsheets/d/1-3Vjw2Cyy-mry5gbC8ypIR3YVGFfEpyFESummAta6sg/edit"", ""Sheet1!B:D""), 3, FALSE), ""Not Found"")"),"k u ")</f>
        <v>k u </v>
      </c>
    </row>
    <row r="9452">
      <c r="A9452" s="1" t="s">
        <v>9453</v>
      </c>
      <c r="B9452" s="1" t="s">
        <v>6138</v>
      </c>
      <c r="C9452" s="2">
        <f>IFERROR(__xludf.DUMMYFUNCTION("IFERROR(VLOOKUP(A9452, IMPORTRANGE(""https://docs.google.com/spreadsheets/d/1AVX9GT0dgogEBStecCXMMQ29tWz3gBrtNB8yIromXbY/edit?gid=741673867"", ""out1g!A:B""), 2, FALSE), 0)"),69.0)</f>
        <v>69</v>
      </c>
      <c r="D9452" s="2" t="str">
        <f>IFERROR(__xludf.DUMMYFUNCTION("IFERROR(VLOOKUP(A9452, IMPORTRANGE(""https://docs.google.com/spreadsheets/d/1-3Vjw2Cyy-mry5gbC8ypIR3YVGFfEpyFESummAta6sg/edit"", ""Sheet1!B:D""), 2, FALSE), ""Not Found"")"),"pegən")</f>
        <v>pegən</v>
      </c>
      <c r="E9452" s="2" t="str">
        <f>IFERROR(__xludf.DUMMYFUNCTION("IFERROR(VLOOKUP(A9452, IMPORTRANGE(""https://docs.google.com/spreadsheets/d/1-3Vjw2Cyy-mry5gbC8ypIR3YVGFfEpyFESummAta6sg/edit"", ""Sheet1!B:D""), 3, FALSE), ""Not Found"")"),"p e g ə n ")</f>
        <v>p e g ə n </v>
      </c>
    </row>
    <row r="9453">
      <c r="A9453" s="1" t="s">
        <v>9454</v>
      </c>
      <c r="B9453" s="1" t="s">
        <v>6138</v>
      </c>
      <c r="C9453" s="2">
        <f>IFERROR(__xludf.DUMMYFUNCTION("IFERROR(VLOOKUP(A9453, IMPORTRANGE(""https://docs.google.com/spreadsheets/d/1AVX9GT0dgogEBStecCXMMQ29tWz3gBrtNB8yIromXbY/edit?gid=741673867"", ""out1g!A:B""), 2, FALSE), 0)"),86.0)</f>
        <v>86</v>
      </c>
      <c r="D9453" s="2" t="str">
        <f>IFERROR(__xludf.DUMMYFUNCTION("IFERROR(VLOOKUP(A9453, IMPORTRANGE(""https://docs.google.com/spreadsheets/d/1-3Vjw2Cyy-mry5gbC8ypIR3YVGFfEpyFESummAta6sg/edit"", ""Sheet1!B:D""), 2, FALSE), ""Not Found"")"),"kɔrdz")</f>
        <v>kɔrdz</v>
      </c>
      <c r="E9453" s="2" t="str">
        <f>IFERROR(__xludf.DUMMYFUNCTION("IFERROR(VLOOKUP(A9453, IMPORTRANGE(""https://docs.google.com/spreadsheets/d/1-3Vjw2Cyy-mry5gbC8ypIR3YVGFfEpyFESummAta6sg/edit"", ""Sheet1!B:D""), 3, FALSE), ""Not Found"")"),"k ɔ r d z ")</f>
        <v>k ɔ r d z </v>
      </c>
    </row>
    <row r="9454">
      <c r="A9454" s="1" t="s">
        <v>9455</v>
      </c>
      <c r="B9454" s="1" t="s">
        <v>6138</v>
      </c>
      <c r="C9454" s="2">
        <f>IFERROR(__xludf.DUMMYFUNCTION("IFERROR(VLOOKUP(A9454, IMPORTRANGE(""https://docs.google.com/spreadsheets/d/1AVX9GT0dgogEBStecCXMMQ29tWz3gBrtNB8yIromXbY/edit?gid=741673867"", ""out1g!A:B""), 2, FALSE), 0)"),1379.0)</f>
        <v>1379</v>
      </c>
      <c r="D9454" s="2" t="str">
        <f>IFERROR(__xludf.DUMMYFUNCTION("IFERROR(VLOOKUP(A9454, IMPORTRANGE(""https://docs.google.com/spreadsheets/d/1-3Vjw2Cyy-mry5gbC8ypIR3YVGFfEpyFESummAta6sg/edit"", ""Sheet1!B:D""), 2, FALSE), ""Not Found"")"),"pɑrkɪŋ")</f>
        <v>pɑrkɪŋ</v>
      </c>
      <c r="E9454" s="2" t="str">
        <f>IFERROR(__xludf.DUMMYFUNCTION("IFERROR(VLOOKUP(A9454, IMPORTRANGE(""https://docs.google.com/spreadsheets/d/1-3Vjw2Cyy-mry5gbC8ypIR3YVGFfEpyFESummAta6sg/edit"", ""Sheet1!B:D""), 3, FALSE), ""Not Found"")"),"p ɑ r k ɪ ŋ ")</f>
        <v>p ɑ r k ɪ ŋ </v>
      </c>
    </row>
    <row r="9455">
      <c r="A9455" s="1" t="s">
        <v>9456</v>
      </c>
      <c r="B9455" s="1" t="s">
        <v>6138</v>
      </c>
      <c r="C9455" s="2">
        <f>IFERROR(__xludf.DUMMYFUNCTION("IFERROR(VLOOKUP(A9455, IMPORTRANGE(""https://docs.google.com/spreadsheets/d/1AVX9GT0dgogEBStecCXMMQ29tWz3gBrtNB8yIromXbY/edit?gid=741673867"", ""out1g!A:B""), 2, FALSE), 0)"),391.0)</f>
        <v>391</v>
      </c>
      <c r="D9455" s="2" t="str">
        <f>IFERROR(__xludf.DUMMYFUNCTION("IFERROR(VLOOKUP(A9455, IMPORTRANGE(""https://docs.google.com/spreadsheets/d/1-3Vjw2Cyy-mry5gbC8ypIR3YVGFfEpyFESummAta6sg/edit"", ""Sheet1!B:D""), 2, FALSE), ""Not Found"")"),"draʊnd")</f>
        <v>draʊnd</v>
      </c>
      <c r="E9455" s="2" t="str">
        <f>IFERROR(__xludf.DUMMYFUNCTION("IFERROR(VLOOKUP(A9455, IMPORTRANGE(""https://docs.google.com/spreadsheets/d/1-3Vjw2Cyy-mry5gbC8ypIR3YVGFfEpyFESummAta6sg/edit"", ""Sheet1!B:D""), 3, FALSE), ""Not Found"")"),"d r a ʊ n d ")</f>
        <v>d r a ʊ n d </v>
      </c>
    </row>
    <row r="9456">
      <c r="A9456" s="1" t="s">
        <v>9457</v>
      </c>
      <c r="B9456" s="1" t="s">
        <v>6138</v>
      </c>
      <c r="C9456" s="2">
        <f>IFERROR(__xludf.DUMMYFUNCTION("IFERROR(VLOOKUP(A9456, IMPORTRANGE(""https://docs.google.com/spreadsheets/d/1AVX9GT0dgogEBStecCXMMQ29tWz3gBrtNB8yIromXbY/edit?gid=741673867"", ""out1g!A:B""), 2, FALSE), 0)"),82.0)</f>
        <v>82</v>
      </c>
      <c r="D9456" s="2" t="str">
        <f>IFERROR(__xludf.DUMMYFUNCTION("IFERROR(VLOOKUP(A9456, IMPORTRANGE(""https://docs.google.com/spreadsheets/d/1-3Vjw2Cyy-mry5gbC8ypIR3YVGFfEpyFESummAta6sg/edit"", ""Sheet1!B:D""), 2, FALSE), ""Not Found"")"),"hɔŋki")</f>
        <v>hɔŋki</v>
      </c>
      <c r="E9456" s="2" t="str">
        <f>IFERROR(__xludf.DUMMYFUNCTION("IFERROR(VLOOKUP(A9456, IMPORTRANGE(""https://docs.google.com/spreadsheets/d/1-3Vjw2Cyy-mry5gbC8ypIR3YVGFfEpyFESummAta6sg/edit"", ""Sheet1!B:D""), 3, FALSE), ""Not Found"")"),"h ɔ ŋ k i ")</f>
        <v>h ɔ ŋ k i </v>
      </c>
    </row>
    <row r="9457">
      <c r="A9457" s="1" t="s">
        <v>9458</v>
      </c>
      <c r="B9457" s="1" t="s">
        <v>6138</v>
      </c>
      <c r="C9457" s="2">
        <f>IFERROR(__xludf.DUMMYFUNCTION("IFERROR(VLOOKUP(A9457, IMPORTRANGE(""https://docs.google.com/spreadsheets/d/1AVX9GT0dgogEBStecCXMMQ29tWz3gBrtNB8yIromXbY/edit?gid=741673867"", ""out1g!A:B""), 2, FALSE), 0)"),174.0)</f>
        <v>174</v>
      </c>
      <c r="D9457" s="2" t="str">
        <f>IFERROR(__xludf.DUMMYFUNCTION("IFERROR(VLOOKUP(A9457, IMPORTRANGE(""https://docs.google.com/spreadsheets/d/1-3Vjw2Cyy-mry5gbC8ypIR3YVGFfEpyFESummAta6sg/edit"", ""Sheet1!B:D""), 2, FALSE), ""Not Found"")"),"pɛndɪŋ")</f>
        <v>pɛndɪŋ</v>
      </c>
      <c r="E9457" s="2" t="str">
        <f>IFERROR(__xludf.DUMMYFUNCTION("IFERROR(VLOOKUP(A9457, IMPORTRANGE(""https://docs.google.com/spreadsheets/d/1-3Vjw2Cyy-mry5gbC8ypIR3YVGFfEpyFESummAta6sg/edit"", ""Sheet1!B:D""), 3, FALSE), ""Not Found"")"),"p ɛ n d ɪ ŋ ")</f>
        <v>p ɛ n d ɪ ŋ </v>
      </c>
    </row>
    <row r="9458">
      <c r="A9458" s="1" t="s">
        <v>9459</v>
      </c>
      <c r="B9458" s="1" t="s">
        <v>6138</v>
      </c>
      <c r="C9458" s="2">
        <f>IFERROR(__xludf.DUMMYFUNCTION("IFERROR(VLOOKUP(A9458, IMPORTRANGE(""https://docs.google.com/spreadsheets/d/1AVX9GT0dgogEBStecCXMMQ29tWz3gBrtNB8yIromXbY/edit?gid=741673867"", ""out1g!A:B""), 2, FALSE), 0)"),98.0)</f>
        <v>98</v>
      </c>
      <c r="D9458" s="2" t="str">
        <f>IFERROR(__xludf.DUMMYFUNCTION("IFERROR(VLOOKUP(A9458, IMPORTRANGE(""https://docs.google.com/spreadsheets/d/1-3Vjw2Cyy-mry5gbC8ypIR3YVGFfEpyFESummAta6sg/edit"", ""Sheet1!B:D""), 2, FALSE), ""Not Found"")"),"lʊki")</f>
        <v>lʊki</v>
      </c>
      <c r="E9458" s="2" t="str">
        <f>IFERROR(__xludf.DUMMYFUNCTION("IFERROR(VLOOKUP(A9458, IMPORTRANGE(""https://docs.google.com/spreadsheets/d/1-3Vjw2Cyy-mry5gbC8ypIR3YVGFfEpyFESummAta6sg/edit"", ""Sheet1!B:D""), 3, FALSE), ""Not Found"")"),"l ʊ k i ")</f>
        <v>l ʊ k i </v>
      </c>
    </row>
    <row r="9459">
      <c r="A9459" s="1" t="s">
        <v>9460</v>
      </c>
      <c r="B9459" s="1" t="s">
        <v>6138</v>
      </c>
      <c r="C9459" s="2">
        <f>IFERROR(__xludf.DUMMYFUNCTION("IFERROR(VLOOKUP(A9459, IMPORTRANGE(""https://docs.google.com/spreadsheets/d/1AVX9GT0dgogEBStecCXMMQ29tWz3gBrtNB8yIromXbY/edit?gid=741673867"", ""out1g!A:B""), 2, FALSE), 0)"),86.0)</f>
        <v>86</v>
      </c>
      <c r="D9459" s="2" t="str">
        <f>IFERROR(__xludf.DUMMYFUNCTION("IFERROR(VLOOKUP(A9459, IMPORTRANGE(""https://docs.google.com/spreadsheets/d/1-3Vjw2Cyy-mry5gbC8ypIR3YVGFfEpyFESummAta6sg/edit"", ""Sheet1!B:D""), 2, FALSE), ""Not Found"")"),"ɑrmər")</f>
        <v>ɑrmər</v>
      </c>
      <c r="E9459" s="2" t="str">
        <f>IFERROR(__xludf.DUMMYFUNCTION("IFERROR(VLOOKUP(A9459, IMPORTRANGE(""https://docs.google.com/spreadsheets/d/1-3Vjw2Cyy-mry5gbC8ypIR3YVGFfEpyFESummAta6sg/edit"", ""Sheet1!B:D""), 3, FALSE), ""Not Found"")"),"ɑ r m ə r ")</f>
        <v>ɑ r m ə r </v>
      </c>
    </row>
    <row r="9460">
      <c r="A9460" s="1" t="s">
        <v>9461</v>
      </c>
      <c r="B9460" s="1" t="s">
        <v>6138</v>
      </c>
      <c r="C9460" s="2">
        <f>IFERROR(__xludf.DUMMYFUNCTION("IFERROR(VLOOKUP(A9460, IMPORTRANGE(""https://docs.google.com/spreadsheets/d/1AVX9GT0dgogEBStecCXMMQ29tWz3gBrtNB8yIromXbY/edit?gid=741673867"", ""out1g!A:B""), 2, FALSE), 0)"),53.0)</f>
        <v>53</v>
      </c>
      <c r="D9460" s="2" t="str">
        <f>IFERROR(__xludf.DUMMYFUNCTION("IFERROR(VLOOKUP(A9460, IMPORTRANGE(""https://docs.google.com/spreadsheets/d/1-3Vjw2Cyy-mry5gbC8ypIR3YVGFfEpyFESummAta6sg/edit"", ""Sheet1!B:D""), 2, FALSE), ""Not Found"")"),"dɪfaɪd")</f>
        <v>dɪfaɪd</v>
      </c>
      <c r="E9460" s="2" t="str">
        <f>IFERROR(__xludf.DUMMYFUNCTION("IFERROR(VLOOKUP(A9460, IMPORTRANGE(""https://docs.google.com/spreadsheets/d/1-3Vjw2Cyy-mry5gbC8ypIR3YVGFfEpyFESummAta6sg/edit"", ""Sheet1!B:D""), 3, FALSE), ""Not Found"")"),"d ɪ f a ɪ d ")</f>
        <v>d ɪ f a ɪ d </v>
      </c>
    </row>
    <row r="9461">
      <c r="A9461" s="1" t="s">
        <v>9462</v>
      </c>
      <c r="B9461" s="1" t="s">
        <v>6138</v>
      </c>
      <c r="C9461" s="2">
        <f>IFERROR(__xludf.DUMMYFUNCTION("IFERROR(VLOOKUP(A9461, IMPORTRANGE(""https://docs.google.com/spreadsheets/d/1AVX9GT0dgogEBStecCXMMQ29tWz3gBrtNB8yIromXbY/edit?gid=741673867"", ""out1g!A:B""), 2, FALSE), 0)"),140.0)</f>
        <v>140</v>
      </c>
      <c r="D9461" s="2" t="str">
        <f>IFERROR(__xludf.DUMMYFUNCTION("IFERROR(VLOOKUP(A9461, IMPORTRANGE(""https://docs.google.com/spreadsheets/d/1-3Vjw2Cyy-mry5gbC8ypIR3YVGFfEpyFESummAta6sg/edit"", ""Sheet1!B:D""), 2, FALSE), ""Not Found"")"),"sərinə")</f>
        <v>sərinə</v>
      </c>
      <c r="E9461" s="2" t="str">
        <f>IFERROR(__xludf.DUMMYFUNCTION("IFERROR(VLOOKUP(A9461, IMPORTRANGE(""https://docs.google.com/spreadsheets/d/1-3Vjw2Cyy-mry5gbC8ypIR3YVGFfEpyFESummAta6sg/edit"", ""Sheet1!B:D""), 3, FALSE), ""Not Found"")"),"s ə r i n ə ")</f>
        <v>s ə r i n ə </v>
      </c>
    </row>
    <row r="9462">
      <c r="A9462" s="1" t="s">
        <v>9463</v>
      </c>
      <c r="B9462" s="1" t="s">
        <v>6138</v>
      </c>
      <c r="C9462" s="2">
        <f>IFERROR(__xludf.DUMMYFUNCTION("IFERROR(VLOOKUP(A9462, IMPORTRANGE(""https://docs.google.com/spreadsheets/d/1AVX9GT0dgogEBStecCXMMQ29tWz3gBrtNB8yIromXbY/edit?gid=741673867"", ""out1g!A:B""), 2, FALSE), 0)"),320.0)</f>
        <v>320</v>
      </c>
      <c r="D9462" s="2" t="str">
        <f>IFERROR(__xludf.DUMMYFUNCTION("IFERROR(VLOOKUP(A9462, IMPORTRANGE(""https://docs.google.com/spreadsheets/d/1-3Vjw2Cyy-mry5gbC8ypIR3YVGFfEpyFESummAta6sg/edit"", ""Sheet1!B:D""), 2, FALSE), ""Not Found"")"),"ʧɑrʤɪŋ")</f>
        <v>ʧɑrʤɪŋ</v>
      </c>
      <c r="E9462" s="2" t="str">
        <f>IFERROR(__xludf.DUMMYFUNCTION("IFERROR(VLOOKUP(A9462, IMPORTRANGE(""https://docs.google.com/spreadsheets/d/1-3Vjw2Cyy-mry5gbC8ypIR3YVGFfEpyFESummAta6sg/edit"", ""Sheet1!B:D""), 3, FALSE), ""Not Found"")"),"ʧ ɑ r ʤ ɪ ŋ ")</f>
        <v>ʧ ɑ r ʤ ɪ ŋ </v>
      </c>
    </row>
    <row r="9463">
      <c r="A9463" s="1" t="s">
        <v>9464</v>
      </c>
      <c r="B9463" s="1" t="s">
        <v>6138</v>
      </c>
      <c r="C9463" s="2">
        <f>IFERROR(__xludf.DUMMYFUNCTION("IFERROR(VLOOKUP(A9463, IMPORTRANGE(""https://docs.google.com/spreadsheets/d/1AVX9GT0dgogEBStecCXMMQ29tWz3gBrtNB8yIromXbY/edit?gid=741673867"", ""out1g!A:B""), 2, FALSE), 0)"),496.0)</f>
        <v>496</v>
      </c>
      <c r="D9463" s="2" t="str">
        <f>IFERROR(__xludf.DUMMYFUNCTION("IFERROR(VLOOKUP(A9463, IMPORTRANGE(""https://docs.google.com/spreadsheets/d/1-3Vjw2Cyy-mry5gbC8ypIR3YVGFfEpyFESummAta6sg/edit"", ""Sheet1!B:D""), 2, FALSE), ""Not Found"")"),"kwinz")</f>
        <v>kwinz</v>
      </c>
      <c r="E9463" s="2" t="str">
        <f>IFERROR(__xludf.DUMMYFUNCTION("IFERROR(VLOOKUP(A9463, IMPORTRANGE(""https://docs.google.com/spreadsheets/d/1-3Vjw2Cyy-mry5gbC8ypIR3YVGFfEpyFESummAta6sg/edit"", ""Sheet1!B:D""), 3, FALSE), ""Not Found"")"),"k w i n z ")</f>
        <v>k w i n z </v>
      </c>
    </row>
    <row r="9464">
      <c r="A9464" s="1" t="s">
        <v>9465</v>
      </c>
      <c r="B9464" s="1" t="s">
        <v>6138</v>
      </c>
      <c r="C9464" s="2">
        <f>IFERROR(__xludf.DUMMYFUNCTION("IFERROR(VLOOKUP(A9464, IMPORTRANGE(""https://docs.google.com/spreadsheets/d/1AVX9GT0dgogEBStecCXMMQ29tWz3gBrtNB8yIromXbY/edit?gid=741673867"", ""out1g!A:B""), 2, FALSE), 0)"),13.0)</f>
        <v>13</v>
      </c>
      <c r="D9464" s="2" t="str">
        <f>IFERROR(__xludf.DUMMYFUNCTION("IFERROR(VLOOKUP(A9464, IMPORTRANGE(""https://docs.google.com/spreadsheets/d/1-3Vjw2Cyy-mry5gbC8ypIR3YVGFfEpyFESummAta6sg/edit"", ""Sheet1!B:D""), 2, FALSE), ""Not Found"")"),"glezər")</f>
        <v>glezər</v>
      </c>
      <c r="E9464" s="2" t="str">
        <f>IFERROR(__xludf.DUMMYFUNCTION("IFERROR(VLOOKUP(A9464, IMPORTRANGE(""https://docs.google.com/spreadsheets/d/1-3Vjw2Cyy-mry5gbC8ypIR3YVGFfEpyFESummAta6sg/edit"", ""Sheet1!B:D""), 3, FALSE), ""Not Found"")"),"g l e z ə r ")</f>
        <v>g l e z ə r </v>
      </c>
    </row>
    <row r="9465">
      <c r="A9465" s="1" t="s">
        <v>9466</v>
      </c>
      <c r="B9465" s="1" t="s">
        <v>6138</v>
      </c>
      <c r="C9465" s="2">
        <f>IFERROR(__xludf.DUMMYFUNCTION("IFERROR(VLOOKUP(A9465, IMPORTRANGE(""https://docs.google.com/spreadsheets/d/1AVX9GT0dgogEBStecCXMMQ29tWz3gBrtNB8yIromXbY/edit?gid=741673867"", ""out1g!A:B""), 2, FALSE), 0)"),18817.0)</f>
        <v>18817</v>
      </c>
      <c r="D9465" s="2" t="str">
        <f>IFERROR(__xludf.DUMMYFUNCTION("IFERROR(VLOOKUP(A9465, IMPORTRANGE(""https://docs.google.com/spreadsheets/d/1-3Vjw2Cyy-mry5gbC8ypIR3YVGFfEpyFESummAta6sg/edit"", ""Sheet1!B:D""), 2, FALSE), ""Not Found"")"),"nu")</f>
        <v>nu</v>
      </c>
      <c r="E9465" s="2" t="str">
        <f>IFERROR(__xludf.DUMMYFUNCTION("IFERROR(VLOOKUP(A9465, IMPORTRANGE(""https://docs.google.com/spreadsheets/d/1-3Vjw2Cyy-mry5gbC8ypIR3YVGFfEpyFESummAta6sg/edit"", ""Sheet1!B:D""), 3, FALSE), ""Not Found"")"),"n u ")</f>
        <v>n u </v>
      </c>
    </row>
    <row r="9466">
      <c r="A9466" s="1" t="s">
        <v>9467</v>
      </c>
      <c r="B9466" s="1" t="s">
        <v>6138</v>
      </c>
      <c r="C9466" s="2">
        <f>IFERROR(__xludf.DUMMYFUNCTION("IFERROR(VLOOKUP(A9466, IMPORTRANGE(""https://docs.google.com/spreadsheets/d/1AVX9GT0dgogEBStecCXMMQ29tWz3gBrtNB8yIromXbY/edit?gid=741673867"", ""out1g!A:B""), 2, FALSE), 0)"),322.0)</f>
        <v>322</v>
      </c>
      <c r="D9466" s="2" t="str">
        <f>IFERROR(__xludf.DUMMYFUNCTION("IFERROR(VLOOKUP(A9466, IMPORTRANGE(""https://docs.google.com/spreadsheets/d/1-3Vjw2Cyy-mry5gbC8ypIR3YVGFfEpyFESummAta6sg/edit"", ""Sheet1!B:D""), 2, FALSE), ""Not Found"")"),"ʃɪpɪŋ")</f>
        <v>ʃɪpɪŋ</v>
      </c>
      <c r="E9466" s="2" t="str">
        <f>IFERROR(__xludf.DUMMYFUNCTION("IFERROR(VLOOKUP(A9466, IMPORTRANGE(""https://docs.google.com/spreadsheets/d/1-3Vjw2Cyy-mry5gbC8ypIR3YVGFfEpyFESummAta6sg/edit"", ""Sheet1!B:D""), 3, FALSE), ""Not Found"")"),"ʃ ɪ p ɪ ŋ ")</f>
        <v>ʃ ɪ p ɪ ŋ </v>
      </c>
    </row>
    <row r="9467">
      <c r="A9467" s="1" t="s">
        <v>9468</v>
      </c>
      <c r="B9467" s="1" t="s">
        <v>6138</v>
      </c>
      <c r="C9467" s="2">
        <f>IFERROR(__xludf.DUMMYFUNCTION("IFERROR(VLOOKUP(A9467, IMPORTRANGE(""https://docs.google.com/spreadsheets/d/1AVX9GT0dgogEBStecCXMMQ29tWz3gBrtNB8yIromXbY/edit?gid=741673867"", ""out1g!A:B""), 2, FALSE), 0)"),50.0)</f>
        <v>50</v>
      </c>
      <c r="D9467" s="2" t="str">
        <f>IFERROR(__xludf.DUMMYFUNCTION("IFERROR(VLOOKUP(A9467, IMPORTRANGE(""https://docs.google.com/spreadsheets/d/1-3Vjw2Cyy-mry5gbC8ypIR3YVGFfEpyFESummAta6sg/edit"", ""Sheet1!B:D""), 2, FALSE), ""Not Found"")"),"flɛks")</f>
        <v>flɛks</v>
      </c>
      <c r="E9467" s="2" t="str">
        <f>IFERROR(__xludf.DUMMYFUNCTION("IFERROR(VLOOKUP(A9467, IMPORTRANGE(""https://docs.google.com/spreadsheets/d/1-3Vjw2Cyy-mry5gbC8ypIR3YVGFfEpyFESummAta6sg/edit"", ""Sheet1!B:D""), 3, FALSE), ""Not Found"")"),"f l ɛ k s ")</f>
        <v>f l ɛ k s </v>
      </c>
    </row>
    <row r="9468">
      <c r="A9468" s="1" t="s">
        <v>9469</v>
      </c>
      <c r="B9468" s="1" t="s">
        <v>6138</v>
      </c>
      <c r="C9468" s="2">
        <f>IFERROR(__xludf.DUMMYFUNCTION("IFERROR(VLOOKUP(A9468, IMPORTRANGE(""https://docs.google.com/spreadsheets/d/1AVX9GT0dgogEBStecCXMMQ29tWz3gBrtNB8yIromXbY/edit?gid=741673867"", ""out1g!A:B""), 2, FALSE), 0)"),129.0)</f>
        <v>129</v>
      </c>
      <c r="D9468" s="2" t="str">
        <f>IFERROR(__xludf.DUMMYFUNCTION("IFERROR(VLOOKUP(A9468, IMPORTRANGE(""https://docs.google.com/spreadsheets/d/1-3Vjw2Cyy-mry5gbC8ypIR3YVGFfEpyFESummAta6sg/edit"", ""Sheet1!B:D""), 2, FALSE), ""Not Found"")"),"mu")</f>
        <v>mu</v>
      </c>
      <c r="E9468" s="2" t="str">
        <f>IFERROR(__xludf.DUMMYFUNCTION("IFERROR(VLOOKUP(A9468, IMPORTRANGE(""https://docs.google.com/spreadsheets/d/1-3Vjw2Cyy-mry5gbC8ypIR3YVGFfEpyFESummAta6sg/edit"", ""Sheet1!B:D""), 3, FALSE), ""Not Found"")"),"m u ")</f>
        <v>m u </v>
      </c>
    </row>
    <row r="9469">
      <c r="A9469" s="1" t="s">
        <v>9470</v>
      </c>
      <c r="B9469" s="1" t="s">
        <v>6138</v>
      </c>
      <c r="C9469" s="2">
        <f>IFERROR(__xludf.DUMMYFUNCTION("IFERROR(VLOOKUP(A9469, IMPORTRANGE(""https://docs.google.com/spreadsheets/d/1AVX9GT0dgogEBStecCXMMQ29tWz3gBrtNB8yIromXbY/edit?gid=741673867"", ""out1g!A:B""), 2, FALSE), 0)"),247.0)</f>
        <v>247</v>
      </c>
      <c r="D9469" s="2" t="str">
        <f>IFERROR(__xludf.DUMMYFUNCTION("IFERROR(VLOOKUP(A9469, IMPORTRANGE(""https://docs.google.com/spreadsheets/d/1-3Vjw2Cyy-mry5gbC8ypIR3YVGFfEpyFESummAta6sg/edit"", ""Sheet1!B:D""), 2, FALSE), ""Not Found"")"),"əwɔrdz")</f>
        <v>əwɔrdz</v>
      </c>
      <c r="E9469" s="2" t="str">
        <f>IFERROR(__xludf.DUMMYFUNCTION("IFERROR(VLOOKUP(A9469, IMPORTRANGE(""https://docs.google.com/spreadsheets/d/1-3Vjw2Cyy-mry5gbC8ypIR3YVGFfEpyFESummAta6sg/edit"", ""Sheet1!B:D""), 3, FALSE), ""Not Found"")"),"ə w ɔ r d z ")</f>
        <v>ə w ɔ r d z </v>
      </c>
    </row>
    <row r="9470">
      <c r="A9470" s="1" t="s">
        <v>9471</v>
      </c>
      <c r="B9470" s="1" t="s">
        <v>6138</v>
      </c>
      <c r="C9470" s="2">
        <f>IFERROR(__xludf.DUMMYFUNCTION("IFERROR(VLOOKUP(A9470, IMPORTRANGE(""https://docs.google.com/spreadsheets/d/1AVX9GT0dgogEBStecCXMMQ29tWz3gBrtNB8yIromXbY/edit?gid=741673867"", ""out1g!A:B""), 2, FALSE), 0)"),88.0)</f>
        <v>88</v>
      </c>
      <c r="D9470" s="2" t="str">
        <f>IFERROR(__xludf.DUMMYFUNCTION("IFERROR(VLOOKUP(A9470, IMPORTRANGE(""https://docs.google.com/spreadsheets/d/1-3Vjw2Cyy-mry5gbC8ypIR3YVGFfEpyFESummAta6sg/edit"", ""Sheet1!B:D""), 2, FALSE), ""Not Found"")"),"dɪfaɪnd")</f>
        <v>dɪfaɪnd</v>
      </c>
      <c r="E9470" s="2" t="str">
        <f>IFERROR(__xludf.DUMMYFUNCTION("IFERROR(VLOOKUP(A9470, IMPORTRANGE(""https://docs.google.com/spreadsheets/d/1-3Vjw2Cyy-mry5gbC8ypIR3YVGFfEpyFESummAta6sg/edit"", ""Sheet1!B:D""), 3, FALSE), ""Not Found"")"),"d ɪ f a ɪ n d ")</f>
        <v>d ɪ f a ɪ n d </v>
      </c>
    </row>
    <row r="9471">
      <c r="A9471" s="1" t="s">
        <v>9472</v>
      </c>
      <c r="B9471" s="1" t="s">
        <v>6138</v>
      </c>
      <c r="C9471" s="2">
        <f>IFERROR(__xludf.DUMMYFUNCTION("IFERROR(VLOOKUP(A9471, IMPORTRANGE(""https://docs.google.com/spreadsheets/d/1AVX9GT0dgogEBStecCXMMQ29tWz3gBrtNB8yIromXbY/edit?gid=741673867"", ""out1g!A:B""), 2, FALSE), 0)"),3872.0)</f>
        <v>3872</v>
      </c>
      <c r="D9471" s="2" t="str">
        <f>IFERROR(__xludf.DUMMYFUNCTION("IFERROR(VLOOKUP(A9471, IMPORTRANGE(""https://docs.google.com/spreadsheets/d/1-3Vjw2Cyy-mry5gbC8ypIR3YVGFfEpyFESummAta6sg/edit"", ""Sheet1!B:D""), 2, FALSE), ""Not Found"")"),"dʊrɪŋ")</f>
        <v>dʊrɪŋ</v>
      </c>
      <c r="E9471" s="2" t="str">
        <f>IFERROR(__xludf.DUMMYFUNCTION("IFERROR(VLOOKUP(A9471, IMPORTRANGE(""https://docs.google.com/spreadsheets/d/1-3Vjw2Cyy-mry5gbC8ypIR3YVGFfEpyFESummAta6sg/edit"", ""Sheet1!B:D""), 3, FALSE), ""Not Found"")"),"d ʊ r ɪ ŋ ")</f>
        <v>d ʊ r ɪ ŋ </v>
      </c>
    </row>
    <row r="9472">
      <c r="A9472" s="1" t="s">
        <v>9473</v>
      </c>
      <c r="B9472" s="1" t="s">
        <v>6138</v>
      </c>
      <c r="C9472" s="2">
        <f>IFERROR(__xludf.DUMMYFUNCTION("IFERROR(VLOOKUP(A9472, IMPORTRANGE(""https://docs.google.com/spreadsheets/d/1AVX9GT0dgogEBStecCXMMQ29tWz3gBrtNB8yIromXbY/edit?gid=741673867"", ""out1g!A:B""), 2, FALSE), 0)"),2163.0)</f>
        <v>2163</v>
      </c>
      <c r="D9472" s="2" t="str">
        <f>IFERROR(__xludf.DUMMYFUNCTION("IFERROR(VLOOKUP(A9472, IMPORTRANGE(""https://docs.google.com/spreadsheets/d/1-3Vjw2Cyy-mry5gbC8ypIR3YVGFfEpyFESummAta6sg/edit"", ""Sheet1!B:D""), 2, FALSE), ""Not Found"")"),"kɪndə")</f>
        <v>kɪndə</v>
      </c>
      <c r="E9472" s="2" t="str">
        <f>IFERROR(__xludf.DUMMYFUNCTION("IFERROR(VLOOKUP(A9472, IMPORTRANGE(""https://docs.google.com/spreadsheets/d/1-3Vjw2Cyy-mry5gbC8ypIR3YVGFfEpyFESummAta6sg/edit"", ""Sheet1!B:D""), 3, FALSE), ""Not Found"")"),"k ɪ n d ə ")</f>
        <v>k ɪ n d ə </v>
      </c>
    </row>
    <row r="9473">
      <c r="A9473" s="1" t="s">
        <v>9474</v>
      </c>
      <c r="B9473" s="1" t="s">
        <v>6138</v>
      </c>
      <c r="C9473" s="2">
        <f>IFERROR(__xludf.DUMMYFUNCTION("IFERROR(VLOOKUP(A9473, IMPORTRANGE(""https://docs.google.com/spreadsheets/d/1AVX9GT0dgogEBStecCXMMQ29tWz3gBrtNB8yIromXbY/edit?gid=741673867"", ""out1g!A:B""), 2, FALSE), 0)"),2974.0)</f>
        <v>2974</v>
      </c>
      <c r="D9473" s="2" t="str">
        <f>IFERROR(__xludf.DUMMYFUNCTION("IFERROR(VLOOKUP(A9473, IMPORTRANGE(""https://docs.google.com/spreadsheets/d/1-3Vjw2Cyy-mry5gbC8ypIR3YVGFfEpyFESummAta6sg/edit"", ""Sheet1!B:D""), 2, FALSE), ""Not Found"")"),"kɪʧən")</f>
        <v>kɪʧən</v>
      </c>
      <c r="E9473" s="2" t="str">
        <f>IFERROR(__xludf.DUMMYFUNCTION("IFERROR(VLOOKUP(A9473, IMPORTRANGE(""https://docs.google.com/spreadsheets/d/1-3Vjw2Cyy-mry5gbC8ypIR3YVGFfEpyFESummAta6sg/edit"", ""Sheet1!B:D""), 3, FALSE), ""Not Found"")"),"k ɪ ʧ ə n ")</f>
        <v>k ɪ ʧ ə n </v>
      </c>
    </row>
    <row r="9474">
      <c r="A9474" s="1" t="s">
        <v>9475</v>
      </c>
      <c r="B9474" s="1" t="s">
        <v>6138</v>
      </c>
      <c r="C9474" s="2">
        <f>IFERROR(__xludf.DUMMYFUNCTION("IFERROR(VLOOKUP(A9474, IMPORTRANGE(""https://docs.google.com/spreadsheets/d/1AVX9GT0dgogEBStecCXMMQ29tWz3gBrtNB8yIromXbY/edit?gid=741673867"", ""out1g!A:B""), 2, FALSE), 0)"),208.0)</f>
        <v>208</v>
      </c>
      <c r="D9474" s="2" t="str">
        <f>IFERROR(__xludf.DUMMYFUNCTION("IFERROR(VLOOKUP(A9474, IMPORTRANGE(""https://docs.google.com/spreadsheets/d/1-3Vjw2Cyy-mry5gbC8ypIR3YVGFfEpyFESummAta6sg/edit"", ""Sheet1!B:D""), 2, FALSE), ""Not Found"")"),"piʧɪz")</f>
        <v>piʧɪz</v>
      </c>
      <c r="E9474" s="2" t="str">
        <f>IFERROR(__xludf.DUMMYFUNCTION("IFERROR(VLOOKUP(A9474, IMPORTRANGE(""https://docs.google.com/spreadsheets/d/1-3Vjw2Cyy-mry5gbC8ypIR3YVGFfEpyFESummAta6sg/edit"", ""Sheet1!B:D""), 3, FALSE), ""Not Found"")"),"p i ʧ ɪ z ")</f>
        <v>p i ʧ ɪ z </v>
      </c>
    </row>
    <row r="9475">
      <c r="A9475" s="1" t="s">
        <v>9476</v>
      </c>
      <c r="B9475" s="1" t="s">
        <v>6138</v>
      </c>
      <c r="C9475" s="2">
        <f>IFERROR(__xludf.DUMMYFUNCTION("IFERROR(VLOOKUP(A9475, IMPORTRANGE(""https://docs.google.com/spreadsheets/d/1AVX9GT0dgogEBStecCXMMQ29tWz3gBrtNB8yIromXbY/edit?gid=741673867"", ""out1g!A:B""), 2, FALSE), 0)"),390.0)</f>
        <v>390</v>
      </c>
      <c r="D9475" s="2" t="str">
        <f>IFERROR(__xludf.DUMMYFUNCTION("IFERROR(VLOOKUP(A9475, IMPORTRANGE(""https://docs.google.com/spreadsheets/d/1-3Vjw2Cyy-mry5gbC8ypIR3YVGFfEpyFESummAta6sg/edit"", ""Sheet1!B:D""), 2, FALSE), ""Not Found"")"),"pæsɪʤ")</f>
        <v>pæsɪʤ</v>
      </c>
      <c r="E9475" s="2" t="str">
        <f>IFERROR(__xludf.DUMMYFUNCTION("IFERROR(VLOOKUP(A9475, IMPORTRANGE(""https://docs.google.com/spreadsheets/d/1-3Vjw2Cyy-mry5gbC8ypIR3YVGFfEpyFESummAta6sg/edit"", ""Sheet1!B:D""), 3, FALSE), ""Not Found"")"),"p æ s ɪ ʤ ")</f>
        <v>p æ s ɪ ʤ </v>
      </c>
    </row>
    <row r="9476">
      <c r="A9476" s="1" t="s">
        <v>9477</v>
      </c>
      <c r="B9476" s="1" t="s">
        <v>6138</v>
      </c>
      <c r="C9476" s="2">
        <f>IFERROR(__xludf.DUMMYFUNCTION("IFERROR(VLOOKUP(A9476, IMPORTRANGE(""https://docs.google.com/spreadsheets/d/1AVX9GT0dgogEBStecCXMMQ29tWz3gBrtNB8yIromXbY/edit?gid=741673867"", ""out1g!A:B""), 2, FALSE), 0)"),1632.0)</f>
        <v>1632</v>
      </c>
      <c r="D9476" s="2" t="str">
        <f>IFERROR(__xludf.DUMMYFUNCTION("IFERROR(VLOOKUP(A9476, IMPORTRANGE(""https://docs.google.com/spreadsheets/d/1-3Vjw2Cyy-mry5gbC8ypIR3YVGFfEpyFESummAta6sg/edit"", ""Sheet1!B:D""), 2, FALSE), ""Not Found"")"),"raɪdɪŋ")</f>
        <v>raɪdɪŋ</v>
      </c>
      <c r="E9476" s="2" t="str">
        <f>IFERROR(__xludf.DUMMYFUNCTION("IFERROR(VLOOKUP(A9476, IMPORTRANGE(""https://docs.google.com/spreadsheets/d/1-3Vjw2Cyy-mry5gbC8ypIR3YVGFfEpyFESummAta6sg/edit"", ""Sheet1!B:D""), 3, FALSE), ""Not Found"")"),"r a ɪ d ɪ ŋ ")</f>
        <v>r a ɪ d ɪ ŋ </v>
      </c>
    </row>
    <row r="9477">
      <c r="A9477" s="1" t="s">
        <v>9478</v>
      </c>
      <c r="B9477" s="1" t="s">
        <v>6138</v>
      </c>
      <c r="C9477" s="2">
        <f>IFERROR(__xludf.DUMMYFUNCTION("IFERROR(VLOOKUP(A9477, IMPORTRANGE(""https://docs.google.com/spreadsheets/d/1AVX9GT0dgogEBStecCXMMQ29tWz3gBrtNB8yIromXbY/edit?gid=741673867"", ""out1g!A:B""), 2, FALSE), 0)"),333.0)</f>
        <v>333</v>
      </c>
      <c r="D9477" s="2" t="str">
        <f>IFERROR(__xludf.DUMMYFUNCTION("IFERROR(VLOOKUP(A9477, IMPORTRANGE(""https://docs.google.com/spreadsheets/d/1-3Vjw2Cyy-mry5gbC8ypIR3YVGFfEpyFESummAta6sg/edit"", ""Sheet1!B:D""), 2, FALSE), ""Not Found"")"),"ʧɑrts")</f>
        <v>ʧɑrts</v>
      </c>
      <c r="E9477" s="2" t="str">
        <f>IFERROR(__xludf.DUMMYFUNCTION("IFERROR(VLOOKUP(A9477, IMPORTRANGE(""https://docs.google.com/spreadsheets/d/1-3Vjw2Cyy-mry5gbC8ypIR3YVGFfEpyFESummAta6sg/edit"", ""Sheet1!B:D""), 3, FALSE), ""Not Found"")"),"ʧ ɑ r t s ")</f>
        <v>ʧ ɑ r t s </v>
      </c>
    </row>
    <row r="9478">
      <c r="A9478" s="1" t="s">
        <v>9479</v>
      </c>
      <c r="B9478" s="1" t="s">
        <v>6138</v>
      </c>
      <c r="C9478" s="2">
        <f>IFERROR(__xludf.DUMMYFUNCTION("IFERROR(VLOOKUP(A9478, IMPORTRANGE(""https://docs.google.com/spreadsheets/d/1AVX9GT0dgogEBStecCXMMQ29tWz3gBrtNB8yIromXbY/edit?gid=741673867"", ""out1g!A:B""), 2, FALSE), 0)"),25.0)</f>
        <v>25</v>
      </c>
      <c r="D9478" s="2" t="str">
        <f>IFERROR(__xludf.DUMMYFUNCTION("IFERROR(VLOOKUP(A9478, IMPORTRANGE(""https://docs.google.com/spreadsheets/d/1-3Vjw2Cyy-mry5gbC8ypIR3YVGFfEpyFESummAta6sg/edit"", ""Sheet1!B:D""), 2, FALSE), ""Not Found"")"),"bɑpər")</f>
        <v>bɑpər</v>
      </c>
      <c r="E9478" s="2" t="str">
        <f>IFERROR(__xludf.DUMMYFUNCTION("IFERROR(VLOOKUP(A9478, IMPORTRANGE(""https://docs.google.com/spreadsheets/d/1-3Vjw2Cyy-mry5gbC8ypIR3YVGFfEpyFESummAta6sg/edit"", ""Sheet1!B:D""), 3, FALSE), ""Not Found"")"),"b ɑ p ə r ")</f>
        <v>b ɑ p ə r </v>
      </c>
    </row>
    <row r="9479">
      <c r="A9479" s="1" t="s">
        <v>9480</v>
      </c>
      <c r="B9479" s="1" t="s">
        <v>6138</v>
      </c>
      <c r="C9479" s="2">
        <f>IFERROR(__xludf.DUMMYFUNCTION("IFERROR(VLOOKUP(A9479, IMPORTRANGE(""https://docs.google.com/spreadsheets/d/1AVX9GT0dgogEBStecCXMMQ29tWz3gBrtNB8yIromXbY/edit?gid=741673867"", ""out1g!A:B""), 2, FALSE), 0)"),88.0)</f>
        <v>88</v>
      </c>
      <c r="D9479" s="2" t="str">
        <f>IFERROR(__xludf.DUMMYFUNCTION("IFERROR(VLOOKUP(A9479, IMPORTRANGE(""https://docs.google.com/spreadsheets/d/1-3Vjw2Cyy-mry5gbC8ypIR3YVGFfEpyFESummAta6sg/edit"", ""Sheet1!B:D""), 2, FALSE), ""Not Found"")"),"mɑrʃən")</f>
        <v>mɑrʃən</v>
      </c>
      <c r="E9479" s="2" t="str">
        <f>IFERROR(__xludf.DUMMYFUNCTION("IFERROR(VLOOKUP(A9479, IMPORTRANGE(""https://docs.google.com/spreadsheets/d/1-3Vjw2Cyy-mry5gbC8ypIR3YVGFfEpyFESummAta6sg/edit"", ""Sheet1!B:D""), 3, FALSE), ""Not Found"")"),"m ɑ r ʃ ə n ")</f>
        <v>m ɑ r ʃ ə n </v>
      </c>
    </row>
    <row r="9480">
      <c r="A9480" s="1" t="s">
        <v>9481</v>
      </c>
      <c r="B9480" s="1" t="s">
        <v>6138</v>
      </c>
      <c r="C9480" s="2">
        <f>IFERROR(__xludf.DUMMYFUNCTION("IFERROR(VLOOKUP(A9480, IMPORTRANGE(""https://docs.google.com/spreadsheets/d/1AVX9GT0dgogEBStecCXMMQ29tWz3gBrtNB8yIromXbY/edit?gid=741673867"", ""out1g!A:B""), 2, FALSE), 0)"),680.0)</f>
        <v>680</v>
      </c>
      <c r="D9480" s="2" t="str">
        <f>IFERROR(__xludf.DUMMYFUNCTION("IFERROR(VLOOKUP(A9480, IMPORTRANGE(""https://docs.google.com/spreadsheets/d/1-3Vjw2Cyy-mry5gbC8ypIR3YVGFfEpyFESummAta6sg/edit"", ""Sheet1!B:D""), 2, FALSE), ""Not Found"")"),"frizɪŋ")</f>
        <v>frizɪŋ</v>
      </c>
      <c r="E9480" s="2" t="str">
        <f>IFERROR(__xludf.DUMMYFUNCTION("IFERROR(VLOOKUP(A9480, IMPORTRANGE(""https://docs.google.com/spreadsheets/d/1-3Vjw2Cyy-mry5gbC8ypIR3YVGFfEpyFESummAta6sg/edit"", ""Sheet1!B:D""), 3, FALSE), ""Not Found"")"),"f r i z ɪ ŋ ")</f>
        <v>f r i z ɪ ŋ </v>
      </c>
    </row>
    <row r="9481">
      <c r="A9481" s="1" t="s">
        <v>9482</v>
      </c>
      <c r="B9481" s="1" t="s">
        <v>6138</v>
      </c>
      <c r="C9481" s="2">
        <f>IFERROR(__xludf.DUMMYFUNCTION("IFERROR(VLOOKUP(A9481, IMPORTRANGE(""https://docs.google.com/spreadsheets/d/1AVX9GT0dgogEBStecCXMMQ29tWz3gBrtNB8yIromXbY/edit?gid=741673867"", ""out1g!A:B""), 2, FALSE), 0)"),71.0)</f>
        <v>71</v>
      </c>
      <c r="D9481" s="2" t="str">
        <f>IFERROR(__xludf.DUMMYFUNCTION("IFERROR(VLOOKUP(A9481, IMPORTRANGE(""https://docs.google.com/spreadsheets/d/1-3Vjw2Cyy-mry5gbC8ypIR3YVGFfEpyFESummAta6sg/edit"", ""Sheet1!B:D""), 2, FALSE), ""Not Found"")"),"maɪndɪd")</f>
        <v>maɪndɪd</v>
      </c>
      <c r="E9481" s="2" t="str">
        <f>IFERROR(__xludf.DUMMYFUNCTION("IFERROR(VLOOKUP(A9481, IMPORTRANGE(""https://docs.google.com/spreadsheets/d/1-3Vjw2Cyy-mry5gbC8ypIR3YVGFfEpyFESummAta6sg/edit"", ""Sheet1!B:D""), 3, FALSE), ""Not Found"")"),"m a ɪ n d ɪ d ")</f>
        <v>m a ɪ n d ɪ d </v>
      </c>
    </row>
    <row r="9482">
      <c r="A9482" s="1" t="s">
        <v>9483</v>
      </c>
      <c r="B9482" s="1" t="s">
        <v>6138</v>
      </c>
      <c r="C9482" s="2">
        <f>IFERROR(__xludf.DUMMYFUNCTION("IFERROR(VLOOKUP(A9482, IMPORTRANGE(""https://docs.google.com/spreadsheets/d/1AVX9GT0dgogEBStecCXMMQ29tWz3gBrtNB8yIromXbY/edit?gid=741673867"", ""out1g!A:B""), 2, FALSE), 0)"),495.0)</f>
        <v>495</v>
      </c>
      <c r="D9482" s="2" t="str">
        <f>IFERROR(__xludf.DUMMYFUNCTION("IFERROR(VLOOKUP(A9482, IMPORTRANGE(""https://docs.google.com/spreadsheets/d/1-3Vjw2Cyy-mry5gbC8ypIR3YVGFfEpyFESummAta6sg/edit"", ""Sheet1!B:D""), 2, FALSE), ""Not Found"")"),"blɛsɪŋ")</f>
        <v>blɛsɪŋ</v>
      </c>
      <c r="E9482" s="2" t="str">
        <f>IFERROR(__xludf.DUMMYFUNCTION("IFERROR(VLOOKUP(A9482, IMPORTRANGE(""https://docs.google.com/spreadsheets/d/1-3Vjw2Cyy-mry5gbC8ypIR3YVGFfEpyFESummAta6sg/edit"", ""Sheet1!B:D""), 3, FALSE), ""Not Found"")"),"b l ɛ s ɪ ŋ ")</f>
        <v>b l ɛ s ɪ ŋ </v>
      </c>
    </row>
    <row r="9483">
      <c r="A9483" s="1" t="s">
        <v>9484</v>
      </c>
      <c r="B9483" s="1" t="s">
        <v>6138</v>
      </c>
      <c r="C9483" s="2">
        <f>IFERROR(__xludf.DUMMYFUNCTION("IFERROR(VLOOKUP(A9483, IMPORTRANGE(""https://docs.google.com/spreadsheets/d/1AVX9GT0dgogEBStecCXMMQ29tWz3gBrtNB8yIromXbY/edit?gid=741673867"", ""out1g!A:B""), 2, FALSE), 0)"),580.0)</f>
        <v>580</v>
      </c>
      <c r="D9483" s="2" t="str">
        <f>IFERROR(__xludf.DUMMYFUNCTION("IFERROR(VLOOKUP(A9483, IMPORTRANGE(""https://docs.google.com/spreadsheets/d/1-3Vjw2Cyy-mry5gbC8ypIR3YVGFfEpyFESummAta6sg/edit"", ""Sheet1!B:D""), 2, FALSE), ""Not Found"")"),"dɪfit")</f>
        <v>dɪfit</v>
      </c>
      <c r="E9483" s="2" t="str">
        <f>IFERROR(__xludf.DUMMYFUNCTION("IFERROR(VLOOKUP(A9483, IMPORTRANGE(""https://docs.google.com/spreadsheets/d/1-3Vjw2Cyy-mry5gbC8ypIR3YVGFfEpyFESummAta6sg/edit"", ""Sheet1!B:D""), 3, FALSE), ""Not Found"")"),"d ɪ f i t ")</f>
        <v>d ɪ f i t </v>
      </c>
    </row>
  </sheetData>
  <drawing r:id="rId1"/>
</worksheet>
</file>